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9"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state="hidden"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酒店收入计算" sheetId="57" state="hidden" r:id="rId29"/>
    <sheet name="成本逼近法" sheetId="11" state="hidden" r:id="rId30"/>
    <sheet name="土地案例" sheetId="68" r:id="rId31"/>
    <sheet name="剩余法-待开发" sheetId="12" r:id="rId32"/>
    <sheet name="不动产比较法-住宅" sheetId="21" r:id="rId33"/>
    <sheet name="不动产收益法" sheetId="15" r:id="rId34"/>
    <sheet name="不动产收益法 (地下车库)" sheetId="69"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19"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30" hidden="1">土地案例!$A$1:$R$1</definedName>
    <definedName name="_xlnm._FilterDatabase" localSheetId="9" hidden="1">项目基本情况!$A$48:$N$48</definedName>
    <definedName name="_xlnm.Print_Area" localSheetId="18">'比较法-住宅、综合'!$A$1:$K$55</definedName>
    <definedName name="_xlnm.Print_Area" localSheetId="32">'不动产比较法-住宅'!$A$1:$K$54</definedName>
    <definedName name="_xlnm.Print_Area" localSheetId="33">不动产收益法!$A$1:$F$43</definedName>
    <definedName name="_xlnm.Print_Area" localSheetId="34">'不动产收益法 (地下车库)'!$A$1:$F$43</definedName>
    <definedName name="_xlnm.Print_Area" localSheetId="14">估价对象房地状况!$A$1:$C$24</definedName>
    <definedName name="_xlnm.Print_Area" localSheetId="16">结果表!$A$1:$I$59</definedName>
    <definedName name="_xlnm.Print_Area" localSheetId="31">'剩余法-待开发'!$A$1:$K$36</definedName>
    <definedName name="_xlnm.Print_Area" localSheetId="12">'数据-汇总表'!$A$1:$I$32</definedName>
    <definedName name="_xlnm.Print_Area" localSheetId="10">'数据-基础表'!$AV$1:$BT$13</definedName>
    <definedName name="_xlnm.Print_Area" localSheetId="13">'数据-取费表'!$A$1:$AM$63</definedName>
    <definedName name="_xlnm.Print_Area" localSheetId="9">项目基本情况!$A$1:$I$40</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35" i="9" l="1"/>
  <c r="E37" i="9"/>
  <c r="D37" i="9"/>
  <c r="C37" i="9"/>
  <c r="B37" i="9"/>
  <c r="L14" i="1" l="1"/>
  <c r="L7" i="1"/>
  <c r="I47" i="9" l="1"/>
  <c r="Q73" i="69"/>
  <c r="Q60" i="69"/>
  <c r="D60" i="69"/>
  <c r="Q59" i="69"/>
  <c r="K59" i="69"/>
  <c r="P75" i="69" s="1"/>
  <c r="F58" i="69"/>
  <c r="Q52" i="69"/>
  <c r="J50" i="69"/>
  <c r="J51" i="69" s="1"/>
  <c r="M47" i="69"/>
  <c r="F34" i="69"/>
  <c r="F61" i="69" s="1"/>
  <c r="F33" i="69"/>
  <c r="F60" i="69" s="1"/>
  <c r="F32" i="69"/>
  <c r="F59" i="69" s="1"/>
  <c r="F31" i="69"/>
  <c r="F28" i="69"/>
  <c r="C28" i="69" s="1"/>
  <c r="F23" i="69"/>
  <c r="D23" i="69" s="1"/>
  <c r="F21" i="69"/>
  <c r="M20" i="69"/>
  <c r="F20" i="69"/>
  <c r="M19" i="69"/>
  <c r="M18" i="69"/>
  <c r="F18" i="69"/>
  <c r="M17" i="69"/>
  <c r="F17" i="69"/>
  <c r="F15" i="69"/>
  <c r="G1" i="69"/>
  <c r="D14" i="9"/>
  <c r="I47" i="21"/>
  <c r="I48" i="39"/>
  <c r="I40" i="39"/>
  <c r="I9" i="39"/>
  <c r="I8" i="39"/>
  <c r="I7" i="39"/>
  <c r="G48" i="39"/>
  <c r="G40" i="39"/>
  <c r="G9" i="39"/>
  <c r="G8" i="39"/>
  <c r="E8" i="39"/>
  <c r="E7" i="39"/>
  <c r="E48" i="39"/>
  <c r="E40" i="39"/>
  <c r="E9" i="39"/>
  <c r="C8" i="39"/>
  <c r="C7" i="39"/>
  <c r="C40" i="39"/>
  <c r="C13" i="39"/>
  <c r="M24" i="69"/>
  <c r="P62" i="69" l="1"/>
  <c r="D24" i="69"/>
  <c r="D22" i="69"/>
  <c r="L46" i="69"/>
  <c r="G21" i="6"/>
  <c r="AN13" i="3"/>
  <c r="AD13" i="3"/>
  <c r="A6" i="1"/>
  <c r="A7" i="1"/>
  <c r="G1" i="15"/>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 i="3"/>
  <c r="F20" i="6"/>
  <c r="E20" i="6"/>
  <c r="K7" i="1"/>
  <c r="C1" i="65"/>
  <c r="N1" i="65"/>
  <c r="B43" i="1"/>
  <c r="B41" i="1"/>
  <c r="F32" i="15"/>
  <c r="F33" i="15"/>
  <c r="AC13" i="3"/>
  <c r="BB13" i="3"/>
  <c r="BD13" i="3"/>
  <c r="BE13" i="3"/>
  <c r="BF13" i="3"/>
  <c r="BG13" i="3"/>
  <c r="BH13" i="3"/>
  <c r="BI13" i="3"/>
  <c r="BJ13" i="3"/>
  <c r="BK13" i="3"/>
  <c r="BA13" i="3"/>
  <c r="BM13" i="3"/>
  <c r="BN13" i="3"/>
  <c r="BO13" i="3"/>
  <c r="BP13" i="3"/>
  <c r="BQ13" i="3"/>
  <c r="BR13" i="3"/>
  <c r="BS13" i="3"/>
  <c r="BT13" i="3"/>
  <c r="BL13" i="3"/>
  <c r="AZ13" i="3"/>
  <c r="BB14" i="3"/>
  <c r="BD14" i="3"/>
  <c r="BE14" i="3"/>
  <c r="BF14" i="3"/>
  <c r="BG14" i="3"/>
  <c r="BH14" i="3"/>
  <c r="BI14" i="3"/>
  <c r="BJ14" i="3"/>
  <c r="BK14" i="3"/>
  <c r="BA14" i="3"/>
  <c r="BM14" i="3"/>
  <c r="BN14" i="3"/>
  <c r="BO14" i="3"/>
  <c r="BP14" i="3"/>
  <c r="BQ14" i="3"/>
  <c r="BR14" i="3"/>
  <c r="BS14" i="3"/>
  <c r="BT14" i="3"/>
  <c r="BL14" i="3"/>
  <c r="AZ14" i="3"/>
  <c r="BB15" i="3"/>
  <c r="BD15" i="3"/>
  <c r="BE15" i="3"/>
  <c r="BF15" i="3"/>
  <c r="BG15" i="3"/>
  <c r="BH15" i="3"/>
  <c r="BI15" i="3"/>
  <c r="BJ15" i="3"/>
  <c r="BK15" i="3"/>
  <c r="BA15" i="3"/>
  <c r="BM15" i="3"/>
  <c r="BN15" i="3"/>
  <c r="BO15" i="3"/>
  <c r="BP15" i="3"/>
  <c r="BQ15" i="3"/>
  <c r="BR15" i="3"/>
  <c r="BS15" i="3"/>
  <c r="BT15" i="3"/>
  <c r="BL15" i="3"/>
  <c r="AZ15" i="3"/>
  <c r="BB16" i="3"/>
  <c r="BD16" i="3"/>
  <c r="BE16" i="3"/>
  <c r="BF16" i="3"/>
  <c r="BG16" i="3"/>
  <c r="BH16" i="3"/>
  <c r="BI16" i="3"/>
  <c r="BJ16" i="3"/>
  <c r="BK16" i="3"/>
  <c r="BA16" i="3"/>
  <c r="BM16" i="3"/>
  <c r="BN16" i="3"/>
  <c r="BO16" i="3"/>
  <c r="BP16" i="3"/>
  <c r="BQ16" i="3"/>
  <c r="BR16" i="3"/>
  <c r="BS16" i="3"/>
  <c r="BT16" i="3"/>
  <c r="BL16" i="3"/>
  <c r="AZ16" i="3"/>
  <c r="BB17" i="3"/>
  <c r="BD17" i="3"/>
  <c r="BE17" i="3"/>
  <c r="BF17" i="3"/>
  <c r="BG17" i="3"/>
  <c r="BH17" i="3"/>
  <c r="BI17" i="3"/>
  <c r="BJ17" i="3"/>
  <c r="BK17" i="3"/>
  <c r="BA17" i="3"/>
  <c r="BM17" i="3"/>
  <c r="BN17" i="3"/>
  <c r="BO17" i="3"/>
  <c r="BP17" i="3"/>
  <c r="BQ17" i="3"/>
  <c r="BR17" i="3"/>
  <c r="BS17" i="3"/>
  <c r="BT17" i="3"/>
  <c r="BL17" i="3"/>
  <c r="AZ17" i="3"/>
  <c r="BB18" i="3"/>
  <c r="BD18" i="3"/>
  <c r="BE18" i="3"/>
  <c r="BF18" i="3"/>
  <c r="BG18" i="3"/>
  <c r="BH18" i="3"/>
  <c r="BI18" i="3"/>
  <c r="BJ18" i="3"/>
  <c r="BK18" i="3"/>
  <c r="BA18" i="3"/>
  <c r="BM18" i="3"/>
  <c r="BN18" i="3"/>
  <c r="BO18" i="3"/>
  <c r="BP18" i="3"/>
  <c r="BQ18" i="3"/>
  <c r="BR18" i="3"/>
  <c r="BS18" i="3"/>
  <c r="BT18" i="3"/>
  <c r="BL18" i="3"/>
  <c r="AZ18" i="3"/>
  <c r="BB19" i="3"/>
  <c r="BD19" i="3"/>
  <c r="BE19" i="3"/>
  <c r="BF19" i="3"/>
  <c r="BG19" i="3"/>
  <c r="BH19" i="3"/>
  <c r="BI19" i="3"/>
  <c r="BJ19" i="3"/>
  <c r="BK19" i="3"/>
  <c r="BA19" i="3"/>
  <c r="BM19" i="3"/>
  <c r="BN19" i="3"/>
  <c r="BO19" i="3"/>
  <c r="BP19" i="3"/>
  <c r="BQ19" i="3"/>
  <c r="BR19" i="3"/>
  <c r="BS19" i="3"/>
  <c r="BT19" i="3"/>
  <c r="BL19" i="3"/>
  <c r="AZ19" i="3"/>
  <c r="BB20" i="3"/>
  <c r="BD20" i="3"/>
  <c r="BE20" i="3"/>
  <c r="BF20" i="3"/>
  <c r="BG20" i="3"/>
  <c r="BH20" i="3"/>
  <c r="BI20" i="3"/>
  <c r="BJ20" i="3"/>
  <c r="BK20" i="3"/>
  <c r="BA20" i="3"/>
  <c r="BM20" i="3"/>
  <c r="BN20" i="3"/>
  <c r="BO20" i="3"/>
  <c r="BP20" i="3"/>
  <c r="BQ20" i="3"/>
  <c r="BR20" i="3"/>
  <c r="BS20" i="3"/>
  <c r="BT20" i="3"/>
  <c r="BL20" i="3"/>
  <c r="AZ20" i="3"/>
  <c r="BB21" i="3"/>
  <c r="BD21" i="3"/>
  <c r="BE21" i="3"/>
  <c r="BF21" i="3"/>
  <c r="BG21" i="3"/>
  <c r="BH21" i="3"/>
  <c r="BI21" i="3"/>
  <c r="BJ21" i="3"/>
  <c r="BK21" i="3"/>
  <c r="BA21" i="3"/>
  <c r="BM21" i="3"/>
  <c r="BN21" i="3"/>
  <c r="BO21" i="3"/>
  <c r="BP21" i="3"/>
  <c r="BQ21" i="3"/>
  <c r="BR21" i="3"/>
  <c r="BS21" i="3"/>
  <c r="BT21" i="3"/>
  <c r="BL21" i="3"/>
  <c r="AZ21" i="3"/>
  <c r="BB22" i="3"/>
  <c r="BD22" i="3"/>
  <c r="BE22" i="3"/>
  <c r="BF22" i="3"/>
  <c r="BG22" i="3"/>
  <c r="BH22" i="3"/>
  <c r="BI22" i="3"/>
  <c r="BJ22" i="3"/>
  <c r="BK22" i="3"/>
  <c r="BA22" i="3"/>
  <c r="BM22" i="3"/>
  <c r="BN22" i="3"/>
  <c r="BO22" i="3"/>
  <c r="BP22" i="3"/>
  <c r="BQ22" i="3"/>
  <c r="BR22" i="3"/>
  <c r="BS22" i="3"/>
  <c r="BT22" i="3"/>
  <c r="BL22" i="3"/>
  <c r="AZ22" i="3"/>
  <c r="BB23" i="3"/>
  <c r="BD23" i="3"/>
  <c r="BE23" i="3"/>
  <c r="BF23" i="3"/>
  <c r="BG23" i="3"/>
  <c r="BH23" i="3"/>
  <c r="BI23" i="3"/>
  <c r="BJ23" i="3"/>
  <c r="BK23" i="3"/>
  <c r="BA23" i="3"/>
  <c r="BM23" i="3"/>
  <c r="BN23" i="3"/>
  <c r="BO23" i="3"/>
  <c r="BP23" i="3"/>
  <c r="BQ23" i="3"/>
  <c r="BR23" i="3"/>
  <c r="BS23" i="3"/>
  <c r="BT23" i="3"/>
  <c r="BL23" i="3"/>
  <c r="AZ23" i="3"/>
  <c r="BB24" i="3"/>
  <c r="BD24" i="3"/>
  <c r="BE24" i="3"/>
  <c r="BF24" i="3"/>
  <c r="BG24" i="3"/>
  <c r="BH24" i="3"/>
  <c r="BI24" i="3"/>
  <c r="BJ24" i="3"/>
  <c r="BK24" i="3"/>
  <c r="BA24" i="3"/>
  <c r="BM24" i="3"/>
  <c r="BN24" i="3"/>
  <c r="BO24" i="3"/>
  <c r="BP24" i="3"/>
  <c r="BQ24" i="3"/>
  <c r="BR24" i="3"/>
  <c r="BS24" i="3"/>
  <c r="BT24" i="3"/>
  <c r="BL24" i="3"/>
  <c r="AZ24" i="3"/>
  <c r="BB25" i="3"/>
  <c r="BD25" i="3"/>
  <c r="BE25" i="3"/>
  <c r="BF25" i="3"/>
  <c r="BG25" i="3"/>
  <c r="BH25" i="3"/>
  <c r="BI25" i="3"/>
  <c r="BJ25" i="3"/>
  <c r="BK25" i="3"/>
  <c r="BA25" i="3"/>
  <c r="BM25" i="3"/>
  <c r="BN25" i="3"/>
  <c r="BO25" i="3"/>
  <c r="BP25" i="3"/>
  <c r="BQ25" i="3"/>
  <c r="BR25" i="3"/>
  <c r="BS25" i="3"/>
  <c r="BT25" i="3"/>
  <c r="BL25" i="3"/>
  <c r="AZ25" i="3"/>
  <c r="BB26" i="3"/>
  <c r="BD26" i="3"/>
  <c r="BE26" i="3"/>
  <c r="BF26" i="3"/>
  <c r="BG26" i="3"/>
  <c r="BH26" i="3"/>
  <c r="BI26" i="3"/>
  <c r="BJ26" i="3"/>
  <c r="BK26" i="3"/>
  <c r="BA26" i="3"/>
  <c r="BM26" i="3"/>
  <c r="BN26" i="3"/>
  <c r="BO26" i="3"/>
  <c r="BP26" i="3"/>
  <c r="BQ26" i="3"/>
  <c r="BR26" i="3"/>
  <c r="BS26" i="3"/>
  <c r="BT26" i="3"/>
  <c r="BL26" i="3"/>
  <c r="AZ26" i="3"/>
  <c r="BB27" i="3"/>
  <c r="BD27" i="3"/>
  <c r="BE27" i="3"/>
  <c r="BF27" i="3"/>
  <c r="BG27" i="3"/>
  <c r="BH27" i="3"/>
  <c r="BI27" i="3"/>
  <c r="BJ27" i="3"/>
  <c r="BK27" i="3"/>
  <c r="BA27" i="3"/>
  <c r="BM27" i="3"/>
  <c r="BN27" i="3"/>
  <c r="BO27" i="3"/>
  <c r="BP27" i="3"/>
  <c r="BQ27" i="3"/>
  <c r="BR27" i="3"/>
  <c r="BS27" i="3"/>
  <c r="BT27" i="3"/>
  <c r="BL27" i="3"/>
  <c r="AZ27" i="3"/>
  <c r="BB28" i="3"/>
  <c r="BD28" i="3"/>
  <c r="BE28" i="3"/>
  <c r="BF28" i="3"/>
  <c r="BG28" i="3"/>
  <c r="BH28" i="3"/>
  <c r="BI28" i="3"/>
  <c r="BJ28" i="3"/>
  <c r="BK28" i="3"/>
  <c r="BA28" i="3"/>
  <c r="BM28" i="3"/>
  <c r="BN28" i="3"/>
  <c r="BO28" i="3"/>
  <c r="BP28" i="3"/>
  <c r="BQ28" i="3"/>
  <c r="BR28" i="3"/>
  <c r="BS28" i="3"/>
  <c r="BT28" i="3"/>
  <c r="BL28" i="3"/>
  <c r="AZ28" i="3"/>
  <c r="BB29" i="3"/>
  <c r="BD29" i="3"/>
  <c r="BE29" i="3"/>
  <c r="BF29" i="3"/>
  <c r="BG29" i="3"/>
  <c r="BH29" i="3"/>
  <c r="BI29" i="3"/>
  <c r="BJ29" i="3"/>
  <c r="BK29" i="3"/>
  <c r="BA29" i="3"/>
  <c r="BM29" i="3"/>
  <c r="BN29" i="3"/>
  <c r="BO29" i="3"/>
  <c r="BP29" i="3"/>
  <c r="BQ29" i="3"/>
  <c r="BR29" i="3"/>
  <c r="BS29" i="3"/>
  <c r="BT29" i="3"/>
  <c r="BL29" i="3"/>
  <c r="AZ29" i="3"/>
  <c r="BB30" i="3"/>
  <c r="BD30" i="3"/>
  <c r="BE30" i="3"/>
  <c r="BF30" i="3"/>
  <c r="BG30" i="3"/>
  <c r="BH30" i="3"/>
  <c r="BI30" i="3"/>
  <c r="BJ30" i="3"/>
  <c r="BK30" i="3"/>
  <c r="BA30" i="3"/>
  <c r="BM30" i="3"/>
  <c r="BN30" i="3"/>
  <c r="BO30" i="3"/>
  <c r="BP30" i="3"/>
  <c r="BQ30" i="3"/>
  <c r="BR30" i="3"/>
  <c r="BS30" i="3"/>
  <c r="BT30" i="3"/>
  <c r="BL30" i="3"/>
  <c r="AZ30" i="3"/>
  <c r="BB31" i="3"/>
  <c r="BD31" i="3"/>
  <c r="BE31" i="3"/>
  <c r="BF31" i="3"/>
  <c r="BG31" i="3"/>
  <c r="BH31" i="3"/>
  <c r="BI31" i="3"/>
  <c r="BJ31" i="3"/>
  <c r="BK31" i="3"/>
  <c r="BA31" i="3"/>
  <c r="BM31" i="3"/>
  <c r="BN31" i="3"/>
  <c r="BO31" i="3"/>
  <c r="BP31" i="3"/>
  <c r="BQ31" i="3"/>
  <c r="BR31" i="3"/>
  <c r="BS31" i="3"/>
  <c r="BT31" i="3"/>
  <c r="BL31" i="3"/>
  <c r="AZ31" i="3"/>
  <c r="BB32" i="3"/>
  <c r="BD32" i="3"/>
  <c r="BE32" i="3"/>
  <c r="BF32" i="3"/>
  <c r="BG32" i="3"/>
  <c r="BH32" i="3"/>
  <c r="BI32" i="3"/>
  <c r="BJ32" i="3"/>
  <c r="BK32" i="3"/>
  <c r="BA32" i="3"/>
  <c r="BM32" i="3"/>
  <c r="BN32" i="3"/>
  <c r="BO32" i="3"/>
  <c r="BP32" i="3"/>
  <c r="BQ32" i="3"/>
  <c r="BR32" i="3"/>
  <c r="BS32" i="3"/>
  <c r="BT32" i="3"/>
  <c r="BL32" i="3"/>
  <c r="AZ32" i="3"/>
  <c r="BB33" i="3"/>
  <c r="BD33" i="3"/>
  <c r="BE33" i="3"/>
  <c r="BF33" i="3"/>
  <c r="BG33" i="3"/>
  <c r="BH33" i="3"/>
  <c r="BI33" i="3"/>
  <c r="BJ33" i="3"/>
  <c r="BK33" i="3"/>
  <c r="BA33" i="3"/>
  <c r="BM33" i="3"/>
  <c r="BN33" i="3"/>
  <c r="BO33" i="3"/>
  <c r="BP33" i="3"/>
  <c r="BQ33" i="3"/>
  <c r="BR33" i="3"/>
  <c r="BS33" i="3"/>
  <c r="BT33" i="3"/>
  <c r="BL33" i="3"/>
  <c r="AZ33" i="3"/>
  <c r="BB34" i="3"/>
  <c r="BD34" i="3"/>
  <c r="BE34" i="3"/>
  <c r="BF34" i="3"/>
  <c r="BG34" i="3"/>
  <c r="BH34" i="3"/>
  <c r="BI34" i="3"/>
  <c r="BJ34" i="3"/>
  <c r="BK34" i="3"/>
  <c r="BA34" i="3"/>
  <c r="BM34" i="3"/>
  <c r="BN34" i="3"/>
  <c r="BO34" i="3"/>
  <c r="BP34" i="3"/>
  <c r="BQ34" i="3"/>
  <c r="BR34" i="3"/>
  <c r="BS34" i="3"/>
  <c r="BT34" i="3"/>
  <c r="BL34" i="3"/>
  <c r="AZ34" i="3"/>
  <c r="BB35" i="3"/>
  <c r="BD35" i="3"/>
  <c r="BE35" i="3"/>
  <c r="BF35" i="3"/>
  <c r="BG35" i="3"/>
  <c r="BH35" i="3"/>
  <c r="BI35" i="3"/>
  <c r="BJ35" i="3"/>
  <c r="BK35" i="3"/>
  <c r="BA35" i="3"/>
  <c r="BM35" i="3"/>
  <c r="BN35" i="3"/>
  <c r="BO35" i="3"/>
  <c r="BP35" i="3"/>
  <c r="BQ35" i="3"/>
  <c r="BR35" i="3"/>
  <c r="BS35" i="3"/>
  <c r="BT35" i="3"/>
  <c r="BL35" i="3"/>
  <c r="AZ35" i="3"/>
  <c r="BB36" i="3"/>
  <c r="BD36" i="3"/>
  <c r="BE36" i="3"/>
  <c r="BF36" i="3"/>
  <c r="BG36" i="3"/>
  <c r="BH36" i="3"/>
  <c r="BI36" i="3"/>
  <c r="BJ36" i="3"/>
  <c r="BK36" i="3"/>
  <c r="BA36" i="3"/>
  <c r="BM36" i="3"/>
  <c r="BN36" i="3"/>
  <c r="BO36" i="3"/>
  <c r="BP36" i="3"/>
  <c r="BQ36" i="3"/>
  <c r="BR36" i="3"/>
  <c r="BS36" i="3"/>
  <c r="BT36" i="3"/>
  <c r="BL36" i="3"/>
  <c r="AZ36" i="3"/>
  <c r="BB37" i="3"/>
  <c r="BD37" i="3"/>
  <c r="BE37" i="3"/>
  <c r="BF37" i="3"/>
  <c r="BG37" i="3"/>
  <c r="BH37" i="3"/>
  <c r="BI37" i="3"/>
  <c r="BJ37" i="3"/>
  <c r="BK37" i="3"/>
  <c r="BA37" i="3"/>
  <c r="BM37" i="3"/>
  <c r="BN37" i="3"/>
  <c r="BO37" i="3"/>
  <c r="BP37" i="3"/>
  <c r="BQ37" i="3"/>
  <c r="BR37" i="3"/>
  <c r="BS37" i="3"/>
  <c r="BT37" i="3"/>
  <c r="BL37" i="3"/>
  <c r="AZ37" i="3"/>
  <c r="BB38" i="3"/>
  <c r="BD38" i="3"/>
  <c r="BE38" i="3"/>
  <c r="BF38" i="3"/>
  <c r="BG38" i="3"/>
  <c r="BH38" i="3"/>
  <c r="BI38" i="3"/>
  <c r="BJ38" i="3"/>
  <c r="BK38" i="3"/>
  <c r="BA38" i="3"/>
  <c r="BM38" i="3"/>
  <c r="BN38" i="3"/>
  <c r="BO38" i="3"/>
  <c r="BP38" i="3"/>
  <c r="BQ38" i="3"/>
  <c r="BR38" i="3"/>
  <c r="BS38" i="3"/>
  <c r="BT38" i="3"/>
  <c r="BL38" i="3"/>
  <c r="AZ38" i="3"/>
  <c r="BB39" i="3"/>
  <c r="BD39" i="3"/>
  <c r="BE39" i="3"/>
  <c r="BF39" i="3"/>
  <c r="BG39" i="3"/>
  <c r="BH39" i="3"/>
  <c r="BI39" i="3"/>
  <c r="BJ39" i="3"/>
  <c r="BK39" i="3"/>
  <c r="BA39" i="3"/>
  <c r="BM39" i="3"/>
  <c r="BN39" i="3"/>
  <c r="BO39" i="3"/>
  <c r="BP39" i="3"/>
  <c r="BQ39" i="3"/>
  <c r="BR39" i="3"/>
  <c r="BS39" i="3"/>
  <c r="BT39" i="3"/>
  <c r="BL39" i="3"/>
  <c r="AZ39" i="3"/>
  <c r="BB40" i="3"/>
  <c r="BD40" i="3"/>
  <c r="BE40" i="3"/>
  <c r="BF40" i="3"/>
  <c r="BG40" i="3"/>
  <c r="BH40" i="3"/>
  <c r="BI40" i="3"/>
  <c r="BJ40" i="3"/>
  <c r="BK40" i="3"/>
  <c r="BA40" i="3"/>
  <c r="BM40" i="3"/>
  <c r="BN40" i="3"/>
  <c r="BO40" i="3"/>
  <c r="BP40" i="3"/>
  <c r="BQ40" i="3"/>
  <c r="BR40" i="3"/>
  <c r="BS40" i="3"/>
  <c r="BT40" i="3"/>
  <c r="BL40" i="3"/>
  <c r="AZ40" i="3"/>
  <c r="BB41" i="3"/>
  <c r="BD41" i="3"/>
  <c r="BE41" i="3"/>
  <c r="BF41" i="3"/>
  <c r="BG41" i="3"/>
  <c r="BH41" i="3"/>
  <c r="BI41" i="3"/>
  <c r="BJ41" i="3"/>
  <c r="BK41" i="3"/>
  <c r="BA41" i="3"/>
  <c r="BM41" i="3"/>
  <c r="BN41" i="3"/>
  <c r="BO41" i="3"/>
  <c r="BP41" i="3"/>
  <c r="BQ41" i="3"/>
  <c r="BR41" i="3"/>
  <c r="BS41" i="3"/>
  <c r="BT41" i="3"/>
  <c r="BL41" i="3"/>
  <c r="AZ41" i="3"/>
  <c r="BB42" i="3"/>
  <c r="BD42" i="3"/>
  <c r="BE42" i="3"/>
  <c r="BF42" i="3"/>
  <c r="BG42" i="3"/>
  <c r="BH42" i="3"/>
  <c r="BI42" i="3"/>
  <c r="BJ42" i="3"/>
  <c r="BK42" i="3"/>
  <c r="BA42" i="3"/>
  <c r="BM42" i="3"/>
  <c r="BN42" i="3"/>
  <c r="BO42" i="3"/>
  <c r="BP42" i="3"/>
  <c r="BQ42" i="3"/>
  <c r="BR42" i="3"/>
  <c r="BS42" i="3"/>
  <c r="BT42" i="3"/>
  <c r="BL42" i="3"/>
  <c r="AZ42" i="3"/>
  <c r="BB43" i="3"/>
  <c r="BD43" i="3"/>
  <c r="BE43" i="3"/>
  <c r="BF43" i="3"/>
  <c r="BG43" i="3"/>
  <c r="BH43" i="3"/>
  <c r="BI43" i="3"/>
  <c r="BJ43" i="3"/>
  <c r="BK43" i="3"/>
  <c r="BA43" i="3"/>
  <c r="BM43" i="3"/>
  <c r="BN43" i="3"/>
  <c r="BO43" i="3"/>
  <c r="BP43" i="3"/>
  <c r="BQ43" i="3"/>
  <c r="BR43" i="3"/>
  <c r="BS43" i="3"/>
  <c r="BT43" i="3"/>
  <c r="BL43" i="3"/>
  <c r="AZ43" i="3"/>
  <c r="BB44" i="3"/>
  <c r="BD44" i="3"/>
  <c r="BE44" i="3"/>
  <c r="BF44" i="3"/>
  <c r="BG44" i="3"/>
  <c r="BH44" i="3"/>
  <c r="BI44" i="3"/>
  <c r="BJ44" i="3"/>
  <c r="BK44" i="3"/>
  <c r="BA44" i="3"/>
  <c r="BM44" i="3"/>
  <c r="BN44" i="3"/>
  <c r="BO44" i="3"/>
  <c r="BP44" i="3"/>
  <c r="BQ44" i="3"/>
  <c r="BR44" i="3"/>
  <c r="BS44" i="3"/>
  <c r="BT44" i="3"/>
  <c r="BL44" i="3"/>
  <c r="AZ44" i="3"/>
  <c r="BB45" i="3"/>
  <c r="BD45" i="3"/>
  <c r="BE45" i="3"/>
  <c r="BF45" i="3"/>
  <c r="BG45" i="3"/>
  <c r="BH45" i="3"/>
  <c r="BI45" i="3"/>
  <c r="BJ45" i="3"/>
  <c r="BK45" i="3"/>
  <c r="BA45" i="3"/>
  <c r="BM45" i="3"/>
  <c r="BN45" i="3"/>
  <c r="BO45" i="3"/>
  <c r="BP45" i="3"/>
  <c r="BQ45" i="3"/>
  <c r="BR45" i="3"/>
  <c r="BS45" i="3"/>
  <c r="BT45" i="3"/>
  <c r="BL45" i="3"/>
  <c r="AZ45" i="3"/>
  <c r="BB46" i="3"/>
  <c r="BD46" i="3"/>
  <c r="BE46" i="3"/>
  <c r="BF46" i="3"/>
  <c r="BG46" i="3"/>
  <c r="BH46" i="3"/>
  <c r="BI46" i="3"/>
  <c r="BJ46" i="3"/>
  <c r="BK46" i="3"/>
  <c r="BA46" i="3"/>
  <c r="BM46" i="3"/>
  <c r="BN46" i="3"/>
  <c r="BO46" i="3"/>
  <c r="BP46" i="3"/>
  <c r="BQ46" i="3"/>
  <c r="BR46" i="3"/>
  <c r="BS46" i="3"/>
  <c r="BT46" i="3"/>
  <c r="BL46" i="3"/>
  <c r="AZ46" i="3"/>
  <c r="BB47" i="3"/>
  <c r="BD47" i="3"/>
  <c r="BE47" i="3"/>
  <c r="BF47" i="3"/>
  <c r="BG47" i="3"/>
  <c r="BH47" i="3"/>
  <c r="BI47" i="3"/>
  <c r="BJ47" i="3"/>
  <c r="BK47" i="3"/>
  <c r="BA47" i="3"/>
  <c r="BM47" i="3"/>
  <c r="BN47" i="3"/>
  <c r="BO47" i="3"/>
  <c r="BP47" i="3"/>
  <c r="BQ47" i="3"/>
  <c r="BR47" i="3"/>
  <c r="BS47" i="3"/>
  <c r="BT47" i="3"/>
  <c r="BL47" i="3"/>
  <c r="AZ47" i="3"/>
  <c r="BB48" i="3"/>
  <c r="BD48" i="3"/>
  <c r="BE48" i="3"/>
  <c r="BF48" i="3"/>
  <c r="BG48" i="3"/>
  <c r="BH48" i="3"/>
  <c r="BI48" i="3"/>
  <c r="BJ48" i="3"/>
  <c r="BK48" i="3"/>
  <c r="BA48" i="3"/>
  <c r="BM48" i="3"/>
  <c r="BN48" i="3"/>
  <c r="BO48" i="3"/>
  <c r="BP48" i="3"/>
  <c r="BQ48" i="3"/>
  <c r="BR48" i="3"/>
  <c r="BS48" i="3"/>
  <c r="BT48" i="3"/>
  <c r="BL48" i="3"/>
  <c r="AZ48" i="3"/>
  <c r="BB49" i="3"/>
  <c r="BD49" i="3"/>
  <c r="BE49" i="3"/>
  <c r="BF49" i="3"/>
  <c r="BG49" i="3"/>
  <c r="BH49" i="3"/>
  <c r="BI49" i="3"/>
  <c r="BJ49" i="3"/>
  <c r="BK49" i="3"/>
  <c r="BA49" i="3"/>
  <c r="BM49" i="3"/>
  <c r="BN49" i="3"/>
  <c r="BO49" i="3"/>
  <c r="BP49" i="3"/>
  <c r="BQ49" i="3"/>
  <c r="BR49" i="3"/>
  <c r="BS49" i="3"/>
  <c r="BT49" i="3"/>
  <c r="BL49" i="3"/>
  <c r="AZ49" i="3"/>
  <c r="BB50" i="3"/>
  <c r="BD50" i="3"/>
  <c r="BE50" i="3"/>
  <c r="BF50" i="3"/>
  <c r="BG50" i="3"/>
  <c r="BH50" i="3"/>
  <c r="BI50" i="3"/>
  <c r="BJ50" i="3"/>
  <c r="BK50" i="3"/>
  <c r="BA50" i="3"/>
  <c r="BM50" i="3"/>
  <c r="BN50" i="3"/>
  <c r="BO50" i="3"/>
  <c r="BP50" i="3"/>
  <c r="BQ50" i="3"/>
  <c r="BR50" i="3"/>
  <c r="BS50" i="3"/>
  <c r="BT50" i="3"/>
  <c r="BL50" i="3"/>
  <c r="AZ50" i="3"/>
  <c r="BB51" i="3"/>
  <c r="BD51" i="3"/>
  <c r="BE51" i="3"/>
  <c r="BF51" i="3"/>
  <c r="BG51" i="3"/>
  <c r="BH51" i="3"/>
  <c r="BI51" i="3"/>
  <c r="BJ51" i="3"/>
  <c r="BK51" i="3"/>
  <c r="BA51" i="3"/>
  <c r="BM51" i="3"/>
  <c r="BN51" i="3"/>
  <c r="BO51" i="3"/>
  <c r="BP51" i="3"/>
  <c r="BQ51" i="3"/>
  <c r="BR51" i="3"/>
  <c r="BS51" i="3"/>
  <c r="BT51" i="3"/>
  <c r="BL51" i="3"/>
  <c r="AZ51" i="3"/>
  <c r="BB52" i="3"/>
  <c r="BD52" i="3"/>
  <c r="BE52" i="3"/>
  <c r="BF52" i="3"/>
  <c r="BG52" i="3"/>
  <c r="BH52" i="3"/>
  <c r="BI52" i="3"/>
  <c r="BJ52" i="3"/>
  <c r="BK52" i="3"/>
  <c r="BA52" i="3"/>
  <c r="BM52" i="3"/>
  <c r="BN52" i="3"/>
  <c r="BO52" i="3"/>
  <c r="BP52" i="3"/>
  <c r="BQ52" i="3"/>
  <c r="BR52" i="3"/>
  <c r="BS52" i="3"/>
  <c r="BT52" i="3"/>
  <c r="BL52" i="3"/>
  <c r="AZ52" i="3"/>
  <c r="BB53" i="3"/>
  <c r="BD53" i="3"/>
  <c r="BE53" i="3"/>
  <c r="BF53" i="3"/>
  <c r="BG53" i="3"/>
  <c r="BH53" i="3"/>
  <c r="BI53" i="3"/>
  <c r="BJ53" i="3"/>
  <c r="BK53" i="3"/>
  <c r="BA53" i="3"/>
  <c r="BM53" i="3"/>
  <c r="BN53" i="3"/>
  <c r="BO53" i="3"/>
  <c r="BP53" i="3"/>
  <c r="BQ53" i="3"/>
  <c r="BR53" i="3"/>
  <c r="BS53" i="3"/>
  <c r="BT53" i="3"/>
  <c r="BL53" i="3"/>
  <c r="AZ53" i="3"/>
  <c r="BB54" i="3"/>
  <c r="BD54" i="3"/>
  <c r="BE54" i="3"/>
  <c r="BF54" i="3"/>
  <c r="BG54" i="3"/>
  <c r="BH54" i="3"/>
  <c r="BI54" i="3"/>
  <c r="BJ54" i="3"/>
  <c r="BK54" i="3"/>
  <c r="BA54" i="3"/>
  <c r="BM54" i="3"/>
  <c r="BN54" i="3"/>
  <c r="BO54" i="3"/>
  <c r="BP54" i="3"/>
  <c r="BQ54" i="3"/>
  <c r="BR54" i="3"/>
  <c r="BS54" i="3"/>
  <c r="BT54" i="3"/>
  <c r="BL54" i="3"/>
  <c r="AZ54" i="3"/>
  <c r="BB55" i="3"/>
  <c r="BD55" i="3"/>
  <c r="BE55" i="3"/>
  <c r="BF55" i="3"/>
  <c r="BG55" i="3"/>
  <c r="BH55" i="3"/>
  <c r="BI55" i="3"/>
  <c r="BJ55" i="3"/>
  <c r="BK55" i="3"/>
  <c r="BA55" i="3"/>
  <c r="BM55" i="3"/>
  <c r="BN55" i="3"/>
  <c r="BO55" i="3"/>
  <c r="BP55" i="3"/>
  <c r="BQ55" i="3"/>
  <c r="BR55" i="3"/>
  <c r="BS55" i="3"/>
  <c r="BT55" i="3"/>
  <c r="BL55" i="3"/>
  <c r="AZ55" i="3"/>
  <c r="BB56" i="3"/>
  <c r="BD56" i="3"/>
  <c r="BE56" i="3"/>
  <c r="BF56" i="3"/>
  <c r="BG56" i="3"/>
  <c r="BH56" i="3"/>
  <c r="BI56" i="3"/>
  <c r="BJ56" i="3"/>
  <c r="BK56" i="3"/>
  <c r="BA56" i="3"/>
  <c r="BM56" i="3"/>
  <c r="BN56" i="3"/>
  <c r="BO56" i="3"/>
  <c r="BP56" i="3"/>
  <c r="BQ56" i="3"/>
  <c r="BR56" i="3"/>
  <c r="BS56" i="3"/>
  <c r="BT56" i="3"/>
  <c r="BL56" i="3"/>
  <c r="AZ56" i="3"/>
  <c r="BB57" i="3"/>
  <c r="BD57" i="3"/>
  <c r="BE57" i="3"/>
  <c r="BF57" i="3"/>
  <c r="BG57" i="3"/>
  <c r="BH57" i="3"/>
  <c r="BI57" i="3"/>
  <c r="BJ57" i="3"/>
  <c r="BK57" i="3"/>
  <c r="BA57" i="3"/>
  <c r="BM57" i="3"/>
  <c r="BN57" i="3"/>
  <c r="BO57" i="3"/>
  <c r="BP57" i="3"/>
  <c r="BQ57" i="3"/>
  <c r="BR57" i="3"/>
  <c r="BS57" i="3"/>
  <c r="BT57" i="3"/>
  <c r="BL57" i="3"/>
  <c r="AZ57" i="3"/>
  <c r="BB58" i="3"/>
  <c r="BD58" i="3"/>
  <c r="BE58" i="3"/>
  <c r="BF58" i="3"/>
  <c r="BG58" i="3"/>
  <c r="BH58" i="3"/>
  <c r="BI58" i="3"/>
  <c r="BJ58" i="3"/>
  <c r="BK58" i="3"/>
  <c r="BA58" i="3"/>
  <c r="BM58" i="3"/>
  <c r="BN58" i="3"/>
  <c r="BO58" i="3"/>
  <c r="BP58" i="3"/>
  <c r="BQ58" i="3"/>
  <c r="BR58" i="3"/>
  <c r="BS58" i="3"/>
  <c r="BT58" i="3"/>
  <c r="BL58" i="3"/>
  <c r="AZ58" i="3"/>
  <c r="BB59" i="3"/>
  <c r="BD59" i="3"/>
  <c r="BE59" i="3"/>
  <c r="BF59" i="3"/>
  <c r="BG59" i="3"/>
  <c r="BH59" i="3"/>
  <c r="BI59" i="3"/>
  <c r="BJ59" i="3"/>
  <c r="BK59" i="3"/>
  <c r="BA59" i="3"/>
  <c r="BM59" i="3"/>
  <c r="BN59" i="3"/>
  <c r="BO59" i="3"/>
  <c r="BP59" i="3"/>
  <c r="BQ59" i="3"/>
  <c r="BR59" i="3"/>
  <c r="BS59" i="3"/>
  <c r="BT59" i="3"/>
  <c r="BL59" i="3"/>
  <c r="AZ59" i="3"/>
  <c r="BB60" i="3"/>
  <c r="BD60" i="3"/>
  <c r="BE60" i="3"/>
  <c r="BF60" i="3"/>
  <c r="BG60" i="3"/>
  <c r="BH60" i="3"/>
  <c r="BI60" i="3"/>
  <c r="BJ60" i="3"/>
  <c r="BK60" i="3"/>
  <c r="BA60" i="3"/>
  <c r="BM60" i="3"/>
  <c r="BN60" i="3"/>
  <c r="BO60" i="3"/>
  <c r="BP60" i="3"/>
  <c r="BQ60" i="3"/>
  <c r="BR60" i="3"/>
  <c r="BS60" i="3"/>
  <c r="BT60" i="3"/>
  <c r="BL60" i="3"/>
  <c r="AZ60" i="3"/>
  <c r="BB61" i="3"/>
  <c r="BD61" i="3"/>
  <c r="BE61" i="3"/>
  <c r="BF61" i="3"/>
  <c r="BG61" i="3"/>
  <c r="BH61" i="3"/>
  <c r="BI61" i="3"/>
  <c r="BJ61" i="3"/>
  <c r="BK61" i="3"/>
  <c r="BA61" i="3"/>
  <c r="BM61" i="3"/>
  <c r="BN61" i="3"/>
  <c r="BO61" i="3"/>
  <c r="BP61" i="3"/>
  <c r="BQ61" i="3"/>
  <c r="BR61" i="3"/>
  <c r="BS61" i="3"/>
  <c r="BT61" i="3"/>
  <c r="BL61" i="3"/>
  <c r="AZ61" i="3"/>
  <c r="BB62" i="3"/>
  <c r="BD62" i="3"/>
  <c r="BE62" i="3"/>
  <c r="BF62" i="3"/>
  <c r="BG62" i="3"/>
  <c r="BH62" i="3"/>
  <c r="BI62" i="3"/>
  <c r="BJ62" i="3"/>
  <c r="BK62" i="3"/>
  <c r="BA62" i="3"/>
  <c r="BM62" i="3"/>
  <c r="BN62" i="3"/>
  <c r="BO62" i="3"/>
  <c r="BP62" i="3"/>
  <c r="BQ62" i="3"/>
  <c r="BR62" i="3"/>
  <c r="BS62" i="3"/>
  <c r="BT62" i="3"/>
  <c r="BL62" i="3"/>
  <c r="AZ62" i="3"/>
  <c r="BB63" i="3"/>
  <c r="BD63" i="3"/>
  <c r="BE63" i="3"/>
  <c r="BF63" i="3"/>
  <c r="BG63" i="3"/>
  <c r="BH63" i="3"/>
  <c r="BI63" i="3"/>
  <c r="BJ63" i="3"/>
  <c r="BK63" i="3"/>
  <c r="BA63" i="3"/>
  <c r="BM63" i="3"/>
  <c r="BN63" i="3"/>
  <c r="BO63" i="3"/>
  <c r="BP63" i="3"/>
  <c r="BQ63" i="3"/>
  <c r="BR63" i="3"/>
  <c r="BS63" i="3"/>
  <c r="BT63" i="3"/>
  <c r="BL63" i="3"/>
  <c r="AZ63" i="3"/>
  <c r="BB64" i="3"/>
  <c r="BD64" i="3"/>
  <c r="BE64" i="3"/>
  <c r="BF64" i="3"/>
  <c r="BG64" i="3"/>
  <c r="BH64" i="3"/>
  <c r="BI64" i="3"/>
  <c r="BJ64" i="3"/>
  <c r="BK64" i="3"/>
  <c r="BA64" i="3"/>
  <c r="BM64" i="3"/>
  <c r="BN64" i="3"/>
  <c r="BO64" i="3"/>
  <c r="BP64" i="3"/>
  <c r="BQ64" i="3"/>
  <c r="BR64" i="3"/>
  <c r="BS64" i="3"/>
  <c r="BT64" i="3"/>
  <c r="BL64" i="3"/>
  <c r="AZ64" i="3"/>
  <c r="BB65" i="3"/>
  <c r="BD65" i="3"/>
  <c r="BE65" i="3"/>
  <c r="BF65" i="3"/>
  <c r="BG65" i="3"/>
  <c r="BH65" i="3"/>
  <c r="BI65" i="3"/>
  <c r="BJ65" i="3"/>
  <c r="BK65" i="3"/>
  <c r="BA65" i="3"/>
  <c r="BM65" i="3"/>
  <c r="BN65" i="3"/>
  <c r="BO65" i="3"/>
  <c r="BP65" i="3"/>
  <c r="BQ65" i="3"/>
  <c r="BR65" i="3"/>
  <c r="BS65" i="3"/>
  <c r="BT65" i="3"/>
  <c r="BL65" i="3"/>
  <c r="AZ65" i="3"/>
  <c r="BB66" i="3"/>
  <c r="BD66" i="3"/>
  <c r="BE66" i="3"/>
  <c r="BF66" i="3"/>
  <c r="BG66" i="3"/>
  <c r="BH66" i="3"/>
  <c r="BI66" i="3"/>
  <c r="BJ66" i="3"/>
  <c r="BK66" i="3"/>
  <c r="BA66" i="3"/>
  <c r="BM66" i="3"/>
  <c r="BN66" i="3"/>
  <c r="BO66" i="3"/>
  <c r="BP66" i="3"/>
  <c r="BQ66" i="3"/>
  <c r="BR66" i="3"/>
  <c r="BS66" i="3"/>
  <c r="BT66" i="3"/>
  <c r="BL66" i="3"/>
  <c r="AZ66" i="3"/>
  <c r="BB67" i="3"/>
  <c r="BD67" i="3"/>
  <c r="BE67" i="3"/>
  <c r="BF67" i="3"/>
  <c r="BG67" i="3"/>
  <c r="BH67" i="3"/>
  <c r="BI67" i="3"/>
  <c r="BJ67" i="3"/>
  <c r="BK67" i="3"/>
  <c r="BA67" i="3"/>
  <c r="BM67" i="3"/>
  <c r="BN67" i="3"/>
  <c r="BO67" i="3"/>
  <c r="BP67" i="3"/>
  <c r="BQ67" i="3"/>
  <c r="BR67" i="3"/>
  <c r="BS67" i="3"/>
  <c r="BT67" i="3"/>
  <c r="BL67" i="3"/>
  <c r="AZ67" i="3"/>
  <c r="BB68" i="3"/>
  <c r="BD68" i="3"/>
  <c r="BE68" i="3"/>
  <c r="BF68" i="3"/>
  <c r="BG68" i="3"/>
  <c r="BH68" i="3"/>
  <c r="BI68" i="3"/>
  <c r="BJ68" i="3"/>
  <c r="BK68" i="3"/>
  <c r="BA68" i="3"/>
  <c r="BM68" i="3"/>
  <c r="BN68" i="3"/>
  <c r="BO68" i="3"/>
  <c r="BP68" i="3"/>
  <c r="BQ68" i="3"/>
  <c r="BR68" i="3"/>
  <c r="BS68" i="3"/>
  <c r="BT68" i="3"/>
  <c r="BL68" i="3"/>
  <c r="AZ68" i="3"/>
  <c r="BB69" i="3"/>
  <c r="BD69" i="3"/>
  <c r="BE69" i="3"/>
  <c r="BF69" i="3"/>
  <c r="BG69" i="3"/>
  <c r="BH69" i="3"/>
  <c r="BI69" i="3"/>
  <c r="BJ69" i="3"/>
  <c r="BK69" i="3"/>
  <c r="BA69" i="3"/>
  <c r="BM69" i="3"/>
  <c r="BN69" i="3"/>
  <c r="BO69" i="3"/>
  <c r="BP69" i="3"/>
  <c r="BQ69" i="3"/>
  <c r="BR69" i="3"/>
  <c r="BS69" i="3"/>
  <c r="BT69" i="3"/>
  <c r="BL69" i="3"/>
  <c r="AZ69" i="3"/>
  <c r="BB70" i="3"/>
  <c r="BD70" i="3"/>
  <c r="BE70" i="3"/>
  <c r="BF70" i="3"/>
  <c r="BG70" i="3"/>
  <c r="BH70" i="3"/>
  <c r="BI70" i="3"/>
  <c r="BJ70" i="3"/>
  <c r="BK70" i="3"/>
  <c r="BA70" i="3"/>
  <c r="BM70" i="3"/>
  <c r="BN70" i="3"/>
  <c r="BO70" i="3"/>
  <c r="BP70" i="3"/>
  <c r="BQ70" i="3"/>
  <c r="BR70" i="3"/>
  <c r="BS70" i="3"/>
  <c r="BT70" i="3"/>
  <c r="BL70" i="3"/>
  <c r="AZ70" i="3"/>
  <c r="BB71" i="3"/>
  <c r="BD71" i="3"/>
  <c r="BE71" i="3"/>
  <c r="BF71" i="3"/>
  <c r="BG71" i="3"/>
  <c r="BH71" i="3"/>
  <c r="BI71" i="3"/>
  <c r="BJ71" i="3"/>
  <c r="BK71" i="3"/>
  <c r="BA71" i="3"/>
  <c r="BM71" i="3"/>
  <c r="BN71" i="3"/>
  <c r="BO71" i="3"/>
  <c r="BP71" i="3"/>
  <c r="BQ71" i="3"/>
  <c r="BR71" i="3"/>
  <c r="BS71" i="3"/>
  <c r="BT71" i="3"/>
  <c r="BL71" i="3"/>
  <c r="AZ71" i="3"/>
  <c r="BB72" i="3"/>
  <c r="BD72" i="3"/>
  <c r="BE72" i="3"/>
  <c r="BF72" i="3"/>
  <c r="BG72" i="3"/>
  <c r="BH72" i="3"/>
  <c r="BI72" i="3"/>
  <c r="BJ72" i="3"/>
  <c r="BK72" i="3"/>
  <c r="BA72" i="3"/>
  <c r="BM72" i="3"/>
  <c r="BN72" i="3"/>
  <c r="BO72" i="3"/>
  <c r="BP72" i="3"/>
  <c r="BQ72" i="3"/>
  <c r="BR72" i="3"/>
  <c r="BS72" i="3"/>
  <c r="BT72" i="3"/>
  <c r="BL72" i="3"/>
  <c r="AZ72" i="3"/>
  <c r="BB73" i="3"/>
  <c r="BD73" i="3"/>
  <c r="BE73" i="3"/>
  <c r="BF73" i="3"/>
  <c r="BG73" i="3"/>
  <c r="BH73" i="3"/>
  <c r="BI73" i="3"/>
  <c r="BJ73" i="3"/>
  <c r="BK73" i="3"/>
  <c r="BA73" i="3"/>
  <c r="BM73" i="3"/>
  <c r="BN73" i="3"/>
  <c r="BO73" i="3"/>
  <c r="BP73" i="3"/>
  <c r="BQ73" i="3"/>
  <c r="BR73" i="3"/>
  <c r="BS73" i="3"/>
  <c r="BT73" i="3"/>
  <c r="BL73" i="3"/>
  <c r="AZ73" i="3"/>
  <c r="BB74" i="3"/>
  <c r="BD74" i="3"/>
  <c r="BE74" i="3"/>
  <c r="BF74" i="3"/>
  <c r="BG74" i="3"/>
  <c r="BH74" i="3"/>
  <c r="BI74" i="3"/>
  <c r="BJ74" i="3"/>
  <c r="BK74" i="3"/>
  <c r="BA74" i="3"/>
  <c r="BM74" i="3"/>
  <c r="BN74" i="3"/>
  <c r="BO74" i="3"/>
  <c r="BP74" i="3"/>
  <c r="BQ74" i="3"/>
  <c r="BR74" i="3"/>
  <c r="BS74" i="3"/>
  <c r="BT74" i="3"/>
  <c r="BL74" i="3"/>
  <c r="AZ74" i="3"/>
  <c r="BB75" i="3"/>
  <c r="BD75" i="3"/>
  <c r="BE75" i="3"/>
  <c r="BF75" i="3"/>
  <c r="BG75" i="3"/>
  <c r="BH75" i="3"/>
  <c r="BI75" i="3"/>
  <c r="BJ75" i="3"/>
  <c r="BK75" i="3"/>
  <c r="BA75" i="3"/>
  <c r="BM75" i="3"/>
  <c r="BN75" i="3"/>
  <c r="BO75" i="3"/>
  <c r="BP75" i="3"/>
  <c r="BQ75" i="3"/>
  <c r="BR75" i="3"/>
  <c r="BS75" i="3"/>
  <c r="BT75" i="3"/>
  <c r="BL75" i="3"/>
  <c r="AZ75" i="3"/>
  <c r="BB76" i="3"/>
  <c r="BD76" i="3"/>
  <c r="BE76" i="3"/>
  <c r="BF76" i="3"/>
  <c r="BG76" i="3"/>
  <c r="BH76" i="3"/>
  <c r="BI76" i="3"/>
  <c r="BJ76" i="3"/>
  <c r="BK76" i="3"/>
  <c r="BA76" i="3"/>
  <c r="BM76" i="3"/>
  <c r="BN76" i="3"/>
  <c r="BO76" i="3"/>
  <c r="BP76" i="3"/>
  <c r="BQ76" i="3"/>
  <c r="BR76" i="3"/>
  <c r="BS76" i="3"/>
  <c r="BT76" i="3"/>
  <c r="BL76" i="3"/>
  <c r="AZ76" i="3"/>
  <c r="BB77" i="3"/>
  <c r="BD77" i="3"/>
  <c r="BE77" i="3"/>
  <c r="BF77" i="3"/>
  <c r="BG77" i="3"/>
  <c r="BH77" i="3"/>
  <c r="BI77" i="3"/>
  <c r="BJ77" i="3"/>
  <c r="BK77" i="3"/>
  <c r="BA77" i="3"/>
  <c r="BM77" i="3"/>
  <c r="BN77" i="3"/>
  <c r="BO77" i="3"/>
  <c r="BP77" i="3"/>
  <c r="BQ77" i="3"/>
  <c r="BR77" i="3"/>
  <c r="BS77" i="3"/>
  <c r="BT77" i="3"/>
  <c r="BL77" i="3"/>
  <c r="AZ77" i="3"/>
  <c r="BB78" i="3"/>
  <c r="BD78" i="3"/>
  <c r="BE78" i="3"/>
  <c r="BF78" i="3"/>
  <c r="BG78" i="3"/>
  <c r="BH78" i="3"/>
  <c r="BI78" i="3"/>
  <c r="BJ78" i="3"/>
  <c r="BK78" i="3"/>
  <c r="BA78" i="3"/>
  <c r="BM78" i="3"/>
  <c r="BN78" i="3"/>
  <c r="BO78" i="3"/>
  <c r="BP78" i="3"/>
  <c r="BQ78" i="3"/>
  <c r="BR78" i="3"/>
  <c r="BS78" i="3"/>
  <c r="BT78" i="3"/>
  <c r="BL78" i="3"/>
  <c r="AZ78" i="3"/>
  <c r="BB79" i="3"/>
  <c r="BD79" i="3"/>
  <c r="BE79" i="3"/>
  <c r="BF79" i="3"/>
  <c r="BG79" i="3"/>
  <c r="BH79" i="3"/>
  <c r="BI79" i="3"/>
  <c r="BJ79" i="3"/>
  <c r="BK79" i="3"/>
  <c r="BA79" i="3"/>
  <c r="BM79" i="3"/>
  <c r="BN79" i="3"/>
  <c r="BO79" i="3"/>
  <c r="BP79" i="3"/>
  <c r="BQ79" i="3"/>
  <c r="BR79" i="3"/>
  <c r="BS79" i="3"/>
  <c r="BT79" i="3"/>
  <c r="BL79" i="3"/>
  <c r="AZ79" i="3"/>
  <c r="BB80" i="3"/>
  <c r="BD80" i="3"/>
  <c r="BE80" i="3"/>
  <c r="BF80" i="3"/>
  <c r="BG80" i="3"/>
  <c r="BH80" i="3"/>
  <c r="BI80" i="3"/>
  <c r="BJ80" i="3"/>
  <c r="BK80" i="3"/>
  <c r="BA80" i="3"/>
  <c r="BM80" i="3"/>
  <c r="BN80" i="3"/>
  <c r="BO80" i="3"/>
  <c r="BP80" i="3"/>
  <c r="BQ80" i="3"/>
  <c r="BR80" i="3"/>
  <c r="BS80" i="3"/>
  <c r="BT80" i="3"/>
  <c r="BL80" i="3"/>
  <c r="AZ80" i="3"/>
  <c r="BB81" i="3"/>
  <c r="BD81" i="3"/>
  <c r="BE81" i="3"/>
  <c r="BF81" i="3"/>
  <c r="BG81" i="3"/>
  <c r="BH81" i="3"/>
  <c r="BI81" i="3"/>
  <c r="BJ81" i="3"/>
  <c r="BK81" i="3"/>
  <c r="BA81" i="3"/>
  <c r="BM81" i="3"/>
  <c r="BN81" i="3"/>
  <c r="BO81" i="3"/>
  <c r="BP81" i="3"/>
  <c r="BQ81" i="3"/>
  <c r="BR81" i="3"/>
  <c r="BS81" i="3"/>
  <c r="BT81" i="3"/>
  <c r="BL81" i="3"/>
  <c r="AZ81" i="3"/>
  <c r="BB82" i="3"/>
  <c r="BD82" i="3"/>
  <c r="BE82" i="3"/>
  <c r="BF82" i="3"/>
  <c r="BG82" i="3"/>
  <c r="BH82" i="3"/>
  <c r="BI82" i="3"/>
  <c r="BJ82" i="3"/>
  <c r="BK82" i="3"/>
  <c r="BA82" i="3"/>
  <c r="BM82" i="3"/>
  <c r="BN82" i="3"/>
  <c r="BO82" i="3"/>
  <c r="BP82" i="3"/>
  <c r="BQ82" i="3"/>
  <c r="BR82" i="3"/>
  <c r="BS82" i="3"/>
  <c r="BT82" i="3"/>
  <c r="BL82" i="3"/>
  <c r="AZ82" i="3"/>
  <c r="BB83" i="3"/>
  <c r="BD83" i="3"/>
  <c r="BE83" i="3"/>
  <c r="BF83" i="3"/>
  <c r="BG83" i="3"/>
  <c r="BH83" i="3"/>
  <c r="BI83" i="3"/>
  <c r="BJ83" i="3"/>
  <c r="BK83" i="3"/>
  <c r="BA83" i="3"/>
  <c r="BM83" i="3"/>
  <c r="BN83" i="3"/>
  <c r="BO83" i="3"/>
  <c r="BP83" i="3"/>
  <c r="BQ83" i="3"/>
  <c r="BR83" i="3"/>
  <c r="BS83" i="3"/>
  <c r="BT83" i="3"/>
  <c r="BL83" i="3"/>
  <c r="AZ83" i="3"/>
  <c r="BB84" i="3"/>
  <c r="BD84" i="3"/>
  <c r="BE84" i="3"/>
  <c r="BF84" i="3"/>
  <c r="BG84" i="3"/>
  <c r="BH84" i="3"/>
  <c r="BI84" i="3"/>
  <c r="BJ84" i="3"/>
  <c r="BK84" i="3"/>
  <c r="BA84" i="3"/>
  <c r="BM84" i="3"/>
  <c r="BN84" i="3"/>
  <c r="BO84" i="3"/>
  <c r="BP84" i="3"/>
  <c r="BQ84" i="3"/>
  <c r="BR84" i="3"/>
  <c r="BS84" i="3"/>
  <c r="BT84" i="3"/>
  <c r="BL84" i="3"/>
  <c r="AZ84" i="3"/>
  <c r="BB85" i="3"/>
  <c r="BD85" i="3"/>
  <c r="BE85" i="3"/>
  <c r="BF85" i="3"/>
  <c r="BG85" i="3"/>
  <c r="BH85" i="3"/>
  <c r="BI85" i="3"/>
  <c r="BJ85" i="3"/>
  <c r="BK85" i="3"/>
  <c r="BA85" i="3"/>
  <c r="BM85" i="3"/>
  <c r="BN85" i="3"/>
  <c r="BO85" i="3"/>
  <c r="BP85" i="3"/>
  <c r="BQ85" i="3"/>
  <c r="BR85" i="3"/>
  <c r="BS85" i="3"/>
  <c r="BT85" i="3"/>
  <c r="BL85" i="3"/>
  <c r="AZ85" i="3"/>
  <c r="BB86" i="3"/>
  <c r="BD86" i="3"/>
  <c r="BE86" i="3"/>
  <c r="BF86" i="3"/>
  <c r="BG86" i="3"/>
  <c r="BH86" i="3"/>
  <c r="BI86" i="3"/>
  <c r="BJ86" i="3"/>
  <c r="BK86" i="3"/>
  <c r="BA86" i="3"/>
  <c r="BM86" i="3"/>
  <c r="BN86" i="3"/>
  <c r="BO86" i="3"/>
  <c r="BP86" i="3"/>
  <c r="BQ86" i="3"/>
  <c r="BR86" i="3"/>
  <c r="BS86" i="3"/>
  <c r="BT86" i="3"/>
  <c r="BL86" i="3"/>
  <c r="AZ86" i="3"/>
  <c r="BB87" i="3"/>
  <c r="BD87" i="3"/>
  <c r="BE87" i="3"/>
  <c r="BF87" i="3"/>
  <c r="BG87" i="3"/>
  <c r="BH87" i="3"/>
  <c r="BI87" i="3"/>
  <c r="BJ87" i="3"/>
  <c r="BK87" i="3"/>
  <c r="BA87" i="3"/>
  <c r="BM87" i="3"/>
  <c r="BN87" i="3"/>
  <c r="BO87" i="3"/>
  <c r="BP87" i="3"/>
  <c r="BQ87" i="3"/>
  <c r="BR87" i="3"/>
  <c r="BS87" i="3"/>
  <c r="BT87" i="3"/>
  <c r="BL87" i="3"/>
  <c r="AZ87" i="3"/>
  <c r="BB88" i="3"/>
  <c r="BD88" i="3"/>
  <c r="BE88" i="3"/>
  <c r="BF88" i="3"/>
  <c r="BG88" i="3"/>
  <c r="BH88" i="3"/>
  <c r="BI88" i="3"/>
  <c r="BJ88" i="3"/>
  <c r="BK88" i="3"/>
  <c r="BA88" i="3"/>
  <c r="BM88" i="3"/>
  <c r="BN88" i="3"/>
  <c r="BO88" i="3"/>
  <c r="BP88" i="3"/>
  <c r="BQ88" i="3"/>
  <c r="BR88" i="3"/>
  <c r="BS88" i="3"/>
  <c r="BT88" i="3"/>
  <c r="BL88" i="3"/>
  <c r="AZ88" i="3"/>
  <c r="BB89" i="3"/>
  <c r="BD89" i="3"/>
  <c r="BE89" i="3"/>
  <c r="BF89" i="3"/>
  <c r="BG89" i="3"/>
  <c r="BH89" i="3"/>
  <c r="BI89" i="3"/>
  <c r="BJ89" i="3"/>
  <c r="BK89" i="3"/>
  <c r="BA89" i="3"/>
  <c r="BM89" i="3"/>
  <c r="BN89" i="3"/>
  <c r="BO89" i="3"/>
  <c r="BP89" i="3"/>
  <c r="BQ89" i="3"/>
  <c r="BR89" i="3"/>
  <c r="BS89" i="3"/>
  <c r="BT89" i="3"/>
  <c r="BL89" i="3"/>
  <c r="AZ89" i="3"/>
  <c r="BB90" i="3"/>
  <c r="BD90" i="3"/>
  <c r="BE90" i="3"/>
  <c r="BF90" i="3"/>
  <c r="BG90" i="3"/>
  <c r="BH90" i="3"/>
  <c r="BI90" i="3"/>
  <c r="BJ90" i="3"/>
  <c r="BK90" i="3"/>
  <c r="BA90" i="3"/>
  <c r="BM90" i="3"/>
  <c r="BN90" i="3"/>
  <c r="BO90" i="3"/>
  <c r="BP90" i="3"/>
  <c r="BQ90" i="3"/>
  <c r="BR90" i="3"/>
  <c r="BS90" i="3"/>
  <c r="BT90" i="3"/>
  <c r="BL90" i="3"/>
  <c r="AZ90" i="3"/>
  <c r="BB91" i="3"/>
  <c r="BD91" i="3"/>
  <c r="BE91" i="3"/>
  <c r="BF91" i="3"/>
  <c r="BG91" i="3"/>
  <c r="BH91" i="3"/>
  <c r="BI91" i="3"/>
  <c r="BJ91" i="3"/>
  <c r="BK91" i="3"/>
  <c r="BA91" i="3"/>
  <c r="BM91" i="3"/>
  <c r="BN91" i="3"/>
  <c r="BO91" i="3"/>
  <c r="BP91" i="3"/>
  <c r="BQ91" i="3"/>
  <c r="BR91" i="3"/>
  <c r="BS91" i="3"/>
  <c r="BT91" i="3"/>
  <c r="BL91" i="3"/>
  <c r="AZ91" i="3"/>
  <c r="BB92" i="3"/>
  <c r="BD92" i="3"/>
  <c r="BE92" i="3"/>
  <c r="BF92" i="3"/>
  <c r="BG92" i="3"/>
  <c r="BH92" i="3"/>
  <c r="BI92" i="3"/>
  <c r="BJ92" i="3"/>
  <c r="BK92" i="3"/>
  <c r="BA92" i="3"/>
  <c r="BM92" i="3"/>
  <c r="BN92" i="3"/>
  <c r="BO92" i="3"/>
  <c r="BP92" i="3"/>
  <c r="BQ92" i="3"/>
  <c r="BR92" i="3"/>
  <c r="BS92" i="3"/>
  <c r="BT92" i="3"/>
  <c r="BL92" i="3"/>
  <c r="AZ92" i="3"/>
  <c r="BB93" i="3"/>
  <c r="BD93" i="3"/>
  <c r="BE93" i="3"/>
  <c r="BF93" i="3"/>
  <c r="BG93" i="3"/>
  <c r="BH93" i="3"/>
  <c r="BI93" i="3"/>
  <c r="BJ93" i="3"/>
  <c r="BK93" i="3"/>
  <c r="BA93" i="3"/>
  <c r="BM93" i="3"/>
  <c r="BN93" i="3"/>
  <c r="BO93" i="3"/>
  <c r="BP93" i="3"/>
  <c r="BQ93" i="3"/>
  <c r="BR93" i="3"/>
  <c r="BS93" i="3"/>
  <c r="BT93" i="3"/>
  <c r="BL93" i="3"/>
  <c r="AZ93" i="3"/>
  <c r="BB94" i="3"/>
  <c r="BD94" i="3"/>
  <c r="BE94" i="3"/>
  <c r="BF94" i="3"/>
  <c r="BG94" i="3"/>
  <c r="BH94" i="3"/>
  <c r="BI94" i="3"/>
  <c r="BJ94" i="3"/>
  <c r="BK94" i="3"/>
  <c r="BA94" i="3"/>
  <c r="BM94" i="3"/>
  <c r="BN94" i="3"/>
  <c r="BO94" i="3"/>
  <c r="BP94" i="3"/>
  <c r="BQ94" i="3"/>
  <c r="BR94" i="3"/>
  <c r="BS94" i="3"/>
  <c r="BT94" i="3"/>
  <c r="BL94" i="3"/>
  <c r="AZ94" i="3"/>
  <c r="BB95" i="3"/>
  <c r="BD95" i="3"/>
  <c r="BE95" i="3"/>
  <c r="BF95" i="3"/>
  <c r="BG95" i="3"/>
  <c r="BH95" i="3"/>
  <c r="BI95" i="3"/>
  <c r="BJ95" i="3"/>
  <c r="BK95" i="3"/>
  <c r="BA95" i="3"/>
  <c r="BM95" i="3"/>
  <c r="BN95" i="3"/>
  <c r="BO95" i="3"/>
  <c r="BP95" i="3"/>
  <c r="BQ95" i="3"/>
  <c r="BR95" i="3"/>
  <c r="BS95" i="3"/>
  <c r="BT95" i="3"/>
  <c r="BL95" i="3"/>
  <c r="AZ95" i="3"/>
  <c r="BB96" i="3"/>
  <c r="BD96" i="3"/>
  <c r="BE96" i="3"/>
  <c r="BF96" i="3"/>
  <c r="BG96" i="3"/>
  <c r="BH96" i="3"/>
  <c r="BI96" i="3"/>
  <c r="BJ96" i="3"/>
  <c r="BK96" i="3"/>
  <c r="BA96" i="3"/>
  <c r="BM96" i="3"/>
  <c r="BN96" i="3"/>
  <c r="BO96" i="3"/>
  <c r="BP96" i="3"/>
  <c r="BQ96" i="3"/>
  <c r="BR96" i="3"/>
  <c r="BS96" i="3"/>
  <c r="BT96" i="3"/>
  <c r="BL96" i="3"/>
  <c r="AZ96" i="3"/>
  <c r="BB97" i="3"/>
  <c r="BD97" i="3"/>
  <c r="BE97" i="3"/>
  <c r="BF97" i="3"/>
  <c r="BG97" i="3"/>
  <c r="BH97" i="3"/>
  <c r="BI97" i="3"/>
  <c r="BJ97" i="3"/>
  <c r="BK97" i="3"/>
  <c r="BA97" i="3"/>
  <c r="BM97" i="3"/>
  <c r="BN97" i="3"/>
  <c r="BO97" i="3"/>
  <c r="BP97" i="3"/>
  <c r="BQ97" i="3"/>
  <c r="BR97" i="3"/>
  <c r="BS97" i="3"/>
  <c r="BT97" i="3"/>
  <c r="BL97" i="3"/>
  <c r="AZ97" i="3"/>
  <c r="BB98" i="3"/>
  <c r="BD98" i="3"/>
  <c r="BE98" i="3"/>
  <c r="BF98" i="3"/>
  <c r="BG98" i="3"/>
  <c r="BH98" i="3"/>
  <c r="BI98" i="3"/>
  <c r="BJ98" i="3"/>
  <c r="BK98" i="3"/>
  <c r="BA98" i="3"/>
  <c r="BM98" i="3"/>
  <c r="BN98" i="3"/>
  <c r="BO98" i="3"/>
  <c r="BP98" i="3"/>
  <c r="BQ98" i="3"/>
  <c r="BR98" i="3"/>
  <c r="BS98" i="3"/>
  <c r="BT98" i="3"/>
  <c r="BL98" i="3"/>
  <c r="AZ98" i="3"/>
  <c r="BB99" i="3"/>
  <c r="BD99" i="3"/>
  <c r="BE99" i="3"/>
  <c r="BF99" i="3"/>
  <c r="BG99" i="3"/>
  <c r="BH99" i="3"/>
  <c r="BI99" i="3"/>
  <c r="BJ99" i="3"/>
  <c r="BK99" i="3"/>
  <c r="BA99" i="3"/>
  <c r="BM99" i="3"/>
  <c r="BN99" i="3"/>
  <c r="BO99" i="3"/>
  <c r="BP99" i="3"/>
  <c r="BQ99" i="3"/>
  <c r="BR99" i="3"/>
  <c r="BS99" i="3"/>
  <c r="BT99" i="3"/>
  <c r="BL99" i="3"/>
  <c r="AZ99" i="3"/>
  <c r="BB100" i="3"/>
  <c r="BD100" i="3"/>
  <c r="BE100" i="3"/>
  <c r="BF100" i="3"/>
  <c r="BG100" i="3"/>
  <c r="BH100" i="3"/>
  <c r="BI100" i="3"/>
  <c r="BJ100" i="3"/>
  <c r="BK100" i="3"/>
  <c r="BA100" i="3"/>
  <c r="BM100" i="3"/>
  <c r="BN100" i="3"/>
  <c r="BO100" i="3"/>
  <c r="BP100" i="3"/>
  <c r="BQ100" i="3"/>
  <c r="BR100" i="3"/>
  <c r="BS100" i="3"/>
  <c r="BT100" i="3"/>
  <c r="BL100" i="3"/>
  <c r="AZ100" i="3"/>
  <c r="BB101" i="3"/>
  <c r="BD101" i="3"/>
  <c r="BE101" i="3"/>
  <c r="BF101" i="3"/>
  <c r="BG101" i="3"/>
  <c r="BH101" i="3"/>
  <c r="BI101" i="3"/>
  <c r="BJ101" i="3"/>
  <c r="BK101" i="3"/>
  <c r="BA101" i="3"/>
  <c r="BM101" i="3"/>
  <c r="BN101" i="3"/>
  <c r="BO101" i="3"/>
  <c r="BP101" i="3"/>
  <c r="BQ101" i="3"/>
  <c r="BR101" i="3"/>
  <c r="BS101" i="3"/>
  <c r="BT101" i="3"/>
  <c r="BL101" i="3"/>
  <c r="AZ101" i="3"/>
  <c r="BB102" i="3"/>
  <c r="BD102" i="3"/>
  <c r="BE102" i="3"/>
  <c r="BF102" i="3"/>
  <c r="BG102" i="3"/>
  <c r="BH102" i="3"/>
  <c r="BI102" i="3"/>
  <c r="BJ102" i="3"/>
  <c r="BK102" i="3"/>
  <c r="BA102" i="3"/>
  <c r="BM102" i="3"/>
  <c r="BN102" i="3"/>
  <c r="BO102" i="3"/>
  <c r="BP102" i="3"/>
  <c r="BQ102" i="3"/>
  <c r="BR102" i="3"/>
  <c r="BS102" i="3"/>
  <c r="BT102" i="3"/>
  <c r="BL102" i="3"/>
  <c r="AZ102" i="3"/>
  <c r="BB103" i="3"/>
  <c r="BD103" i="3"/>
  <c r="BE103" i="3"/>
  <c r="BF103" i="3"/>
  <c r="BG103" i="3"/>
  <c r="BH103" i="3"/>
  <c r="BI103" i="3"/>
  <c r="BJ103" i="3"/>
  <c r="BK103" i="3"/>
  <c r="BA103" i="3"/>
  <c r="BM103" i="3"/>
  <c r="BN103" i="3"/>
  <c r="BO103" i="3"/>
  <c r="BP103" i="3"/>
  <c r="BQ103" i="3"/>
  <c r="BR103" i="3"/>
  <c r="BS103" i="3"/>
  <c r="BT103" i="3"/>
  <c r="BL103" i="3"/>
  <c r="AZ103" i="3"/>
  <c r="BB104" i="3"/>
  <c r="BD104" i="3"/>
  <c r="BE104" i="3"/>
  <c r="BF104" i="3"/>
  <c r="BG104" i="3"/>
  <c r="BH104" i="3"/>
  <c r="BI104" i="3"/>
  <c r="BJ104" i="3"/>
  <c r="BK104" i="3"/>
  <c r="BA104" i="3"/>
  <c r="BM104" i="3"/>
  <c r="BN104" i="3"/>
  <c r="BO104" i="3"/>
  <c r="BP104" i="3"/>
  <c r="BQ104" i="3"/>
  <c r="BR104" i="3"/>
  <c r="BS104" i="3"/>
  <c r="BT104" i="3"/>
  <c r="BL104" i="3"/>
  <c r="AZ104" i="3"/>
  <c r="BB105" i="3"/>
  <c r="BD105" i="3"/>
  <c r="BE105" i="3"/>
  <c r="BF105" i="3"/>
  <c r="BG105" i="3"/>
  <c r="BH105" i="3"/>
  <c r="BI105" i="3"/>
  <c r="BJ105" i="3"/>
  <c r="BK105" i="3"/>
  <c r="BA105" i="3"/>
  <c r="BM105" i="3"/>
  <c r="BN105" i="3"/>
  <c r="BO105" i="3"/>
  <c r="BP105" i="3"/>
  <c r="BQ105" i="3"/>
  <c r="BR105" i="3"/>
  <c r="BS105" i="3"/>
  <c r="BT105" i="3"/>
  <c r="BL105" i="3"/>
  <c r="AZ105" i="3"/>
  <c r="BB106" i="3"/>
  <c r="BD106" i="3"/>
  <c r="BE106" i="3"/>
  <c r="BF106" i="3"/>
  <c r="BG106" i="3"/>
  <c r="BH106" i="3"/>
  <c r="BI106" i="3"/>
  <c r="BJ106" i="3"/>
  <c r="BK106" i="3"/>
  <c r="BA106" i="3"/>
  <c r="BM106" i="3"/>
  <c r="BN106" i="3"/>
  <c r="BO106" i="3"/>
  <c r="BP106" i="3"/>
  <c r="BQ106" i="3"/>
  <c r="BR106" i="3"/>
  <c r="BS106" i="3"/>
  <c r="BT106" i="3"/>
  <c r="BL106" i="3"/>
  <c r="AZ106" i="3"/>
  <c r="BB107" i="3"/>
  <c r="BD107" i="3"/>
  <c r="BE107" i="3"/>
  <c r="BF107" i="3"/>
  <c r="BG107" i="3"/>
  <c r="BH107" i="3"/>
  <c r="BI107" i="3"/>
  <c r="BJ107" i="3"/>
  <c r="BK107" i="3"/>
  <c r="BA107" i="3"/>
  <c r="BM107" i="3"/>
  <c r="BN107" i="3"/>
  <c r="BO107" i="3"/>
  <c r="BP107" i="3"/>
  <c r="BQ107" i="3"/>
  <c r="BR107" i="3"/>
  <c r="BS107" i="3"/>
  <c r="BT107" i="3"/>
  <c r="BL107" i="3"/>
  <c r="AZ107" i="3"/>
  <c r="BB108" i="3"/>
  <c r="BD108" i="3"/>
  <c r="BE108" i="3"/>
  <c r="BF108" i="3"/>
  <c r="BG108" i="3"/>
  <c r="BH108" i="3"/>
  <c r="BI108" i="3"/>
  <c r="BJ108" i="3"/>
  <c r="BK108" i="3"/>
  <c r="BA108" i="3"/>
  <c r="BM108" i="3"/>
  <c r="BN108" i="3"/>
  <c r="BO108" i="3"/>
  <c r="BP108" i="3"/>
  <c r="BQ108" i="3"/>
  <c r="BR108" i="3"/>
  <c r="BS108" i="3"/>
  <c r="BT108" i="3"/>
  <c r="BL108" i="3"/>
  <c r="AZ108" i="3"/>
  <c r="BB109" i="3"/>
  <c r="BD109" i="3"/>
  <c r="BE109" i="3"/>
  <c r="BF109" i="3"/>
  <c r="BG109" i="3"/>
  <c r="BH109" i="3"/>
  <c r="BI109" i="3"/>
  <c r="BJ109" i="3"/>
  <c r="BK109" i="3"/>
  <c r="BA109" i="3"/>
  <c r="BM109" i="3"/>
  <c r="BN109" i="3"/>
  <c r="BO109" i="3"/>
  <c r="BP109" i="3"/>
  <c r="BQ109" i="3"/>
  <c r="BR109" i="3"/>
  <c r="BS109" i="3"/>
  <c r="BT109" i="3"/>
  <c r="BL109" i="3"/>
  <c r="AZ109" i="3"/>
  <c r="BB110" i="3"/>
  <c r="BD110" i="3"/>
  <c r="BE110" i="3"/>
  <c r="BF110" i="3"/>
  <c r="BG110" i="3"/>
  <c r="BH110" i="3"/>
  <c r="BI110" i="3"/>
  <c r="BJ110" i="3"/>
  <c r="BK110" i="3"/>
  <c r="BA110" i="3"/>
  <c r="BM110" i="3"/>
  <c r="BN110" i="3"/>
  <c r="BO110" i="3"/>
  <c r="BP110" i="3"/>
  <c r="BQ110" i="3"/>
  <c r="BR110" i="3"/>
  <c r="BS110" i="3"/>
  <c r="BT110" i="3"/>
  <c r="BL110" i="3"/>
  <c r="AZ110" i="3"/>
  <c r="BB111" i="3"/>
  <c r="BD111" i="3"/>
  <c r="BE111" i="3"/>
  <c r="BF111" i="3"/>
  <c r="BG111" i="3"/>
  <c r="BH111" i="3"/>
  <c r="BI111" i="3"/>
  <c r="BJ111" i="3"/>
  <c r="BK111" i="3"/>
  <c r="BA111" i="3"/>
  <c r="BM111" i="3"/>
  <c r="BN111" i="3"/>
  <c r="BO111" i="3"/>
  <c r="BP111" i="3"/>
  <c r="BQ111" i="3"/>
  <c r="BR111" i="3"/>
  <c r="BS111" i="3"/>
  <c r="BT111" i="3"/>
  <c r="BL111" i="3"/>
  <c r="AZ111" i="3"/>
  <c r="BB112" i="3"/>
  <c r="BD112" i="3"/>
  <c r="BE112" i="3"/>
  <c r="BF112" i="3"/>
  <c r="BG112" i="3"/>
  <c r="BH112" i="3"/>
  <c r="BI112" i="3"/>
  <c r="BJ112" i="3"/>
  <c r="BK112" i="3"/>
  <c r="BA112" i="3"/>
  <c r="BM112" i="3"/>
  <c r="BN112" i="3"/>
  <c r="BO112" i="3"/>
  <c r="BP112" i="3"/>
  <c r="BQ112" i="3"/>
  <c r="BR112" i="3"/>
  <c r="BS112" i="3"/>
  <c r="BT112" i="3"/>
  <c r="BL112" i="3"/>
  <c r="AZ112" i="3"/>
  <c r="BB113" i="3"/>
  <c r="BD113" i="3"/>
  <c r="BE113" i="3"/>
  <c r="BF113" i="3"/>
  <c r="BG113" i="3"/>
  <c r="BH113" i="3"/>
  <c r="BI113" i="3"/>
  <c r="BJ113" i="3"/>
  <c r="BK113" i="3"/>
  <c r="BA113" i="3"/>
  <c r="BM113" i="3"/>
  <c r="BN113" i="3"/>
  <c r="BO113" i="3"/>
  <c r="BP113" i="3"/>
  <c r="BQ113" i="3"/>
  <c r="BR113" i="3"/>
  <c r="BS113" i="3"/>
  <c r="BT113" i="3"/>
  <c r="BL113" i="3"/>
  <c r="AZ113" i="3"/>
  <c r="BB114" i="3"/>
  <c r="BD114" i="3"/>
  <c r="BE114" i="3"/>
  <c r="BF114" i="3"/>
  <c r="BG114" i="3"/>
  <c r="BH114" i="3"/>
  <c r="BI114" i="3"/>
  <c r="BJ114" i="3"/>
  <c r="BK114" i="3"/>
  <c r="BA114" i="3"/>
  <c r="BM114" i="3"/>
  <c r="BN114" i="3"/>
  <c r="BO114" i="3"/>
  <c r="BP114" i="3"/>
  <c r="BQ114" i="3"/>
  <c r="BR114" i="3"/>
  <c r="BS114" i="3"/>
  <c r="BT114" i="3"/>
  <c r="BL114" i="3"/>
  <c r="AZ114" i="3"/>
  <c r="BB115" i="3"/>
  <c r="BD115" i="3"/>
  <c r="BE115" i="3"/>
  <c r="BF115" i="3"/>
  <c r="BG115" i="3"/>
  <c r="BH115" i="3"/>
  <c r="BI115" i="3"/>
  <c r="BJ115" i="3"/>
  <c r="BK115" i="3"/>
  <c r="BA115" i="3"/>
  <c r="BM115" i="3"/>
  <c r="BN115" i="3"/>
  <c r="BO115" i="3"/>
  <c r="BP115" i="3"/>
  <c r="BQ115" i="3"/>
  <c r="BR115" i="3"/>
  <c r="BS115" i="3"/>
  <c r="BT115" i="3"/>
  <c r="BL115" i="3"/>
  <c r="AZ115" i="3"/>
  <c r="BB116" i="3"/>
  <c r="BD116" i="3"/>
  <c r="BE116" i="3"/>
  <c r="BF116" i="3"/>
  <c r="BG116" i="3"/>
  <c r="BH116" i="3"/>
  <c r="BI116" i="3"/>
  <c r="BJ116" i="3"/>
  <c r="BK116" i="3"/>
  <c r="BA116" i="3"/>
  <c r="BM116" i="3"/>
  <c r="BN116" i="3"/>
  <c r="BO116" i="3"/>
  <c r="BP116" i="3"/>
  <c r="BQ116" i="3"/>
  <c r="BR116" i="3"/>
  <c r="BS116" i="3"/>
  <c r="BT116" i="3"/>
  <c r="BL116" i="3"/>
  <c r="AZ116" i="3"/>
  <c r="BB117" i="3"/>
  <c r="BD117" i="3"/>
  <c r="BE117" i="3"/>
  <c r="BF117" i="3"/>
  <c r="BG117" i="3"/>
  <c r="BH117" i="3"/>
  <c r="BI117" i="3"/>
  <c r="BJ117" i="3"/>
  <c r="BK117" i="3"/>
  <c r="BA117" i="3"/>
  <c r="BM117" i="3"/>
  <c r="BN117" i="3"/>
  <c r="BO117" i="3"/>
  <c r="BP117" i="3"/>
  <c r="BQ117" i="3"/>
  <c r="BR117" i="3"/>
  <c r="BS117" i="3"/>
  <c r="BT117" i="3"/>
  <c r="BL117" i="3"/>
  <c r="AZ117" i="3"/>
  <c r="BB118" i="3"/>
  <c r="BD118" i="3"/>
  <c r="BE118" i="3"/>
  <c r="BF118" i="3"/>
  <c r="BG118" i="3"/>
  <c r="BH118" i="3"/>
  <c r="BI118" i="3"/>
  <c r="BJ118" i="3"/>
  <c r="BK118" i="3"/>
  <c r="BA118" i="3"/>
  <c r="BM118" i="3"/>
  <c r="BN118" i="3"/>
  <c r="BO118" i="3"/>
  <c r="BP118" i="3"/>
  <c r="BQ118" i="3"/>
  <c r="BR118" i="3"/>
  <c r="BS118" i="3"/>
  <c r="BT118" i="3"/>
  <c r="BL118" i="3"/>
  <c r="AZ118" i="3"/>
  <c r="BB119" i="3"/>
  <c r="BD119" i="3"/>
  <c r="BE119" i="3"/>
  <c r="BF119" i="3"/>
  <c r="BG119" i="3"/>
  <c r="BH119" i="3"/>
  <c r="BI119" i="3"/>
  <c r="BJ119" i="3"/>
  <c r="BK119" i="3"/>
  <c r="BA119" i="3"/>
  <c r="BM119" i="3"/>
  <c r="BN119" i="3"/>
  <c r="BO119" i="3"/>
  <c r="BP119" i="3"/>
  <c r="BQ119" i="3"/>
  <c r="BR119" i="3"/>
  <c r="BS119" i="3"/>
  <c r="BT119" i="3"/>
  <c r="BL119" i="3"/>
  <c r="AZ119" i="3"/>
  <c r="BB120" i="3"/>
  <c r="BD120" i="3"/>
  <c r="BE120" i="3"/>
  <c r="BF120" i="3"/>
  <c r="BG120" i="3"/>
  <c r="BH120" i="3"/>
  <c r="BI120" i="3"/>
  <c r="BJ120" i="3"/>
  <c r="BK120" i="3"/>
  <c r="BA120" i="3"/>
  <c r="BM120" i="3"/>
  <c r="BN120" i="3"/>
  <c r="BO120" i="3"/>
  <c r="BP120" i="3"/>
  <c r="BQ120" i="3"/>
  <c r="BR120" i="3"/>
  <c r="BS120" i="3"/>
  <c r="BT120" i="3"/>
  <c r="BL120" i="3"/>
  <c r="AZ120" i="3"/>
  <c r="BB121" i="3"/>
  <c r="BD121" i="3"/>
  <c r="BE121" i="3"/>
  <c r="BF121" i="3"/>
  <c r="BG121" i="3"/>
  <c r="BH121" i="3"/>
  <c r="BI121" i="3"/>
  <c r="BJ121" i="3"/>
  <c r="BK121" i="3"/>
  <c r="BA121" i="3"/>
  <c r="BM121" i="3"/>
  <c r="BN121" i="3"/>
  <c r="BO121" i="3"/>
  <c r="BP121" i="3"/>
  <c r="BQ121" i="3"/>
  <c r="BR121" i="3"/>
  <c r="BS121" i="3"/>
  <c r="BT121" i="3"/>
  <c r="BL121" i="3"/>
  <c r="AZ121" i="3"/>
  <c r="BB122" i="3"/>
  <c r="BD122" i="3"/>
  <c r="BE122" i="3"/>
  <c r="BF122" i="3"/>
  <c r="BG122" i="3"/>
  <c r="BH122" i="3"/>
  <c r="BI122" i="3"/>
  <c r="BJ122" i="3"/>
  <c r="BK122" i="3"/>
  <c r="BA122" i="3"/>
  <c r="BM122" i="3"/>
  <c r="BN122" i="3"/>
  <c r="BO122" i="3"/>
  <c r="BP122" i="3"/>
  <c r="BQ122" i="3"/>
  <c r="BR122" i="3"/>
  <c r="BS122" i="3"/>
  <c r="BT122" i="3"/>
  <c r="BL122" i="3"/>
  <c r="AZ122" i="3"/>
  <c r="BB123" i="3"/>
  <c r="BD123" i="3"/>
  <c r="BE123" i="3"/>
  <c r="BF123" i="3"/>
  <c r="BG123" i="3"/>
  <c r="BH123" i="3"/>
  <c r="BI123" i="3"/>
  <c r="BJ123" i="3"/>
  <c r="BK123" i="3"/>
  <c r="BA123" i="3"/>
  <c r="BM123" i="3"/>
  <c r="BN123" i="3"/>
  <c r="BO123" i="3"/>
  <c r="BP123" i="3"/>
  <c r="BQ123" i="3"/>
  <c r="BR123" i="3"/>
  <c r="BS123" i="3"/>
  <c r="BT123" i="3"/>
  <c r="BL123" i="3"/>
  <c r="AZ123" i="3"/>
  <c r="BB124" i="3"/>
  <c r="BD124" i="3"/>
  <c r="BE124" i="3"/>
  <c r="BF124" i="3"/>
  <c r="BG124" i="3"/>
  <c r="BH124" i="3"/>
  <c r="BI124" i="3"/>
  <c r="BJ124" i="3"/>
  <c r="BK124" i="3"/>
  <c r="BA124" i="3"/>
  <c r="BM124" i="3"/>
  <c r="BN124" i="3"/>
  <c r="BO124" i="3"/>
  <c r="BP124" i="3"/>
  <c r="BQ124" i="3"/>
  <c r="BR124" i="3"/>
  <c r="BS124" i="3"/>
  <c r="BT124" i="3"/>
  <c r="BL124" i="3"/>
  <c r="AZ124" i="3"/>
  <c r="BB125" i="3"/>
  <c r="BD125" i="3"/>
  <c r="BE125" i="3"/>
  <c r="BF125" i="3"/>
  <c r="BG125" i="3"/>
  <c r="BH125" i="3"/>
  <c r="BI125" i="3"/>
  <c r="BJ125" i="3"/>
  <c r="BK125" i="3"/>
  <c r="BA125" i="3"/>
  <c r="BM125" i="3"/>
  <c r="BN125" i="3"/>
  <c r="BO125" i="3"/>
  <c r="BP125" i="3"/>
  <c r="BQ125" i="3"/>
  <c r="BR125" i="3"/>
  <c r="BS125" i="3"/>
  <c r="BT125" i="3"/>
  <c r="BL125" i="3"/>
  <c r="AZ125" i="3"/>
  <c r="BB126" i="3"/>
  <c r="BD126" i="3"/>
  <c r="BE126" i="3"/>
  <c r="BF126" i="3"/>
  <c r="BG126" i="3"/>
  <c r="BH126" i="3"/>
  <c r="BI126" i="3"/>
  <c r="BJ126" i="3"/>
  <c r="BK126" i="3"/>
  <c r="BA126" i="3"/>
  <c r="BM126" i="3"/>
  <c r="BN126" i="3"/>
  <c r="BO126" i="3"/>
  <c r="BP126" i="3"/>
  <c r="BQ126" i="3"/>
  <c r="BR126" i="3"/>
  <c r="BS126" i="3"/>
  <c r="BT126" i="3"/>
  <c r="BL126" i="3"/>
  <c r="AZ126" i="3"/>
  <c r="BB127" i="3"/>
  <c r="BD127" i="3"/>
  <c r="BE127" i="3"/>
  <c r="BF127" i="3"/>
  <c r="BG127" i="3"/>
  <c r="BH127" i="3"/>
  <c r="BI127" i="3"/>
  <c r="BJ127" i="3"/>
  <c r="BK127" i="3"/>
  <c r="BA127" i="3"/>
  <c r="BM127" i="3"/>
  <c r="BN127" i="3"/>
  <c r="BO127" i="3"/>
  <c r="BP127" i="3"/>
  <c r="BQ127" i="3"/>
  <c r="BR127" i="3"/>
  <c r="BS127" i="3"/>
  <c r="BT127" i="3"/>
  <c r="BL127" i="3"/>
  <c r="AZ127" i="3"/>
  <c r="BB128" i="3"/>
  <c r="BD128" i="3"/>
  <c r="BE128" i="3"/>
  <c r="BF128" i="3"/>
  <c r="BG128" i="3"/>
  <c r="BH128" i="3"/>
  <c r="BI128" i="3"/>
  <c r="BJ128" i="3"/>
  <c r="BK128" i="3"/>
  <c r="BA128" i="3"/>
  <c r="BM128" i="3"/>
  <c r="BN128" i="3"/>
  <c r="BO128" i="3"/>
  <c r="BP128" i="3"/>
  <c r="BQ128" i="3"/>
  <c r="BR128" i="3"/>
  <c r="BS128" i="3"/>
  <c r="BT128" i="3"/>
  <c r="BL128" i="3"/>
  <c r="AZ128" i="3"/>
  <c r="BB129" i="3"/>
  <c r="BD129" i="3"/>
  <c r="BE129" i="3"/>
  <c r="BF129" i="3"/>
  <c r="BG129" i="3"/>
  <c r="BH129" i="3"/>
  <c r="BI129" i="3"/>
  <c r="BJ129" i="3"/>
  <c r="BK129" i="3"/>
  <c r="BA129" i="3"/>
  <c r="BM129" i="3"/>
  <c r="BN129" i="3"/>
  <c r="BO129" i="3"/>
  <c r="BP129" i="3"/>
  <c r="BQ129" i="3"/>
  <c r="BR129" i="3"/>
  <c r="BS129" i="3"/>
  <c r="BT129" i="3"/>
  <c r="BL129" i="3"/>
  <c r="AZ129" i="3"/>
  <c r="BB130" i="3"/>
  <c r="BD130" i="3"/>
  <c r="BE130" i="3"/>
  <c r="BF130" i="3"/>
  <c r="BG130" i="3"/>
  <c r="BH130" i="3"/>
  <c r="BI130" i="3"/>
  <c r="BJ130" i="3"/>
  <c r="BK130" i="3"/>
  <c r="BA130" i="3"/>
  <c r="BM130" i="3"/>
  <c r="BN130" i="3"/>
  <c r="BO130" i="3"/>
  <c r="BP130" i="3"/>
  <c r="BQ130" i="3"/>
  <c r="BR130" i="3"/>
  <c r="BS130" i="3"/>
  <c r="BT130" i="3"/>
  <c r="BL130" i="3"/>
  <c r="AZ130" i="3"/>
  <c r="BB131" i="3"/>
  <c r="BD131" i="3"/>
  <c r="BE131" i="3"/>
  <c r="BF131" i="3"/>
  <c r="BG131" i="3"/>
  <c r="BH131" i="3"/>
  <c r="BI131" i="3"/>
  <c r="BJ131" i="3"/>
  <c r="BK131" i="3"/>
  <c r="BA131" i="3"/>
  <c r="BM131" i="3"/>
  <c r="BN131" i="3"/>
  <c r="BO131" i="3"/>
  <c r="BP131" i="3"/>
  <c r="BQ131" i="3"/>
  <c r="BR131" i="3"/>
  <c r="BS131" i="3"/>
  <c r="BT131" i="3"/>
  <c r="BL131" i="3"/>
  <c r="AZ131" i="3"/>
  <c r="BB132" i="3"/>
  <c r="BD132" i="3"/>
  <c r="BE132" i="3"/>
  <c r="BF132" i="3"/>
  <c r="BG132" i="3"/>
  <c r="BH132" i="3"/>
  <c r="BI132" i="3"/>
  <c r="BJ132" i="3"/>
  <c r="BK132" i="3"/>
  <c r="BA132" i="3"/>
  <c r="BM132" i="3"/>
  <c r="BN132" i="3"/>
  <c r="BO132" i="3"/>
  <c r="BP132" i="3"/>
  <c r="BQ132" i="3"/>
  <c r="BR132" i="3"/>
  <c r="BS132" i="3"/>
  <c r="BT132" i="3"/>
  <c r="BL132" i="3"/>
  <c r="AZ132" i="3"/>
  <c r="BB133" i="3"/>
  <c r="BD133" i="3"/>
  <c r="BE133" i="3"/>
  <c r="BF133" i="3"/>
  <c r="BG133" i="3"/>
  <c r="BH133" i="3"/>
  <c r="BI133" i="3"/>
  <c r="BJ133" i="3"/>
  <c r="BK133" i="3"/>
  <c r="BA133" i="3"/>
  <c r="BM133" i="3"/>
  <c r="BN133" i="3"/>
  <c r="BO133" i="3"/>
  <c r="BP133" i="3"/>
  <c r="BQ133" i="3"/>
  <c r="BR133" i="3"/>
  <c r="BS133" i="3"/>
  <c r="BT133" i="3"/>
  <c r="BL133" i="3"/>
  <c r="AZ133" i="3"/>
  <c r="BB134" i="3"/>
  <c r="BD134" i="3"/>
  <c r="BE134" i="3"/>
  <c r="BF134" i="3"/>
  <c r="BG134" i="3"/>
  <c r="BH134" i="3"/>
  <c r="BI134" i="3"/>
  <c r="BJ134" i="3"/>
  <c r="BK134" i="3"/>
  <c r="BA134" i="3"/>
  <c r="BM134" i="3"/>
  <c r="BN134" i="3"/>
  <c r="BO134" i="3"/>
  <c r="BP134" i="3"/>
  <c r="BQ134" i="3"/>
  <c r="BR134" i="3"/>
  <c r="BS134" i="3"/>
  <c r="BT134" i="3"/>
  <c r="BL134" i="3"/>
  <c r="AZ134" i="3"/>
  <c r="BB135" i="3"/>
  <c r="BD135" i="3"/>
  <c r="BE135" i="3"/>
  <c r="BF135" i="3"/>
  <c r="BG135" i="3"/>
  <c r="BH135" i="3"/>
  <c r="BI135" i="3"/>
  <c r="BJ135" i="3"/>
  <c r="BK135" i="3"/>
  <c r="BA135" i="3"/>
  <c r="BM135" i="3"/>
  <c r="BN135" i="3"/>
  <c r="BO135" i="3"/>
  <c r="BP135" i="3"/>
  <c r="BQ135" i="3"/>
  <c r="BR135" i="3"/>
  <c r="BS135" i="3"/>
  <c r="BT135" i="3"/>
  <c r="BL135" i="3"/>
  <c r="AZ135" i="3"/>
  <c r="BB136" i="3"/>
  <c r="BD136" i="3"/>
  <c r="BE136" i="3"/>
  <c r="BF136" i="3"/>
  <c r="BG136" i="3"/>
  <c r="BH136" i="3"/>
  <c r="BI136" i="3"/>
  <c r="BJ136" i="3"/>
  <c r="BK136" i="3"/>
  <c r="BA136" i="3"/>
  <c r="BM136" i="3"/>
  <c r="BN136" i="3"/>
  <c r="BO136" i="3"/>
  <c r="BP136" i="3"/>
  <c r="BQ136" i="3"/>
  <c r="BR136" i="3"/>
  <c r="BS136" i="3"/>
  <c r="BT136" i="3"/>
  <c r="BL136" i="3"/>
  <c r="AZ136" i="3"/>
  <c r="BB137" i="3"/>
  <c r="BD137" i="3"/>
  <c r="BE137" i="3"/>
  <c r="BF137" i="3"/>
  <c r="BG137" i="3"/>
  <c r="BH137" i="3"/>
  <c r="BI137" i="3"/>
  <c r="BJ137" i="3"/>
  <c r="BK137" i="3"/>
  <c r="BA137" i="3"/>
  <c r="BM137" i="3"/>
  <c r="BN137" i="3"/>
  <c r="BO137" i="3"/>
  <c r="BP137" i="3"/>
  <c r="BQ137" i="3"/>
  <c r="BR137" i="3"/>
  <c r="BS137" i="3"/>
  <c r="BT137" i="3"/>
  <c r="BL137" i="3"/>
  <c r="AZ137" i="3"/>
  <c r="BB138" i="3"/>
  <c r="BD138" i="3"/>
  <c r="BE138" i="3"/>
  <c r="BF138" i="3"/>
  <c r="BG138" i="3"/>
  <c r="BH138" i="3"/>
  <c r="BI138" i="3"/>
  <c r="BJ138" i="3"/>
  <c r="BK138" i="3"/>
  <c r="BA138" i="3"/>
  <c r="BM138" i="3"/>
  <c r="BN138" i="3"/>
  <c r="BO138" i="3"/>
  <c r="BP138" i="3"/>
  <c r="BQ138" i="3"/>
  <c r="BR138" i="3"/>
  <c r="BS138" i="3"/>
  <c r="BT138" i="3"/>
  <c r="BL138" i="3"/>
  <c r="AZ138" i="3"/>
  <c r="BB139" i="3"/>
  <c r="BD139" i="3"/>
  <c r="BE139" i="3"/>
  <c r="BF139" i="3"/>
  <c r="BG139" i="3"/>
  <c r="BH139" i="3"/>
  <c r="BI139" i="3"/>
  <c r="BJ139" i="3"/>
  <c r="BK139" i="3"/>
  <c r="BA139" i="3"/>
  <c r="BM139" i="3"/>
  <c r="BN139" i="3"/>
  <c r="BO139" i="3"/>
  <c r="BP139" i="3"/>
  <c r="BQ139" i="3"/>
  <c r="BR139" i="3"/>
  <c r="BS139" i="3"/>
  <c r="BT139" i="3"/>
  <c r="BL139" i="3"/>
  <c r="AZ139" i="3"/>
  <c r="BB140" i="3"/>
  <c r="BD140" i="3"/>
  <c r="BE140" i="3"/>
  <c r="BF140" i="3"/>
  <c r="BG140" i="3"/>
  <c r="BH140" i="3"/>
  <c r="BI140" i="3"/>
  <c r="BJ140" i="3"/>
  <c r="BK140" i="3"/>
  <c r="BA140" i="3"/>
  <c r="BM140" i="3"/>
  <c r="BN140" i="3"/>
  <c r="BO140" i="3"/>
  <c r="BP140" i="3"/>
  <c r="BQ140" i="3"/>
  <c r="BR140" i="3"/>
  <c r="BS140" i="3"/>
  <c r="BT140" i="3"/>
  <c r="BL140" i="3"/>
  <c r="AZ140" i="3"/>
  <c r="BB141" i="3"/>
  <c r="BD141" i="3"/>
  <c r="BE141" i="3"/>
  <c r="BF141" i="3"/>
  <c r="BG141" i="3"/>
  <c r="BH141" i="3"/>
  <c r="BI141" i="3"/>
  <c r="BJ141" i="3"/>
  <c r="BK141" i="3"/>
  <c r="BA141" i="3"/>
  <c r="BM141" i="3"/>
  <c r="BN141" i="3"/>
  <c r="BO141" i="3"/>
  <c r="BP141" i="3"/>
  <c r="BQ141" i="3"/>
  <c r="BR141" i="3"/>
  <c r="BS141" i="3"/>
  <c r="BT141" i="3"/>
  <c r="BL141" i="3"/>
  <c r="AZ141" i="3"/>
  <c r="BB142" i="3"/>
  <c r="BD142" i="3"/>
  <c r="BE142" i="3"/>
  <c r="BF142" i="3"/>
  <c r="BG142" i="3"/>
  <c r="BH142" i="3"/>
  <c r="BI142" i="3"/>
  <c r="BJ142" i="3"/>
  <c r="BK142" i="3"/>
  <c r="BA142" i="3"/>
  <c r="BM142" i="3"/>
  <c r="BN142" i="3"/>
  <c r="BO142" i="3"/>
  <c r="BP142" i="3"/>
  <c r="BQ142" i="3"/>
  <c r="BR142" i="3"/>
  <c r="BS142" i="3"/>
  <c r="BT142" i="3"/>
  <c r="BL142" i="3"/>
  <c r="AZ142" i="3"/>
  <c r="BB143" i="3"/>
  <c r="BD143" i="3"/>
  <c r="BE143" i="3"/>
  <c r="BF143" i="3"/>
  <c r="BG143" i="3"/>
  <c r="BH143" i="3"/>
  <c r="BI143" i="3"/>
  <c r="BJ143" i="3"/>
  <c r="BK143" i="3"/>
  <c r="BA143" i="3"/>
  <c r="BM143" i="3"/>
  <c r="BN143" i="3"/>
  <c r="BO143" i="3"/>
  <c r="BP143" i="3"/>
  <c r="BQ143" i="3"/>
  <c r="BR143" i="3"/>
  <c r="BS143" i="3"/>
  <c r="BT143" i="3"/>
  <c r="BL143" i="3"/>
  <c r="AZ143" i="3"/>
  <c r="BB144" i="3"/>
  <c r="BD144" i="3"/>
  <c r="BE144" i="3"/>
  <c r="BF144" i="3"/>
  <c r="BG144" i="3"/>
  <c r="BH144" i="3"/>
  <c r="BI144" i="3"/>
  <c r="BJ144" i="3"/>
  <c r="BK144" i="3"/>
  <c r="BA144" i="3"/>
  <c r="BM144" i="3"/>
  <c r="BN144" i="3"/>
  <c r="BO144" i="3"/>
  <c r="BP144" i="3"/>
  <c r="BQ144" i="3"/>
  <c r="BR144" i="3"/>
  <c r="BS144" i="3"/>
  <c r="BT144" i="3"/>
  <c r="BL144" i="3"/>
  <c r="AZ144" i="3"/>
  <c r="BB145" i="3"/>
  <c r="BD145" i="3"/>
  <c r="BE145" i="3"/>
  <c r="BF145" i="3"/>
  <c r="BG145" i="3"/>
  <c r="BH145" i="3"/>
  <c r="BI145" i="3"/>
  <c r="BJ145" i="3"/>
  <c r="BK145" i="3"/>
  <c r="BA145" i="3"/>
  <c r="BM145" i="3"/>
  <c r="BN145" i="3"/>
  <c r="BO145" i="3"/>
  <c r="BP145" i="3"/>
  <c r="BQ145" i="3"/>
  <c r="BR145" i="3"/>
  <c r="BS145" i="3"/>
  <c r="BT145" i="3"/>
  <c r="BL145" i="3"/>
  <c r="AZ145" i="3"/>
  <c r="BB146" i="3"/>
  <c r="BD146" i="3"/>
  <c r="BE146" i="3"/>
  <c r="BF146" i="3"/>
  <c r="BG146" i="3"/>
  <c r="BH146" i="3"/>
  <c r="BI146" i="3"/>
  <c r="BJ146" i="3"/>
  <c r="BK146" i="3"/>
  <c r="BA146" i="3"/>
  <c r="BM146" i="3"/>
  <c r="BN146" i="3"/>
  <c r="BO146" i="3"/>
  <c r="BP146" i="3"/>
  <c r="BQ146" i="3"/>
  <c r="BR146" i="3"/>
  <c r="BS146" i="3"/>
  <c r="BT146" i="3"/>
  <c r="BL146" i="3"/>
  <c r="AZ146" i="3"/>
  <c r="BB147" i="3"/>
  <c r="BD147" i="3"/>
  <c r="BE147" i="3"/>
  <c r="BF147" i="3"/>
  <c r="BG147" i="3"/>
  <c r="BH147" i="3"/>
  <c r="BI147" i="3"/>
  <c r="BJ147" i="3"/>
  <c r="BK147" i="3"/>
  <c r="BA147" i="3"/>
  <c r="BM147" i="3"/>
  <c r="BN147" i="3"/>
  <c r="BO147" i="3"/>
  <c r="BP147" i="3"/>
  <c r="BQ147" i="3"/>
  <c r="BR147" i="3"/>
  <c r="BS147" i="3"/>
  <c r="BT147" i="3"/>
  <c r="BL147" i="3"/>
  <c r="AZ147" i="3"/>
  <c r="BB148" i="3"/>
  <c r="BD148" i="3"/>
  <c r="BE148" i="3"/>
  <c r="BF148" i="3"/>
  <c r="BG148" i="3"/>
  <c r="BH148" i="3"/>
  <c r="BI148" i="3"/>
  <c r="BJ148" i="3"/>
  <c r="BK148" i="3"/>
  <c r="BA148" i="3"/>
  <c r="BM148" i="3"/>
  <c r="BN148" i="3"/>
  <c r="BO148" i="3"/>
  <c r="BP148" i="3"/>
  <c r="BQ148" i="3"/>
  <c r="BR148" i="3"/>
  <c r="BS148" i="3"/>
  <c r="BT148" i="3"/>
  <c r="BL148" i="3"/>
  <c r="AZ148" i="3"/>
  <c r="BB149" i="3"/>
  <c r="BD149" i="3"/>
  <c r="BE149" i="3"/>
  <c r="BF149" i="3"/>
  <c r="BG149" i="3"/>
  <c r="BH149" i="3"/>
  <c r="BI149" i="3"/>
  <c r="BJ149" i="3"/>
  <c r="BK149" i="3"/>
  <c r="BA149" i="3"/>
  <c r="BM149" i="3"/>
  <c r="BN149" i="3"/>
  <c r="BO149" i="3"/>
  <c r="BP149" i="3"/>
  <c r="BQ149" i="3"/>
  <c r="BR149" i="3"/>
  <c r="BS149" i="3"/>
  <c r="BT149" i="3"/>
  <c r="BL149" i="3"/>
  <c r="AZ149" i="3"/>
  <c r="BB150" i="3"/>
  <c r="BD150" i="3"/>
  <c r="BE150" i="3"/>
  <c r="BF150" i="3"/>
  <c r="BG150" i="3"/>
  <c r="BH150" i="3"/>
  <c r="BI150" i="3"/>
  <c r="BJ150" i="3"/>
  <c r="BK150" i="3"/>
  <c r="BA150" i="3"/>
  <c r="BM150" i="3"/>
  <c r="BN150" i="3"/>
  <c r="BO150" i="3"/>
  <c r="BP150" i="3"/>
  <c r="BQ150" i="3"/>
  <c r="BR150" i="3"/>
  <c r="BS150" i="3"/>
  <c r="BT150" i="3"/>
  <c r="BL150" i="3"/>
  <c r="AZ150" i="3"/>
  <c r="BB151" i="3"/>
  <c r="BD151" i="3"/>
  <c r="BE151" i="3"/>
  <c r="BF151" i="3"/>
  <c r="BG151" i="3"/>
  <c r="BH151" i="3"/>
  <c r="BI151" i="3"/>
  <c r="BJ151" i="3"/>
  <c r="BK151" i="3"/>
  <c r="BA151" i="3"/>
  <c r="BM151" i="3"/>
  <c r="BN151" i="3"/>
  <c r="BO151" i="3"/>
  <c r="BP151" i="3"/>
  <c r="BQ151" i="3"/>
  <c r="BR151" i="3"/>
  <c r="BS151" i="3"/>
  <c r="BT151" i="3"/>
  <c r="BL151" i="3"/>
  <c r="AZ151" i="3"/>
  <c r="BB152" i="3"/>
  <c r="BD152" i="3"/>
  <c r="BE152" i="3"/>
  <c r="BF152" i="3"/>
  <c r="BG152" i="3"/>
  <c r="BH152" i="3"/>
  <c r="BI152" i="3"/>
  <c r="BJ152" i="3"/>
  <c r="BK152" i="3"/>
  <c r="BA152" i="3"/>
  <c r="BM152" i="3"/>
  <c r="BN152" i="3"/>
  <c r="BO152" i="3"/>
  <c r="BP152" i="3"/>
  <c r="BQ152" i="3"/>
  <c r="BR152" i="3"/>
  <c r="BS152" i="3"/>
  <c r="BT152" i="3"/>
  <c r="BL152" i="3"/>
  <c r="AZ152" i="3"/>
  <c r="BB153" i="3"/>
  <c r="BD153" i="3"/>
  <c r="BE153" i="3"/>
  <c r="BF153" i="3"/>
  <c r="BG153" i="3"/>
  <c r="BH153" i="3"/>
  <c r="BI153" i="3"/>
  <c r="BJ153" i="3"/>
  <c r="BK153" i="3"/>
  <c r="BA153" i="3"/>
  <c r="BM153" i="3"/>
  <c r="BN153" i="3"/>
  <c r="BO153" i="3"/>
  <c r="BP153" i="3"/>
  <c r="BQ153" i="3"/>
  <c r="BR153" i="3"/>
  <c r="BS153" i="3"/>
  <c r="BT153" i="3"/>
  <c r="BL153" i="3"/>
  <c r="AZ153" i="3"/>
  <c r="BB154" i="3"/>
  <c r="BD154" i="3"/>
  <c r="BE154" i="3"/>
  <c r="BF154" i="3"/>
  <c r="BG154" i="3"/>
  <c r="BH154" i="3"/>
  <c r="BI154" i="3"/>
  <c r="BJ154" i="3"/>
  <c r="BK154" i="3"/>
  <c r="BA154" i="3"/>
  <c r="BM154" i="3"/>
  <c r="BN154" i="3"/>
  <c r="BO154" i="3"/>
  <c r="BP154" i="3"/>
  <c r="BQ154" i="3"/>
  <c r="BR154" i="3"/>
  <c r="BS154" i="3"/>
  <c r="BT154" i="3"/>
  <c r="BL154" i="3"/>
  <c r="AZ154" i="3"/>
  <c r="BB155" i="3"/>
  <c r="BD155" i="3"/>
  <c r="BE155" i="3"/>
  <c r="BF155" i="3"/>
  <c r="BG155" i="3"/>
  <c r="BH155" i="3"/>
  <c r="BI155" i="3"/>
  <c r="BJ155" i="3"/>
  <c r="BK155" i="3"/>
  <c r="BA155" i="3"/>
  <c r="BM155" i="3"/>
  <c r="BN155" i="3"/>
  <c r="BO155" i="3"/>
  <c r="BP155" i="3"/>
  <c r="BQ155" i="3"/>
  <c r="BR155" i="3"/>
  <c r="BS155" i="3"/>
  <c r="BT155" i="3"/>
  <c r="BL155" i="3"/>
  <c r="AZ155" i="3"/>
  <c r="BB156" i="3"/>
  <c r="BD156" i="3"/>
  <c r="BE156" i="3"/>
  <c r="BF156" i="3"/>
  <c r="BG156" i="3"/>
  <c r="BH156" i="3"/>
  <c r="BI156" i="3"/>
  <c r="BJ156" i="3"/>
  <c r="BK156" i="3"/>
  <c r="BA156" i="3"/>
  <c r="BM156" i="3"/>
  <c r="BN156" i="3"/>
  <c r="BO156" i="3"/>
  <c r="BP156" i="3"/>
  <c r="BQ156" i="3"/>
  <c r="BR156" i="3"/>
  <c r="BS156" i="3"/>
  <c r="BT156" i="3"/>
  <c r="BL156" i="3"/>
  <c r="AZ156" i="3"/>
  <c r="BB157" i="3"/>
  <c r="BD157" i="3"/>
  <c r="BE157" i="3"/>
  <c r="BF157" i="3"/>
  <c r="BG157" i="3"/>
  <c r="BH157" i="3"/>
  <c r="BI157" i="3"/>
  <c r="BJ157" i="3"/>
  <c r="BK157" i="3"/>
  <c r="BA157" i="3"/>
  <c r="BM157" i="3"/>
  <c r="BN157" i="3"/>
  <c r="BO157" i="3"/>
  <c r="BP157" i="3"/>
  <c r="BQ157" i="3"/>
  <c r="BR157" i="3"/>
  <c r="BS157" i="3"/>
  <c r="BT157" i="3"/>
  <c r="BL157" i="3"/>
  <c r="AZ157" i="3"/>
  <c r="BB158" i="3"/>
  <c r="BD158" i="3"/>
  <c r="BE158" i="3"/>
  <c r="BF158" i="3"/>
  <c r="BG158" i="3"/>
  <c r="BH158" i="3"/>
  <c r="BI158" i="3"/>
  <c r="BJ158" i="3"/>
  <c r="BK158" i="3"/>
  <c r="BA158" i="3"/>
  <c r="BM158" i="3"/>
  <c r="BN158" i="3"/>
  <c r="BO158" i="3"/>
  <c r="BP158" i="3"/>
  <c r="BQ158" i="3"/>
  <c r="BR158" i="3"/>
  <c r="BS158" i="3"/>
  <c r="BT158" i="3"/>
  <c r="BL158" i="3"/>
  <c r="AZ158" i="3"/>
  <c r="BB159" i="3"/>
  <c r="BD159" i="3"/>
  <c r="BE159" i="3"/>
  <c r="BF159" i="3"/>
  <c r="BG159" i="3"/>
  <c r="BH159" i="3"/>
  <c r="BI159" i="3"/>
  <c r="BJ159" i="3"/>
  <c r="BK159" i="3"/>
  <c r="BA159" i="3"/>
  <c r="BM159" i="3"/>
  <c r="BN159" i="3"/>
  <c r="BO159" i="3"/>
  <c r="BP159" i="3"/>
  <c r="BQ159" i="3"/>
  <c r="BR159" i="3"/>
  <c r="BS159" i="3"/>
  <c r="BT159" i="3"/>
  <c r="BL159" i="3"/>
  <c r="AZ159" i="3"/>
  <c r="BB160" i="3"/>
  <c r="BD160" i="3"/>
  <c r="BE160" i="3"/>
  <c r="BF160" i="3"/>
  <c r="BG160" i="3"/>
  <c r="BH160" i="3"/>
  <c r="BI160" i="3"/>
  <c r="BJ160" i="3"/>
  <c r="BK160" i="3"/>
  <c r="BA160" i="3"/>
  <c r="BM160" i="3"/>
  <c r="BN160" i="3"/>
  <c r="BO160" i="3"/>
  <c r="BP160" i="3"/>
  <c r="BQ160" i="3"/>
  <c r="BR160" i="3"/>
  <c r="BS160" i="3"/>
  <c r="BT160" i="3"/>
  <c r="BL160" i="3"/>
  <c r="AZ160" i="3"/>
  <c r="BB161" i="3"/>
  <c r="BD161" i="3"/>
  <c r="BE161" i="3"/>
  <c r="BF161" i="3"/>
  <c r="BG161" i="3"/>
  <c r="BH161" i="3"/>
  <c r="BI161" i="3"/>
  <c r="BJ161" i="3"/>
  <c r="BK161" i="3"/>
  <c r="BA161" i="3"/>
  <c r="BM161" i="3"/>
  <c r="BN161" i="3"/>
  <c r="BO161" i="3"/>
  <c r="BP161" i="3"/>
  <c r="BQ161" i="3"/>
  <c r="BR161" i="3"/>
  <c r="BS161" i="3"/>
  <c r="BT161" i="3"/>
  <c r="BL161" i="3"/>
  <c r="AZ161" i="3"/>
  <c r="BB162" i="3"/>
  <c r="BD162" i="3"/>
  <c r="BE162" i="3"/>
  <c r="BF162" i="3"/>
  <c r="BG162" i="3"/>
  <c r="BH162" i="3"/>
  <c r="BI162" i="3"/>
  <c r="BJ162" i="3"/>
  <c r="BK162" i="3"/>
  <c r="BA162" i="3"/>
  <c r="BM162" i="3"/>
  <c r="BN162" i="3"/>
  <c r="BO162" i="3"/>
  <c r="BP162" i="3"/>
  <c r="BQ162" i="3"/>
  <c r="BR162" i="3"/>
  <c r="BS162" i="3"/>
  <c r="BT162" i="3"/>
  <c r="BL162" i="3"/>
  <c r="AZ162" i="3"/>
  <c r="BB163" i="3"/>
  <c r="BD163" i="3"/>
  <c r="BE163" i="3"/>
  <c r="BF163" i="3"/>
  <c r="BG163" i="3"/>
  <c r="BH163" i="3"/>
  <c r="BI163" i="3"/>
  <c r="BJ163" i="3"/>
  <c r="BK163" i="3"/>
  <c r="BA163" i="3"/>
  <c r="BM163" i="3"/>
  <c r="BN163" i="3"/>
  <c r="BO163" i="3"/>
  <c r="BP163" i="3"/>
  <c r="BQ163" i="3"/>
  <c r="BR163" i="3"/>
  <c r="BS163" i="3"/>
  <c r="BT163" i="3"/>
  <c r="BL163" i="3"/>
  <c r="AZ163" i="3"/>
  <c r="BB164" i="3"/>
  <c r="BD164" i="3"/>
  <c r="BE164" i="3"/>
  <c r="BF164" i="3"/>
  <c r="BG164" i="3"/>
  <c r="BH164" i="3"/>
  <c r="BI164" i="3"/>
  <c r="BJ164" i="3"/>
  <c r="BK164" i="3"/>
  <c r="BA164" i="3"/>
  <c r="BM164" i="3"/>
  <c r="BN164" i="3"/>
  <c r="BO164" i="3"/>
  <c r="BP164" i="3"/>
  <c r="BQ164" i="3"/>
  <c r="BR164" i="3"/>
  <c r="BS164" i="3"/>
  <c r="BT164" i="3"/>
  <c r="BL164" i="3"/>
  <c r="AZ164" i="3"/>
  <c r="BB165" i="3"/>
  <c r="BD165" i="3"/>
  <c r="BE165" i="3"/>
  <c r="BF165" i="3"/>
  <c r="BG165" i="3"/>
  <c r="BH165" i="3"/>
  <c r="BI165" i="3"/>
  <c r="BJ165" i="3"/>
  <c r="BK165" i="3"/>
  <c r="BA165" i="3"/>
  <c r="BM165" i="3"/>
  <c r="BN165" i="3"/>
  <c r="BO165" i="3"/>
  <c r="BP165" i="3"/>
  <c r="BQ165" i="3"/>
  <c r="BR165" i="3"/>
  <c r="BS165" i="3"/>
  <c r="BT165" i="3"/>
  <c r="BL165" i="3"/>
  <c r="AZ165" i="3"/>
  <c r="BB166" i="3"/>
  <c r="BD166" i="3"/>
  <c r="BE166" i="3"/>
  <c r="BF166" i="3"/>
  <c r="BG166" i="3"/>
  <c r="BH166" i="3"/>
  <c r="BI166" i="3"/>
  <c r="BJ166" i="3"/>
  <c r="BK166" i="3"/>
  <c r="BA166" i="3"/>
  <c r="BM166" i="3"/>
  <c r="BN166" i="3"/>
  <c r="BO166" i="3"/>
  <c r="BP166" i="3"/>
  <c r="BQ166" i="3"/>
  <c r="BR166" i="3"/>
  <c r="BS166" i="3"/>
  <c r="BT166" i="3"/>
  <c r="BL166" i="3"/>
  <c r="AZ166" i="3"/>
  <c r="BB167" i="3"/>
  <c r="BD167" i="3"/>
  <c r="BE167" i="3"/>
  <c r="BF167" i="3"/>
  <c r="BG167" i="3"/>
  <c r="BH167" i="3"/>
  <c r="BI167" i="3"/>
  <c r="BJ167" i="3"/>
  <c r="BK167" i="3"/>
  <c r="BA167" i="3"/>
  <c r="BM167" i="3"/>
  <c r="BN167" i="3"/>
  <c r="BO167" i="3"/>
  <c r="BP167" i="3"/>
  <c r="BQ167" i="3"/>
  <c r="BR167" i="3"/>
  <c r="BS167" i="3"/>
  <c r="BT167" i="3"/>
  <c r="BL167" i="3"/>
  <c r="AZ167" i="3"/>
  <c r="BB168" i="3"/>
  <c r="BD168" i="3"/>
  <c r="BE168" i="3"/>
  <c r="BF168" i="3"/>
  <c r="BG168" i="3"/>
  <c r="BH168" i="3"/>
  <c r="BI168" i="3"/>
  <c r="BJ168" i="3"/>
  <c r="BK168" i="3"/>
  <c r="BA168" i="3"/>
  <c r="BM168" i="3"/>
  <c r="BN168" i="3"/>
  <c r="BO168" i="3"/>
  <c r="BP168" i="3"/>
  <c r="BQ168" i="3"/>
  <c r="BR168" i="3"/>
  <c r="BS168" i="3"/>
  <c r="BT168" i="3"/>
  <c r="BL168" i="3"/>
  <c r="AZ168" i="3"/>
  <c r="BB169" i="3"/>
  <c r="BD169" i="3"/>
  <c r="BE169" i="3"/>
  <c r="BF169" i="3"/>
  <c r="BG169" i="3"/>
  <c r="BH169" i="3"/>
  <c r="BI169" i="3"/>
  <c r="BJ169" i="3"/>
  <c r="BK169" i="3"/>
  <c r="BA169" i="3"/>
  <c r="BM169" i="3"/>
  <c r="BN169" i="3"/>
  <c r="BO169" i="3"/>
  <c r="BP169" i="3"/>
  <c r="BQ169" i="3"/>
  <c r="BR169" i="3"/>
  <c r="BS169" i="3"/>
  <c r="BT169" i="3"/>
  <c r="BL169" i="3"/>
  <c r="AZ169" i="3"/>
  <c r="BB170" i="3"/>
  <c r="BD170" i="3"/>
  <c r="BE170" i="3"/>
  <c r="BF170" i="3"/>
  <c r="BG170" i="3"/>
  <c r="BH170" i="3"/>
  <c r="BI170" i="3"/>
  <c r="BJ170" i="3"/>
  <c r="BK170" i="3"/>
  <c r="BA170" i="3"/>
  <c r="BM170" i="3"/>
  <c r="BN170" i="3"/>
  <c r="BO170" i="3"/>
  <c r="BP170" i="3"/>
  <c r="BQ170" i="3"/>
  <c r="BR170" i="3"/>
  <c r="BS170" i="3"/>
  <c r="BT170" i="3"/>
  <c r="BL170" i="3"/>
  <c r="AZ170" i="3"/>
  <c r="BB171" i="3"/>
  <c r="BD171" i="3"/>
  <c r="BE171" i="3"/>
  <c r="BF171" i="3"/>
  <c r="BG171" i="3"/>
  <c r="BH171" i="3"/>
  <c r="BI171" i="3"/>
  <c r="BJ171" i="3"/>
  <c r="BK171" i="3"/>
  <c r="BA171" i="3"/>
  <c r="BM171" i="3"/>
  <c r="BN171" i="3"/>
  <c r="BO171" i="3"/>
  <c r="BP171" i="3"/>
  <c r="BQ171" i="3"/>
  <c r="BR171" i="3"/>
  <c r="BS171" i="3"/>
  <c r="BT171" i="3"/>
  <c r="BL171" i="3"/>
  <c r="AZ171" i="3"/>
  <c r="BB172" i="3"/>
  <c r="BD172" i="3"/>
  <c r="BE172" i="3"/>
  <c r="BF172" i="3"/>
  <c r="BG172" i="3"/>
  <c r="BH172" i="3"/>
  <c r="BI172" i="3"/>
  <c r="BJ172" i="3"/>
  <c r="BK172" i="3"/>
  <c r="BA172" i="3"/>
  <c r="BM172" i="3"/>
  <c r="BN172" i="3"/>
  <c r="BO172" i="3"/>
  <c r="BP172" i="3"/>
  <c r="BQ172" i="3"/>
  <c r="BR172" i="3"/>
  <c r="BS172" i="3"/>
  <c r="BT172" i="3"/>
  <c r="BL172" i="3"/>
  <c r="AZ172" i="3"/>
  <c r="BB173" i="3"/>
  <c r="BD173" i="3"/>
  <c r="BE173" i="3"/>
  <c r="BF173" i="3"/>
  <c r="BG173" i="3"/>
  <c r="BH173" i="3"/>
  <c r="BI173" i="3"/>
  <c r="BJ173" i="3"/>
  <c r="BK173" i="3"/>
  <c r="BA173" i="3"/>
  <c r="BM173" i="3"/>
  <c r="BN173" i="3"/>
  <c r="BO173" i="3"/>
  <c r="BP173" i="3"/>
  <c r="BQ173" i="3"/>
  <c r="BR173" i="3"/>
  <c r="BS173" i="3"/>
  <c r="BT173" i="3"/>
  <c r="BL173" i="3"/>
  <c r="AZ173" i="3"/>
  <c r="BB174" i="3"/>
  <c r="BD174" i="3"/>
  <c r="BE174" i="3"/>
  <c r="BF174" i="3"/>
  <c r="BG174" i="3"/>
  <c r="BH174" i="3"/>
  <c r="BI174" i="3"/>
  <c r="BJ174" i="3"/>
  <c r="BK174" i="3"/>
  <c r="BA174" i="3"/>
  <c r="BM174" i="3"/>
  <c r="BN174" i="3"/>
  <c r="BO174" i="3"/>
  <c r="BP174" i="3"/>
  <c r="BQ174" i="3"/>
  <c r="BR174" i="3"/>
  <c r="BS174" i="3"/>
  <c r="BT174" i="3"/>
  <c r="BL174" i="3"/>
  <c r="AZ174" i="3"/>
  <c r="BB175" i="3"/>
  <c r="BD175" i="3"/>
  <c r="BE175" i="3"/>
  <c r="BF175" i="3"/>
  <c r="BG175" i="3"/>
  <c r="BH175" i="3"/>
  <c r="BI175" i="3"/>
  <c r="BJ175" i="3"/>
  <c r="BK175" i="3"/>
  <c r="BA175" i="3"/>
  <c r="BM175" i="3"/>
  <c r="BN175" i="3"/>
  <c r="BO175" i="3"/>
  <c r="BP175" i="3"/>
  <c r="BQ175" i="3"/>
  <c r="BR175" i="3"/>
  <c r="BS175" i="3"/>
  <c r="BT175" i="3"/>
  <c r="BL175" i="3"/>
  <c r="AZ175" i="3"/>
  <c r="BB176" i="3"/>
  <c r="BD176" i="3"/>
  <c r="BE176" i="3"/>
  <c r="BF176" i="3"/>
  <c r="BG176" i="3"/>
  <c r="BH176" i="3"/>
  <c r="BI176" i="3"/>
  <c r="BJ176" i="3"/>
  <c r="BK176" i="3"/>
  <c r="BA176" i="3"/>
  <c r="BM176" i="3"/>
  <c r="BN176" i="3"/>
  <c r="BO176" i="3"/>
  <c r="BP176" i="3"/>
  <c r="BQ176" i="3"/>
  <c r="BR176" i="3"/>
  <c r="BS176" i="3"/>
  <c r="BT176" i="3"/>
  <c r="BL176" i="3"/>
  <c r="AZ176" i="3"/>
  <c r="BB177" i="3"/>
  <c r="BD177" i="3"/>
  <c r="BE177" i="3"/>
  <c r="BF177" i="3"/>
  <c r="BG177" i="3"/>
  <c r="BH177" i="3"/>
  <c r="BI177" i="3"/>
  <c r="BJ177" i="3"/>
  <c r="BK177" i="3"/>
  <c r="BA177" i="3"/>
  <c r="BM177" i="3"/>
  <c r="BN177" i="3"/>
  <c r="BO177" i="3"/>
  <c r="BP177" i="3"/>
  <c r="BQ177" i="3"/>
  <c r="BR177" i="3"/>
  <c r="BS177" i="3"/>
  <c r="BT177" i="3"/>
  <c r="BL177" i="3"/>
  <c r="AZ177" i="3"/>
  <c r="BB178" i="3"/>
  <c r="BD178" i="3"/>
  <c r="BE178" i="3"/>
  <c r="BF178" i="3"/>
  <c r="BG178" i="3"/>
  <c r="BH178" i="3"/>
  <c r="BI178" i="3"/>
  <c r="BJ178" i="3"/>
  <c r="BK178" i="3"/>
  <c r="BA178" i="3"/>
  <c r="BM178" i="3"/>
  <c r="BN178" i="3"/>
  <c r="BO178" i="3"/>
  <c r="BP178" i="3"/>
  <c r="BQ178" i="3"/>
  <c r="BR178" i="3"/>
  <c r="BS178" i="3"/>
  <c r="BT178" i="3"/>
  <c r="BL178" i="3"/>
  <c r="AZ178" i="3"/>
  <c r="BB179" i="3"/>
  <c r="BD179" i="3"/>
  <c r="BE179" i="3"/>
  <c r="BF179" i="3"/>
  <c r="BG179" i="3"/>
  <c r="BH179" i="3"/>
  <c r="BI179" i="3"/>
  <c r="BJ179" i="3"/>
  <c r="BK179" i="3"/>
  <c r="BA179" i="3"/>
  <c r="BM179" i="3"/>
  <c r="BN179" i="3"/>
  <c r="BO179" i="3"/>
  <c r="BP179" i="3"/>
  <c r="BQ179" i="3"/>
  <c r="BR179" i="3"/>
  <c r="BS179" i="3"/>
  <c r="BT179" i="3"/>
  <c r="BL179" i="3"/>
  <c r="AZ179" i="3"/>
  <c r="BB180" i="3"/>
  <c r="BD180" i="3"/>
  <c r="BE180" i="3"/>
  <c r="BF180" i="3"/>
  <c r="BG180" i="3"/>
  <c r="BH180" i="3"/>
  <c r="BI180" i="3"/>
  <c r="BJ180" i="3"/>
  <c r="BK180" i="3"/>
  <c r="BA180" i="3"/>
  <c r="BM180" i="3"/>
  <c r="BN180" i="3"/>
  <c r="BO180" i="3"/>
  <c r="BP180" i="3"/>
  <c r="BQ180" i="3"/>
  <c r="BR180" i="3"/>
  <c r="BS180" i="3"/>
  <c r="BT180" i="3"/>
  <c r="BL180" i="3"/>
  <c r="AZ180" i="3"/>
  <c r="BB181" i="3"/>
  <c r="BD181" i="3"/>
  <c r="BE181" i="3"/>
  <c r="BF181" i="3"/>
  <c r="BG181" i="3"/>
  <c r="BH181" i="3"/>
  <c r="BI181" i="3"/>
  <c r="BJ181" i="3"/>
  <c r="BK181" i="3"/>
  <c r="BA181" i="3"/>
  <c r="BM181" i="3"/>
  <c r="BN181" i="3"/>
  <c r="BO181" i="3"/>
  <c r="BP181" i="3"/>
  <c r="BQ181" i="3"/>
  <c r="BR181" i="3"/>
  <c r="BS181" i="3"/>
  <c r="BT181" i="3"/>
  <c r="BL181" i="3"/>
  <c r="AZ181" i="3"/>
  <c r="BB182" i="3"/>
  <c r="BD182" i="3"/>
  <c r="BE182" i="3"/>
  <c r="BF182" i="3"/>
  <c r="BG182" i="3"/>
  <c r="BH182" i="3"/>
  <c r="BI182" i="3"/>
  <c r="BJ182" i="3"/>
  <c r="BK182" i="3"/>
  <c r="BA182" i="3"/>
  <c r="BM182" i="3"/>
  <c r="BN182" i="3"/>
  <c r="BO182" i="3"/>
  <c r="BP182" i="3"/>
  <c r="BQ182" i="3"/>
  <c r="BR182" i="3"/>
  <c r="BS182" i="3"/>
  <c r="BT182" i="3"/>
  <c r="BL182" i="3"/>
  <c r="AZ182" i="3"/>
  <c r="BB183" i="3"/>
  <c r="BD183" i="3"/>
  <c r="BE183" i="3"/>
  <c r="BF183" i="3"/>
  <c r="BG183" i="3"/>
  <c r="BH183" i="3"/>
  <c r="BI183" i="3"/>
  <c r="BJ183" i="3"/>
  <c r="BK183" i="3"/>
  <c r="BA183" i="3"/>
  <c r="BM183" i="3"/>
  <c r="BN183" i="3"/>
  <c r="BO183" i="3"/>
  <c r="BP183" i="3"/>
  <c r="BQ183" i="3"/>
  <c r="BR183" i="3"/>
  <c r="BS183" i="3"/>
  <c r="BT183" i="3"/>
  <c r="BL183" i="3"/>
  <c r="AZ183" i="3"/>
  <c r="BB184" i="3"/>
  <c r="BD184" i="3"/>
  <c r="BE184" i="3"/>
  <c r="BF184" i="3"/>
  <c r="BG184" i="3"/>
  <c r="BH184" i="3"/>
  <c r="BI184" i="3"/>
  <c r="BJ184" i="3"/>
  <c r="BK184" i="3"/>
  <c r="BA184" i="3"/>
  <c r="BM184" i="3"/>
  <c r="BN184" i="3"/>
  <c r="BO184" i="3"/>
  <c r="BP184" i="3"/>
  <c r="BQ184" i="3"/>
  <c r="BR184" i="3"/>
  <c r="BS184" i="3"/>
  <c r="BT184" i="3"/>
  <c r="BL184" i="3"/>
  <c r="AZ184" i="3"/>
  <c r="BB185" i="3"/>
  <c r="BD185" i="3"/>
  <c r="BE185" i="3"/>
  <c r="BF185" i="3"/>
  <c r="BG185" i="3"/>
  <c r="BH185" i="3"/>
  <c r="BI185" i="3"/>
  <c r="BJ185" i="3"/>
  <c r="BK185" i="3"/>
  <c r="BA185" i="3"/>
  <c r="BM185" i="3"/>
  <c r="BN185" i="3"/>
  <c r="BO185" i="3"/>
  <c r="BP185" i="3"/>
  <c r="BQ185" i="3"/>
  <c r="BR185" i="3"/>
  <c r="BS185" i="3"/>
  <c r="BT185" i="3"/>
  <c r="BL185" i="3"/>
  <c r="AZ185" i="3"/>
  <c r="BB186" i="3"/>
  <c r="BD186" i="3"/>
  <c r="BE186" i="3"/>
  <c r="BF186" i="3"/>
  <c r="BG186" i="3"/>
  <c r="BH186" i="3"/>
  <c r="BI186" i="3"/>
  <c r="BJ186" i="3"/>
  <c r="BK186" i="3"/>
  <c r="BA186" i="3"/>
  <c r="BM186" i="3"/>
  <c r="BN186" i="3"/>
  <c r="BO186" i="3"/>
  <c r="BP186" i="3"/>
  <c r="BQ186" i="3"/>
  <c r="BR186" i="3"/>
  <c r="BS186" i="3"/>
  <c r="BT186" i="3"/>
  <c r="BL186" i="3"/>
  <c r="AZ186" i="3"/>
  <c r="BB187" i="3"/>
  <c r="BD187" i="3"/>
  <c r="BE187" i="3"/>
  <c r="BF187" i="3"/>
  <c r="BG187" i="3"/>
  <c r="BH187" i="3"/>
  <c r="BI187" i="3"/>
  <c r="BJ187" i="3"/>
  <c r="BK187" i="3"/>
  <c r="BA187" i="3"/>
  <c r="BM187" i="3"/>
  <c r="BN187" i="3"/>
  <c r="BO187" i="3"/>
  <c r="BP187" i="3"/>
  <c r="BQ187" i="3"/>
  <c r="BR187" i="3"/>
  <c r="BS187" i="3"/>
  <c r="BT187" i="3"/>
  <c r="BL187" i="3"/>
  <c r="AZ187" i="3"/>
  <c r="BB188" i="3"/>
  <c r="BD188" i="3"/>
  <c r="BE188" i="3"/>
  <c r="BF188" i="3"/>
  <c r="BG188" i="3"/>
  <c r="BH188" i="3"/>
  <c r="BI188" i="3"/>
  <c r="BJ188" i="3"/>
  <c r="BK188" i="3"/>
  <c r="BA188" i="3"/>
  <c r="BM188" i="3"/>
  <c r="BN188" i="3"/>
  <c r="BO188" i="3"/>
  <c r="BP188" i="3"/>
  <c r="BQ188" i="3"/>
  <c r="BR188" i="3"/>
  <c r="BS188" i="3"/>
  <c r="BT188" i="3"/>
  <c r="BL188" i="3"/>
  <c r="AZ188" i="3"/>
  <c r="BB189" i="3"/>
  <c r="BD189" i="3"/>
  <c r="BE189" i="3"/>
  <c r="BF189" i="3"/>
  <c r="BG189" i="3"/>
  <c r="BH189" i="3"/>
  <c r="BI189" i="3"/>
  <c r="BJ189" i="3"/>
  <c r="BK189" i="3"/>
  <c r="BA189" i="3"/>
  <c r="BM189" i="3"/>
  <c r="BN189" i="3"/>
  <c r="BO189" i="3"/>
  <c r="BP189" i="3"/>
  <c r="BQ189" i="3"/>
  <c r="BR189" i="3"/>
  <c r="BS189" i="3"/>
  <c r="BT189" i="3"/>
  <c r="BL189" i="3"/>
  <c r="AZ189" i="3"/>
  <c r="BB190" i="3"/>
  <c r="BD190" i="3"/>
  <c r="BE190" i="3"/>
  <c r="BF190" i="3"/>
  <c r="BG190" i="3"/>
  <c r="BH190" i="3"/>
  <c r="BI190" i="3"/>
  <c r="BJ190" i="3"/>
  <c r="BK190" i="3"/>
  <c r="BA190" i="3"/>
  <c r="BM190" i="3"/>
  <c r="BN190" i="3"/>
  <c r="BO190" i="3"/>
  <c r="BP190" i="3"/>
  <c r="BQ190" i="3"/>
  <c r="BR190" i="3"/>
  <c r="BS190" i="3"/>
  <c r="BT190" i="3"/>
  <c r="BL190" i="3"/>
  <c r="AZ190" i="3"/>
  <c r="BB191" i="3"/>
  <c r="BD191" i="3"/>
  <c r="BE191" i="3"/>
  <c r="BF191" i="3"/>
  <c r="BG191" i="3"/>
  <c r="BH191" i="3"/>
  <c r="BI191" i="3"/>
  <c r="BJ191" i="3"/>
  <c r="BK191" i="3"/>
  <c r="BA191" i="3"/>
  <c r="BM191" i="3"/>
  <c r="BN191" i="3"/>
  <c r="BO191" i="3"/>
  <c r="BP191" i="3"/>
  <c r="BQ191" i="3"/>
  <c r="BR191" i="3"/>
  <c r="BS191" i="3"/>
  <c r="BT191" i="3"/>
  <c r="BL191" i="3"/>
  <c r="AZ191" i="3"/>
  <c r="BB192" i="3"/>
  <c r="BD192" i="3"/>
  <c r="BE192" i="3"/>
  <c r="BF192" i="3"/>
  <c r="BG192" i="3"/>
  <c r="BH192" i="3"/>
  <c r="BI192" i="3"/>
  <c r="BJ192" i="3"/>
  <c r="BK192" i="3"/>
  <c r="BA192" i="3"/>
  <c r="BM192" i="3"/>
  <c r="BN192" i="3"/>
  <c r="BO192" i="3"/>
  <c r="BP192" i="3"/>
  <c r="BQ192" i="3"/>
  <c r="BR192" i="3"/>
  <c r="BS192" i="3"/>
  <c r="BT192" i="3"/>
  <c r="BL192" i="3"/>
  <c r="AZ192" i="3"/>
  <c r="BB193" i="3"/>
  <c r="BD193" i="3"/>
  <c r="BE193" i="3"/>
  <c r="BF193" i="3"/>
  <c r="BG193" i="3"/>
  <c r="BH193" i="3"/>
  <c r="BI193" i="3"/>
  <c r="BJ193" i="3"/>
  <c r="BK193" i="3"/>
  <c r="BA193" i="3"/>
  <c r="BM193" i="3"/>
  <c r="BN193" i="3"/>
  <c r="BO193" i="3"/>
  <c r="BP193" i="3"/>
  <c r="BQ193" i="3"/>
  <c r="BR193" i="3"/>
  <c r="BS193" i="3"/>
  <c r="BT193" i="3"/>
  <c r="BL193" i="3"/>
  <c r="AZ193" i="3"/>
  <c r="BB194" i="3"/>
  <c r="BD194" i="3"/>
  <c r="BE194" i="3"/>
  <c r="BF194" i="3"/>
  <c r="BG194" i="3"/>
  <c r="BH194" i="3"/>
  <c r="BI194" i="3"/>
  <c r="BJ194" i="3"/>
  <c r="BK194" i="3"/>
  <c r="BA194" i="3"/>
  <c r="BM194" i="3"/>
  <c r="BN194" i="3"/>
  <c r="BO194" i="3"/>
  <c r="BP194" i="3"/>
  <c r="BQ194" i="3"/>
  <c r="BR194" i="3"/>
  <c r="BS194" i="3"/>
  <c r="BT194" i="3"/>
  <c r="BL194" i="3"/>
  <c r="AZ194" i="3"/>
  <c r="BB195" i="3"/>
  <c r="BD195" i="3"/>
  <c r="BE195" i="3"/>
  <c r="BF195" i="3"/>
  <c r="BG195" i="3"/>
  <c r="BH195" i="3"/>
  <c r="BI195" i="3"/>
  <c r="BJ195" i="3"/>
  <c r="BK195" i="3"/>
  <c r="BA195" i="3"/>
  <c r="BM195" i="3"/>
  <c r="BN195" i="3"/>
  <c r="BO195" i="3"/>
  <c r="BP195" i="3"/>
  <c r="BQ195" i="3"/>
  <c r="BR195" i="3"/>
  <c r="BS195" i="3"/>
  <c r="BT195" i="3"/>
  <c r="BL195" i="3"/>
  <c r="AZ195" i="3"/>
  <c r="BB196" i="3"/>
  <c r="BD196" i="3"/>
  <c r="BE196" i="3"/>
  <c r="BF196" i="3"/>
  <c r="BG196" i="3"/>
  <c r="BH196" i="3"/>
  <c r="BI196" i="3"/>
  <c r="BJ196" i="3"/>
  <c r="BK196" i="3"/>
  <c r="BA196" i="3"/>
  <c r="BM196" i="3"/>
  <c r="BN196" i="3"/>
  <c r="BO196" i="3"/>
  <c r="BP196" i="3"/>
  <c r="BQ196" i="3"/>
  <c r="BR196" i="3"/>
  <c r="BS196" i="3"/>
  <c r="BT196" i="3"/>
  <c r="BL196" i="3"/>
  <c r="AZ196" i="3"/>
  <c r="BB197" i="3"/>
  <c r="BD197" i="3"/>
  <c r="BE197" i="3"/>
  <c r="BF197" i="3"/>
  <c r="BG197" i="3"/>
  <c r="BH197" i="3"/>
  <c r="BI197" i="3"/>
  <c r="BJ197" i="3"/>
  <c r="BK197" i="3"/>
  <c r="BA197" i="3"/>
  <c r="BM197" i="3"/>
  <c r="BN197" i="3"/>
  <c r="BO197" i="3"/>
  <c r="BP197" i="3"/>
  <c r="BQ197" i="3"/>
  <c r="BR197" i="3"/>
  <c r="BS197" i="3"/>
  <c r="BT197" i="3"/>
  <c r="BL197" i="3"/>
  <c r="AZ197" i="3"/>
  <c r="BB198" i="3"/>
  <c r="BD198" i="3"/>
  <c r="BE198" i="3"/>
  <c r="BF198" i="3"/>
  <c r="BG198" i="3"/>
  <c r="BH198" i="3"/>
  <c r="BI198" i="3"/>
  <c r="BJ198" i="3"/>
  <c r="BK198" i="3"/>
  <c r="BA198" i="3"/>
  <c r="BM198" i="3"/>
  <c r="BN198" i="3"/>
  <c r="BO198" i="3"/>
  <c r="BP198" i="3"/>
  <c r="BQ198" i="3"/>
  <c r="BR198" i="3"/>
  <c r="BS198" i="3"/>
  <c r="BT198" i="3"/>
  <c r="BL198" i="3"/>
  <c r="AZ198" i="3"/>
  <c r="BB199" i="3"/>
  <c r="BD199" i="3"/>
  <c r="BE199" i="3"/>
  <c r="BF199" i="3"/>
  <c r="BG199" i="3"/>
  <c r="BH199" i="3"/>
  <c r="BI199" i="3"/>
  <c r="BJ199" i="3"/>
  <c r="BK199" i="3"/>
  <c r="BA199" i="3"/>
  <c r="BM199" i="3"/>
  <c r="BN199" i="3"/>
  <c r="BO199" i="3"/>
  <c r="BP199" i="3"/>
  <c r="BQ199" i="3"/>
  <c r="BR199" i="3"/>
  <c r="BS199" i="3"/>
  <c r="BT199" i="3"/>
  <c r="BL199" i="3"/>
  <c r="AZ199" i="3"/>
  <c r="BB200" i="3"/>
  <c r="BD200" i="3"/>
  <c r="BE200" i="3"/>
  <c r="BF200" i="3"/>
  <c r="BG200" i="3"/>
  <c r="BH200" i="3"/>
  <c r="BI200" i="3"/>
  <c r="BJ200" i="3"/>
  <c r="BK200" i="3"/>
  <c r="BA200" i="3"/>
  <c r="BM200" i="3"/>
  <c r="BN200" i="3"/>
  <c r="BO200" i="3"/>
  <c r="BP200" i="3"/>
  <c r="BQ200" i="3"/>
  <c r="BR200" i="3"/>
  <c r="BS200" i="3"/>
  <c r="BT200" i="3"/>
  <c r="BL200" i="3"/>
  <c r="AZ200" i="3"/>
  <c r="BB201" i="3"/>
  <c r="BD201" i="3"/>
  <c r="BE201" i="3"/>
  <c r="BF201" i="3"/>
  <c r="BG201" i="3"/>
  <c r="BH201" i="3"/>
  <c r="BI201" i="3"/>
  <c r="BJ201" i="3"/>
  <c r="BK201" i="3"/>
  <c r="BA201" i="3"/>
  <c r="BM201" i="3"/>
  <c r="BN201" i="3"/>
  <c r="BO201" i="3"/>
  <c r="BP201" i="3"/>
  <c r="BQ201" i="3"/>
  <c r="BR201" i="3"/>
  <c r="BS201" i="3"/>
  <c r="BT201" i="3"/>
  <c r="BL201" i="3"/>
  <c r="AZ201" i="3"/>
  <c r="BB202" i="3"/>
  <c r="BD202" i="3"/>
  <c r="BE202" i="3"/>
  <c r="BF202" i="3"/>
  <c r="BG202" i="3"/>
  <c r="BH202" i="3"/>
  <c r="BI202" i="3"/>
  <c r="BJ202" i="3"/>
  <c r="BK202" i="3"/>
  <c r="BA202" i="3"/>
  <c r="BM202" i="3"/>
  <c r="BN202" i="3"/>
  <c r="BO202" i="3"/>
  <c r="BP202" i="3"/>
  <c r="BQ202" i="3"/>
  <c r="BR202" i="3"/>
  <c r="BS202" i="3"/>
  <c r="BT202" i="3"/>
  <c r="BL202" i="3"/>
  <c r="AZ202" i="3"/>
  <c r="BB203" i="3"/>
  <c r="BD203" i="3"/>
  <c r="BE203" i="3"/>
  <c r="BF203" i="3"/>
  <c r="BG203" i="3"/>
  <c r="BH203" i="3"/>
  <c r="BI203" i="3"/>
  <c r="BJ203" i="3"/>
  <c r="BK203" i="3"/>
  <c r="BA203" i="3"/>
  <c r="BM203" i="3"/>
  <c r="BN203" i="3"/>
  <c r="BO203" i="3"/>
  <c r="BP203" i="3"/>
  <c r="BQ203" i="3"/>
  <c r="BR203" i="3"/>
  <c r="BS203" i="3"/>
  <c r="BT203" i="3"/>
  <c r="BL203" i="3"/>
  <c r="AZ203" i="3"/>
  <c r="BB204" i="3"/>
  <c r="BD204" i="3"/>
  <c r="BE204" i="3"/>
  <c r="BF204" i="3"/>
  <c r="BG204" i="3"/>
  <c r="BH204" i="3"/>
  <c r="BI204" i="3"/>
  <c r="BJ204" i="3"/>
  <c r="BK204" i="3"/>
  <c r="BA204" i="3"/>
  <c r="BM204" i="3"/>
  <c r="BN204" i="3"/>
  <c r="BO204" i="3"/>
  <c r="BP204" i="3"/>
  <c r="BQ204" i="3"/>
  <c r="BR204" i="3"/>
  <c r="BS204" i="3"/>
  <c r="BT204" i="3"/>
  <c r="BL204" i="3"/>
  <c r="AZ204" i="3"/>
  <c r="BB205" i="3"/>
  <c r="BD205" i="3"/>
  <c r="BE205" i="3"/>
  <c r="BF205" i="3"/>
  <c r="BG205" i="3"/>
  <c r="BH205" i="3"/>
  <c r="BI205" i="3"/>
  <c r="BJ205" i="3"/>
  <c r="BK205" i="3"/>
  <c r="BA205" i="3"/>
  <c r="BM205" i="3"/>
  <c r="BN205" i="3"/>
  <c r="BO205" i="3"/>
  <c r="BP205" i="3"/>
  <c r="BQ205" i="3"/>
  <c r="BR205" i="3"/>
  <c r="BS205" i="3"/>
  <c r="BT205" i="3"/>
  <c r="BL205" i="3"/>
  <c r="AZ205" i="3"/>
  <c r="BB206" i="3"/>
  <c r="BD206" i="3"/>
  <c r="BE206" i="3"/>
  <c r="BF206" i="3"/>
  <c r="BG206" i="3"/>
  <c r="BH206" i="3"/>
  <c r="BI206" i="3"/>
  <c r="BJ206" i="3"/>
  <c r="BK206" i="3"/>
  <c r="BA206" i="3"/>
  <c r="BM206" i="3"/>
  <c r="BN206" i="3"/>
  <c r="BO206" i="3"/>
  <c r="BP206" i="3"/>
  <c r="BQ206" i="3"/>
  <c r="BR206" i="3"/>
  <c r="BS206" i="3"/>
  <c r="BT206" i="3"/>
  <c r="BL206" i="3"/>
  <c r="AZ206" i="3"/>
  <c r="BB207" i="3"/>
  <c r="BD207" i="3"/>
  <c r="BE207" i="3"/>
  <c r="BF207" i="3"/>
  <c r="BG207" i="3"/>
  <c r="BH207" i="3"/>
  <c r="BI207" i="3"/>
  <c r="BJ207" i="3"/>
  <c r="BK207" i="3"/>
  <c r="BA207" i="3"/>
  <c r="BM207" i="3"/>
  <c r="BN207" i="3"/>
  <c r="BO207" i="3"/>
  <c r="BP207" i="3"/>
  <c r="BQ207" i="3"/>
  <c r="BR207" i="3"/>
  <c r="BS207" i="3"/>
  <c r="BT207" i="3"/>
  <c r="BL207" i="3"/>
  <c r="AZ207" i="3"/>
  <c r="BB208" i="3"/>
  <c r="BD208" i="3"/>
  <c r="BE208" i="3"/>
  <c r="BF208" i="3"/>
  <c r="BG208" i="3"/>
  <c r="BH208" i="3"/>
  <c r="BI208" i="3"/>
  <c r="BJ208" i="3"/>
  <c r="BK208" i="3"/>
  <c r="BA208" i="3"/>
  <c r="BM208" i="3"/>
  <c r="BN208" i="3"/>
  <c r="BO208" i="3"/>
  <c r="BP208" i="3"/>
  <c r="BQ208" i="3"/>
  <c r="BR208" i="3"/>
  <c r="BS208" i="3"/>
  <c r="BT208" i="3"/>
  <c r="BL208" i="3"/>
  <c r="AZ208" i="3"/>
  <c r="BB209" i="3"/>
  <c r="BD209" i="3"/>
  <c r="BE209" i="3"/>
  <c r="BF209" i="3"/>
  <c r="BG209" i="3"/>
  <c r="BH209" i="3"/>
  <c r="BI209" i="3"/>
  <c r="BJ209" i="3"/>
  <c r="BK209" i="3"/>
  <c r="BA209" i="3"/>
  <c r="BM209" i="3"/>
  <c r="BN209" i="3"/>
  <c r="BO209" i="3"/>
  <c r="BP209" i="3"/>
  <c r="BQ209" i="3"/>
  <c r="BR209" i="3"/>
  <c r="BS209" i="3"/>
  <c r="BT209" i="3"/>
  <c r="BL209" i="3"/>
  <c r="AZ209" i="3"/>
  <c r="BB210" i="3"/>
  <c r="BD210" i="3"/>
  <c r="BE210" i="3"/>
  <c r="BF210" i="3"/>
  <c r="BG210" i="3"/>
  <c r="BH210" i="3"/>
  <c r="BI210" i="3"/>
  <c r="BJ210" i="3"/>
  <c r="BK210" i="3"/>
  <c r="BA210" i="3"/>
  <c r="BM210" i="3"/>
  <c r="BN210" i="3"/>
  <c r="BO210" i="3"/>
  <c r="BP210" i="3"/>
  <c r="BQ210" i="3"/>
  <c r="BR210" i="3"/>
  <c r="BS210" i="3"/>
  <c r="BT210" i="3"/>
  <c r="BL210" i="3"/>
  <c r="AZ210" i="3"/>
  <c r="BB211" i="3"/>
  <c r="BD211" i="3"/>
  <c r="BE211" i="3"/>
  <c r="BF211" i="3"/>
  <c r="BG211" i="3"/>
  <c r="BH211" i="3"/>
  <c r="BI211" i="3"/>
  <c r="BJ211" i="3"/>
  <c r="BK211" i="3"/>
  <c r="BA211" i="3"/>
  <c r="BM211" i="3"/>
  <c r="BN211" i="3"/>
  <c r="BO211" i="3"/>
  <c r="BP211" i="3"/>
  <c r="BQ211" i="3"/>
  <c r="BR211" i="3"/>
  <c r="BS211" i="3"/>
  <c r="BT211" i="3"/>
  <c r="BL211" i="3"/>
  <c r="AZ211" i="3"/>
  <c r="BB212" i="3"/>
  <c r="BD212" i="3"/>
  <c r="BE212" i="3"/>
  <c r="BF212" i="3"/>
  <c r="BG212" i="3"/>
  <c r="BH212" i="3"/>
  <c r="BI212" i="3"/>
  <c r="BJ212" i="3"/>
  <c r="BK212" i="3"/>
  <c r="BA212" i="3"/>
  <c r="BM212" i="3"/>
  <c r="BN212" i="3"/>
  <c r="BO212" i="3"/>
  <c r="BP212" i="3"/>
  <c r="BQ212" i="3"/>
  <c r="BR212" i="3"/>
  <c r="BS212" i="3"/>
  <c r="BT212" i="3"/>
  <c r="BL212" i="3"/>
  <c r="AZ212" i="3"/>
  <c r="BB213" i="3"/>
  <c r="BD213" i="3"/>
  <c r="BE213" i="3"/>
  <c r="BF213" i="3"/>
  <c r="BG213" i="3"/>
  <c r="BH213" i="3"/>
  <c r="BI213" i="3"/>
  <c r="BJ213" i="3"/>
  <c r="BK213" i="3"/>
  <c r="BA213" i="3"/>
  <c r="BM213" i="3"/>
  <c r="BN213" i="3"/>
  <c r="BO213" i="3"/>
  <c r="BP213" i="3"/>
  <c r="BQ213" i="3"/>
  <c r="BR213" i="3"/>
  <c r="BS213" i="3"/>
  <c r="BT213" i="3"/>
  <c r="BL213" i="3"/>
  <c r="AZ213" i="3"/>
  <c r="BB214" i="3"/>
  <c r="BD214" i="3"/>
  <c r="BE214" i="3"/>
  <c r="BF214" i="3"/>
  <c r="BG214" i="3"/>
  <c r="BH214" i="3"/>
  <c r="BI214" i="3"/>
  <c r="BJ214" i="3"/>
  <c r="BK214" i="3"/>
  <c r="BA214" i="3"/>
  <c r="BM214" i="3"/>
  <c r="BN214" i="3"/>
  <c r="BO214" i="3"/>
  <c r="BP214" i="3"/>
  <c r="BQ214" i="3"/>
  <c r="BR214" i="3"/>
  <c r="BS214" i="3"/>
  <c r="BT214" i="3"/>
  <c r="BL214" i="3"/>
  <c r="AZ214" i="3"/>
  <c r="BB215" i="3"/>
  <c r="BD215" i="3"/>
  <c r="BE215" i="3"/>
  <c r="BF215" i="3"/>
  <c r="BG215" i="3"/>
  <c r="BH215" i="3"/>
  <c r="BI215" i="3"/>
  <c r="BJ215" i="3"/>
  <c r="BK215" i="3"/>
  <c r="BA215" i="3"/>
  <c r="BM215" i="3"/>
  <c r="BN215" i="3"/>
  <c r="BO215" i="3"/>
  <c r="BP215" i="3"/>
  <c r="BQ215" i="3"/>
  <c r="BR215" i="3"/>
  <c r="BS215" i="3"/>
  <c r="BT215" i="3"/>
  <c r="BL215" i="3"/>
  <c r="AZ215" i="3"/>
  <c r="BB216" i="3"/>
  <c r="BD216" i="3"/>
  <c r="BE216" i="3"/>
  <c r="BF216" i="3"/>
  <c r="BG216" i="3"/>
  <c r="BH216" i="3"/>
  <c r="BI216" i="3"/>
  <c r="BJ216" i="3"/>
  <c r="BK216" i="3"/>
  <c r="BA216" i="3"/>
  <c r="BM216" i="3"/>
  <c r="BN216" i="3"/>
  <c r="BO216" i="3"/>
  <c r="BP216" i="3"/>
  <c r="BQ216" i="3"/>
  <c r="BR216" i="3"/>
  <c r="BS216" i="3"/>
  <c r="BT216" i="3"/>
  <c r="BL216" i="3"/>
  <c r="AZ216" i="3"/>
  <c r="BB217" i="3"/>
  <c r="BD217" i="3"/>
  <c r="BE217" i="3"/>
  <c r="BF217" i="3"/>
  <c r="BG217" i="3"/>
  <c r="BH217" i="3"/>
  <c r="BI217" i="3"/>
  <c r="BJ217" i="3"/>
  <c r="BK217" i="3"/>
  <c r="BA217" i="3"/>
  <c r="BM217" i="3"/>
  <c r="BN217" i="3"/>
  <c r="BO217" i="3"/>
  <c r="BP217" i="3"/>
  <c r="BQ217" i="3"/>
  <c r="BR217" i="3"/>
  <c r="BS217" i="3"/>
  <c r="BT217" i="3"/>
  <c r="BL217" i="3"/>
  <c r="AZ217" i="3"/>
  <c r="BB218" i="3"/>
  <c r="BD218" i="3"/>
  <c r="BE218" i="3"/>
  <c r="BF218" i="3"/>
  <c r="BG218" i="3"/>
  <c r="BH218" i="3"/>
  <c r="BI218" i="3"/>
  <c r="BJ218" i="3"/>
  <c r="BK218" i="3"/>
  <c r="BA218" i="3"/>
  <c r="BM218" i="3"/>
  <c r="BN218" i="3"/>
  <c r="BO218" i="3"/>
  <c r="BP218" i="3"/>
  <c r="BQ218" i="3"/>
  <c r="BR218" i="3"/>
  <c r="BS218" i="3"/>
  <c r="BT218" i="3"/>
  <c r="BL218" i="3"/>
  <c r="AZ218" i="3"/>
  <c r="BB219" i="3"/>
  <c r="BD219" i="3"/>
  <c r="BE219" i="3"/>
  <c r="BF219" i="3"/>
  <c r="BG219" i="3"/>
  <c r="BH219" i="3"/>
  <c r="BI219" i="3"/>
  <c r="BJ219" i="3"/>
  <c r="BK219" i="3"/>
  <c r="BA219" i="3"/>
  <c r="BM219" i="3"/>
  <c r="BN219" i="3"/>
  <c r="BO219" i="3"/>
  <c r="BP219" i="3"/>
  <c r="BQ219" i="3"/>
  <c r="BR219" i="3"/>
  <c r="BS219" i="3"/>
  <c r="BT219" i="3"/>
  <c r="BL219" i="3"/>
  <c r="AZ219" i="3"/>
  <c r="BB220" i="3"/>
  <c r="BD220" i="3"/>
  <c r="BE220" i="3"/>
  <c r="BF220" i="3"/>
  <c r="BG220" i="3"/>
  <c r="BH220" i="3"/>
  <c r="BI220" i="3"/>
  <c r="BJ220" i="3"/>
  <c r="BK220" i="3"/>
  <c r="BA220" i="3"/>
  <c r="BM220" i="3"/>
  <c r="BN220" i="3"/>
  <c r="BO220" i="3"/>
  <c r="BP220" i="3"/>
  <c r="BQ220" i="3"/>
  <c r="BR220" i="3"/>
  <c r="BS220" i="3"/>
  <c r="BT220" i="3"/>
  <c r="BL220" i="3"/>
  <c r="AZ220" i="3"/>
  <c r="BB221" i="3"/>
  <c r="BD221" i="3"/>
  <c r="BE221" i="3"/>
  <c r="BF221" i="3"/>
  <c r="BG221" i="3"/>
  <c r="BH221" i="3"/>
  <c r="BI221" i="3"/>
  <c r="BJ221" i="3"/>
  <c r="BK221" i="3"/>
  <c r="BA221" i="3"/>
  <c r="BM221" i="3"/>
  <c r="BN221" i="3"/>
  <c r="BO221" i="3"/>
  <c r="BP221" i="3"/>
  <c r="BQ221" i="3"/>
  <c r="BR221" i="3"/>
  <c r="BS221" i="3"/>
  <c r="BT221" i="3"/>
  <c r="BL221" i="3"/>
  <c r="AZ221" i="3"/>
  <c r="BB222" i="3"/>
  <c r="BD222" i="3"/>
  <c r="BE222" i="3"/>
  <c r="BF222" i="3"/>
  <c r="BG222" i="3"/>
  <c r="BH222" i="3"/>
  <c r="BI222" i="3"/>
  <c r="BJ222" i="3"/>
  <c r="BK222" i="3"/>
  <c r="BA222" i="3"/>
  <c r="BM222" i="3"/>
  <c r="BN222" i="3"/>
  <c r="BO222" i="3"/>
  <c r="BP222" i="3"/>
  <c r="BQ222" i="3"/>
  <c r="BR222" i="3"/>
  <c r="BS222" i="3"/>
  <c r="BT222" i="3"/>
  <c r="BL222" i="3"/>
  <c r="AZ222" i="3"/>
  <c r="BB223" i="3"/>
  <c r="BD223" i="3"/>
  <c r="BE223" i="3"/>
  <c r="BF223" i="3"/>
  <c r="BG223" i="3"/>
  <c r="BH223" i="3"/>
  <c r="BI223" i="3"/>
  <c r="BJ223" i="3"/>
  <c r="BK223" i="3"/>
  <c r="BA223" i="3"/>
  <c r="BM223" i="3"/>
  <c r="BN223" i="3"/>
  <c r="BO223" i="3"/>
  <c r="BP223" i="3"/>
  <c r="BQ223" i="3"/>
  <c r="BR223" i="3"/>
  <c r="BS223" i="3"/>
  <c r="BT223" i="3"/>
  <c r="BL223" i="3"/>
  <c r="AZ223" i="3"/>
  <c r="BB224" i="3"/>
  <c r="BD224" i="3"/>
  <c r="BE224" i="3"/>
  <c r="BF224" i="3"/>
  <c r="BG224" i="3"/>
  <c r="BH224" i="3"/>
  <c r="BI224" i="3"/>
  <c r="BJ224" i="3"/>
  <c r="BK224" i="3"/>
  <c r="BA224" i="3"/>
  <c r="BM224" i="3"/>
  <c r="BN224" i="3"/>
  <c r="BO224" i="3"/>
  <c r="BP224" i="3"/>
  <c r="BQ224" i="3"/>
  <c r="BR224" i="3"/>
  <c r="BS224" i="3"/>
  <c r="BT224" i="3"/>
  <c r="BL224" i="3"/>
  <c r="AZ224" i="3"/>
  <c r="BB225" i="3"/>
  <c r="BD225" i="3"/>
  <c r="BE225" i="3"/>
  <c r="BF225" i="3"/>
  <c r="BG225" i="3"/>
  <c r="BH225" i="3"/>
  <c r="BI225" i="3"/>
  <c r="BJ225" i="3"/>
  <c r="BK225" i="3"/>
  <c r="BA225" i="3"/>
  <c r="BM225" i="3"/>
  <c r="BN225" i="3"/>
  <c r="BO225" i="3"/>
  <c r="BP225" i="3"/>
  <c r="BQ225" i="3"/>
  <c r="BR225" i="3"/>
  <c r="BS225" i="3"/>
  <c r="BT225" i="3"/>
  <c r="BL225" i="3"/>
  <c r="AZ225" i="3"/>
  <c r="BB226" i="3"/>
  <c r="BD226" i="3"/>
  <c r="BE226" i="3"/>
  <c r="BF226" i="3"/>
  <c r="BG226" i="3"/>
  <c r="BH226" i="3"/>
  <c r="BI226" i="3"/>
  <c r="BJ226" i="3"/>
  <c r="BK226" i="3"/>
  <c r="BA226" i="3"/>
  <c r="BM226" i="3"/>
  <c r="BN226" i="3"/>
  <c r="BO226" i="3"/>
  <c r="BP226" i="3"/>
  <c r="BQ226" i="3"/>
  <c r="BR226" i="3"/>
  <c r="BS226" i="3"/>
  <c r="BT226" i="3"/>
  <c r="BL226" i="3"/>
  <c r="AZ226" i="3"/>
  <c r="BB227" i="3"/>
  <c r="BD227" i="3"/>
  <c r="BE227" i="3"/>
  <c r="BF227" i="3"/>
  <c r="BG227" i="3"/>
  <c r="BH227" i="3"/>
  <c r="BI227" i="3"/>
  <c r="BJ227" i="3"/>
  <c r="BK227" i="3"/>
  <c r="BA227" i="3"/>
  <c r="BM227" i="3"/>
  <c r="BN227" i="3"/>
  <c r="BO227" i="3"/>
  <c r="BP227" i="3"/>
  <c r="BQ227" i="3"/>
  <c r="BR227" i="3"/>
  <c r="BS227" i="3"/>
  <c r="BT227" i="3"/>
  <c r="BL227" i="3"/>
  <c r="AZ227" i="3"/>
  <c r="BB228" i="3"/>
  <c r="BD228" i="3"/>
  <c r="BE228" i="3"/>
  <c r="BF228" i="3"/>
  <c r="BG228" i="3"/>
  <c r="BH228" i="3"/>
  <c r="BI228" i="3"/>
  <c r="BJ228" i="3"/>
  <c r="BK228" i="3"/>
  <c r="BA228" i="3"/>
  <c r="BM228" i="3"/>
  <c r="BN228" i="3"/>
  <c r="BO228" i="3"/>
  <c r="BP228" i="3"/>
  <c r="BQ228" i="3"/>
  <c r="BR228" i="3"/>
  <c r="BS228" i="3"/>
  <c r="BT228" i="3"/>
  <c r="BL228" i="3"/>
  <c r="AZ228" i="3"/>
  <c r="BB229" i="3"/>
  <c r="BD229" i="3"/>
  <c r="BE229" i="3"/>
  <c r="BF229" i="3"/>
  <c r="BG229" i="3"/>
  <c r="BH229" i="3"/>
  <c r="BI229" i="3"/>
  <c r="BJ229" i="3"/>
  <c r="BK229" i="3"/>
  <c r="BA229" i="3"/>
  <c r="BM229" i="3"/>
  <c r="BN229" i="3"/>
  <c r="BO229" i="3"/>
  <c r="BP229" i="3"/>
  <c r="BQ229" i="3"/>
  <c r="BR229" i="3"/>
  <c r="BS229" i="3"/>
  <c r="BT229" i="3"/>
  <c r="BL229" i="3"/>
  <c r="AZ229" i="3"/>
  <c r="BB230" i="3"/>
  <c r="BD230" i="3"/>
  <c r="BE230" i="3"/>
  <c r="BF230" i="3"/>
  <c r="BG230" i="3"/>
  <c r="BH230" i="3"/>
  <c r="BI230" i="3"/>
  <c r="BJ230" i="3"/>
  <c r="BK230" i="3"/>
  <c r="BA230" i="3"/>
  <c r="BM230" i="3"/>
  <c r="BN230" i="3"/>
  <c r="BO230" i="3"/>
  <c r="BP230" i="3"/>
  <c r="BQ230" i="3"/>
  <c r="BR230" i="3"/>
  <c r="BS230" i="3"/>
  <c r="BT230" i="3"/>
  <c r="BL230" i="3"/>
  <c r="AZ230" i="3"/>
  <c r="BB231" i="3"/>
  <c r="BD231" i="3"/>
  <c r="BE231" i="3"/>
  <c r="BF231" i="3"/>
  <c r="BG231" i="3"/>
  <c r="BH231" i="3"/>
  <c r="BI231" i="3"/>
  <c r="BJ231" i="3"/>
  <c r="BK231" i="3"/>
  <c r="BA231" i="3"/>
  <c r="BM231" i="3"/>
  <c r="BN231" i="3"/>
  <c r="BO231" i="3"/>
  <c r="BP231" i="3"/>
  <c r="BQ231" i="3"/>
  <c r="BR231" i="3"/>
  <c r="BS231" i="3"/>
  <c r="BT231" i="3"/>
  <c r="BL231" i="3"/>
  <c r="AZ231" i="3"/>
  <c r="BB232" i="3"/>
  <c r="BD232" i="3"/>
  <c r="BE232" i="3"/>
  <c r="BF232" i="3"/>
  <c r="BG232" i="3"/>
  <c r="BH232" i="3"/>
  <c r="BI232" i="3"/>
  <c r="BJ232" i="3"/>
  <c r="BK232" i="3"/>
  <c r="BA232" i="3"/>
  <c r="BM232" i="3"/>
  <c r="BN232" i="3"/>
  <c r="BO232" i="3"/>
  <c r="BP232" i="3"/>
  <c r="BQ232" i="3"/>
  <c r="BR232" i="3"/>
  <c r="BS232" i="3"/>
  <c r="BT232" i="3"/>
  <c r="BL232" i="3"/>
  <c r="AZ232" i="3"/>
  <c r="BB233" i="3"/>
  <c r="BD233" i="3"/>
  <c r="BE233" i="3"/>
  <c r="BF233" i="3"/>
  <c r="BG233" i="3"/>
  <c r="BH233" i="3"/>
  <c r="BI233" i="3"/>
  <c r="BJ233" i="3"/>
  <c r="BK233" i="3"/>
  <c r="BA233" i="3"/>
  <c r="BM233" i="3"/>
  <c r="BN233" i="3"/>
  <c r="BO233" i="3"/>
  <c r="BP233" i="3"/>
  <c r="BQ233" i="3"/>
  <c r="BR233" i="3"/>
  <c r="BS233" i="3"/>
  <c r="BT233" i="3"/>
  <c r="BL233" i="3"/>
  <c r="AZ233" i="3"/>
  <c r="BB234" i="3"/>
  <c r="BD234" i="3"/>
  <c r="BE234" i="3"/>
  <c r="BF234" i="3"/>
  <c r="BG234" i="3"/>
  <c r="BH234" i="3"/>
  <c r="BI234" i="3"/>
  <c r="BJ234" i="3"/>
  <c r="BK234" i="3"/>
  <c r="BA234" i="3"/>
  <c r="BM234" i="3"/>
  <c r="BN234" i="3"/>
  <c r="BO234" i="3"/>
  <c r="BP234" i="3"/>
  <c r="BQ234" i="3"/>
  <c r="BR234" i="3"/>
  <c r="BS234" i="3"/>
  <c r="BT234" i="3"/>
  <c r="BL234" i="3"/>
  <c r="AZ234" i="3"/>
  <c r="BB235" i="3"/>
  <c r="BD235" i="3"/>
  <c r="BE235" i="3"/>
  <c r="BF235" i="3"/>
  <c r="BG235" i="3"/>
  <c r="BH235" i="3"/>
  <c r="BI235" i="3"/>
  <c r="BJ235" i="3"/>
  <c r="BK235" i="3"/>
  <c r="BA235" i="3"/>
  <c r="BM235" i="3"/>
  <c r="BN235" i="3"/>
  <c r="BO235" i="3"/>
  <c r="BP235" i="3"/>
  <c r="BQ235" i="3"/>
  <c r="BR235" i="3"/>
  <c r="BS235" i="3"/>
  <c r="BT235" i="3"/>
  <c r="BL235" i="3"/>
  <c r="AZ235" i="3"/>
  <c r="BB236" i="3"/>
  <c r="BD236" i="3"/>
  <c r="BE236" i="3"/>
  <c r="BF236" i="3"/>
  <c r="BG236" i="3"/>
  <c r="BH236" i="3"/>
  <c r="BI236" i="3"/>
  <c r="BJ236" i="3"/>
  <c r="BK236" i="3"/>
  <c r="BA236" i="3"/>
  <c r="BM236" i="3"/>
  <c r="BN236" i="3"/>
  <c r="BO236" i="3"/>
  <c r="BP236" i="3"/>
  <c r="BQ236" i="3"/>
  <c r="BR236" i="3"/>
  <c r="BS236" i="3"/>
  <c r="BT236" i="3"/>
  <c r="BL236" i="3"/>
  <c r="AZ236" i="3"/>
  <c r="BB237" i="3"/>
  <c r="BD237" i="3"/>
  <c r="BE237" i="3"/>
  <c r="BF237" i="3"/>
  <c r="BG237" i="3"/>
  <c r="BH237" i="3"/>
  <c r="BI237" i="3"/>
  <c r="BJ237" i="3"/>
  <c r="BK237" i="3"/>
  <c r="BA237" i="3"/>
  <c r="BM237" i="3"/>
  <c r="BN237" i="3"/>
  <c r="BO237" i="3"/>
  <c r="BP237" i="3"/>
  <c r="BQ237" i="3"/>
  <c r="BR237" i="3"/>
  <c r="BS237" i="3"/>
  <c r="BT237" i="3"/>
  <c r="BL237" i="3"/>
  <c r="AZ237" i="3"/>
  <c r="BB238" i="3"/>
  <c r="BD238" i="3"/>
  <c r="BE238" i="3"/>
  <c r="BF238" i="3"/>
  <c r="BG238" i="3"/>
  <c r="BH238" i="3"/>
  <c r="BI238" i="3"/>
  <c r="BJ238" i="3"/>
  <c r="BK238" i="3"/>
  <c r="BA238" i="3"/>
  <c r="BM238" i="3"/>
  <c r="BN238" i="3"/>
  <c r="BO238" i="3"/>
  <c r="BP238" i="3"/>
  <c r="BQ238" i="3"/>
  <c r="BR238" i="3"/>
  <c r="BS238" i="3"/>
  <c r="BT238" i="3"/>
  <c r="BL238" i="3"/>
  <c r="AZ238" i="3"/>
  <c r="BB239" i="3"/>
  <c r="BD239" i="3"/>
  <c r="BE239" i="3"/>
  <c r="BF239" i="3"/>
  <c r="BG239" i="3"/>
  <c r="BH239" i="3"/>
  <c r="BI239" i="3"/>
  <c r="BJ239" i="3"/>
  <c r="BK239" i="3"/>
  <c r="BA239" i="3"/>
  <c r="BM239" i="3"/>
  <c r="BN239" i="3"/>
  <c r="BO239" i="3"/>
  <c r="BP239" i="3"/>
  <c r="BQ239" i="3"/>
  <c r="BR239" i="3"/>
  <c r="BS239" i="3"/>
  <c r="BT239" i="3"/>
  <c r="BL239" i="3"/>
  <c r="AZ239" i="3"/>
  <c r="BB240" i="3"/>
  <c r="BD240" i="3"/>
  <c r="BE240" i="3"/>
  <c r="BF240" i="3"/>
  <c r="BG240" i="3"/>
  <c r="BH240" i="3"/>
  <c r="BI240" i="3"/>
  <c r="BJ240" i="3"/>
  <c r="BK240" i="3"/>
  <c r="BA240" i="3"/>
  <c r="BM240" i="3"/>
  <c r="BN240" i="3"/>
  <c r="BO240" i="3"/>
  <c r="BP240" i="3"/>
  <c r="BQ240" i="3"/>
  <c r="BR240" i="3"/>
  <c r="BS240" i="3"/>
  <c r="BT240" i="3"/>
  <c r="BL240" i="3"/>
  <c r="AZ240" i="3"/>
  <c r="BB241" i="3"/>
  <c r="BD241" i="3"/>
  <c r="BE241" i="3"/>
  <c r="BF241" i="3"/>
  <c r="BG241" i="3"/>
  <c r="BH241" i="3"/>
  <c r="BI241" i="3"/>
  <c r="BJ241" i="3"/>
  <c r="BK241" i="3"/>
  <c r="BA241" i="3"/>
  <c r="BM241" i="3"/>
  <c r="BN241" i="3"/>
  <c r="BO241" i="3"/>
  <c r="BP241" i="3"/>
  <c r="BQ241" i="3"/>
  <c r="BR241" i="3"/>
  <c r="BS241" i="3"/>
  <c r="BT241" i="3"/>
  <c r="BL241" i="3"/>
  <c r="AZ241" i="3"/>
  <c r="BB242" i="3"/>
  <c r="BD242" i="3"/>
  <c r="BE242" i="3"/>
  <c r="BF242" i="3"/>
  <c r="BG242" i="3"/>
  <c r="BH242" i="3"/>
  <c r="BI242" i="3"/>
  <c r="BJ242" i="3"/>
  <c r="BK242" i="3"/>
  <c r="BA242" i="3"/>
  <c r="BM242" i="3"/>
  <c r="BN242" i="3"/>
  <c r="BO242" i="3"/>
  <c r="BP242" i="3"/>
  <c r="BQ242" i="3"/>
  <c r="BR242" i="3"/>
  <c r="BS242" i="3"/>
  <c r="BT242" i="3"/>
  <c r="BL242" i="3"/>
  <c r="AZ242" i="3"/>
  <c r="BB243" i="3"/>
  <c r="BD243" i="3"/>
  <c r="BE243" i="3"/>
  <c r="BF243" i="3"/>
  <c r="BG243" i="3"/>
  <c r="BH243" i="3"/>
  <c r="BI243" i="3"/>
  <c r="BJ243" i="3"/>
  <c r="BK243" i="3"/>
  <c r="BA243" i="3"/>
  <c r="BM243" i="3"/>
  <c r="BN243" i="3"/>
  <c r="BO243" i="3"/>
  <c r="BP243" i="3"/>
  <c r="BQ243" i="3"/>
  <c r="BR243" i="3"/>
  <c r="BS243" i="3"/>
  <c r="BT243" i="3"/>
  <c r="BL243" i="3"/>
  <c r="AZ243" i="3"/>
  <c r="BB244" i="3"/>
  <c r="BD244" i="3"/>
  <c r="BE244" i="3"/>
  <c r="BF244" i="3"/>
  <c r="BG244" i="3"/>
  <c r="BH244" i="3"/>
  <c r="BI244" i="3"/>
  <c r="BJ244" i="3"/>
  <c r="BK244" i="3"/>
  <c r="BA244" i="3"/>
  <c r="BM244" i="3"/>
  <c r="BN244" i="3"/>
  <c r="BO244" i="3"/>
  <c r="BP244" i="3"/>
  <c r="BQ244" i="3"/>
  <c r="BR244" i="3"/>
  <c r="BS244" i="3"/>
  <c r="BT244" i="3"/>
  <c r="BL244" i="3"/>
  <c r="AZ244" i="3"/>
  <c r="BB245" i="3"/>
  <c r="BD245" i="3"/>
  <c r="BE245" i="3"/>
  <c r="BF245" i="3"/>
  <c r="BG245" i="3"/>
  <c r="BH245" i="3"/>
  <c r="BI245" i="3"/>
  <c r="BJ245" i="3"/>
  <c r="BK245" i="3"/>
  <c r="BA245" i="3"/>
  <c r="BM245" i="3"/>
  <c r="BN245" i="3"/>
  <c r="BO245" i="3"/>
  <c r="BP245" i="3"/>
  <c r="BQ245" i="3"/>
  <c r="BR245" i="3"/>
  <c r="BS245" i="3"/>
  <c r="BT245" i="3"/>
  <c r="BL245" i="3"/>
  <c r="AZ245" i="3"/>
  <c r="BB246" i="3"/>
  <c r="BD246" i="3"/>
  <c r="BE246" i="3"/>
  <c r="BF246" i="3"/>
  <c r="BG246" i="3"/>
  <c r="BH246" i="3"/>
  <c r="BI246" i="3"/>
  <c r="BJ246" i="3"/>
  <c r="BK246" i="3"/>
  <c r="BA246" i="3"/>
  <c r="BM246" i="3"/>
  <c r="BN246" i="3"/>
  <c r="BO246" i="3"/>
  <c r="BP246" i="3"/>
  <c r="BQ246" i="3"/>
  <c r="BR246" i="3"/>
  <c r="BS246" i="3"/>
  <c r="BT246" i="3"/>
  <c r="BL246" i="3"/>
  <c r="AZ246" i="3"/>
  <c r="BB247" i="3"/>
  <c r="BD247" i="3"/>
  <c r="BE247" i="3"/>
  <c r="BF247" i="3"/>
  <c r="BG247" i="3"/>
  <c r="BH247" i="3"/>
  <c r="BI247" i="3"/>
  <c r="BJ247" i="3"/>
  <c r="BK247" i="3"/>
  <c r="BA247" i="3"/>
  <c r="BM247" i="3"/>
  <c r="BN247" i="3"/>
  <c r="BO247" i="3"/>
  <c r="BP247" i="3"/>
  <c r="BQ247" i="3"/>
  <c r="BR247" i="3"/>
  <c r="BS247" i="3"/>
  <c r="BT247" i="3"/>
  <c r="BL247" i="3"/>
  <c r="AZ247" i="3"/>
  <c r="BB248" i="3"/>
  <c r="BD248" i="3"/>
  <c r="BE248" i="3"/>
  <c r="BF248" i="3"/>
  <c r="BG248" i="3"/>
  <c r="BH248" i="3"/>
  <c r="BI248" i="3"/>
  <c r="BJ248" i="3"/>
  <c r="BK248" i="3"/>
  <c r="BA248" i="3"/>
  <c r="BM248" i="3"/>
  <c r="BN248" i="3"/>
  <c r="BO248" i="3"/>
  <c r="BP248" i="3"/>
  <c r="BQ248" i="3"/>
  <c r="BR248" i="3"/>
  <c r="BS248" i="3"/>
  <c r="BT248" i="3"/>
  <c r="BL248" i="3"/>
  <c r="AZ248" i="3"/>
  <c r="BB249" i="3"/>
  <c r="BD249" i="3"/>
  <c r="BE249" i="3"/>
  <c r="BF249" i="3"/>
  <c r="BG249" i="3"/>
  <c r="BH249" i="3"/>
  <c r="BI249" i="3"/>
  <c r="BJ249" i="3"/>
  <c r="BK249" i="3"/>
  <c r="BA249" i="3"/>
  <c r="BM249" i="3"/>
  <c r="BN249" i="3"/>
  <c r="BO249" i="3"/>
  <c r="BP249" i="3"/>
  <c r="BQ249" i="3"/>
  <c r="BR249" i="3"/>
  <c r="BS249" i="3"/>
  <c r="BT249" i="3"/>
  <c r="BL249" i="3"/>
  <c r="AZ249" i="3"/>
  <c r="BB250" i="3"/>
  <c r="BD250" i="3"/>
  <c r="BE250" i="3"/>
  <c r="BF250" i="3"/>
  <c r="BG250" i="3"/>
  <c r="BH250" i="3"/>
  <c r="BI250" i="3"/>
  <c r="BJ250" i="3"/>
  <c r="BK250" i="3"/>
  <c r="BA250" i="3"/>
  <c r="BM250" i="3"/>
  <c r="BN250" i="3"/>
  <c r="BO250" i="3"/>
  <c r="BP250" i="3"/>
  <c r="BQ250" i="3"/>
  <c r="BR250" i="3"/>
  <c r="BS250" i="3"/>
  <c r="BT250" i="3"/>
  <c r="BL250" i="3"/>
  <c r="AZ250" i="3"/>
  <c r="BB251" i="3"/>
  <c r="BD251" i="3"/>
  <c r="BE251" i="3"/>
  <c r="BF251" i="3"/>
  <c r="BG251" i="3"/>
  <c r="BH251" i="3"/>
  <c r="BI251" i="3"/>
  <c r="BJ251" i="3"/>
  <c r="BK251" i="3"/>
  <c r="BA251" i="3"/>
  <c r="BM251" i="3"/>
  <c r="BN251" i="3"/>
  <c r="BO251" i="3"/>
  <c r="BP251" i="3"/>
  <c r="BQ251" i="3"/>
  <c r="BR251" i="3"/>
  <c r="BS251" i="3"/>
  <c r="BT251" i="3"/>
  <c r="BL251" i="3"/>
  <c r="AZ251" i="3"/>
  <c r="BB252" i="3"/>
  <c r="BD252" i="3"/>
  <c r="BE252" i="3"/>
  <c r="BF252" i="3"/>
  <c r="BG252" i="3"/>
  <c r="BH252" i="3"/>
  <c r="BI252" i="3"/>
  <c r="BJ252" i="3"/>
  <c r="BK252" i="3"/>
  <c r="BA252" i="3"/>
  <c r="BM252" i="3"/>
  <c r="BN252" i="3"/>
  <c r="BO252" i="3"/>
  <c r="BP252" i="3"/>
  <c r="BQ252" i="3"/>
  <c r="BR252" i="3"/>
  <c r="BS252" i="3"/>
  <c r="BT252" i="3"/>
  <c r="BL252" i="3"/>
  <c r="AZ252" i="3"/>
  <c r="BB253" i="3"/>
  <c r="BD253" i="3"/>
  <c r="BE253" i="3"/>
  <c r="BF253" i="3"/>
  <c r="BG253" i="3"/>
  <c r="BH253" i="3"/>
  <c r="BI253" i="3"/>
  <c r="BJ253" i="3"/>
  <c r="BK253" i="3"/>
  <c r="BA253" i="3"/>
  <c r="BM253" i="3"/>
  <c r="BN253" i="3"/>
  <c r="BO253" i="3"/>
  <c r="BP253" i="3"/>
  <c r="BQ253" i="3"/>
  <c r="BR253" i="3"/>
  <c r="BS253" i="3"/>
  <c r="BT253" i="3"/>
  <c r="BL253" i="3"/>
  <c r="AZ253" i="3"/>
  <c r="BB254" i="3"/>
  <c r="BD254" i="3"/>
  <c r="BE254" i="3"/>
  <c r="BF254" i="3"/>
  <c r="BG254" i="3"/>
  <c r="BH254" i="3"/>
  <c r="BI254" i="3"/>
  <c r="BJ254" i="3"/>
  <c r="BK254" i="3"/>
  <c r="BA254" i="3"/>
  <c r="BM254" i="3"/>
  <c r="BN254" i="3"/>
  <c r="BO254" i="3"/>
  <c r="BP254" i="3"/>
  <c r="BQ254" i="3"/>
  <c r="BR254" i="3"/>
  <c r="BS254" i="3"/>
  <c r="BT254" i="3"/>
  <c r="BL254" i="3"/>
  <c r="AZ254" i="3"/>
  <c r="BB255" i="3"/>
  <c r="BD255" i="3"/>
  <c r="BE255" i="3"/>
  <c r="BF255" i="3"/>
  <c r="BG255" i="3"/>
  <c r="BH255" i="3"/>
  <c r="BI255" i="3"/>
  <c r="BJ255" i="3"/>
  <c r="BK255" i="3"/>
  <c r="BA255" i="3"/>
  <c r="BM255" i="3"/>
  <c r="BN255" i="3"/>
  <c r="BO255" i="3"/>
  <c r="BP255" i="3"/>
  <c r="BQ255" i="3"/>
  <c r="BR255" i="3"/>
  <c r="BS255" i="3"/>
  <c r="BT255" i="3"/>
  <c r="BL255" i="3"/>
  <c r="AZ255" i="3"/>
  <c r="BB256" i="3"/>
  <c r="BD256" i="3"/>
  <c r="BE256" i="3"/>
  <c r="BF256" i="3"/>
  <c r="BG256" i="3"/>
  <c r="BH256" i="3"/>
  <c r="BI256" i="3"/>
  <c r="BJ256" i="3"/>
  <c r="BK256" i="3"/>
  <c r="BA256" i="3"/>
  <c r="BM256" i="3"/>
  <c r="BN256" i="3"/>
  <c r="BO256" i="3"/>
  <c r="BP256" i="3"/>
  <c r="BQ256" i="3"/>
  <c r="BR256" i="3"/>
  <c r="BS256" i="3"/>
  <c r="BT256" i="3"/>
  <c r="BL256" i="3"/>
  <c r="AZ256" i="3"/>
  <c r="BB257" i="3"/>
  <c r="BD257" i="3"/>
  <c r="BE257" i="3"/>
  <c r="BF257" i="3"/>
  <c r="BG257" i="3"/>
  <c r="BH257" i="3"/>
  <c r="BI257" i="3"/>
  <c r="BJ257" i="3"/>
  <c r="BK257" i="3"/>
  <c r="BA257" i="3"/>
  <c r="BM257" i="3"/>
  <c r="BN257" i="3"/>
  <c r="BO257" i="3"/>
  <c r="BP257" i="3"/>
  <c r="BQ257" i="3"/>
  <c r="BR257" i="3"/>
  <c r="BS257" i="3"/>
  <c r="BT257" i="3"/>
  <c r="BL257" i="3"/>
  <c r="AZ257" i="3"/>
  <c r="BB258" i="3"/>
  <c r="BD258" i="3"/>
  <c r="BE258" i="3"/>
  <c r="BF258" i="3"/>
  <c r="BG258" i="3"/>
  <c r="BH258" i="3"/>
  <c r="BI258" i="3"/>
  <c r="BJ258" i="3"/>
  <c r="BK258" i="3"/>
  <c r="BA258" i="3"/>
  <c r="BM258" i="3"/>
  <c r="BN258" i="3"/>
  <c r="BO258" i="3"/>
  <c r="BP258" i="3"/>
  <c r="BQ258" i="3"/>
  <c r="BR258" i="3"/>
  <c r="BS258" i="3"/>
  <c r="BT258" i="3"/>
  <c r="BL258" i="3"/>
  <c r="AZ258" i="3"/>
  <c r="BB259" i="3"/>
  <c r="BD259" i="3"/>
  <c r="BE259" i="3"/>
  <c r="BF259" i="3"/>
  <c r="BG259" i="3"/>
  <c r="BH259" i="3"/>
  <c r="BI259" i="3"/>
  <c r="BJ259" i="3"/>
  <c r="BK259" i="3"/>
  <c r="BA259" i="3"/>
  <c r="BM259" i="3"/>
  <c r="BN259" i="3"/>
  <c r="BO259" i="3"/>
  <c r="BP259" i="3"/>
  <c r="BQ259" i="3"/>
  <c r="BR259" i="3"/>
  <c r="BS259" i="3"/>
  <c r="BT259" i="3"/>
  <c r="BL259" i="3"/>
  <c r="AZ259" i="3"/>
  <c r="BB260" i="3"/>
  <c r="BD260" i="3"/>
  <c r="BE260" i="3"/>
  <c r="BF260" i="3"/>
  <c r="BG260" i="3"/>
  <c r="BH260" i="3"/>
  <c r="BI260" i="3"/>
  <c r="BJ260" i="3"/>
  <c r="BK260" i="3"/>
  <c r="BA260" i="3"/>
  <c r="BM260" i="3"/>
  <c r="BN260" i="3"/>
  <c r="BO260" i="3"/>
  <c r="BP260" i="3"/>
  <c r="BQ260" i="3"/>
  <c r="BR260" i="3"/>
  <c r="BS260" i="3"/>
  <c r="BT260" i="3"/>
  <c r="BL260" i="3"/>
  <c r="AZ260" i="3"/>
  <c r="BB261" i="3"/>
  <c r="BD261" i="3"/>
  <c r="BE261" i="3"/>
  <c r="BF261" i="3"/>
  <c r="BG261" i="3"/>
  <c r="BH261" i="3"/>
  <c r="BI261" i="3"/>
  <c r="BJ261" i="3"/>
  <c r="BK261" i="3"/>
  <c r="BA261" i="3"/>
  <c r="BM261" i="3"/>
  <c r="BN261" i="3"/>
  <c r="BO261" i="3"/>
  <c r="BP261" i="3"/>
  <c r="BQ261" i="3"/>
  <c r="BR261" i="3"/>
  <c r="BS261" i="3"/>
  <c r="BT261" i="3"/>
  <c r="BL261" i="3"/>
  <c r="AZ261" i="3"/>
  <c r="BB262" i="3"/>
  <c r="BD262" i="3"/>
  <c r="BE262" i="3"/>
  <c r="BF262" i="3"/>
  <c r="BG262" i="3"/>
  <c r="BH262" i="3"/>
  <c r="BI262" i="3"/>
  <c r="BJ262" i="3"/>
  <c r="BK262" i="3"/>
  <c r="BA262" i="3"/>
  <c r="BM262" i="3"/>
  <c r="BN262" i="3"/>
  <c r="BO262" i="3"/>
  <c r="BP262" i="3"/>
  <c r="BQ262" i="3"/>
  <c r="BR262" i="3"/>
  <c r="BS262" i="3"/>
  <c r="BT262" i="3"/>
  <c r="BL262" i="3"/>
  <c r="AZ262" i="3"/>
  <c r="BB263" i="3"/>
  <c r="BD263" i="3"/>
  <c r="BE263" i="3"/>
  <c r="BF263" i="3"/>
  <c r="BG263" i="3"/>
  <c r="BH263" i="3"/>
  <c r="BI263" i="3"/>
  <c r="BJ263" i="3"/>
  <c r="BK263" i="3"/>
  <c r="BA263" i="3"/>
  <c r="BM263" i="3"/>
  <c r="BN263" i="3"/>
  <c r="BO263" i="3"/>
  <c r="BP263" i="3"/>
  <c r="BQ263" i="3"/>
  <c r="BR263" i="3"/>
  <c r="BS263" i="3"/>
  <c r="BT263" i="3"/>
  <c r="BL263" i="3"/>
  <c r="AZ263" i="3"/>
  <c r="BB264" i="3"/>
  <c r="BD264" i="3"/>
  <c r="BE264" i="3"/>
  <c r="BF264" i="3"/>
  <c r="BG264" i="3"/>
  <c r="BH264" i="3"/>
  <c r="BI264" i="3"/>
  <c r="BJ264" i="3"/>
  <c r="BK264" i="3"/>
  <c r="BA264" i="3"/>
  <c r="BM264" i="3"/>
  <c r="BN264" i="3"/>
  <c r="BO264" i="3"/>
  <c r="BP264" i="3"/>
  <c r="BQ264" i="3"/>
  <c r="BR264" i="3"/>
  <c r="BS264" i="3"/>
  <c r="BT264" i="3"/>
  <c r="BL264" i="3"/>
  <c r="AZ264" i="3"/>
  <c r="BB265" i="3"/>
  <c r="BD265" i="3"/>
  <c r="BE265" i="3"/>
  <c r="BF265" i="3"/>
  <c r="BG265" i="3"/>
  <c r="BH265" i="3"/>
  <c r="BI265" i="3"/>
  <c r="BJ265" i="3"/>
  <c r="BK265" i="3"/>
  <c r="BA265" i="3"/>
  <c r="BM265" i="3"/>
  <c r="BN265" i="3"/>
  <c r="BO265" i="3"/>
  <c r="BP265" i="3"/>
  <c r="BQ265" i="3"/>
  <c r="BR265" i="3"/>
  <c r="BS265" i="3"/>
  <c r="BT265" i="3"/>
  <c r="BL265" i="3"/>
  <c r="AZ265" i="3"/>
  <c r="BB266" i="3"/>
  <c r="BD266" i="3"/>
  <c r="BE266" i="3"/>
  <c r="BF266" i="3"/>
  <c r="BG266" i="3"/>
  <c r="BH266" i="3"/>
  <c r="BI266" i="3"/>
  <c r="BJ266" i="3"/>
  <c r="BK266" i="3"/>
  <c r="BA266" i="3"/>
  <c r="BM266" i="3"/>
  <c r="BN266" i="3"/>
  <c r="BO266" i="3"/>
  <c r="BP266" i="3"/>
  <c r="BQ266" i="3"/>
  <c r="BR266" i="3"/>
  <c r="BS266" i="3"/>
  <c r="BT266" i="3"/>
  <c r="BL266" i="3"/>
  <c r="AZ266" i="3"/>
  <c r="BB267" i="3"/>
  <c r="BD267" i="3"/>
  <c r="BE267" i="3"/>
  <c r="BF267" i="3"/>
  <c r="BG267" i="3"/>
  <c r="BH267" i="3"/>
  <c r="BI267" i="3"/>
  <c r="BJ267" i="3"/>
  <c r="BK267" i="3"/>
  <c r="BA267" i="3"/>
  <c r="BM267" i="3"/>
  <c r="BN267" i="3"/>
  <c r="BO267" i="3"/>
  <c r="BP267" i="3"/>
  <c r="BQ267" i="3"/>
  <c r="BR267" i="3"/>
  <c r="BS267" i="3"/>
  <c r="BT267" i="3"/>
  <c r="BL267" i="3"/>
  <c r="AZ267" i="3"/>
  <c r="BB268" i="3"/>
  <c r="BD268" i="3"/>
  <c r="BE268" i="3"/>
  <c r="BF268" i="3"/>
  <c r="BG268" i="3"/>
  <c r="BH268" i="3"/>
  <c r="BI268" i="3"/>
  <c r="BJ268" i="3"/>
  <c r="BK268" i="3"/>
  <c r="BA268" i="3"/>
  <c r="BM268" i="3"/>
  <c r="BN268" i="3"/>
  <c r="BO268" i="3"/>
  <c r="BP268" i="3"/>
  <c r="BQ268" i="3"/>
  <c r="BR268" i="3"/>
  <c r="BS268" i="3"/>
  <c r="BT268" i="3"/>
  <c r="BL268" i="3"/>
  <c r="AZ268" i="3"/>
  <c r="BB269" i="3"/>
  <c r="BD269" i="3"/>
  <c r="BE269" i="3"/>
  <c r="BF269" i="3"/>
  <c r="BG269" i="3"/>
  <c r="BH269" i="3"/>
  <c r="BI269" i="3"/>
  <c r="BJ269" i="3"/>
  <c r="BK269" i="3"/>
  <c r="BA269" i="3"/>
  <c r="BM269" i="3"/>
  <c r="BN269" i="3"/>
  <c r="BO269" i="3"/>
  <c r="BP269" i="3"/>
  <c r="BQ269" i="3"/>
  <c r="BR269" i="3"/>
  <c r="BS269" i="3"/>
  <c r="BT269" i="3"/>
  <c r="BL269" i="3"/>
  <c r="AZ269" i="3"/>
  <c r="BB270" i="3"/>
  <c r="BD270" i="3"/>
  <c r="BE270" i="3"/>
  <c r="BF270" i="3"/>
  <c r="BG270" i="3"/>
  <c r="BH270" i="3"/>
  <c r="BI270" i="3"/>
  <c r="BJ270" i="3"/>
  <c r="BK270" i="3"/>
  <c r="BA270" i="3"/>
  <c r="BM270" i="3"/>
  <c r="BN270" i="3"/>
  <c r="BO270" i="3"/>
  <c r="BP270" i="3"/>
  <c r="BQ270" i="3"/>
  <c r="BR270" i="3"/>
  <c r="BS270" i="3"/>
  <c r="BT270" i="3"/>
  <c r="BL270" i="3"/>
  <c r="AZ270" i="3"/>
  <c r="BB271" i="3"/>
  <c r="BD271" i="3"/>
  <c r="BE271" i="3"/>
  <c r="BF271" i="3"/>
  <c r="BG271" i="3"/>
  <c r="BH271" i="3"/>
  <c r="BI271" i="3"/>
  <c r="BJ271" i="3"/>
  <c r="BK271" i="3"/>
  <c r="BA271" i="3"/>
  <c r="BM271" i="3"/>
  <c r="BN271" i="3"/>
  <c r="BO271" i="3"/>
  <c r="BP271" i="3"/>
  <c r="BQ271" i="3"/>
  <c r="BR271" i="3"/>
  <c r="BS271" i="3"/>
  <c r="BT271" i="3"/>
  <c r="BL271" i="3"/>
  <c r="AZ271" i="3"/>
  <c r="BB272" i="3"/>
  <c r="BD272" i="3"/>
  <c r="BE272" i="3"/>
  <c r="BF272" i="3"/>
  <c r="BG272" i="3"/>
  <c r="BH272" i="3"/>
  <c r="BI272" i="3"/>
  <c r="BJ272" i="3"/>
  <c r="BK272" i="3"/>
  <c r="BA272" i="3"/>
  <c r="BM272" i="3"/>
  <c r="BN272" i="3"/>
  <c r="BO272" i="3"/>
  <c r="BP272" i="3"/>
  <c r="BQ272" i="3"/>
  <c r="BR272" i="3"/>
  <c r="BS272" i="3"/>
  <c r="BT272" i="3"/>
  <c r="BL272" i="3"/>
  <c r="AZ272" i="3"/>
  <c r="BB273" i="3"/>
  <c r="BD273" i="3"/>
  <c r="BE273" i="3"/>
  <c r="BF273" i="3"/>
  <c r="BG273" i="3"/>
  <c r="BH273" i="3"/>
  <c r="BI273" i="3"/>
  <c r="BJ273" i="3"/>
  <c r="BK273" i="3"/>
  <c r="BA273" i="3"/>
  <c r="BM273" i="3"/>
  <c r="BN273" i="3"/>
  <c r="BO273" i="3"/>
  <c r="BP273" i="3"/>
  <c r="BQ273" i="3"/>
  <c r="BR273" i="3"/>
  <c r="BS273" i="3"/>
  <c r="BT273" i="3"/>
  <c r="BL273" i="3"/>
  <c r="AZ273" i="3"/>
  <c r="BB274" i="3"/>
  <c r="BD274" i="3"/>
  <c r="BE274" i="3"/>
  <c r="BF274" i="3"/>
  <c r="BG274" i="3"/>
  <c r="BH274" i="3"/>
  <c r="BI274" i="3"/>
  <c r="BJ274" i="3"/>
  <c r="BK274" i="3"/>
  <c r="BA274" i="3"/>
  <c r="BM274" i="3"/>
  <c r="BN274" i="3"/>
  <c r="BO274" i="3"/>
  <c r="BP274" i="3"/>
  <c r="BQ274" i="3"/>
  <c r="BR274" i="3"/>
  <c r="BS274" i="3"/>
  <c r="BT274" i="3"/>
  <c r="BL274" i="3"/>
  <c r="AZ274" i="3"/>
  <c r="BB275" i="3"/>
  <c r="BD275" i="3"/>
  <c r="BE275" i="3"/>
  <c r="BF275" i="3"/>
  <c r="BG275" i="3"/>
  <c r="BH275" i="3"/>
  <c r="BI275" i="3"/>
  <c r="BJ275" i="3"/>
  <c r="BK275" i="3"/>
  <c r="BA275" i="3"/>
  <c r="BM275" i="3"/>
  <c r="BN275" i="3"/>
  <c r="BO275" i="3"/>
  <c r="BP275" i="3"/>
  <c r="BQ275" i="3"/>
  <c r="BR275" i="3"/>
  <c r="BS275" i="3"/>
  <c r="BT275" i="3"/>
  <c r="BL275" i="3"/>
  <c r="AZ275" i="3"/>
  <c r="BB276" i="3"/>
  <c r="BD276" i="3"/>
  <c r="BE276" i="3"/>
  <c r="BF276" i="3"/>
  <c r="BG276" i="3"/>
  <c r="BH276" i="3"/>
  <c r="BI276" i="3"/>
  <c r="BJ276" i="3"/>
  <c r="BK276" i="3"/>
  <c r="BA276" i="3"/>
  <c r="BM276" i="3"/>
  <c r="BN276" i="3"/>
  <c r="BO276" i="3"/>
  <c r="BP276" i="3"/>
  <c r="BQ276" i="3"/>
  <c r="BR276" i="3"/>
  <c r="BS276" i="3"/>
  <c r="BT276" i="3"/>
  <c r="BL276" i="3"/>
  <c r="AZ276" i="3"/>
  <c r="BB277" i="3"/>
  <c r="BD277" i="3"/>
  <c r="BE277" i="3"/>
  <c r="BF277" i="3"/>
  <c r="BG277" i="3"/>
  <c r="BH277" i="3"/>
  <c r="BI277" i="3"/>
  <c r="BJ277" i="3"/>
  <c r="BK277" i="3"/>
  <c r="BA277" i="3"/>
  <c r="BM277" i="3"/>
  <c r="BN277" i="3"/>
  <c r="BO277" i="3"/>
  <c r="BP277" i="3"/>
  <c r="BQ277" i="3"/>
  <c r="BR277" i="3"/>
  <c r="BS277" i="3"/>
  <c r="BT277" i="3"/>
  <c r="BL277" i="3"/>
  <c r="AZ277" i="3"/>
  <c r="BB278" i="3"/>
  <c r="BD278" i="3"/>
  <c r="BE278" i="3"/>
  <c r="BF278" i="3"/>
  <c r="BG278" i="3"/>
  <c r="BH278" i="3"/>
  <c r="BI278" i="3"/>
  <c r="BJ278" i="3"/>
  <c r="BK278" i="3"/>
  <c r="BA278" i="3"/>
  <c r="BM278" i="3"/>
  <c r="BN278" i="3"/>
  <c r="BO278" i="3"/>
  <c r="BP278" i="3"/>
  <c r="BQ278" i="3"/>
  <c r="BR278" i="3"/>
  <c r="BS278" i="3"/>
  <c r="BT278" i="3"/>
  <c r="BL278" i="3"/>
  <c r="AZ278" i="3"/>
  <c r="BB279" i="3"/>
  <c r="BD279" i="3"/>
  <c r="BE279" i="3"/>
  <c r="BF279" i="3"/>
  <c r="BG279" i="3"/>
  <c r="BH279" i="3"/>
  <c r="BI279" i="3"/>
  <c r="BJ279" i="3"/>
  <c r="BK279" i="3"/>
  <c r="BA279" i="3"/>
  <c r="BM279" i="3"/>
  <c r="BN279" i="3"/>
  <c r="BO279" i="3"/>
  <c r="BP279" i="3"/>
  <c r="BQ279" i="3"/>
  <c r="BR279" i="3"/>
  <c r="BS279" i="3"/>
  <c r="BT279" i="3"/>
  <c r="BL279" i="3"/>
  <c r="AZ279" i="3"/>
  <c r="BB280" i="3"/>
  <c r="BD280" i="3"/>
  <c r="BE280" i="3"/>
  <c r="BF280" i="3"/>
  <c r="BG280" i="3"/>
  <c r="BH280" i="3"/>
  <c r="BI280" i="3"/>
  <c r="BJ280" i="3"/>
  <c r="BK280" i="3"/>
  <c r="BA280" i="3"/>
  <c r="BM280" i="3"/>
  <c r="BN280" i="3"/>
  <c r="BO280" i="3"/>
  <c r="BP280" i="3"/>
  <c r="BQ280" i="3"/>
  <c r="BR280" i="3"/>
  <c r="BS280" i="3"/>
  <c r="BT280" i="3"/>
  <c r="BL280" i="3"/>
  <c r="AZ280" i="3"/>
  <c r="BB281" i="3"/>
  <c r="BD281" i="3"/>
  <c r="BE281" i="3"/>
  <c r="BF281" i="3"/>
  <c r="BG281" i="3"/>
  <c r="BH281" i="3"/>
  <c r="BI281" i="3"/>
  <c r="BJ281" i="3"/>
  <c r="BK281" i="3"/>
  <c r="BA281" i="3"/>
  <c r="BM281" i="3"/>
  <c r="BN281" i="3"/>
  <c r="BO281" i="3"/>
  <c r="BP281" i="3"/>
  <c r="BQ281" i="3"/>
  <c r="BR281" i="3"/>
  <c r="BS281" i="3"/>
  <c r="BT281" i="3"/>
  <c r="BL281" i="3"/>
  <c r="AZ281" i="3"/>
  <c r="BB282" i="3"/>
  <c r="BD282" i="3"/>
  <c r="BE282" i="3"/>
  <c r="BF282" i="3"/>
  <c r="BG282" i="3"/>
  <c r="BH282" i="3"/>
  <c r="BI282" i="3"/>
  <c r="BJ282" i="3"/>
  <c r="BK282" i="3"/>
  <c r="BA282" i="3"/>
  <c r="BM282" i="3"/>
  <c r="BN282" i="3"/>
  <c r="BO282" i="3"/>
  <c r="BP282" i="3"/>
  <c r="BQ282" i="3"/>
  <c r="BR282" i="3"/>
  <c r="BS282" i="3"/>
  <c r="BT282" i="3"/>
  <c r="BL282" i="3"/>
  <c r="AZ282" i="3"/>
  <c r="BB283" i="3"/>
  <c r="BD283" i="3"/>
  <c r="BE283" i="3"/>
  <c r="BF283" i="3"/>
  <c r="BG283" i="3"/>
  <c r="BH283" i="3"/>
  <c r="BI283" i="3"/>
  <c r="BJ283" i="3"/>
  <c r="BK283" i="3"/>
  <c r="BA283" i="3"/>
  <c r="BM283" i="3"/>
  <c r="BN283" i="3"/>
  <c r="BO283" i="3"/>
  <c r="BP283" i="3"/>
  <c r="BQ283" i="3"/>
  <c r="BR283" i="3"/>
  <c r="BS283" i="3"/>
  <c r="BT283" i="3"/>
  <c r="BL283" i="3"/>
  <c r="AZ283" i="3"/>
  <c r="BB284" i="3"/>
  <c r="BD284" i="3"/>
  <c r="BE284" i="3"/>
  <c r="BF284" i="3"/>
  <c r="BG284" i="3"/>
  <c r="BH284" i="3"/>
  <c r="BI284" i="3"/>
  <c r="BJ284" i="3"/>
  <c r="BK284" i="3"/>
  <c r="BA284" i="3"/>
  <c r="BM284" i="3"/>
  <c r="BN284" i="3"/>
  <c r="BO284" i="3"/>
  <c r="BP284" i="3"/>
  <c r="BQ284" i="3"/>
  <c r="BR284" i="3"/>
  <c r="BS284" i="3"/>
  <c r="BT284" i="3"/>
  <c r="BL284" i="3"/>
  <c r="AZ284" i="3"/>
  <c r="BB285" i="3"/>
  <c r="BD285" i="3"/>
  <c r="BE285" i="3"/>
  <c r="BF285" i="3"/>
  <c r="BG285" i="3"/>
  <c r="BH285" i="3"/>
  <c r="BI285" i="3"/>
  <c r="BJ285" i="3"/>
  <c r="BK285" i="3"/>
  <c r="BA285" i="3"/>
  <c r="BM285" i="3"/>
  <c r="BN285" i="3"/>
  <c r="BO285" i="3"/>
  <c r="BP285" i="3"/>
  <c r="BQ285" i="3"/>
  <c r="BR285" i="3"/>
  <c r="BS285" i="3"/>
  <c r="BT285" i="3"/>
  <c r="BL285" i="3"/>
  <c r="AZ285" i="3"/>
  <c r="BB286" i="3"/>
  <c r="BD286" i="3"/>
  <c r="BE286" i="3"/>
  <c r="BF286" i="3"/>
  <c r="BG286" i="3"/>
  <c r="BH286" i="3"/>
  <c r="BI286" i="3"/>
  <c r="BJ286" i="3"/>
  <c r="BK286" i="3"/>
  <c r="BA286" i="3"/>
  <c r="BM286" i="3"/>
  <c r="BN286" i="3"/>
  <c r="BO286" i="3"/>
  <c r="BP286" i="3"/>
  <c r="BQ286" i="3"/>
  <c r="BR286" i="3"/>
  <c r="BS286" i="3"/>
  <c r="BT286" i="3"/>
  <c r="BL286" i="3"/>
  <c r="AZ286" i="3"/>
  <c r="BB287" i="3"/>
  <c r="BD287" i="3"/>
  <c r="BE287" i="3"/>
  <c r="BF287" i="3"/>
  <c r="BG287" i="3"/>
  <c r="BH287" i="3"/>
  <c r="BI287" i="3"/>
  <c r="BJ287" i="3"/>
  <c r="BK287" i="3"/>
  <c r="BA287" i="3"/>
  <c r="BM287" i="3"/>
  <c r="BN287" i="3"/>
  <c r="BO287" i="3"/>
  <c r="BP287" i="3"/>
  <c r="BQ287" i="3"/>
  <c r="BR287" i="3"/>
  <c r="BS287" i="3"/>
  <c r="BT287" i="3"/>
  <c r="BL287" i="3"/>
  <c r="AZ287" i="3"/>
  <c r="BB288" i="3"/>
  <c r="BD288" i="3"/>
  <c r="BE288" i="3"/>
  <c r="BF288" i="3"/>
  <c r="BG288" i="3"/>
  <c r="BH288" i="3"/>
  <c r="BI288" i="3"/>
  <c r="BJ288" i="3"/>
  <c r="BK288" i="3"/>
  <c r="BA288" i="3"/>
  <c r="BM288" i="3"/>
  <c r="BN288" i="3"/>
  <c r="BO288" i="3"/>
  <c r="BP288" i="3"/>
  <c r="BQ288" i="3"/>
  <c r="BR288" i="3"/>
  <c r="BS288" i="3"/>
  <c r="BT288" i="3"/>
  <c r="BL288" i="3"/>
  <c r="AZ288" i="3"/>
  <c r="BB289" i="3"/>
  <c r="BD289" i="3"/>
  <c r="BE289" i="3"/>
  <c r="BF289" i="3"/>
  <c r="BG289" i="3"/>
  <c r="BH289" i="3"/>
  <c r="BI289" i="3"/>
  <c r="BJ289" i="3"/>
  <c r="BK289" i="3"/>
  <c r="BA289" i="3"/>
  <c r="BM289" i="3"/>
  <c r="BN289" i="3"/>
  <c r="BO289" i="3"/>
  <c r="BP289" i="3"/>
  <c r="BQ289" i="3"/>
  <c r="BR289" i="3"/>
  <c r="BS289" i="3"/>
  <c r="BT289" i="3"/>
  <c r="BL289" i="3"/>
  <c r="AZ289" i="3"/>
  <c r="BB290" i="3"/>
  <c r="BD290" i="3"/>
  <c r="BE290" i="3"/>
  <c r="BF290" i="3"/>
  <c r="BG290" i="3"/>
  <c r="BH290" i="3"/>
  <c r="BI290" i="3"/>
  <c r="BJ290" i="3"/>
  <c r="BK290" i="3"/>
  <c r="BA290" i="3"/>
  <c r="BM290" i="3"/>
  <c r="BN290" i="3"/>
  <c r="BO290" i="3"/>
  <c r="BP290" i="3"/>
  <c r="BQ290" i="3"/>
  <c r="BR290" i="3"/>
  <c r="BS290" i="3"/>
  <c r="BT290" i="3"/>
  <c r="BL290" i="3"/>
  <c r="AZ290" i="3"/>
  <c r="BB291" i="3"/>
  <c r="BD291" i="3"/>
  <c r="BE291" i="3"/>
  <c r="BF291" i="3"/>
  <c r="BG291" i="3"/>
  <c r="BH291" i="3"/>
  <c r="BI291" i="3"/>
  <c r="BJ291" i="3"/>
  <c r="BK291" i="3"/>
  <c r="BA291" i="3"/>
  <c r="BM291" i="3"/>
  <c r="BN291" i="3"/>
  <c r="BO291" i="3"/>
  <c r="BP291" i="3"/>
  <c r="BQ291" i="3"/>
  <c r="BR291" i="3"/>
  <c r="BS291" i="3"/>
  <c r="BT291" i="3"/>
  <c r="BL291" i="3"/>
  <c r="AZ291" i="3"/>
  <c r="BB292" i="3"/>
  <c r="BD292" i="3"/>
  <c r="BE292" i="3"/>
  <c r="BF292" i="3"/>
  <c r="BG292" i="3"/>
  <c r="BH292" i="3"/>
  <c r="BI292" i="3"/>
  <c r="BJ292" i="3"/>
  <c r="BK292" i="3"/>
  <c r="BA292" i="3"/>
  <c r="BM292" i="3"/>
  <c r="BN292" i="3"/>
  <c r="BO292" i="3"/>
  <c r="BP292" i="3"/>
  <c r="BQ292" i="3"/>
  <c r="BR292" i="3"/>
  <c r="BS292" i="3"/>
  <c r="BT292" i="3"/>
  <c r="BL292" i="3"/>
  <c r="AZ292" i="3"/>
  <c r="BB293" i="3"/>
  <c r="BD293" i="3"/>
  <c r="BE293" i="3"/>
  <c r="BF293" i="3"/>
  <c r="BG293" i="3"/>
  <c r="BH293" i="3"/>
  <c r="BI293" i="3"/>
  <c r="BJ293" i="3"/>
  <c r="BK293" i="3"/>
  <c r="BA293" i="3"/>
  <c r="BM293" i="3"/>
  <c r="BN293" i="3"/>
  <c r="BO293" i="3"/>
  <c r="BP293" i="3"/>
  <c r="BQ293" i="3"/>
  <c r="BR293" i="3"/>
  <c r="BS293" i="3"/>
  <c r="BT293" i="3"/>
  <c r="BL293" i="3"/>
  <c r="AZ293" i="3"/>
  <c r="BB294" i="3"/>
  <c r="BD294" i="3"/>
  <c r="BE294" i="3"/>
  <c r="BF294" i="3"/>
  <c r="BG294" i="3"/>
  <c r="BH294" i="3"/>
  <c r="BI294" i="3"/>
  <c r="BJ294" i="3"/>
  <c r="BK294" i="3"/>
  <c r="BA294" i="3"/>
  <c r="BM294" i="3"/>
  <c r="BN294" i="3"/>
  <c r="BO294" i="3"/>
  <c r="BP294" i="3"/>
  <c r="BQ294" i="3"/>
  <c r="BR294" i="3"/>
  <c r="BS294" i="3"/>
  <c r="BT294" i="3"/>
  <c r="BL294" i="3"/>
  <c r="AZ294" i="3"/>
  <c r="BB295" i="3"/>
  <c r="BD295" i="3"/>
  <c r="BE295" i="3"/>
  <c r="BF295" i="3"/>
  <c r="BG295" i="3"/>
  <c r="BH295" i="3"/>
  <c r="BI295" i="3"/>
  <c r="BJ295" i="3"/>
  <c r="BK295" i="3"/>
  <c r="BA295" i="3"/>
  <c r="BM295" i="3"/>
  <c r="BN295" i="3"/>
  <c r="BO295" i="3"/>
  <c r="BP295" i="3"/>
  <c r="BQ295" i="3"/>
  <c r="BR295" i="3"/>
  <c r="BS295" i="3"/>
  <c r="BT295" i="3"/>
  <c r="BL295" i="3"/>
  <c r="AZ295" i="3"/>
  <c r="BB296" i="3"/>
  <c r="BD296" i="3"/>
  <c r="BE296" i="3"/>
  <c r="BF296" i="3"/>
  <c r="BG296" i="3"/>
  <c r="BH296" i="3"/>
  <c r="BI296" i="3"/>
  <c r="BJ296" i="3"/>
  <c r="BK296" i="3"/>
  <c r="BA296" i="3"/>
  <c r="BM296" i="3"/>
  <c r="BN296" i="3"/>
  <c r="BO296" i="3"/>
  <c r="BP296" i="3"/>
  <c r="BQ296" i="3"/>
  <c r="BR296" i="3"/>
  <c r="BS296" i="3"/>
  <c r="BT296" i="3"/>
  <c r="BL296" i="3"/>
  <c r="AZ296" i="3"/>
  <c r="BB297" i="3"/>
  <c r="BD297" i="3"/>
  <c r="BE297" i="3"/>
  <c r="BF297" i="3"/>
  <c r="BG297" i="3"/>
  <c r="BH297" i="3"/>
  <c r="BI297" i="3"/>
  <c r="BJ297" i="3"/>
  <c r="BK297" i="3"/>
  <c r="BA297" i="3"/>
  <c r="BM297" i="3"/>
  <c r="BN297" i="3"/>
  <c r="BO297" i="3"/>
  <c r="BP297" i="3"/>
  <c r="BQ297" i="3"/>
  <c r="BR297" i="3"/>
  <c r="BS297" i="3"/>
  <c r="BT297" i="3"/>
  <c r="BL297" i="3"/>
  <c r="AZ297" i="3"/>
  <c r="BB298" i="3"/>
  <c r="BD298" i="3"/>
  <c r="BE298" i="3"/>
  <c r="BF298" i="3"/>
  <c r="BG298" i="3"/>
  <c r="BH298" i="3"/>
  <c r="BI298" i="3"/>
  <c r="BJ298" i="3"/>
  <c r="BK298" i="3"/>
  <c r="BA298" i="3"/>
  <c r="BM298" i="3"/>
  <c r="BN298" i="3"/>
  <c r="BO298" i="3"/>
  <c r="BP298" i="3"/>
  <c r="BQ298" i="3"/>
  <c r="BR298" i="3"/>
  <c r="BS298" i="3"/>
  <c r="BT298" i="3"/>
  <c r="BL298" i="3"/>
  <c r="AZ298" i="3"/>
  <c r="BB299" i="3"/>
  <c r="BD299" i="3"/>
  <c r="BE299" i="3"/>
  <c r="BF299" i="3"/>
  <c r="BG299" i="3"/>
  <c r="BH299" i="3"/>
  <c r="BI299" i="3"/>
  <c r="BJ299" i="3"/>
  <c r="BK299" i="3"/>
  <c r="BA299" i="3"/>
  <c r="BM299" i="3"/>
  <c r="BN299" i="3"/>
  <c r="BO299" i="3"/>
  <c r="BP299" i="3"/>
  <c r="BQ299" i="3"/>
  <c r="BR299" i="3"/>
  <c r="BS299" i="3"/>
  <c r="BT299" i="3"/>
  <c r="BL299" i="3"/>
  <c r="AZ299" i="3"/>
  <c r="BB300" i="3"/>
  <c r="BD300" i="3"/>
  <c r="BE300" i="3"/>
  <c r="BF300" i="3"/>
  <c r="BG300" i="3"/>
  <c r="BH300" i="3"/>
  <c r="BI300" i="3"/>
  <c r="BJ300" i="3"/>
  <c r="BK300" i="3"/>
  <c r="BA300" i="3"/>
  <c r="BM300" i="3"/>
  <c r="BN300" i="3"/>
  <c r="BO300" i="3"/>
  <c r="BP300" i="3"/>
  <c r="BQ300" i="3"/>
  <c r="BR300" i="3"/>
  <c r="BS300" i="3"/>
  <c r="BT300" i="3"/>
  <c r="BL300" i="3"/>
  <c r="AZ300" i="3"/>
  <c r="BB301" i="3"/>
  <c r="BD301" i="3"/>
  <c r="BE301" i="3"/>
  <c r="BF301" i="3"/>
  <c r="BG301" i="3"/>
  <c r="BH301" i="3"/>
  <c r="BI301" i="3"/>
  <c r="BJ301" i="3"/>
  <c r="BK301" i="3"/>
  <c r="BA301" i="3"/>
  <c r="BM301" i="3"/>
  <c r="BN301" i="3"/>
  <c r="BO301" i="3"/>
  <c r="BP301" i="3"/>
  <c r="BQ301" i="3"/>
  <c r="BR301" i="3"/>
  <c r="BS301" i="3"/>
  <c r="BT301" i="3"/>
  <c r="BL301" i="3"/>
  <c r="AZ301" i="3"/>
  <c r="BB302" i="3"/>
  <c r="BD302" i="3"/>
  <c r="BE302" i="3"/>
  <c r="BF302" i="3"/>
  <c r="BG302" i="3"/>
  <c r="BH302" i="3"/>
  <c r="BI302" i="3"/>
  <c r="BJ302" i="3"/>
  <c r="BK302" i="3"/>
  <c r="BA302" i="3"/>
  <c r="BM302" i="3"/>
  <c r="BN302" i="3"/>
  <c r="BO302" i="3"/>
  <c r="BP302" i="3"/>
  <c r="BQ302" i="3"/>
  <c r="BR302" i="3"/>
  <c r="BS302" i="3"/>
  <c r="BT302" i="3"/>
  <c r="BL302" i="3"/>
  <c r="AZ302" i="3"/>
  <c r="BB303" i="3"/>
  <c r="BD303" i="3"/>
  <c r="BE303" i="3"/>
  <c r="BF303" i="3"/>
  <c r="BG303" i="3"/>
  <c r="BH303" i="3"/>
  <c r="BI303" i="3"/>
  <c r="BJ303" i="3"/>
  <c r="BK303" i="3"/>
  <c r="BA303" i="3"/>
  <c r="BM303" i="3"/>
  <c r="BN303" i="3"/>
  <c r="BO303" i="3"/>
  <c r="BP303" i="3"/>
  <c r="BQ303" i="3"/>
  <c r="BR303" i="3"/>
  <c r="BS303" i="3"/>
  <c r="BT303" i="3"/>
  <c r="BL303" i="3"/>
  <c r="AZ303" i="3"/>
  <c r="BB304" i="3"/>
  <c r="BD304" i="3"/>
  <c r="BE304" i="3"/>
  <c r="BF304" i="3"/>
  <c r="BG304" i="3"/>
  <c r="BH304" i="3"/>
  <c r="BI304" i="3"/>
  <c r="BJ304" i="3"/>
  <c r="BK304" i="3"/>
  <c r="BA304" i="3"/>
  <c r="BM304" i="3"/>
  <c r="BN304" i="3"/>
  <c r="BO304" i="3"/>
  <c r="BP304" i="3"/>
  <c r="BQ304" i="3"/>
  <c r="BR304" i="3"/>
  <c r="BS304" i="3"/>
  <c r="BT304" i="3"/>
  <c r="BL304" i="3"/>
  <c r="AZ304" i="3"/>
  <c r="BB305" i="3"/>
  <c r="BD305" i="3"/>
  <c r="BE305" i="3"/>
  <c r="BF305" i="3"/>
  <c r="BG305" i="3"/>
  <c r="BH305" i="3"/>
  <c r="BI305" i="3"/>
  <c r="BJ305" i="3"/>
  <c r="BK305" i="3"/>
  <c r="BA305" i="3"/>
  <c r="BM305" i="3"/>
  <c r="BN305" i="3"/>
  <c r="BO305" i="3"/>
  <c r="BP305" i="3"/>
  <c r="BQ305" i="3"/>
  <c r="BR305" i="3"/>
  <c r="BS305" i="3"/>
  <c r="BT305" i="3"/>
  <c r="BL305" i="3"/>
  <c r="AZ305" i="3"/>
  <c r="BB306" i="3"/>
  <c r="BD306" i="3"/>
  <c r="BE306" i="3"/>
  <c r="BF306" i="3"/>
  <c r="BG306" i="3"/>
  <c r="BH306" i="3"/>
  <c r="BI306" i="3"/>
  <c r="BJ306" i="3"/>
  <c r="BK306" i="3"/>
  <c r="BA306" i="3"/>
  <c r="BM306" i="3"/>
  <c r="BN306" i="3"/>
  <c r="BO306" i="3"/>
  <c r="BP306" i="3"/>
  <c r="BQ306" i="3"/>
  <c r="BR306" i="3"/>
  <c r="BS306" i="3"/>
  <c r="BT306" i="3"/>
  <c r="BL306" i="3"/>
  <c r="AZ306" i="3"/>
  <c r="BB307" i="3"/>
  <c r="BD307" i="3"/>
  <c r="BE307" i="3"/>
  <c r="BF307" i="3"/>
  <c r="BG307" i="3"/>
  <c r="BH307" i="3"/>
  <c r="BI307" i="3"/>
  <c r="BJ307" i="3"/>
  <c r="BK307" i="3"/>
  <c r="BA307" i="3"/>
  <c r="BM307" i="3"/>
  <c r="BN307" i="3"/>
  <c r="BO307" i="3"/>
  <c r="BP307" i="3"/>
  <c r="BQ307" i="3"/>
  <c r="BR307" i="3"/>
  <c r="BS307" i="3"/>
  <c r="BT307" i="3"/>
  <c r="BL307" i="3"/>
  <c r="AZ307" i="3"/>
  <c r="BB308" i="3"/>
  <c r="BD308" i="3"/>
  <c r="BE308" i="3"/>
  <c r="BF308" i="3"/>
  <c r="BG308" i="3"/>
  <c r="BH308" i="3"/>
  <c r="BI308" i="3"/>
  <c r="BJ308" i="3"/>
  <c r="BK308" i="3"/>
  <c r="BA308" i="3"/>
  <c r="BM308" i="3"/>
  <c r="BN308" i="3"/>
  <c r="BO308" i="3"/>
  <c r="BP308" i="3"/>
  <c r="BQ308" i="3"/>
  <c r="BR308" i="3"/>
  <c r="BS308" i="3"/>
  <c r="BT308" i="3"/>
  <c r="BL308" i="3"/>
  <c r="AZ308" i="3"/>
  <c r="BB309" i="3"/>
  <c r="BD309" i="3"/>
  <c r="BE309" i="3"/>
  <c r="BF309" i="3"/>
  <c r="BG309" i="3"/>
  <c r="BH309" i="3"/>
  <c r="BI309" i="3"/>
  <c r="BJ309" i="3"/>
  <c r="BK309" i="3"/>
  <c r="BA309" i="3"/>
  <c r="BM309" i="3"/>
  <c r="BN309" i="3"/>
  <c r="BO309" i="3"/>
  <c r="BP309" i="3"/>
  <c r="BQ309" i="3"/>
  <c r="BR309" i="3"/>
  <c r="BS309" i="3"/>
  <c r="BT309" i="3"/>
  <c r="BL309" i="3"/>
  <c r="AZ309" i="3"/>
  <c r="BB310" i="3"/>
  <c r="BD310" i="3"/>
  <c r="BE310" i="3"/>
  <c r="BF310" i="3"/>
  <c r="BG310" i="3"/>
  <c r="BH310" i="3"/>
  <c r="BI310" i="3"/>
  <c r="BJ310" i="3"/>
  <c r="BK310" i="3"/>
  <c r="BA310" i="3"/>
  <c r="BM310" i="3"/>
  <c r="BN310" i="3"/>
  <c r="BO310" i="3"/>
  <c r="BP310" i="3"/>
  <c r="BQ310" i="3"/>
  <c r="BR310" i="3"/>
  <c r="BS310" i="3"/>
  <c r="BT310" i="3"/>
  <c r="BL310" i="3"/>
  <c r="AZ310" i="3"/>
  <c r="BB311" i="3"/>
  <c r="BD311" i="3"/>
  <c r="BE311" i="3"/>
  <c r="BF311" i="3"/>
  <c r="BG311" i="3"/>
  <c r="BH311" i="3"/>
  <c r="BI311" i="3"/>
  <c r="BJ311" i="3"/>
  <c r="BK311" i="3"/>
  <c r="BA311" i="3"/>
  <c r="BM311" i="3"/>
  <c r="BN311" i="3"/>
  <c r="BO311" i="3"/>
  <c r="BP311" i="3"/>
  <c r="BQ311" i="3"/>
  <c r="BR311" i="3"/>
  <c r="BS311" i="3"/>
  <c r="BT311" i="3"/>
  <c r="BL311" i="3"/>
  <c r="AZ311" i="3"/>
  <c r="BB312" i="3"/>
  <c r="BD312" i="3"/>
  <c r="BE312" i="3"/>
  <c r="BF312" i="3"/>
  <c r="BG312" i="3"/>
  <c r="BH312" i="3"/>
  <c r="BI312" i="3"/>
  <c r="BJ312" i="3"/>
  <c r="BK312" i="3"/>
  <c r="BA312" i="3"/>
  <c r="BM312" i="3"/>
  <c r="BN312" i="3"/>
  <c r="BO312" i="3"/>
  <c r="BP312" i="3"/>
  <c r="BQ312" i="3"/>
  <c r="BR312" i="3"/>
  <c r="BS312" i="3"/>
  <c r="BT312" i="3"/>
  <c r="BL312" i="3"/>
  <c r="AZ312" i="3"/>
  <c r="BB313" i="3"/>
  <c r="BD313" i="3"/>
  <c r="BE313" i="3"/>
  <c r="BF313" i="3"/>
  <c r="BG313" i="3"/>
  <c r="BH313" i="3"/>
  <c r="BI313" i="3"/>
  <c r="BJ313" i="3"/>
  <c r="BK313" i="3"/>
  <c r="BA313" i="3"/>
  <c r="BM313" i="3"/>
  <c r="BN313" i="3"/>
  <c r="BO313" i="3"/>
  <c r="BP313" i="3"/>
  <c r="BQ313" i="3"/>
  <c r="BR313" i="3"/>
  <c r="BS313" i="3"/>
  <c r="BT313" i="3"/>
  <c r="BL313" i="3"/>
  <c r="AZ313" i="3"/>
  <c r="BB314" i="3"/>
  <c r="BD314" i="3"/>
  <c r="BE314" i="3"/>
  <c r="BF314" i="3"/>
  <c r="BG314" i="3"/>
  <c r="BH314" i="3"/>
  <c r="BI314" i="3"/>
  <c r="BJ314" i="3"/>
  <c r="BK314" i="3"/>
  <c r="BA314" i="3"/>
  <c r="BM314" i="3"/>
  <c r="BN314" i="3"/>
  <c r="BO314" i="3"/>
  <c r="BP314" i="3"/>
  <c r="BQ314" i="3"/>
  <c r="BR314" i="3"/>
  <c r="BS314" i="3"/>
  <c r="BT314" i="3"/>
  <c r="BL314" i="3"/>
  <c r="AZ314" i="3"/>
  <c r="BB315" i="3"/>
  <c r="BD315" i="3"/>
  <c r="BE315" i="3"/>
  <c r="BF315" i="3"/>
  <c r="BG315" i="3"/>
  <c r="BH315" i="3"/>
  <c r="BI315" i="3"/>
  <c r="BJ315" i="3"/>
  <c r="BK315" i="3"/>
  <c r="BA315" i="3"/>
  <c r="BM315" i="3"/>
  <c r="BN315" i="3"/>
  <c r="BO315" i="3"/>
  <c r="BP315" i="3"/>
  <c r="BQ315" i="3"/>
  <c r="BR315" i="3"/>
  <c r="BS315" i="3"/>
  <c r="BT315" i="3"/>
  <c r="BL315" i="3"/>
  <c r="AZ315" i="3"/>
  <c r="BB316" i="3"/>
  <c r="BD316" i="3"/>
  <c r="BE316" i="3"/>
  <c r="BF316" i="3"/>
  <c r="BG316" i="3"/>
  <c r="BH316" i="3"/>
  <c r="BI316" i="3"/>
  <c r="BJ316" i="3"/>
  <c r="BK316" i="3"/>
  <c r="BA316" i="3"/>
  <c r="BM316" i="3"/>
  <c r="BN316" i="3"/>
  <c r="BO316" i="3"/>
  <c r="BP316" i="3"/>
  <c r="BQ316" i="3"/>
  <c r="BR316" i="3"/>
  <c r="BS316" i="3"/>
  <c r="BT316" i="3"/>
  <c r="BL316" i="3"/>
  <c r="AZ316" i="3"/>
  <c r="BB317" i="3"/>
  <c r="BD317" i="3"/>
  <c r="BE317" i="3"/>
  <c r="BF317" i="3"/>
  <c r="BG317" i="3"/>
  <c r="BH317" i="3"/>
  <c r="BI317" i="3"/>
  <c r="BJ317" i="3"/>
  <c r="BK317" i="3"/>
  <c r="BA317" i="3"/>
  <c r="BM317" i="3"/>
  <c r="BN317" i="3"/>
  <c r="BO317" i="3"/>
  <c r="BP317" i="3"/>
  <c r="BQ317" i="3"/>
  <c r="BR317" i="3"/>
  <c r="BS317" i="3"/>
  <c r="BT317" i="3"/>
  <c r="BL317" i="3"/>
  <c r="AZ317" i="3"/>
  <c r="BB318" i="3"/>
  <c r="BD318" i="3"/>
  <c r="BE318" i="3"/>
  <c r="BF318" i="3"/>
  <c r="BG318" i="3"/>
  <c r="BH318" i="3"/>
  <c r="BI318" i="3"/>
  <c r="BJ318" i="3"/>
  <c r="BK318" i="3"/>
  <c r="BA318" i="3"/>
  <c r="BM318" i="3"/>
  <c r="BN318" i="3"/>
  <c r="BO318" i="3"/>
  <c r="BP318" i="3"/>
  <c r="BQ318" i="3"/>
  <c r="BR318" i="3"/>
  <c r="BS318" i="3"/>
  <c r="BT318" i="3"/>
  <c r="BL318" i="3"/>
  <c r="AZ318" i="3"/>
  <c r="BB319" i="3"/>
  <c r="BD319" i="3"/>
  <c r="BE319" i="3"/>
  <c r="BF319" i="3"/>
  <c r="BG319" i="3"/>
  <c r="BH319" i="3"/>
  <c r="BI319" i="3"/>
  <c r="BJ319" i="3"/>
  <c r="BK319" i="3"/>
  <c r="BA319" i="3"/>
  <c r="BM319" i="3"/>
  <c r="BN319" i="3"/>
  <c r="BO319" i="3"/>
  <c r="BP319" i="3"/>
  <c r="BQ319" i="3"/>
  <c r="BR319" i="3"/>
  <c r="BS319" i="3"/>
  <c r="BT319" i="3"/>
  <c r="BL319" i="3"/>
  <c r="AZ319" i="3"/>
  <c r="BB320" i="3"/>
  <c r="BD320" i="3"/>
  <c r="BE320" i="3"/>
  <c r="BF320" i="3"/>
  <c r="BG320" i="3"/>
  <c r="BH320" i="3"/>
  <c r="BI320" i="3"/>
  <c r="BJ320" i="3"/>
  <c r="BK320" i="3"/>
  <c r="BA320" i="3"/>
  <c r="BM320" i="3"/>
  <c r="BN320" i="3"/>
  <c r="BO320" i="3"/>
  <c r="BP320" i="3"/>
  <c r="BQ320" i="3"/>
  <c r="BR320" i="3"/>
  <c r="BS320" i="3"/>
  <c r="BT320" i="3"/>
  <c r="BL320" i="3"/>
  <c r="AZ320" i="3"/>
  <c r="BB321" i="3"/>
  <c r="BD321" i="3"/>
  <c r="BE321" i="3"/>
  <c r="BF321" i="3"/>
  <c r="BG321" i="3"/>
  <c r="BH321" i="3"/>
  <c r="BI321" i="3"/>
  <c r="BJ321" i="3"/>
  <c r="BK321" i="3"/>
  <c r="BA321" i="3"/>
  <c r="BM321" i="3"/>
  <c r="BN321" i="3"/>
  <c r="BO321" i="3"/>
  <c r="BP321" i="3"/>
  <c r="BQ321" i="3"/>
  <c r="BR321" i="3"/>
  <c r="BS321" i="3"/>
  <c r="BT321" i="3"/>
  <c r="BL321" i="3"/>
  <c r="AZ321" i="3"/>
  <c r="BB322" i="3"/>
  <c r="BD322" i="3"/>
  <c r="BE322" i="3"/>
  <c r="BF322" i="3"/>
  <c r="BG322" i="3"/>
  <c r="BH322" i="3"/>
  <c r="BI322" i="3"/>
  <c r="BJ322" i="3"/>
  <c r="BK322" i="3"/>
  <c r="BA322" i="3"/>
  <c r="BM322" i="3"/>
  <c r="BN322" i="3"/>
  <c r="BO322" i="3"/>
  <c r="BP322" i="3"/>
  <c r="BQ322" i="3"/>
  <c r="BR322" i="3"/>
  <c r="BS322" i="3"/>
  <c r="BT322" i="3"/>
  <c r="BL322" i="3"/>
  <c r="AZ322" i="3"/>
  <c r="BB323" i="3"/>
  <c r="BD323" i="3"/>
  <c r="BE323" i="3"/>
  <c r="BF323" i="3"/>
  <c r="BG323" i="3"/>
  <c r="BH323" i="3"/>
  <c r="BI323" i="3"/>
  <c r="BJ323" i="3"/>
  <c r="BK323" i="3"/>
  <c r="BA323" i="3"/>
  <c r="BM323" i="3"/>
  <c r="BN323" i="3"/>
  <c r="BO323" i="3"/>
  <c r="BP323" i="3"/>
  <c r="BQ323" i="3"/>
  <c r="BR323" i="3"/>
  <c r="BS323" i="3"/>
  <c r="BT323" i="3"/>
  <c r="BL323" i="3"/>
  <c r="AZ323" i="3"/>
  <c r="BB324" i="3"/>
  <c r="BD324" i="3"/>
  <c r="BE324" i="3"/>
  <c r="BF324" i="3"/>
  <c r="BG324" i="3"/>
  <c r="BH324" i="3"/>
  <c r="BI324" i="3"/>
  <c r="BJ324" i="3"/>
  <c r="BK324" i="3"/>
  <c r="BA324" i="3"/>
  <c r="BM324" i="3"/>
  <c r="BN324" i="3"/>
  <c r="BO324" i="3"/>
  <c r="BP324" i="3"/>
  <c r="BQ324" i="3"/>
  <c r="BR324" i="3"/>
  <c r="BS324" i="3"/>
  <c r="BT324" i="3"/>
  <c r="BL324" i="3"/>
  <c r="AZ324" i="3"/>
  <c r="BB325" i="3"/>
  <c r="BD325" i="3"/>
  <c r="BE325" i="3"/>
  <c r="BF325" i="3"/>
  <c r="BG325" i="3"/>
  <c r="BH325" i="3"/>
  <c r="BI325" i="3"/>
  <c r="BJ325" i="3"/>
  <c r="BK325" i="3"/>
  <c r="BA325" i="3"/>
  <c r="BM325" i="3"/>
  <c r="BN325" i="3"/>
  <c r="BO325" i="3"/>
  <c r="BP325" i="3"/>
  <c r="BQ325" i="3"/>
  <c r="BR325" i="3"/>
  <c r="BS325" i="3"/>
  <c r="BT325" i="3"/>
  <c r="BL325" i="3"/>
  <c r="AZ325" i="3"/>
  <c r="BB326" i="3"/>
  <c r="BD326" i="3"/>
  <c r="BE326" i="3"/>
  <c r="BF326" i="3"/>
  <c r="BG326" i="3"/>
  <c r="BH326" i="3"/>
  <c r="BI326" i="3"/>
  <c r="BJ326" i="3"/>
  <c r="BK326" i="3"/>
  <c r="BA326" i="3"/>
  <c r="BM326" i="3"/>
  <c r="BN326" i="3"/>
  <c r="BO326" i="3"/>
  <c r="BP326" i="3"/>
  <c r="BQ326" i="3"/>
  <c r="BR326" i="3"/>
  <c r="BS326" i="3"/>
  <c r="BT326" i="3"/>
  <c r="BL326" i="3"/>
  <c r="AZ326" i="3"/>
  <c r="BB327" i="3"/>
  <c r="BD327" i="3"/>
  <c r="BE327" i="3"/>
  <c r="BF327" i="3"/>
  <c r="BG327" i="3"/>
  <c r="BH327" i="3"/>
  <c r="BI327" i="3"/>
  <c r="BJ327" i="3"/>
  <c r="BK327" i="3"/>
  <c r="BA327" i="3"/>
  <c r="BM327" i="3"/>
  <c r="BN327" i="3"/>
  <c r="BO327" i="3"/>
  <c r="BP327" i="3"/>
  <c r="BQ327" i="3"/>
  <c r="BR327" i="3"/>
  <c r="BS327" i="3"/>
  <c r="BT327" i="3"/>
  <c r="BL327" i="3"/>
  <c r="AZ327" i="3"/>
  <c r="BB328" i="3"/>
  <c r="BD328" i="3"/>
  <c r="BE328" i="3"/>
  <c r="BF328" i="3"/>
  <c r="BG328" i="3"/>
  <c r="BH328" i="3"/>
  <c r="BI328" i="3"/>
  <c r="BJ328" i="3"/>
  <c r="BK328" i="3"/>
  <c r="BA328" i="3"/>
  <c r="BM328" i="3"/>
  <c r="BN328" i="3"/>
  <c r="BO328" i="3"/>
  <c r="BP328" i="3"/>
  <c r="BQ328" i="3"/>
  <c r="BR328" i="3"/>
  <c r="BS328" i="3"/>
  <c r="BT328" i="3"/>
  <c r="BL328" i="3"/>
  <c r="AZ328" i="3"/>
  <c r="BB329" i="3"/>
  <c r="BD329" i="3"/>
  <c r="BE329" i="3"/>
  <c r="BF329" i="3"/>
  <c r="BG329" i="3"/>
  <c r="BH329" i="3"/>
  <c r="BI329" i="3"/>
  <c r="BJ329" i="3"/>
  <c r="BK329" i="3"/>
  <c r="BA329" i="3"/>
  <c r="BM329" i="3"/>
  <c r="BN329" i="3"/>
  <c r="BO329" i="3"/>
  <c r="BP329" i="3"/>
  <c r="BQ329" i="3"/>
  <c r="BR329" i="3"/>
  <c r="BS329" i="3"/>
  <c r="BT329" i="3"/>
  <c r="BL329" i="3"/>
  <c r="AZ329" i="3"/>
  <c r="BB330" i="3"/>
  <c r="BD330" i="3"/>
  <c r="BE330" i="3"/>
  <c r="BF330" i="3"/>
  <c r="BG330" i="3"/>
  <c r="BH330" i="3"/>
  <c r="BI330" i="3"/>
  <c r="BJ330" i="3"/>
  <c r="BK330" i="3"/>
  <c r="BA330" i="3"/>
  <c r="BM330" i="3"/>
  <c r="BN330" i="3"/>
  <c r="BO330" i="3"/>
  <c r="BP330" i="3"/>
  <c r="BQ330" i="3"/>
  <c r="BR330" i="3"/>
  <c r="BS330" i="3"/>
  <c r="BT330" i="3"/>
  <c r="BL330" i="3"/>
  <c r="AZ330" i="3"/>
  <c r="BB331" i="3"/>
  <c r="BD331" i="3"/>
  <c r="BE331" i="3"/>
  <c r="BF331" i="3"/>
  <c r="BG331" i="3"/>
  <c r="BH331" i="3"/>
  <c r="BI331" i="3"/>
  <c r="BJ331" i="3"/>
  <c r="BK331" i="3"/>
  <c r="BA331" i="3"/>
  <c r="BM331" i="3"/>
  <c r="BN331" i="3"/>
  <c r="BO331" i="3"/>
  <c r="BP331" i="3"/>
  <c r="BQ331" i="3"/>
  <c r="BR331" i="3"/>
  <c r="BS331" i="3"/>
  <c r="BT331" i="3"/>
  <c r="BL331" i="3"/>
  <c r="AZ331" i="3"/>
  <c r="BB332" i="3"/>
  <c r="BD332" i="3"/>
  <c r="BE332" i="3"/>
  <c r="BF332" i="3"/>
  <c r="BG332" i="3"/>
  <c r="BH332" i="3"/>
  <c r="BI332" i="3"/>
  <c r="BJ332" i="3"/>
  <c r="BK332" i="3"/>
  <c r="BA332" i="3"/>
  <c r="BM332" i="3"/>
  <c r="BN332" i="3"/>
  <c r="BO332" i="3"/>
  <c r="BP332" i="3"/>
  <c r="BQ332" i="3"/>
  <c r="BR332" i="3"/>
  <c r="BS332" i="3"/>
  <c r="BT332" i="3"/>
  <c r="BL332" i="3"/>
  <c r="AZ332" i="3"/>
  <c r="BB333" i="3"/>
  <c r="BD333" i="3"/>
  <c r="BE333" i="3"/>
  <c r="BF333" i="3"/>
  <c r="BG333" i="3"/>
  <c r="BH333" i="3"/>
  <c r="BI333" i="3"/>
  <c r="BJ333" i="3"/>
  <c r="BK333" i="3"/>
  <c r="BA333" i="3"/>
  <c r="BM333" i="3"/>
  <c r="BN333" i="3"/>
  <c r="BO333" i="3"/>
  <c r="BP333" i="3"/>
  <c r="BQ333" i="3"/>
  <c r="BR333" i="3"/>
  <c r="BS333" i="3"/>
  <c r="BT333" i="3"/>
  <c r="BL333" i="3"/>
  <c r="AZ333" i="3"/>
  <c r="BB334" i="3"/>
  <c r="BD334" i="3"/>
  <c r="BE334" i="3"/>
  <c r="BF334" i="3"/>
  <c r="BG334" i="3"/>
  <c r="BH334" i="3"/>
  <c r="BI334" i="3"/>
  <c r="BJ334" i="3"/>
  <c r="BK334" i="3"/>
  <c r="BA334" i="3"/>
  <c r="BM334" i="3"/>
  <c r="BN334" i="3"/>
  <c r="BO334" i="3"/>
  <c r="BP334" i="3"/>
  <c r="BQ334" i="3"/>
  <c r="BR334" i="3"/>
  <c r="BS334" i="3"/>
  <c r="BT334" i="3"/>
  <c r="BL334" i="3"/>
  <c r="AZ334" i="3"/>
  <c r="BB335" i="3"/>
  <c r="BD335" i="3"/>
  <c r="BE335" i="3"/>
  <c r="BF335" i="3"/>
  <c r="BG335" i="3"/>
  <c r="BH335" i="3"/>
  <c r="BI335" i="3"/>
  <c r="BJ335" i="3"/>
  <c r="BK335" i="3"/>
  <c r="BA335" i="3"/>
  <c r="BM335" i="3"/>
  <c r="BN335" i="3"/>
  <c r="BO335" i="3"/>
  <c r="BP335" i="3"/>
  <c r="BQ335" i="3"/>
  <c r="BR335" i="3"/>
  <c r="BS335" i="3"/>
  <c r="BT335" i="3"/>
  <c r="BL335" i="3"/>
  <c r="AZ335" i="3"/>
  <c r="BB336" i="3"/>
  <c r="BD336" i="3"/>
  <c r="BE336" i="3"/>
  <c r="BF336" i="3"/>
  <c r="BG336" i="3"/>
  <c r="BH336" i="3"/>
  <c r="BI336" i="3"/>
  <c r="BJ336" i="3"/>
  <c r="BK336" i="3"/>
  <c r="BA336" i="3"/>
  <c r="BM336" i="3"/>
  <c r="BN336" i="3"/>
  <c r="BO336" i="3"/>
  <c r="BP336" i="3"/>
  <c r="BQ336" i="3"/>
  <c r="BR336" i="3"/>
  <c r="BS336" i="3"/>
  <c r="BT336" i="3"/>
  <c r="BL336" i="3"/>
  <c r="AZ336" i="3"/>
  <c r="BB337" i="3"/>
  <c r="BD337" i="3"/>
  <c r="BE337" i="3"/>
  <c r="BF337" i="3"/>
  <c r="BG337" i="3"/>
  <c r="BH337" i="3"/>
  <c r="BI337" i="3"/>
  <c r="BJ337" i="3"/>
  <c r="BK337" i="3"/>
  <c r="BA337" i="3"/>
  <c r="BM337" i="3"/>
  <c r="BN337" i="3"/>
  <c r="BO337" i="3"/>
  <c r="BP337" i="3"/>
  <c r="BQ337" i="3"/>
  <c r="BR337" i="3"/>
  <c r="BS337" i="3"/>
  <c r="BT337" i="3"/>
  <c r="BL337" i="3"/>
  <c r="AZ337" i="3"/>
  <c r="BB338" i="3"/>
  <c r="BD338" i="3"/>
  <c r="BE338" i="3"/>
  <c r="BF338" i="3"/>
  <c r="BG338" i="3"/>
  <c r="BH338" i="3"/>
  <c r="BI338" i="3"/>
  <c r="BJ338" i="3"/>
  <c r="BK338" i="3"/>
  <c r="BA338" i="3"/>
  <c r="BM338" i="3"/>
  <c r="BN338" i="3"/>
  <c r="BO338" i="3"/>
  <c r="BP338" i="3"/>
  <c r="BQ338" i="3"/>
  <c r="BR338" i="3"/>
  <c r="BS338" i="3"/>
  <c r="BT338" i="3"/>
  <c r="BL338" i="3"/>
  <c r="AZ338" i="3"/>
  <c r="BB339" i="3"/>
  <c r="BD339" i="3"/>
  <c r="BE339" i="3"/>
  <c r="BF339" i="3"/>
  <c r="BG339" i="3"/>
  <c r="BH339" i="3"/>
  <c r="BI339" i="3"/>
  <c r="BJ339" i="3"/>
  <c r="BK339" i="3"/>
  <c r="BA339" i="3"/>
  <c r="BM339" i="3"/>
  <c r="BN339" i="3"/>
  <c r="BO339" i="3"/>
  <c r="BP339" i="3"/>
  <c r="BQ339" i="3"/>
  <c r="BR339" i="3"/>
  <c r="BS339" i="3"/>
  <c r="BT339" i="3"/>
  <c r="BL339" i="3"/>
  <c r="AZ339" i="3"/>
  <c r="BB340" i="3"/>
  <c r="BD340" i="3"/>
  <c r="BE340" i="3"/>
  <c r="BF340" i="3"/>
  <c r="BG340" i="3"/>
  <c r="BH340" i="3"/>
  <c r="BI340" i="3"/>
  <c r="BJ340" i="3"/>
  <c r="BK340" i="3"/>
  <c r="BA340" i="3"/>
  <c r="BM340" i="3"/>
  <c r="BN340" i="3"/>
  <c r="BO340" i="3"/>
  <c r="BP340" i="3"/>
  <c r="BQ340" i="3"/>
  <c r="BR340" i="3"/>
  <c r="BS340" i="3"/>
  <c r="BT340" i="3"/>
  <c r="BL340" i="3"/>
  <c r="AZ340" i="3"/>
  <c r="BB341" i="3"/>
  <c r="BD341" i="3"/>
  <c r="BE341" i="3"/>
  <c r="BF341" i="3"/>
  <c r="BG341" i="3"/>
  <c r="BH341" i="3"/>
  <c r="BI341" i="3"/>
  <c r="BJ341" i="3"/>
  <c r="BK341" i="3"/>
  <c r="BA341" i="3"/>
  <c r="BM341" i="3"/>
  <c r="BN341" i="3"/>
  <c r="BO341" i="3"/>
  <c r="BP341" i="3"/>
  <c r="BQ341" i="3"/>
  <c r="BR341" i="3"/>
  <c r="BS341" i="3"/>
  <c r="BT341" i="3"/>
  <c r="BL341" i="3"/>
  <c r="AZ341" i="3"/>
  <c r="BB342" i="3"/>
  <c r="BD342" i="3"/>
  <c r="BE342" i="3"/>
  <c r="BF342" i="3"/>
  <c r="BG342" i="3"/>
  <c r="BH342" i="3"/>
  <c r="BI342" i="3"/>
  <c r="BJ342" i="3"/>
  <c r="BK342" i="3"/>
  <c r="BA342" i="3"/>
  <c r="BM342" i="3"/>
  <c r="BN342" i="3"/>
  <c r="BO342" i="3"/>
  <c r="BP342" i="3"/>
  <c r="BQ342" i="3"/>
  <c r="BR342" i="3"/>
  <c r="BS342" i="3"/>
  <c r="BT342" i="3"/>
  <c r="BL342" i="3"/>
  <c r="AZ342" i="3"/>
  <c r="BB343" i="3"/>
  <c r="BD343" i="3"/>
  <c r="BE343" i="3"/>
  <c r="BF343" i="3"/>
  <c r="BG343" i="3"/>
  <c r="BH343" i="3"/>
  <c r="BI343" i="3"/>
  <c r="BJ343" i="3"/>
  <c r="BK343" i="3"/>
  <c r="BA343" i="3"/>
  <c r="BM343" i="3"/>
  <c r="BN343" i="3"/>
  <c r="BO343" i="3"/>
  <c r="BP343" i="3"/>
  <c r="BQ343" i="3"/>
  <c r="BR343" i="3"/>
  <c r="BS343" i="3"/>
  <c r="BT343" i="3"/>
  <c r="BL343" i="3"/>
  <c r="AZ343" i="3"/>
  <c r="BB344" i="3"/>
  <c r="BD344" i="3"/>
  <c r="BE344" i="3"/>
  <c r="BF344" i="3"/>
  <c r="BG344" i="3"/>
  <c r="BH344" i="3"/>
  <c r="BI344" i="3"/>
  <c r="BJ344" i="3"/>
  <c r="BK344" i="3"/>
  <c r="BA344" i="3"/>
  <c r="BM344" i="3"/>
  <c r="BN344" i="3"/>
  <c r="BO344" i="3"/>
  <c r="BP344" i="3"/>
  <c r="BQ344" i="3"/>
  <c r="BR344" i="3"/>
  <c r="BS344" i="3"/>
  <c r="BT344" i="3"/>
  <c r="BL344" i="3"/>
  <c r="AZ344" i="3"/>
  <c r="BB345" i="3"/>
  <c r="BD345" i="3"/>
  <c r="BE345" i="3"/>
  <c r="BF345" i="3"/>
  <c r="BG345" i="3"/>
  <c r="BH345" i="3"/>
  <c r="BI345" i="3"/>
  <c r="BJ345" i="3"/>
  <c r="BK345" i="3"/>
  <c r="BA345" i="3"/>
  <c r="BM345" i="3"/>
  <c r="BN345" i="3"/>
  <c r="BO345" i="3"/>
  <c r="BP345" i="3"/>
  <c r="BQ345" i="3"/>
  <c r="BR345" i="3"/>
  <c r="BS345" i="3"/>
  <c r="BT345" i="3"/>
  <c r="BL345" i="3"/>
  <c r="AZ345" i="3"/>
  <c r="BB346" i="3"/>
  <c r="BD346" i="3"/>
  <c r="BE346" i="3"/>
  <c r="BF346" i="3"/>
  <c r="BG346" i="3"/>
  <c r="BH346" i="3"/>
  <c r="BI346" i="3"/>
  <c r="BJ346" i="3"/>
  <c r="BK346" i="3"/>
  <c r="BA346" i="3"/>
  <c r="BM346" i="3"/>
  <c r="BN346" i="3"/>
  <c r="BO346" i="3"/>
  <c r="BP346" i="3"/>
  <c r="BQ346" i="3"/>
  <c r="BR346" i="3"/>
  <c r="BS346" i="3"/>
  <c r="BT346" i="3"/>
  <c r="BL346" i="3"/>
  <c r="AZ346" i="3"/>
  <c r="BB347" i="3"/>
  <c r="BD347" i="3"/>
  <c r="BE347" i="3"/>
  <c r="BF347" i="3"/>
  <c r="BG347" i="3"/>
  <c r="BH347" i="3"/>
  <c r="BI347" i="3"/>
  <c r="BJ347" i="3"/>
  <c r="BK347" i="3"/>
  <c r="BA347" i="3"/>
  <c r="BM347" i="3"/>
  <c r="BN347" i="3"/>
  <c r="BO347" i="3"/>
  <c r="BP347" i="3"/>
  <c r="BQ347" i="3"/>
  <c r="BR347" i="3"/>
  <c r="BS347" i="3"/>
  <c r="BT347" i="3"/>
  <c r="BL347" i="3"/>
  <c r="AZ347" i="3"/>
  <c r="BB348" i="3"/>
  <c r="BD348" i="3"/>
  <c r="BE348" i="3"/>
  <c r="BF348" i="3"/>
  <c r="BG348" i="3"/>
  <c r="BH348" i="3"/>
  <c r="BI348" i="3"/>
  <c r="BJ348" i="3"/>
  <c r="BK348" i="3"/>
  <c r="BA348" i="3"/>
  <c r="BM348" i="3"/>
  <c r="BN348" i="3"/>
  <c r="BO348" i="3"/>
  <c r="BP348" i="3"/>
  <c r="BQ348" i="3"/>
  <c r="BR348" i="3"/>
  <c r="BS348" i="3"/>
  <c r="BT348" i="3"/>
  <c r="BL348" i="3"/>
  <c r="AZ348" i="3"/>
  <c r="BB349" i="3"/>
  <c r="BD349" i="3"/>
  <c r="BE349" i="3"/>
  <c r="BF349" i="3"/>
  <c r="BG349" i="3"/>
  <c r="BH349" i="3"/>
  <c r="BI349" i="3"/>
  <c r="BJ349" i="3"/>
  <c r="BK349" i="3"/>
  <c r="BA349" i="3"/>
  <c r="BM349" i="3"/>
  <c r="BN349" i="3"/>
  <c r="BO349" i="3"/>
  <c r="BP349" i="3"/>
  <c r="BQ349" i="3"/>
  <c r="BR349" i="3"/>
  <c r="BS349" i="3"/>
  <c r="BT349" i="3"/>
  <c r="BL349" i="3"/>
  <c r="AZ349" i="3"/>
  <c r="BB350" i="3"/>
  <c r="BD350" i="3"/>
  <c r="BE350" i="3"/>
  <c r="BF350" i="3"/>
  <c r="BG350" i="3"/>
  <c r="BH350" i="3"/>
  <c r="BI350" i="3"/>
  <c r="BJ350" i="3"/>
  <c r="BK350" i="3"/>
  <c r="BA350" i="3"/>
  <c r="BM350" i="3"/>
  <c r="BN350" i="3"/>
  <c r="BO350" i="3"/>
  <c r="BP350" i="3"/>
  <c r="BQ350" i="3"/>
  <c r="BR350" i="3"/>
  <c r="BS350" i="3"/>
  <c r="BT350" i="3"/>
  <c r="BL350" i="3"/>
  <c r="AZ350" i="3"/>
  <c r="BB351" i="3"/>
  <c r="BD351" i="3"/>
  <c r="BE351" i="3"/>
  <c r="BF351" i="3"/>
  <c r="BG351" i="3"/>
  <c r="BH351" i="3"/>
  <c r="BI351" i="3"/>
  <c r="BJ351" i="3"/>
  <c r="BK351" i="3"/>
  <c r="BA351" i="3"/>
  <c r="BM351" i="3"/>
  <c r="BN351" i="3"/>
  <c r="BO351" i="3"/>
  <c r="BP351" i="3"/>
  <c r="BQ351" i="3"/>
  <c r="BR351" i="3"/>
  <c r="BS351" i="3"/>
  <c r="BT351" i="3"/>
  <c r="BL351" i="3"/>
  <c r="AZ351" i="3"/>
  <c r="BB352" i="3"/>
  <c r="BD352" i="3"/>
  <c r="BE352" i="3"/>
  <c r="BF352" i="3"/>
  <c r="BG352" i="3"/>
  <c r="BH352" i="3"/>
  <c r="BI352" i="3"/>
  <c r="BJ352" i="3"/>
  <c r="BK352" i="3"/>
  <c r="BA352" i="3"/>
  <c r="BM352" i="3"/>
  <c r="BN352" i="3"/>
  <c r="BO352" i="3"/>
  <c r="BP352" i="3"/>
  <c r="BQ352" i="3"/>
  <c r="BR352" i="3"/>
  <c r="BS352" i="3"/>
  <c r="BT352" i="3"/>
  <c r="BL352" i="3"/>
  <c r="AZ352" i="3"/>
  <c r="BB353" i="3"/>
  <c r="BD353" i="3"/>
  <c r="BE353" i="3"/>
  <c r="BF353" i="3"/>
  <c r="BG353" i="3"/>
  <c r="BH353" i="3"/>
  <c r="BI353" i="3"/>
  <c r="BJ353" i="3"/>
  <c r="BK353" i="3"/>
  <c r="BA353" i="3"/>
  <c r="BM353" i="3"/>
  <c r="BN353" i="3"/>
  <c r="BO353" i="3"/>
  <c r="BP353" i="3"/>
  <c r="BQ353" i="3"/>
  <c r="BR353" i="3"/>
  <c r="BS353" i="3"/>
  <c r="BT353" i="3"/>
  <c r="BL353" i="3"/>
  <c r="AZ353" i="3"/>
  <c r="BB354" i="3"/>
  <c r="BD354" i="3"/>
  <c r="BE354" i="3"/>
  <c r="BF354" i="3"/>
  <c r="BG354" i="3"/>
  <c r="BH354" i="3"/>
  <c r="BI354" i="3"/>
  <c r="BJ354" i="3"/>
  <c r="BK354" i="3"/>
  <c r="BA354" i="3"/>
  <c r="BM354" i="3"/>
  <c r="BN354" i="3"/>
  <c r="BO354" i="3"/>
  <c r="BP354" i="3"/>
  <c r="BQ354" i="3"/>
  <c r="BR354" i="3"/>
  <c r="BS354" i="3"/>
  <c r="BT354" i="3"/>
  <c r="BL354" i="3"/>
  <c r="AZ354" i="3"/>
  <c r="BB355" i="3"/>
  <c r="BD355" i="3"/>
  <c r="BE355" i="3"/>
  <c r="BF355" i="3"/>
  <c r="BG355" i="3"/>
  <c r="BH355" i="3"/>
  <c r="BI355" i="3"/>
  <c r="BJ355" i="3"/>
  <c r="BK355" i="3"/>
  <c r="BA355" i="3"/>
  <c r="BM355" i="3"/>
  <c r="BN355" i="3"/>
  <c r="BO355" i="3"/>
  <c r="BP355" i="3"/>
  <c r="BQ355" i="3"/>
  <c r="BR355" i="3"/>
  <c r="BS355" i="3"/>
  <c r="BT355" i="3"/>
  <c r="BL355" i="3"/>
  <c r="AZ355" i="3"/>
  <c r="BB356" i="3"/>
  <c r="BD356" i="3"/>
  <c r="BE356" i="3"/>
  <c r="BF356" i="3"/>
  <c r="BG356" i="3"/>
  <c r="BH356" i="3"/>
  <c r="BI356" i="3"/>
  <c r="BJ356" i="3"/>
  <c r="BK356" i="3"/>
  <c r="BA356" i="3"/>
  <c r="BM356" i="3"/>
  <c r="BN356" i="3"/>
  <c r="BO356" i="3"/>
  <c r="BP356" i="3"/>
  <c r="BQ356" i="3"/>
  <c r="BR356" i="3"/>
  <c r="BS356" i="3"/>
  <c r="BT356" i="3"/>
  <c r="BL356" i="3"/>
  <c r="AZ356" i="3"/>
  <c r="BB357" i="3"/>
  <c r="BD357" i="3"/>
  <c r="BE357" i="3"/>
  <c r="BF357" i="3"/>
  <c r="BG357" i="3"/>
  <c r="BH357" i="3"/>
  <c r="BI357" i="3"/>
  <c r="BJ357" i="3"/>
  <c r="BK357" i="3"/>
  <c r="BA357" i="3"/>
  <c r="BM357" i="3"/>
  <c r="BN357" i="3"/>
  <c r="BO357" i="3"/>
  <c r="BP357" i="3"/>
  <c r="BQ357" i="3"/>
  <c r="BR357" i="3"/>
  <c r="BS357" i="3"/>
  <c r="BT357" i="3"/>
  <c r="BL357" i="3"/>
  <c r="AZ357" i="3"/>
  <c r="BB358" i="3"/>
  <c r="BD358" i="3"/>
  <c r="BE358" i="3"/>
  <c r="BF358" i="3"/>
  <c r="BG358" i="3"/>
  <c r="BH358" i="3"/>
  <c r="BI358" i="3"/>
  <c r="BJ358" i="3"/>
  <c r="BK358" i="3"/>
  <c r="BA358" i="3"/>
  <c r="BM358" i="3"/>
  <c r="BN358" i="3"/>
  <c r="BO358" i="3"/>
  <c r="BP358" i="3"/>
  <c r="BQ358" i="3"/>
  <c r="BR358" i="3"/>
  <c r="BS358" i="3"/>
  <c r="BT358" i="3"/>
  <c r="BL358" i="3"/>
  <c r="AZ358" i="3"/>
  <c r="BB359" i="3"/>
  <c r="BD359" i="3"/>
  <c r="BE359" i="3"/>
  <c r="BF359" i="3"/>
  <c r="BG359" i="3"/>
  <c r="BH359" i="3"/>
  <c r="BI359" i="3"/>
  <c r="BJ359" i="3"/>
  <c r="BK359" i="3"/>
  <c r="BA359" i="3"/>
  <c r="BM359" i="3"/>
  <c r="BN359" i="3"/>
  <c r="BO359" i="3"/>
  <c r="BP359" i="3"/>
  <c r="BQ359" i="3"/>
  <c r="BR359" i="3"/>
  <c r="BS359" i="3"/>
  <c r="BT359" i="3"/>
  <c r="BL359" i="3"/>
  <c r="AZ359" i="3"/>
  <c r="BB360" i="3"/>
  <c r="BD360" i="3"/>
  <c r="BE360" i="3"/>
  <c r="BF360" i="3"/>
  <c r="BG360" i="3"/>
  <c r="BH360" i="3"/>
  <c r="BI360" i="3"/>
  <c r="BJ360" i="3"/>
  <c r="BK360" i="3"/>
  <c r="BA360" i="3"/>
  <c r="BM360" i="3"/>
  <c r="BN360" i="3"/>
  <c r="BO360" i="3"/>
  <c r="BP360" i="3"/>
  <c r="BQ360" i="3"/>
  <c r="BR360" i="3"/>
  <c r="BS360" i="3"/>
  <c r="BT360" i="3"/>
  <c r="BL360" i="3"/>
  <c r="AZ360" i="3"/>
  <c r="BB361" i="3"/>
  <c r="BD361" i="3"/>
  <c r="BE361" i="3"/>
  <c r="BF361" i="3"/>
  <c r="BG361" i="3"/>
  <c r="BH361" i="3"/>
  <c r="BI361" i="3"/>
  <c r="BJ361" i="3"/>
  <c r="BK361" i="3"/>
  <c r="BA361" i="3"/>
  <c r="BM361" i="3"/>
  <c r="BN361" i="3"/>
  <c r="BO361" i="3"/>
  <c r="BP361" i="3"/>
  <c r="BQ361" i="3"/>
  <c r="BR361" i="3"/>
  <c r="BS361" i="3"/>
  <c r="BT361" i="3"/>
  <c r="BL361" i="3"/>
  <c r="AZ361" i="3"/>
  <c r="BB362" i="3"/>
  <c r="BD362" i="3"/>
  <c r="BE362" i="3"/>
  <c r="BF362" i="3"/>
  <c r="BG362" i="3"/>
  <c r="BH362" i="3"/>
  <c r="BI362" i="3"/>
  <c r="BJ362" i="3"/>
  <c r="BK362" i="3"/>
  <c r="BA362" i="3"/>
  <c r="BM362" i="3"/>
  <c r="BN362" i="3"/>
  <c r="BO362" i="3"/>
  <c r="BP362" i="3"/>
  <c r="BQ362" i="3"/>
  <c r="BR362" i="3"/>
  <c r="BS362" i="3"/>
  <c r="BT362" i="3"/>
  <c r="BL362" i="3"/>
  <c r="AZ362" i="3"/>
  <c r="BB363" i="3"/>
  <c r="BD363" i="3"/>
  <c r="BE363" i="3"/>
  <c r="BF363" i="3"/>
  <c r="BG363" i="3"/>
  <c r="BH363" i="3"/>
  <c r="BI363" i="3"/>
  <c r="BJ363" i="3"/>
  <c r="BK363" i="3"/>
  <c r="BA363" i="3"/>
  <c r="BM363" i="3"/>
  <c r="BN363" i="3"/>
  <c r="BO363" i="3"/>
  <c r="BP363" i="3"/>
  <c r="BQ363" i="3"/>
  <c r="BR363" i="3"/>
  <c r="BS363" i="3"/>
  <c r="BT363" i="3"/>
  <c r="BL363" i="3"/>
  <c r="AZ363" i="3"/>
  <c r="BB364" i="3"/>
  <c r="BD364" i="3"/>
  <c r="BE364" i="3"/>
  <c r="BF364" i="3"/>
  <c r="BG364" i="3"/>
  <c r="BH364" i="3"/>
  <c r="BI364" i="3"/>
  <c r="BJ364" i="3"/>
  <c r="BK364" i="3"/>
  <c r="BA364" i="3"/>
  <c r="BM364" i="3"/>
  <c r="BN364" i="3"/>
  <c r="BO364" i="3"/>
  <c r="BP364" i="3"/>
  <c r="BQ364" i="3"/>
  <c r="BR364" i="3"/>
  <c r="BS364" i="3"/>
  <c r="BT364" i="3"/>
  <c r="BL364" i="3"/>
  <c r="AZ364" i="3"/>
  <c r="BB365" i="3"/>
  <c r="BD365" i="3"/>
  <c r="BE365" i="3"/>
  <c r="BF365" i="3"/>
  <c r="BG365" i="3"/>
  <c r="BH365" i="3"/>
  <c r="BI365" i="3"/>
  <c r="BJ365" i="3"/>
  <c r="BK365" i="3"/>
  <c r="BA365" i="3"/>
  <c r="BM365" i="3"/>
  <c r="BN365" i="3"/>
  <c r="BO365" i="3"/>
  <c r="BP365" i="3"/>
  <c r="BQ365" i="3"/>
  <c r="BR365" i="3"/>
  <c r="BS365" i="3"/>
  <c r="BT365" i="3"/>
  <c r="BL365" i="3"/>
  <c r="AZ365" i="3"/>
  <c r="BB366" i="3"/>
  <c r="BD366" i="3"/>
  <c r="BE366" i="3"/>
  <c r="BF366" i="3"/>
  <c r="BG366" i="3"/>
  <c r="BH366" i="3"/>
  <c r="BI366" i="3"/>
  <c r="BJ366" i="3"/>
  <c r="BK366" i="3"/>
  <c r="BA366" i="3"/>
  <c r="BM366" i="3"/>
  <c r="BN366" i="3"/>
  <c r="BO366" i="3"/>
  <c r="BP366" i="3"/>
  <c r="BQ366" i="3"/>
  <c r="BR366" i="3"/>
  <c r="BS366" i="3"/>
  <c r="BT366" i="3"/>
  <c r="BL366" i="3"/>
  <c r="AZ366" i="3"/>
  <c r="BB367" i="3"/>
  <c r="BD367" i="3"/>
  <c r="BE367" i="3"/>
  <c r="BF367" i="3"/>
  <c r="BG367" i="3"/>
  <c r="BH367" i="3"/>
  <c r="BI367" i="3"/>
  <c r="BJ367" i="3"/>
  <c r="BK367" i="3"/>
  <c r="BA367" i="3"/>
  <c r="BM367" i="3"/>
  <c r="BN367" i="3"/>
  <c r="BO367" i="3"/>
  <c r="BP367" i="3"/>
  <c r="BQ367" i="3"/>
  <c r="BR367" i="3"/>
  <c r="BS367" i="3"/>
  <c r="BT367" i="3"/>
  <c r="BL367" i="3"/>
  <c r="AZ367" i="3"/>
  <c r="BB368" i="3"/>
  <c r="BD368" i="3"/>
  <c r="BE368" i="3"/>
  <c r="BF368" i="3"/>
  <c r="BG368" i="3"/>
  <c r="BH368" i="3"/>
  <c r="BI368" i="3"/>
  <c r="BJ368" i="3"/>
  <c r="BK368" i="3"/>
  <c r="BA368" i="3"/>
  <c r="BM368" i="3"/>
  <c r="BN368" i="3"/>
  <c r="BO368" i="3"/>
  <c r="BP368" i="3"/>
  <c r="BQ368" i="3"/>
  <c r="BR368" i="3"/>
  <c r="BS368" i="3"/>
  <c r="BT368" i="3"/>
  <c r="BL368" i="3"/>
  <c r="AZ368" i="3"/>
  <c r="BB369" i="3"/>
  <c r="BD369" i="3"/>
  <c r="BE369" i="3"/>
  <c r="BF369" i="3"/>
  <c r="BG369" i="3"/>
  <c r="BH369" i="3"/>
  <c r="BI369" i="3"/>
  <c r="BJ369" i="3"/>
  <c r="BK369" i="3"/>
  <c r="BA369" i="3"/>
  <c r="BM369" i="3"/>
  <c r="BN369" i="3"/>
  <c r="BO369" i="3"/>
  <c r="BP369" i="3"/>
  <c r="BQ369" i="3"/>
  <c r="BR369" i="3"/>
  <c r="BS369" i="3"/>
  <c r="BT369" i="3"/>
  <c r="BL369" i="3"/>
  <c r="AZ369" i="3"/>
  <c r="BB370" i="3"/>
  <c r="BD370" i="3"/>
  <c r="BE370" i="3"/>
  <c r="BF370" i="3"/>
  <c r="BG370" i="3"/>
  <c r="BH370" i="3"/>
  <c r="BI370" i="3"/>
  <c r="BJ370" i="3"/>
  <c r="BK370" i="3"/>
  <c r="BA370" i="3"/>
  <c r="BM370" i="3"/>
  <c r="BN370" i="3"/>
  <c r="BO370" i="3"/>
  <c r="BP370" i="3"/>
  <c r="BQ370" i="3"/>
  <c r="BR370" i="3"/>
  <c r="BS370" i="3"/>
  <c r="BT370" i="3"/>
  <c r="BL370" i="3"/>
  <c r="AZ370" i="3"/>
  <c r="BB371" i="3"/>
  <c r="BD371" i="3"/>
  <c r="BE371" i="3"/>
  <c r="BF371" i="3"/>
  <c r="BG371" i="3"/>
  <c r="BH371" i="3"/>
  <c r="BI371" i="3"/>
  <c r="BJ371" i="3"/>
  <c r="BK371" i="3"/>
  <c r="BA371" i="3"/>
  <c r="BM371" i="3"/>
  <c r="BN371" i="3"/>
  <c r="BO371" i="3"/>
  <c r="BP371" i="3"/>
  <c r="BQ371" i="3"/>
  <c r="BR371" i="3"/>
  <c r="BS371" i="3"/>
  <c r="BT371" i="3"/>
  <c r="BL371" i="3"/>
  <c r="AZ371" i="3"/>
  <c r="BB372" i="3"/>
  <c r="BD372" i="3"/>
  <c r="BE372" i="3"/>
  <c r="BF372" i="3"/>
  <c r="BG372" i="3"/>
  <c r="BH372" i="3"/>
  <c r="BI372" i="3"/>
  <c r="BJ372" i="3"/>
  <c r="BK372" i="3"/>
  <c r="BA372" i="3"/>
  <c r="BM372" i="3"/>
  <c r="BN372" i="3"/>
  <c r="BO372" i="3"/>
  <c r="BP372" i="3"/>
  <c r="BQ372" i="3"/>
  <c r="BR372" i="3"/>
  <c r="BS372" i="3"/>
  <c r="BT372" i="3"/>
  <c r="BL372" i="3"/>
  <c r="AZ372" i="3"/>
  <c r="BB373" i="3"/>
  <c r="BD373" i="3"/>
  <c r="BE373" i="3"/>
  <c r="BF373" i="3"/>
  <c r="BG373" i="3"/>
  <c r="BH373" i="3"/>
  <c r="BI373" i="3"/>
  <c r="BJ373" i="3"/>
  <c r="BK373" i="3"/>
  <c r="BA373" i="3"/>
  <c r="BM373" i="3"/>
  <c r="BN373" i="3"/>
  <c r="BO373" i="3"/>
  <c r="BP373" i="3"/>
  <c r="BQ373" i="3"/>
  <c r="BR373" i="3"/>
  <c r="BS373" i="3"/>
  <c r="BT373" i="3"/>
  <c r="BL373" i="3"/>
  <c r="AZ373" i="3"/>
  <c r="BB374" i="3"/>
  <c r="BD374" i="3"/>
  <c r="BE374" i="3"/>
  <c r="BF374" i="3"/>
  <c r="BG374" i="3"/>
  <c r="BH374" i="3"/>
  <c r="BI374" i="3"/>
  <c r="BJ374" i="3"/>
  <c r="BK374" i="3"/>
  <c r="BA374" i="3"/>
  <c r="BM374" i="3"/>
  <c r="BN374" i="3"/>
  <c r="BO374" i="3"/>
  <c r="BP374" i="3"/>
  <c r="BQ374" i="3"/>
  <c r="BR374" i="3"/>
  <c r="BS374" i="3"/>
  <c r="BT374" i="3"/>
  <c r="BL374" i="3"/>
  <c r="AZ374" i="3"/>
  <c r="BB375" i="3"/>
  <c r="BD375" i="3"/>
  <c r="BE375" i="3"/>
  <c r="BF375" i="3"/>
  <c r="BG375" i="3"/>
  <c r="BH375" i="3"/>
  <c r="BI375" i="3"/>
  <c r="BJ375" i="3"/>
  <c r="BK375" i="3"/>
  <c r="BA375" i="3"/>
  <c r="BM375" i="3"/>
  <c r="BN375" i="3"/>
  <c r="BO375" i="3"/>
  <c r="BP375" i="3"/>
  <c r="BQ375" i="3"/>
  <c r="BR375" i="3"/>
  <c r="BS375" i="3"/>
  <c r="BT375" i="3"/>
  <c r="BL375" i="3"/>
  <c r="AZ375" i="3"/>
  <c r="BB376" i="3"/>
  <c r="BD376" i="3"/>
  <c r="BE376" i="3"/>
  <c r="BF376" i="3"/>
  <c r="BG376" i="3"/>
  <c r="BH376" i="3"/>
  <c r="BI376" i="3"/>
  <c r="BJ376" i="3"/>
  <c r="BK376" i="3"/>
  <c r="BA376" i="3"/>
  <c r="BM376" i="3"/>
  <c r="BN376" i="3"/>
  <c r="BO376" i="3"/>
  <c r="BP376" i="3"/>
  <c r="BQ376" i="3"/>
  <c r="BR376" i="3"/>
  <c r="BS376" i="3"/>
  <c r="BT376" i="3"/>
  <c r="BL376" i="3"/>
  <c r="AZ376" i="3"/>
  <c r="BB377" i="3"/>
  <c r="BD377" i="3"/>
  <c r="BE377" i="3"/>
  <c r="BF377" i="3"/>
  <c r="BG377" i="3"/>
  <c r="BH377" i="3"/>
  <c r="BI377" i="3"/>
  <c r="BJ377" i="3"/>
  <c r="BK377" i="3"/>
  <c r="BA377" i="3"/>
  <c r="BM377" i="3"/>
  <c r="BN377" i="3"/>
  <c r="BO377" i="3"/>
  <c r="BP377" i="3"/>
  <c r="BQ377" i="3"/>
  <c r="BR377" i="3"/>
  <c r="BS377" i="3"/>
  <c r="BT377" i="3"/>
  <c r="BL377" i="3"/>
  <c r="AZ377" i="3"/>
  <c r="BB378" i="3"/>
  <c r="BD378" i="3"/>
  <c r="BE378" i="3"/>
  <c r="BF378" i="3"/>
  <c r="BG378" i="3"/>
  <c r="BH378" i="3"/>
  <c r="BI378" i="3"/>
  <c r="BJ378" i="3"/>
  <c r="BK378" i="3"/>
  <c r="BA378" i="3"/>
  <c r="BM378" i="3"/>
  <c r="BN378" i="3"/>
  <c r="BO378" i="3"/>
  <c r="BP378" i="3"/>
  <c r="BQ378" i="3"/>
  <c r="BR378" i="3"/>
  <c r="BS378" i="3"/>
  <c r="BT378" i="3"/>
  <c r="BL378" i="3"/>
  <c r="AZ378" i="3"/>
  <c r="BB379" i="3"/>
  <c r="BD379" i="3"/>
  <c r="BE379" i="3"/>
  <c r="BF379" i="3"/>
  <c r="BG379" i="3"/>
  <c r="BH379" i="3"/>
  <c r="BI379" i="3"/>
  <c r="BJ379" i="3"/>
  <c r="BK379" i="3"/>
  <c r="BA379" i="3"/>
  <c r="BM379" i="3"/>
  <c r="BN379" i="3"/>
  <c r="BO379" i="3"/>
  <c r="BP379" i="3"/>
  <c r="BQ379" i="3"/>
  <c r="BR379" i="3"/>
  <c r="BS379" i="3"/>
  <c r="BT379" i="3"/>
  <c r="BL379" i="3"/>
  <c r="AZ379" i="3"/>
  <c r="BB380" i="3"/>
  <c r="BD380" i="3"/>
  <c r="BE380" i="3"/>
  <c r="BF380" i="3"/>
  <c r="BG380" i="3"/>
  <c r="BH380" i="3"/>
  <c r="BI380" i="3"/>
  <c r="BJ380" i="3"/>
  <c r="BK380" i="3"/>
  <c r="BA380" i="3"/>
  <c r="BM380" i="3"/>
  <c r="BN380" i="3"/>
  <c r="BO380" i="3"/>
  <c r="BP380" i="3"/>
  <c r="BQ380" i="3"/>
  <c r="BR380" i="3"/>
  <c r="BS380" i="3"/>
  <c r="BT380" i="3"/>
  <c r="BL380" i="3"/>
  <c r="AZ380" i="3"/>
  <c r="BB381" i="3"/>
  <c r="BD381" i="3"/>
  <c r="BE381" i="3"/>
  <c r="BF381" i="3"/>
  <c r="BG381" i="3"/>
  <c r="BH381" i="3"/>
  <c r="BI381" i="3"/>
  <c r="BJ381" i="3"/>
  <c r="BK381" i="3"/>
  <c r="BA381" i="3"/>
  <c r="BM381" i="3"/>
  <c r="BN381" i="3"/>
  <c r="BO381" i="3"/>
  <c r="BP381" i="3"/>
  <c r="BQ381" i="3"/>
  <c r="BR381" i="3"/>
  <c r="BS381" i="3"/>
  <c r="BT381" i="3"/>
  <c r="BL381" i="3"/>
  <c r="AZ381" i="3"/>
  <c r="BB382" i="3"/>
  <c r="BD382" i="3"/>
  <c r="BE382" i="3"/>
  <c r="BF382" i="3"/>
  <c r="BG382" i="3"/>
  <c r="BH382" i="3"/>
  <c r="BI382" i="3"/>
  <c r="BJ382" i="3"/>
  <c r="BK382" i="3"/>
  <c r="BA382" i="3"/>
  <c r="BM382" i="3"/>
  <c r="BN382" i="3"/>
  <c r="BO382" i="3"/>
  <c r="BP382" i="3"/>
  <c r="BQ382" i="3"/>
  <c r="BR382" i="3"/>
  <c r="BS382" i="3"/>
  <c r="BT382" i="3"/>
  <c r="BL382" i="3"/>
  <c r="AZ382" i="3"/>
  <c r="BB383" i="3"/>
  <c r="BD383" i="3"/>
  <c r="BE383" i="3"/>
  <c r="BF383" i="3"/>
  <c r="BG383" i="3"/>
  <c r="BH383" i="3"/>
  <c r="BI383" i="3"/>
  <c r="BJ383" i="3"/>
  <c r="BK383" i="3"/>
  <c r="BA383" i="3"/>
  <c r="BM383" i="3"/>
  <c r="BN383" i="3"/>
  <c r="BO383" i="3"/>
  <c r="BP383" i="3"/>
  <c r="BQ383" i="3"/>
  <c r="BR383" i="3"/>
  <c r="BS383" i="3"/>
  <c r="BT383" i="3"/>
  <c r="BL383" i="3"/>
  <c r="AZ383" i="3"/>
  <c r="BB384" i="3"/>
  <c r="BD384" i="3"/>
  <c r="BE384" i="3"/>
  <c r="BF384" i="3"/>
  <c r="BG384" i="3"/>
  <c r="BH384" i="3"/>
  <c r="BI384" i="3"/>
  <c r="BJ384" i="3"/>
  <c r="BK384" i="3"/>
  <c r="BA384" i="3"/>
  <c r="BM384" i="3"/>
  <c r="BN384" i="3"/>
  <c r="BO384" i="3"/>
  <c r="BP384" i="3"/>
  <c r="BQ384" i="3"/>
  <c r="BR384" i="3"/>
  <c r="BS384" i="3"/>
  <c r="BT384" i="3"/>
  <c r="BL384" i="3"/>
  <c r="AZ384" i="3"/>
  <c r="BB385" i="3"/>
  <c r="BD385" i="3"/>
  <c r="BE385" i="3"/>
  <c r="BF385" i="3"/>
  <c r="BG385" i="3"/>
  <c r="BH385" i="3"/>
  <c r="BI385" i="3"/>
  <c r="BJ385" i="3"/>
  <c r="BK385" i="3"/>
  <c r="BA385" i="3"/>
  <c r="BM385" i="3"/>
  <c r="BN385" i="3"/>
  <c r="BO385" i="3"/>
  <c r="BP385" i="3"/>
  <c r="BQ385" i="3"/>
  <c r="BR385" i="3"/>
  <c r="BS385" i="3"/>
  <c r="BT385" i="3"/>
  <c r="BL385" i="3"/>
  <c r="AZ385" i="3"/>
  <c r="BB386" i="3"/>
  <c r="BD386" i="3"/>
  <c r="BE386" i="3"/>
  <c r="BF386" i="3"/>
  <c r="BG386" i="3"/>
  <c r="BH386" i="3"/>
  <c r="BI386" i="3"/>
  <c r="BJ386" i="3"/>
  <c r="BK386" i="3"/>
  <c r="BA386" i="3"/>
  <c r="BM386" i="3"/>
  <c r="BN386" i="3"/>
  <c r="BO386" i="3"/>
  <c r="BP386" i="3"/>
  <c r="BQ386" i="3"/>
  <c r="BR386" i="3"/>
  <c r="BS386" i="3"/>
  <c r="BT386" i="3"/>
  <c r="BL386" i="3"/>
  <c r="AZ386" i="3"/>
  <c r="BB387" i="3"/>
  <c r="BD387" i="3"/>
  <c r="BE387" i="3"/>
  <c r="BF387" i="3"/>
  <c r="BG387" i="3"/>
  <c r="BH387" i="3"/>
  <c r="BI387" i="3"/>
  <c r="BJ387" i="3"/>
  <c r="BK387" i="3"/>
  <c r="BA387" i="3"/>
  <c r="BM387" i="3"/>
  <c r="BN387" i="3"/>
  <c r="BO387" i="3"/>
  <c r="BP387" i="3"/>
  <c r="BQ387" i="3"/>
  <c r="BR387" i="3"/>
  <c r="BS387" i="3"/>
  <c r="BT387" i="3"/>
  <c r="BL387" i="3"/>
  <c r="AZ387" i="3"/>
  <c r="BB388" i="3"/>
  <c r="BD388" i="3"/>
  <c r="BE388" i="3"/>
  <c r="BF388" i="3"/>
  <c r="BG388" i="3"/>
  <c r="BH388" i="3"/>
  <c r="BI388" i="3"/>
  <c r="BJ388" i="3"/>
  <c r="BK388" i="3"/>
  <c r="BA388" i="3"/>
  <c r="BM388" i="3"/>
  <c r="BN388" i="3"/>
  <c r="BO388" i="3"/>
  <c r="BP388" i="3"/>
  <c r="BQ388" i="3"/>
  <c r="BR388" i="3"/>
  <c r="BS388" i="3"/>
  <c r="BT388" i="3"/>
  <c r="BL388" i="3"/>
  <c r="AZ388" i="3"/>
  <c r="BB389" i="3"/>
  <c r="BD389" i="3"/>
  <c r="BE389" i="3"/>
  <c r="BF389" i="3"/>
  <c r="BG389" i="3"/>
  <c r="BH389" i="3"/>
  <c r="BI389" i="3"/>
  <c r="BJ389" i="3"/>
  <c r="BK389" i="3"/>
  <c r="BA389" i="3"/>
  <c r="BM389" i="3"/>
  <c r="BN389" i="3"/>
  <c r="BO389" i="3"/>
  <c r="BP389" i="3"/>
  <c r="BQ389" i="3"/>
  <c r="BR389" i="3"/>
  <c r="BS389" i="3"/>
  <c r="BT389" i="3"/>
  <c r="BL389" i="3"/>
  <c r="AZ389" i="3"/>
  <c r="BB390" i="3"/>
  <c r="BD390" i="3"/>
  <c r="BE390" i="3"/>
  <c r="BF390" i="3"/>
  <c r="BG390" i="3"/>
  <c r="BH390" i="3"/>
  <c r="BI390" i="3"/>
  <c r="BJ390" i="3"/>
  <c r="BK390" i="3"/>
  <c r="BA390" i="3"/>
  <c r="BM390" i="3"/>
  <c r="BN390" i="3"/>
  <c r="BO390" i="3"/>
  <c r="BP390" i="3"/>
  <c r="BQ390" i="3"/>
  <c r="BR390" i="3"/>
  <c r="BS390" i="3"/>
  <c r="BT390" i="3"/>
  <c r="BL390" i="3"/>
  <c r="AZ390" i="3"/>
  <c r="BB391" i="3"/>
  <c r="BD391" i="3"/>
  <c r="BE391" i="3"/>
  <c r="BF391" i="3"/>
  <c r="BG391" i="3"/>
  <c r="BH391" i="3"/>
  <c r="BI391" i="3"/>
  <c r="BJ391" i="3"/>
  <c r="BK391" i="3"/>
  <c r="BA391" i="3"/>
  <c r="BM391" i="3"/>
  <c r="BN391" i="3"/>
  <c r="BO391" i="3"/>
  <c r="BP391" i="3"/>
  <c r="BQ391" i="3"/>
  <c r="BR391" i="3"/>
  <c r="BS391" i="3"/>
  <c r="BT391" i="3"/>
  <c r="BL391" i="3"/>
  <c r="AZ391" i="3"/>
  <c r="BB392" i="3"/>
  <c r="BD392" i="3"/>
  <c r="BE392" i="3"/>
  <c r="BF392" i="3"/>
  <c r="BG392" i="3"/>
  <c r="BH392" i="3"/>
  <c r="BI392" i="3"/>
  <c r="BJ392" i="3"/>
  <c r="BK392" i="3"/>
  <c r="BA392" i="3"/>
  <c r="BM392" i="3"/>
  <c r="BN392" i="3"/>
  <c r="BO392" i="3"/>
  <c r="BP392" i="3"/>
  <c r="BQ392" i="3"/>
  <c r="BR392" i="3"/>
  <c r="BS392" i="3"/>
  <c r="BT392" i="3"/>
  <c r="BL392" i="3"/>
  <c r="AZ392" i="3"/>
  <c r="BB393" i="3"/>
  <c r="BD393" i="3"/>
  <c r="BE393" i="3"/>
  <c r="BF393" i="3"/>
  <c r="BG393" i="3"/>
  <c r="BH393" i="3"/>
  <c r="BI393" i="3"/>
  <c r="BJ393" i="3"/>
  <c r="BK393" i="3"/>
  <c r="BA393" i="3"/>
  <c r="BM393" i="3"/>
  <c r="BN393" i="3"/>
  <c r="BO393" i="3"/>
  <c r="BP393" i="3"/>
  <c r="BQ393" i="3"/>
  <c r="BR393" i="3"/>
  <c r="BS393" i="3"/>
  <c r="BT393" i="3"/>
  <c r="BL393" i="3"/>
  <c r="AZ393" i="3"/>
  <c r="BB394" i="3"/>
  <c r="BD394" i="3"/>
  <c r="BE394" i="3"/>
  <c r="BF394" i="3"/>
  <c r="BG394" i="3"/>
  <c r="BH394" i="3"/>
  <c r="BI394" i="3"/>
  <c r="BJ394" i="3"/>
  <c r="BK394" i="3"/>
  <c r="BA394" i="3"/>
  <c r="BM394" i="3"/>
  <c r="BN394" i="3"/>
  <c r="BO394" i="3"/>
  <c r="BP394" i="3"/>
  <c r="BQ394" i="3"/>
  <c r="BR394" i="3"/>
  <c r="BS394" i="3"/>
  <c r="BT394" i="3"/>
  <c r="BL394" i="3"/>
  <c r="AZ394" i="3"/>
  <c r="BB395" i="3"/>
  <c r="BD395" i="3"/>
  <c r="BE395" i="3"/>
  <c r="BF395" i="3"/>
  <c r="BG395" i="3"/>
  <c r="BH395" i="3"/>
  <c r="BI395" i="3"/>
  <c r="BJ395" i="3"/>
  <c r="BK395" i="3"/>
  <c r="BA395" i="3"/>
  <c r="BM395" i="3"/>
  <c r="BN395" i="3"/>
  <c r="BO395" i="3"/>
  <c r="BP395" i="3"/>
  <c r="BQ395" i="3"/>
  <c r="BR395" i="3"/>
  <c r="BS395" i="3"/>
  <c r="BT395" i="3"/>
  <c r="BL395" i="3"/>
  <c r="AZ395" i="3"/>
  <c r="BB396" i="3"/>
  <c r="BD396" i="3"/>
  <c r="BE396" i="3"/>
  <c r="BF396" i="3"/>
  <c r="BG396" i="3"/>
  <c r="BH396" i="3"/>
  <c r="BI396" i="3"/>
  <c r="BJ396" i="3"/>
  <c r="BK396" i="3"/>
  <c r="BA396" i="3"/>
  <c r="BM396" i="3"/>
  <c r="BN396" i="3"/>
  <c r="BO396" i="3"/>
  <c r="BP396" i="3"/>
  <c r="BQ396" i="3"/>
  <c r="BR396" i="3"/>
  <c r="BS396" i="3"/>
  <c r="BT396" i="3"/>
  <c r="BL396" i="3"/>
  <c r="AZ396" i="3"/>
  <c r="BB397" i="3"/>
  <c r="BD397" i="3"/>
  <c r="BE397" i="3"/>
  <c r="BF397" i="3"/>
  <c r="BG397" i="3"/>
  <c r="BH397" i="3"/>
  <c r="BI397" i="3"/>
  <c r="BJ397" i="3"/>
  <c r="BK397" i="3"/>
  <c r="BA397" i="3"/>
  <c r="BM397" i="3"/>
  <c r="BN397" i="3"/>
  <c r="BO397" i="3"/>
  <c r="BP397" i="3"/>
  <c r="BQ397" i="3"/>
  <c r="BR397" i="3"/>
  <c r="BS397" i="3"/>
  <c r="BT397" i="3"/>
  <c r="BL397" i="3"/>
  <c r="AZ397" i="3"/>
  <c r="BB398" i="3"/>
  <c r="BD398" i="3"/>
  <c r="BE398" i="3"/>
  <c r="BF398" i="3"/>
  <c r="BG398" i="3"/>
  <c r="BH398" i="3"/>
  <c r="BI398" i="3"/>
  <c r="BJ398" i="3"/>
  <c r="BK398" i="3"/>
  <c r="BA398" i="3"/>
  <c r="BM398" i="3"/>
  <c r="BN398" i="3"/>
  <c r="BO398" i="3"/>
  <c r="BP398" i="3"/>
  <c r="BQ398" i="3"/>
  <c r="BR398" i="3"/>
  <c r="BS398" i="3"/>
  <c r="BT398" i="3"/>
  <c r="BL398" i="3"/>
  <c r="AZ398" i="3"/>
  <c r="BB399" i="3"/>
  <c r="BD399" i="3"/>
  <c r="BE399" i="3"/>
  <c r="BF399" i="3"/>
  <c r="BG399" i="3"/>
  <c r="BH399" i="3"/>
  <c r="BI399" i="3"/>
  <c r="BJ399" i="3"/>
  <c r="BK399" i="3"/>
  <c r="BA399" i="3"/>
  <c r="BM399" i="3"/>
  <c r="BN399" i="3"/>
  <c r="BO399" i="3"/>
  <c r="BP399" i="3"/>
  <c r="BQ399" i="3"/>
  <c r="BR399" i="3"/>
  <c r="BS399" i="3"/>
  <c r="BT399" i="3"/>
  <c r="BL399" i="3"/>
  <c r="AZ399" i="3"/>
  <c r="BB400" i="3"/>
  <c r="BD400" i="3"/>
  <c r="BE400" i="3"/>
  <c r="BF400" i="3"/>
  <c r="BG400" i="3"/>
  <c r="BH400" i="3"/>
  <c r="BI400" i="3"/>
  <c r="BJ400" i="3"/>
  <c r="BK400" i="3"/>
  <c r="BA400" i="3"/>
  <c r="BM400" i="3"/>
  <c r="BN400" i="3"/>
  <c r="BO400" i="3"/>
  <c r="BP400" i="3"/>
  <c r="BQ400" i="3"/>
  <c r="BR400" i="3"/>
  <c r="BS400" i="3"/>
  <c r="BT400" i="3"/>
  <c r="BL400" i="3"/>
  <c r="AZ400" i="3"/>
  <c r="BB401" i="3"/>
  <c r="BD401" i="3"/>
  <c r="BE401" i="3"/>
  <c r="BF401" i="3"/>
  <c r="BG401" i="3"/>
  <c r="BH401" i="3"/>
  <c r="BI401" i="3"/>
  <c r="BJ401" i="3"/>
  <c r="BK401" i="3"/>
  <c r="BA401" i="3"/>
  <c r="BM401" i="3"/>
  <c r="BN401" i="3"/>
  <c r="BO401" i="3"/>
  <c r="BP401" i="3"/>
  <c r="BQ401" i="3"/>
  <c r="BR401" i="3"/>
  <c r="BS401" i="3"/>
  <c r="BT401" i="3"/>
  <c r="BL401" i="3"/>
  <c r="AZ401" i="3"/>
  <c r="BB402" i="3"/>
  <c r="BD402" i="3"/>
  <c r="BE402" i="3"/>
  <c r="BF402" i="3"/>
  <c r="BG402" i="3"/>
  <c r="BH402" i="3"/>
  <c r="BI402" i="3"/>
  <c r="BJ402" i="3"/>
  <c r="BK402" i="3"/>
  <c r="BA402" i="3"/>
  <c r="BM402" i="3"/>
  <c r="BN402" i="3"/>
  <c r="BO402" i="3"/>
  <c r="BP402" i="3"/>
  <c r="BQ402" i="3"/>
  <c r="BR402" i="3"/>
  <c r="BS402" i="3"/>
  <c r="BT402" i="3"/>
  <c r="BL402" i="3"/>
  <c r="AZ402" i="3"/>
  <c r="BB403" i="3"/>
  <c r="BD403" i="3"/>
  <c r="BE403" i="3"/>
  <c r="BF403" i="3"/>
  <c r="BG403" i="3"/>
  <c r="BH403" i="3"/>
  <c r="BI403" i="3"/>
  <c r="BJ403" i="3"/>
  <c r="BK403" i="3"/>
  <c r="BA403" i="3"/>
  <c r="BM403" i="3"/>
  <c r="BN403" i="3"/>
  <c r="BO403" i="3"/>
  <c r="BP403" i="3"/>
  <c r="BQ403" i="3"/>
  <c r="BR403" i="3"/>
  <c r="BS403" i="3"/>
  <c r="BT403" i="3"/>
  <c r="BL403" i="3"/>
  <c r="AZ403" i="3"/>
  <c r="BB404" i="3"/>
  <c r="BD404" i="3"/>
  <c r="BE404" i="3"/>
  <c r="BF404" i="3"/>
  <c r="BG404" i="3"/>
  <c r="BH404" i="3"/>
  <c r="BI404" i="3"/>
  <c r="BJ404" i="3"/>
  <c r="BK404" i="3"/>
  <c r="BA404" i="3"/>
  <c r="BM404" i="3"/>
  <c r="BN404" i="3"/>
  <c r="BO404" i="3"/>
  <c r="BP404" i="3"/>
  <c r="BQ404" i="3"/>
  <c r="BR404" i="3"/>
  <c r="BS404" i="3"/>
  <c r="BT404" i="3"/>
  <c r="BL404" i="3"/>
  <c r="AZ404" i="3"/>
  <c r="BB405" i="3"/>
  <c r="BD405" i="3"/>
  <c r="BE405" i="3"/>
  <c r="BF405" i="3"/>
  <c r="BG405" i="3"/>
  <c r="BH405" i="3"/>
  <c r="BI405" i="3"/>
  <c r="BJ405" i="3"/>
  <c r="BK405" i="3"/>
  <c r="BA405" i="3"/>
  <c r="BM405" i="3"/>
  <c r="BN405" i="3"/>
  <c r="BO405" i="3"/>
  <c r="BP405" i="3"/>
  <c r="BQ405" i="3"/>
  <c r="BR405" i="3"/>
  <c r="BS405" i="3"/>
  <c r="BT405" i="3"/>
  <c r="BL405" i="3"/>
  <c r="AZ405" i="3"/>
  <c r="BB406" i="3"/>
  <c r="BD406" i="3"/>
  <c r="BE406" i="3"/>
  <c r="BF406" i="3"/>
  <c r="BG406" i="3"/>
  <c r="BH406" i="3"/>
  <c r="BI406" i="3"/>
  <c r="BJ406" i="3"/>
  <c r="BK406" i="3"/>
  <c r="BA406" i="3"/>
  <c r="BM406" i="3"/>
  <c r="BN406" i="3"/>
  <c r="BO406" i="3"/>
  <c r="BP406" i="3"/>
  <c r="BQ406" i="3"/>
  <c r="BR406" i="3"/>
  <c r="BS406" i="3"/>
  <c r="BT406" i="3"/>
  <c r="BL406" i="3"/>
  <c r="AZ406" i="3"/>
  <c r="BB407" i="3"/>
  <c r="BD407" i="3"/>
  <c r="BE407" i="3"/>
  <c r="BF407" i="3"/>
  <c r="BG407" i="3"/>
  <c r="BH407" i="3"/>
  <c r="BI407" i="3"/>
  <c r="BJ407" i="3"/>
  <c r="BK407" i="3"/>
  <c r="BA407" i="3"/>
  <c r="BM407" i="3"/>
  <c r="BN407" i="3"/>
  <c r="BO407" i="3"/>
  <c r="BP407" i="3"/>
  <c r="BQ407" i="3"/>
  <c r="BR407" i="3"/>
  <c r="BS407" i="3"/>
  <c r="BT407" i="3"/>
  <c r="BL407" i="3"/>
  <c r="AZ407" i="3"/>
  <c r="BB408" i="3"/>
  <c r="BD408" i="3"/>
  <c r="BE408" i="3"/>
  <c r="BF408" i="3"/>
  <c r="BG408" i="3"/>
  <c r="BH408" i="3"/>
  <c r="BI408" i="3"/>
  <c r="BJ408" i="3"/>
  <c r="BK408" i="3"/>
  <c r="BA408" i="3"/>
  <c r="BM408" i="3"/>
  <c r="BN408" i="3"/>
  <c r="BO408" i="3"/>
  <c r="BP408" i="3"/>
  <c r="BQ408" i="3"/>
  <c r="BR408" i="3"/>
  <c r="BS408" i="3"/>
  <c r="BT408" i="3"/>
  <c r="BL408" i="3"/>
  <c r="AZ408" i="3"/>
  <c r="BB409" i="3"/>
  <c r="BD409" i="3"/>
  <c r="BE409" i="3"/>
  <c r="BF409" i="3"/>
  <c r="BG409" i="3"/>
  <c r="BH409" i="3"/>
  <c r="BI409" i="3"/>
  <c r="BJ409" i="3"/>
  <c r="BK409" i="3"/>
  <c r="BA409" i="3"/>
  <c r="BM409" i="3"/>
  <c r="BN409" i="3"/>
  <c r="BO409" i="3"/>
  <c r="BP409" i="3"/>
  <c r="BQ409" i="3"/>
  <c r="BR409" i="3"/>
  <c r="BS409" i="3"/>
  <c r="BT409" i="3"/>
  <c r="BL409" i="3"/>
  <c r="AZ409" i="3"/>
  <c r="BB410" i="3"/>
  <c r="BD410" i="3"/>
  <c r="BE410" i="3"/>
  <c r="BF410" i="3"/>
  <c r="BG410" i="3"/>
  <c r="BH410" i="3"/>
  <c r="BI410" i="3"/>
  <c r="BJ410" i="3"/>
  <c r="BK410" i="3"/>
  <c r="BA410" i="3"/>
  <c r="BM410" i="3"/>
  <c r="BN410" i="3"/>
  <c r="BO410" i="3"/>
  <c r="BP410" i="3"/>
  <c r="BQ410" i="3"/>
  <c r="BR410" i="3"/>
  <c r="BS410" i="3"/>
  <c r="BT410" i="3"/>
  <c r="BL410" i="3"/>
  <c r="AZ410" i="3"/>
  <c r="BB411" i="3"/>
  <c r="BD411" i="3"/>
  <c r="BE411" i="3"/>
  <c r="BF411" i="3"/>
  <c r="BG411" i="3"/>
  <c r="BH411" i="3"/>
  <c r="BI411" i="3"/>
  <c r="BJ411" i="3"/>
  <c r="BK411" i="3"/>
  <c r="BA411" i="3"/>
  <c r="BM411" i="3"/>
  <c r="BN411" i="3"/>
  <c r="BO411" i="3"/>
  <c r="BP411" i="3"/>
  <c r="BQ411" i="3"/>
  <c r="BR411" i="3"/>
  <c r="BS411" i="3"/>
  <c r="BT411" i="3"/>
  <c r="BL411" i="3"/>
  <c r="AZ411" i="3"/>
  <c r="BB412" i="3"/>
  <c r="BD412" i="3"/>
  <c r="BE412" i="3"/>
  <c r="BF412" i="3"/>
  <c r="BG412" i="3"/>
  <c r="BH412" i="3"/>
  <c r="BI412" i="3"/>
  <c r="BJ412" i="3"/>
  <c r="BK412" i="3"/>
  <c r="BA412" i="3"/>
  <c r="BM412" i="3"/>
  <c r="BN412" i="3"/>
  <c r="BO412" i="3"/>
  <c r="BP412" i="3"/>
  <c r="BQ412" i="3"/>
  <c r="BR412" i="3"/>
  <c r="BS412" i="3"/>
  <c r="BT412" i="3"/>
  <c r="BL412" i="3"/>
  <c r="AZ412" i="3"/>
  <c r="BB413" i="3"/>
  <c r="BD413" i="3"/>
  <c r="BE413" i="3"/>
  <c r="BF413" i="3"/>
  <c r="BG413" i="3"/>
  <c r="BH413" i="3"/>
  <c r="BI413" i="3"/>
  <c r="BJ413" i="3"/>
  <c r="BK413" i="3"/>
  <c r="BA413" i="3"/>
  <c r="BM413" i="3"/>
  <c r="BN413" i="3"/>
  <c r="BO413" i="3"/>
  <c r="BP413" i="3"/>
  <c r="BQ413" i="3"/>
  <c r="BR413" i="3"/>
  <c r="BS413" i="3"/>
  <c r="BT413" i="3"/>
  <c r="BL413" i="3"/>
  <c r="AZ413" i="3"/>
  <c r="BB414" i="3"/>
  <c r="BD414" i="3"/>
  <c r="BE414" i="3"/>
  <c r="BF414" i="3"/>
  <c r="BG414" i="3"/>
  <c r="BH414" i="3"/>
  <c r="BI414" i="3"/>
  <c r="BJ414" i="3"/>
  <c r="BK414" i="3"/>
  <c r="BA414" i="3"/>
  <c r="BM414" i="3"/>
  <c r="BN414" i="3"/>
  <c r="BO414" i="3"/>
  <c r="BP414" i="3"/>
  <c r="BQ414" i="3"/>
  <c r="BR414" i="3"/>
  <c r="BS414" i="3"/>
  <c r="BT414" i="3"/>
  <c r="BL414" i="3"/>
  <c r="AZ414" i="3"/>
  <c r="BB415" i="3"/>
  <c r="BD415" i="3"/>
  <c r="BE415" i="3"/>
  <c r="BF415" i="3"/>
  <c r="BG415" i="3"/>
  <c r="BH415" i="3"/>
  <c r="BI415" i="3"/>
  <c r="BJ415" i="3"/>
  <c r="BK415" i="3"/>
  <c r="BA415" i="3"/>
  <c r="BM415" i="3"/>
  <c r="BN415" i="3"/>
  <c r="BO415" i="3"/>
  <c r="BP415" i="3"/>
  <c r="BQ415" i="3"/>
  <c r="BR415" i="3"/>
  <c r="BS415" i="3"/>
  <c r="BT415" i="3"/>
  <c r="BL415" i="3"/>
  <c r="AZ415" i="3"/>
  <c r="BB416" i="3"/>
  <c r="BD416" i="3"/>
  <c r="BE416" i="3"/>
  <c r="BF416" i="3"/>
  <c r="BG416" i="3"/>
  <c r="BH416" i="3"/>
  <c r="BI416" i="3"/>
  <c r="BJ416" i="3"/>
  <c r="BK416" i="3"/>
  <c r="BA416" i="3"/>
  <c r="BM416" i="3"/>
  <c r="BN416" i="3"/>
  <c r="BO416" i="3"/>
  <c r="BP416" i="3"/>
  <c r="BQ416" i="3"/>
  <c r="BR416" i="3"/>
  <c r="BS416" i="3"/>
  <c r="BT416" i="3"/>
  <c r="BL416" i="3"/>
  <c r="AZ416" i="3"/>
  <c r="BB417" i="3"/>
  <c r="BD417" i="3"/>
  <c r="BE417" i="3"/>
  <c r="BF417" i="3"/>
  <c r="BG417" i="3"/>
  <c r="BH417" i="3"/>
  <c r="BI417" i="3"/>
  <c r="BJ417" i="3"/>
  <c r="BK417" i="3"/>
  <c r="BA417" i="3"/>
  <c r="BM417" i="3"/>
  <c r="BN417" i="3"/>
  <c r="BO417" i="3"/>
  <c r="BP417" i="3"/>
  <c r="BQ417" i="3"/>
  <c r="BR417" i="3"/>
  <c r="BS417" i="3"/>
  <c r="BT417" i="3"/>
  <c r="BL417" i="3"/>
  <c r="AZ417" i="3"/>
  <c r="BB418" i="3"/>
  <c r="BD418" i="3"/>
  <c r="BE418" i="3"/>
  <c r="BF418" i="3"/>
  <c r="BG418" i="3"/>
  <c r="BH418" i="3"/>
  <c r="BI418" i="3"/>
  <c r="BJ418" i="3"/>
  <c r="BK418" i="3"/>
  <c r="BA418" i="3"/>
  <c r="BM418" i="3"/>
  <c r="BN418" i="3"/>
  <c r="BO418" i="3"/>
  <c r="BP418" i="3"/>
  <c r="BQ418" i="3"/>
  <c r="BR418" i="3"/>
  <c r="BS418" i="3"/>
  <c r="BT418" i="3"/>
  <c r="BL418" i="3"/>
  <c r="AZ418" i="3"/>
  <c r="BB419" i="3"/>
  <c r="BD419" i="3"/>
  <c r="BE419" i="3"/>
  <c r="BF419" i="3"/>
  <c r="BG419" i="3"/>
  <c r="BH419" i="3"/>
  <c r="BI419" i="3"/>
  <c r="BJ419" i="3"/>
  <c r="BK419" i="3"/>
  <c r="BA419" i="3"/>
  <c r="BM419" i="3"/>
  <c r="BN419" i="3"/>
  <c r="BO419" i="3"/>
  <c r="BP419" i="3"/>
  <c r="BQ419" i="3"/>
  <c r="BR419" i="3"/>
  <c r="BS419" i="3"/>
  <c r="BT419" i="3"/>
  <c r="BL419" i="3"/>
  <c r="AZ419" i="3"/>
  <c r="BB420" i="3"/>
  <c r="BD420" i="3"/>
  <c r="BE420" i="3"/>
  <c r="BF420" i="3"/>
  <c r="BG420" i="3"/>
  <c r="BH420" i="3"/>
  <c r="BI420" i="3"/>
  <c r="BJ420" i="3"/>
  <c r="BK420" i="3"/>
  <c r="BA420" i="3"/>
  <c r="BM420" i="3"/>
  <c r="BN420" i="3"/>
  <c r="BO420" i="3"/>
  <c r="BP420" i="3"/>
  <c r="BQ420" i="3"/>
  <c r="BR420" i="3"/>
  <c r="BS420" i="3"/>
  <c r="BT420" i="3"/>
  <c r="BL420" i="3"/>
  <c r="AZ420" i="3"/>
  <c r="BB421" i="3"/>
  <c r="BD421" i="3"/>
  <c r="BE421" i="3"/>
  <c r="BF421" i="3"/>
  <c r="BG421" i="3"/>
  <c r="BH421" i="3"/>
  <c r="BI421" i="3"/>
  <c r="BJ421" i="3"/>
  <c r="BK421" i="3"/>
  <c r="BA421" i="3"/>
  <c r="BM421" i="3"/>
  <c r="BN421" i="3"/>
  <c r="BO421" i="3"/>
  <c r="BP421" i="3"/>
  <c r="BQ421" i="3"/>
  <c r="BR421" i="3"/>
  <c r="BS421" i="3"/>
  <c r="BT421" i="3"/>
  <c r="BL421" i="3"/>
  <c r="AZ421" i="3"/>
  <c r="BB422" i="3"/>
  <c r="BD422" i="3"/>
  <c r="BE422" i="3"/>
  <c r="BF422" i="3"/>
  <c r="BG422" i="3"/>
  <c r="BH422" i="3"/>
  <c r="BI422" i="3"/>
  <c r="BJ422" i="3"/>
  <c r="BK422" i="3"/>
  <c r="BA422" i="3"/>
  <c r="BM422" i="3"/>
  <c r="BN422" i="3"/>
  <c r="BO422" i="3"/>
  <c r="BP422" i="3"/>
  <c r="BQ422" i="3"/>
  <c r="BR422" i="3"/>
  <c r="BS422" i="3"/>
  <c r="BT422" i="3"/>
  <c r="BL422" i="3"/>
  <c r="AZ422" i="3"/>
  <c r="BB423" i="3"/>
  <c r="BD423" i="3"/>
  <c r="BE423" i="3"/>
  <c r="BF423" i="3"/>
  <c r="BG423" i="3"/>
  <c r="BH423" i="3"/>
  <c r="BI423" i="3"/>
  <c r="BJ423" i="3"/>
  <c r="BK423" i="3"/>
  <c r="BA423" i="3"/>
  <c r="BM423" i="3"/>
  <c r="BN423" i="3"/>
  <c r="BO423" i="3"/>
  <c r="BP423" i="3"/>
  <c r="BQ423" i="3"/>
  <c r="BR423" i="3"/>
  <c r="BS423" i="3"/>
  <c r="BT423" i="3"/>
  <c r="BL423" i="3"/>
  <c r="AZ423" i="3"/>
  <c r="BB424" i="3"/>
  <c r="BD424" i="3"/>
  <c r="BE424" i="3"/>
  <c r="BF424" i="3"/>
  <c r="BG424" i="3"/>
  <c r="BH424" i="3"/>
  <c r="BI424" i="3"/>
  <c r="BJ424" i="3"/>
  <c r="BK424" i="3"/>
  <c r="BA424" i="3"/>
  <c r="BM424" i="3"/>
  <c r="BN424" i="3"/>
  <c r="BO424" i="3"/>
  <c r="BP424" i="3"/>
  <c r="BQ424" i="3"/>
  <c r="BR424" i="3"/>
  <c r="BS424" i="3"/>
  <c r="BT424" i="3"/>
  <c r="BL424" i="3"/>
  <c r="AZ424" i="3"/>
  <c r="BB425" i="3"/>
  <c r="BD425" i="3"/>
  <c r="BE425" i="3"/>
  <c r="BF425" i="3"/>
  <c r="BG425" i="3"/>
  <c r="BH425" i="3"/>
  <c r="BI425" i="3"/>
  <c r="BJ425" i="3"/>
  <c r="BK425" i="3"/>
  <c r="BA425" i="3"/>
  <c r="BM425" i="3"/>
  <c r="BN425" i="3"/>
  <c r="BO425" i="3"/>
  <c r="BP425" i="3"/>
  <c r="BQ425" i="3"/>
  <c r="BR425" i="3"/>
  <c r="BS425" i="3"/>
  <c r="BT425" i="3"/>
  <c r="BL425" i="3"/>
  <c r="AZ425" i="3"/>
  <c r="BB426" i="3"/>
  <c r="BD426" i="3"/>
  <c r="BE426" i="3"/>
  <c r="BF426" i="3"/>
  <c r="BG426" i="3"/>
  <c r="BH426" i="3"/>
  <c r="BI426" i="3"/>
  <c r="BJ426" i="3"/>
  <c r="BK426" i="3"/>
  <c r="BA426" i="3"/>
  <c r="BM426" i="3"/>
  <c r="BN426" i="3"/>
  <c r="BO426" i="3"/>
  <c r="BP426" i="3"/>
  <c r="BQ426" i="3"/>
  <c r="BR426" i="3"/>
  <c r="BS426" i="3"/>
  <c r="BT426" i="3"/>
  <c r="BL426" i="3"/>
  <c r="AZ426" i="3"/>
  <c r="BB427" i="3"/>
  <c r="BD427" i="3"/>
  <c r="BE427" i="3"/>
  <c r="BF427" i="3"/>
  <c r="BG427" i="3"/>
  <c r="BH427" i="3"/>
  <c r="BI427" i="3"/>
  <c r="BJ427" i="3"/>
  <c r="BK427" i="3"/>
  <c r="BA427" i="3"/>
  <c r="BM427" i="3"/>
  <c r="BN427" i="3"/>
  <c r="BO427" i="3"/>
  <c r="BP427" i="3"/>
  <c r="BQ427" i="3"/>
  <c r="BR427" i="3"/>
  <c r="BS427" i="3"/>
  <c r="BT427" i="3"/>
  <c r="BL427" i="3"/>
  <c r="AZ427" i="3"/>
  <c r="BB428" i="3"/>
  <c r="BD428" i="3"/>
  <c r="BE428" i="3"/>
  <c r="BF428" i="3"/>
  <c r="BG428" i="3"/>
  <c r="BH428" i="3"/>
  <c r="BI428" i="3"/>
  <c r="BJ428" i="3"/>
  <c r="BK428" i="3"/>
  <c r="BA428" i="3"/>
  <c r="BM428" i="3"/>
  <c r="BN428" i="3"/>
  <c r="BO428" i="3"/>
  <c r="BP428" i="3"/>
  <c r="BQ428" i="3"/>
  <c r="BR428" i="3"/>
  <c r="BS428" i="3"/>
  <c r="BT428" i="3"/>
  <c r="BL428" i="3"/>
  <c r="AZ428" i="3"/>
  <c r="BB429" i="3"/>
  <c r="BD429" i="3"/>
  <c r="BE429" i="3"/>
  <c r="BF429" i="3"/>
  <c r="BG429" i="3"/>
  <c r="BH429" i="3"/>
  <c r="BI429" i="3"/>
  <c r="BJ429" i="3"/>
  <c r="BK429" i="3"/>
  <c r="BA429" i="3"/>
  <c r="BM429" i="3"/>
  <c r="BN429" i="3"/>
  <c r="BO429" i="3"/>
  <c r="BP429" i="3"/>
  <c r="BQ429" i="3"/>
  <c r="BR429" i="3"/>
  <c r="BS429" i="3"/>
  <c r="BT429" i="3"/>
  <c r="BL429" i="3"/>
  <c r="AZ429" i="3"/>
  <c r="BB430" i="3"/>
  <c r="BD430" i="3"/>
  <c r="BE430" i="3"/>
  <c r="BF430" i="3"/>
  <c r="BG430" i="3"/>
  <c r="BH430" i="3"/>
  <c r="BI430" i="3"/>
  <c r="BJ430" i="3"/>
  <c r="BK430" i="3"/>
  <c r="BA430" i="3"/>
  <c r="BM430" i="3"/>
  <c r="BN430" i="3"/>
  <c r="BO430" i="3"/>
  <c r="BP430" i="3"/>
  <c r="BQ430" i="3"/>
  <c r="BR430" i="3"/>
  <c r="BS430" i="3"/>
  <c r="BT430" i="3"/>
  <c r="BL430" i="3"/>
  <c r="AZ430" i="3"/>
  <c r="BB431" i="3"/>
  <c r="BD431" i="3"/>
  <c r="BE431" i="3"/>
  <c r="BF431" i="3"/>
  <c r="BG431" i="3"/>
  <c r="BH431" i="3"/>
  <c r="BI431" i="3"/>
  <c r="BJ431" i="3"/>
  <c r="BK431" i="3"/>
  <c r="BA431" i="3"/>
  <c r="BM431" i="3"/>
  <c r="BN431" i="3"/>
  <c r="BO431" i="3"/>
  <c r="BP431" i="3"/>
  <c r="BQ431" i="3"/>
  <c r="BR431" i="3"/>
  <c r="BS431" i="3"/>
  <c r="BT431" i="3"/>
  <c r="BL431" i="3"/>
  <c r="AZ431" i="3"/>
  <c r="BB432" i="3"/>
  <c r="BD432" i="3"/>
  <c r="BE432" i="3"/>
  <c r="BF432" i="3"/>
  <c r="BG432" i="3"/>
  <c r="BH432" i="3"/>
  <c r="BI432" i="3"/>
  <c r="BJ432" i="3"/>
  <c r="BK432" i="3"/>
  <c r="BA432" i="3"/>
  <c r="BM432" i="3"/>
  <c r="BN432" i="3"/>
  <c r="BO432" i="3"/>
  <c r="BP432" i="3"/>
  <c r="BQ432" i="3"/>
  <c r="BR432" i="3"/>
  <c r="BS432" i="3"/>
  <c r="BT432" i="3"/>
  <c r="BL432" i="3"/>
  <c r="AZ432" i="3"/>
  <c r="BB433" i="3"/>
  <c r="BD433" i="3"/>
  <c r="BE433" i="3"/>
  <c r="BF433" i="3"/>
  <c r="BG433" i="3"/>
  <c r="BH433" i="3"/>
  <c r="BI433" i="3"/>
  <c r="BJ433" i="3"/>
  <c r="BK433" i="3"/>
  <c r="BA433" i="3"/>
  <c r="BM433" i="3"/>
  <c r="BN433" i="3"/>
  <c r="BO433" i="3"/>
  <c r="BP433" i="3"/>
  <c r="BQ433" i="3"/>
  <c r="BR433" i="3"/>
  <c r="BS433" i="3"/>
  <c r="BT433" i="3"/>
  <c r="BL433" i="3"/>
  <c r="AZ433" i="3"/>
  <c r="BB434" i="3"/>
  <c r="BD434" i="3"/>
  <c r="BE434" i="3"/>
  <c r="BF434" i="3"/>
  <c r="BG434" i="3"/>
  <c r="BH434" i="3"/>
  <c r="BI434" i="3"/>
  <c r="BJ434" i="3"/>
  <c r="BK434" i="3"/>
  <c r="BA434" i="3"/>
  <c r="BM434" i="3"/>
  <c r="BN434" i="3"/>
  <c r="BO434" i="3"/>
  <c r="BP434" i="3"/>
  <c r="BQ434" i="3"/>
  <c r="BR434" i="3"/>
  <c r="BS434" i="3"/>
  <c r="BT434" i="3"/>
  <c r="BL434" i="3"/>
  <c r="AZ434" i="3"/>
  <c r="BB435" i="3"/>
  <c r="BD435" i="3"/>
  <c r="BE435" i="3"/>
  <c r="BF435" i="3"/>
  <c r="BG435" i="3"/>
  <c r="BH435" i="3"/>
  <c r="BI435" i="3"/>
  <c r="BJ435" i="3"/>
  <c r="BK435" i="3"/>
  <c r="BA435" i="3"/>
  <c r="BM435" i="3"/>
  <c r="BN435" i="3"/>
  <c r="BO435" i="3"/>
  <c r="BP435" i="3"/>
  <c r="BQ435" i="3"/>
  <c r="BR435" i="3"/>
  <c r="BS435" i="3"/>
  <c r="BT435" i="3"/>
  <c r="BL435" i="3"/>
  <c r="AZ435" i="3"/>
  <c r="BB436" i="3"/>
  <c r="BD436" i="3"/>
  <c r="BE436" i="3"/>
  <c r="BF436" i="3"/>
  <c r="BG436" i="3"/>
  <c r="BH436" i="3"/>
  <c r="BI436" i="3"/>
  <c r="BJ436" i="3"/>
  <c r="BK436" i="3"/>
  <c r="BA436" i="3"/>
  <c r="BM436" i="3"/>
  <c r="BN436" i="3"/>
  <c r="BO436" i="3"/>
  <c r="BP436" i="3"/>
  <c r="BQ436" i="3"/>
  <c r="BR436" i="3"/>
  <c r="BS436" i="3"/>
  <c r="BT436" i="3"/>
  <c r="BL436" i="3"/>
  <c r="AZ436" i="3"/>
  <c r="BB437" i="3"/>
  <c r="BD437" i="3"/>
  <c r="BE437" i="3"/>
  <c r="BF437" i="3"/>
  <c r="BG437" i="3"/>
  <c r="BH437" i="3"/>
  <c r="BI437" i="3"/>
  <c r="BJ437" i="3"/>
  <c r="BK437" i="3"/>
  <c r="BA437" i="3"/>
  <c r="BM437" i="3"/>
  <c r="BN437" i="3"/>
  <c r="BO437" i="3"/>
  <c r="BP437" i="3"/>
  <c r="BQ437" i="3"/>
  <c r="BR437" i="3"/>
  <c r="BS437" i="3"/>
  <c r="BT437" i="3"/>
  <c r="BL437" i="3"/>
  <c r="AZ437" i="3"/>
  <c r="BB438" i="3"/>
  <c r="BD438" i="3"/>
  <c r="BE438" i="3"/>
  <c r="BF438" i="3"/>
  <c r="BG438" i="3"/>
  <c r="BH438" i="3"/>
  <c r="BI438" i="3"/>
  <c r="BJ438" i="3"/>
  <c r="BK438" i="3"/>
  <c r="BA438" i="3"/>
  <c r="BM438" i="3"/>
  <c r="BN438" i="3"/>
  <c r="BO438" i="3"/>
  <c r="BP438" i="3"/>
  <c r="BQ438" i="3"/>
  <c r="BR438" i="3"/>
  <c r="BS438" i="3"/>
  <c r="BT438" i="3"/>
  <c r="BL438" i="3"/>
  <c r="AZ438" i="3"/>
  <c r="BB439" i="3"/>
  <c r="BD439" i="3"/>
  <c r="BE439" i="3"/>
  <c r="BF439" i="3"/>
  <c r="BG439" i="3"/>
  <c r="BH439" i="3"/>
  <c r="BI439" i="3"/>
  <c r="BJ439" i="3"/>
  <c r="BK439" i="3"/>
  <c r="BA439" i="3"/>
  <c r="BM439" i="3"/>
  <c r="BN439" i="3"/>
  <c r="BO439" i="3"/>
  <c r="BP439" i="3"/>
  <c r="BQ439" i="3"/>
  <c r="BR439" i="3"/>
  <c r="BS439" i="3"/>
  <c r="BT439" i="3"/>
  <c r="BL439" i="3"/>
  <c r="AZ439" i="3"/>
  <c r="BB440" i="3"/>
  <c r="BD440" i="3"/>
  <c r="BE440" i="3"/>
  <c r="BF440" i="3"/>
  <c r="BG440" i="3"/>
  <c r="BH440" i="3"/>
  <c r="BI440" i="3"/>
  <c r="BJ440" i="3"/>
  <c r="BK440" i="3"/>
  <c r="BA440" i="3"/>
  <c r="BM440" i="3"/>
  <c r="BN440" i="3"/>
  <c r="BO440" i="3"/>
  <c r="BP440" i="3"/>
  <c r="BQ440" i="3"/>
  <c r="BR440" i="3"/>
  <c r="BS440" i="3"/>
  <c r="BT440" i="3"/>
  <c r="BL440" i="3"/>
  <c r="AZ440" i="3"/>
  <c r="BB441" i="3"/>
  <c r="BD441" i="3"/>
  <c r="BE441" i="3"/>
  <c r="BF441" i="3"/>
  <c r="BG441" i="3"/>
  <c r="BH441" i="3"/>
  <c r="BI441" i="3"/>
  <c r="BJ441" i="3"/>
  <c r="BK441" i="3"/>
  <c r="BA441" i="3"/>
  <c r="BM441" i="3"/>
  <c r="BN441" i="3"/>
  <c r="BO441" i="3"/>
  <c r="BP441" i="3"/>
  <c r="BQ441" i="3"/>
  <c r="BR441" i="3"/>
  <c r="BS441" i="3"/>
  <c r="BT441" i="3"/>
  <c r="BL441" i="3"/>
  <c r="AZ441" i="3"/>
  <c r="BB442" i="3"/>
  <c r="BD442" i="3"/>
  <c r="BE442" i="3"/>
  <c r="BF442" i="3"/>
  <c r="BG442" i="3"/>
  <c r="BH442" i="3"/>
  <c r="BI442" i="3"/>
  <c r="BJ442" i="3"/>
  <c r="BK442" i="3"/>
  <c r="BA442" i="3"/>
  <c r="BM442" i="3"/>
  <c r="BN442" i="3"/>
  <c r="BO442" i="3"/>
  <c r="BP442" i="3"/>
  <c r="BQ442" i="3"/>
  <c r="BR442" i="3"/>
  <c r="BS442" i="3"/>
  <c r="BT442" i="3"/>
  <c r="BL442" i="3"/>
  <c r="AZ442" i="3"/>
  <c r="BB443" i="3"/>
  <c r="BD443" i="3"/>
  <c r="BE443" i="3"/>
  <c r="BF443" i="3"/>
  <c r="BG443" i="3"/>
  <c r="BH443" i="3"/>
  <c r="BI443" i="3"/>
  <c r="BJ443" i="3"/>
  <c r="BK443" i="3"/>
  <c r="BA443" i="3"/>
  <c r="BM443" i="3"/>
  <c r="BN443" i="3"/>
  <c r="BO443" i="3"/>
  <c r="BP443" i="3"/>
  <c r="BQ443" i="3"/>
  <c r="BR443" i="3"/>
  <c r="BS443" i="3"/>
  <c r="BT443" i="3"/>
  <c r="BL443" i="3"/>
  <c r="AZ443" i="3"/>
  <c r="BB444" i="3"/>
  <c r="BD444" i="3"/>
  <c r="BE444" i="3"/>
  <c r="BF444" i="3"/>
  <c r="BG444" i="3"/>
  <c r="BH444" i="3"/>
  <c r="BI444" i="3"/>
  <c r="BJ444" i="3"/>
  <c r="BK444" i="3"/>
  <c r="BA444" i="3"/>
  <c r="BM444" i="3"/>
  <c r="BN444" i="3"/>
  <c r="BO444" i="3"/>
  <c r="BP444" i="3"/>
  <c r="BQ444" i="3"/>
  <c r="BR444" i="3"/>
  <c r="BS444" i="3"/>
  <c r="BT444" i="3"/>
  <c r="BL444" i="3"/>
  <c r="AZ444" i="3"/>
  <c r="BB445" i="3"/>
  <c r="BD445" i="3"/>
  <c r="BE445" i="3"/>
  <c r="BF445" i="3"/>
  <c r="BG445" i="3"/>
  <c r="BH445" i="3"/>
  <c r="BI445" i="3"/>
  <c r="BJ445" i="3"/>
  <c r="BK445" i="3"/>
  <c r="BA445" i="3"/>
  <c r="BM445" i="3"/>
  <c r="BN445" i="3"/>
  <c r="BO445" i="3"/>
  <c r="BP445" i="3"/>
  <c r="BQ445" i="3"/>
  <c r="BR445" i="3"/>
  <c r="BS445" i="3"/>
  <c r="BT445" i="3"/>
  <c r="BL445" i="3"/>
  <c r="AZ445" i="3"/>
  <c r="BB446" i="3"/>
  <c r="BD446" i="3"/>
  <c r="BE446" i="3"/>
  <c r="BF446" i="3"/>
  <c r="BG446" i="3"/>
  <c r="BH446" i="3"/>
  <c r="BI446" i="3"/>
  <c r="BJ446" i="3"/>
  <c r="BK446" i="3"/>
  <c r="BA446" i="3"/>
  <c r="BM446" i="3"/>
  <c r="BN446" i="3"/>
  <c r="BO446" i="3"/>
  <c r="BP446" i="3"/>
  <c r="BQ446" i="3"/>
  <c r="BR446" i="3"/>
  <c r="BS446" i="3"/>
  <c r="BT446" i="3"/>
  <c r="BL446" i="3"/>
  <c r="AZ446" i="3"/>
  <c r="BB447" i="3"/>
  <c r="BD447" i="3"/>
  <c r="BE447" i="3"/>
  <c r="BF447" i="3"/>
  <c r="BG447" i="3"/>
  <c r="BH447" i="3"/>
  <c r="BI447" i="3"/>
  <c r="BJ447" i="3"/>
  <c r="BK447" i="3"/>
  <c r="BA447" i="3"/>
  <c r="BM447" i="3"/>
  <c r="BN447" i="3"/>
  <c r="BO447" i="3"/>
  <c r="BP447" i="3"/>
  <c r="BQ447" i="3"/>
  <c r="BR447" i="3"/>
  <c r="BS447" i="3"/>
  <c r="BT447" i="3"/>
  <c r="BL447" i="3"/>
  <c r="AZ447" i="3"/>
  <c r="BB448" i="3"/>
  <c r="BD448" i="3"/>
  <c r="BE448" i="3"/>
  <c r="BF448" i="3"/>
  <c r="BG448" i="3"/>
  <c r="BH448" i="3"/>
  <c r="BI448" i="3"/>
  <c r="BJ448" i="3"/>
  <c r="BK448" i="3"/>
  <c r="BA448" i="3"/>
  <c r="BM448" i="3"/>
  <c r="BN448" i="3"/>
  <c r="BO448" i="3"/>
  <c r="BP448" i="3"/>
  <c r="BQ448" i="3"/>
  <c r="BR448" i="3"/>
  <c r="BS448" i="3"/>
  <c r="BT448" i="3"/>
  <c r="BL448" i="3"/>
  <c r="AZ448" i="3"/>
  <c r="BB449" i="3"/>
  <c r="BD449" i="3"/>
  <c r="BE449" i="3"/>
  <c r="BF449" i="3"/>
  <c r="BG449" i="3"/>
  <c r="BH449" i="3"/>
  <c r="BI449" i="3"/>
  <c r="BJ449" i="3"/>
  <c r="BK449" i="3"/>
  <c r="BA449" i="3"/>
  <c r="BM449" i="3"/>
  <c r="BN449" i="3"/>
  <c r="BO449" i="3"/>
  <c r="BP449" i="3"/>
  <c r="BQ449" i="3"/>
  <c r="BR449" i="3"/>
  <c r="BS449" i="3"/>
  <c r="BT449" i="3"/>
  <c r="BL449" i="3"/>
  <c r="AZ449" i="3"/>
  <c r="BB450" i="3"/>
  <c r="BD450" i="3"/>
  <c r="BE450" i="3"/>
  <c r="BF450" i="3"/>
  <c r="BG450" i="3"/>
  <c r="BH450" i="3"/>
  <c r="BI450" i="3"/>
  <c r="BJ450" i="3"/>
  <c r="BK450" i="3"/>
  <c r="BA450" i="3"/>
  <c r="BM450" i="3"/>
  <c r="BN450" i="3"/>
  <c r="BO450" i="3"/>
  <c r="BP450" i="3"/>
  <c r="BQ450" i="3"/>
  <c r="BR450" i="3"/>
  <c r="BS450" i="3"/>
  <c r="BT450" i="3"/>
  <c r="BL450" i="3"/>
  <c r="AZ450" i="3"/>
  <c r="BB451" i="3"/>
  <c r="BD451" i="3"/>
  <c r="BE451" i="3"/>
  <c r="BF451" i="3"/>
  <c r="BG451" i="3"/>
  <c r="BH451" i="3"/>
  <c r="BI451" i="3"/>
  <c r="BJ451" i="3"/>
  <c r="BK451" i="3"/>
  <c r="BA451" i="3"/>
  <c r="BM451" i="3"/>
  <c r="BN451" i="3"/>
  <c r="BO451" i="3"/>
  <c r="BP451" i="3"/>
  <c r="BQ451" i="3"/>
  <c r="BR451" i="3"/>
  <c r="BS451" i="3"/>
  <c r="BT451" i="3"/>
  <c r="BL451" i="3"/>
  <c r="AZ451" i="3"/>
  <c r="BB452" i="3"/>
  <c r="BD452" i="3"/>
  <c r="BE452" i="3"/>
  <c r="BF452" i="3"/>
  <c r="BG452" i="3"/>
  <c r="BH452" i="3"/>
  <c r="BI452" i="3"/>
  <c r="BJ452" i="3"/>
  <c r="BK452" i="3"/>
  <c r="BA452" i="3"/>
  <c r="BM452" i="3"/>
  <c r="BN452" i="3"/>
  <c r="BO452" i="3"/>
  <c r="BP452" i="3"/>
  <c r="BQ452" i="3"/>
  <c r="BR452" i="3"/>
  <c r="BS452" i="3"/>
  <c r="BT452" i="3"/>
  <c r="BL452" i="3"/>
  <c r="AZ452" i="3"/>
  <c r="BB453" i="3"/>
  <c r="BD453" i="3"/>
  <c r="BE453" i="3"/>
  <c r="BF453" i="3"/>
  <c r="BG453" i="3"/>
  <c r="BH453" i="3"/>
  <c r="BI453" i="3"/>
  <c r="BJ453" i="3"/>
  <c r="BK453" i="3"/>
  <c r="BA453" i="3"/>
  <c r="BM453" i="3"/>
  <c r="BN453" i="3"/>
  <c r="BO453" i="3"/>
  <c r="BP453" i="3"/>
  <c r="BQ453" i="3"/>
  <c r="BR453" i="3"/>
  <c r="BS453" i="3"/>
  <c r="BT453" i="3"/>
  <c r="BL453" i="3"/>
  <c r="AZ453" i="3"/>
  <c r="BB454" i="3"/>
  <c r="BD454" i="3"/>
  <c r="BE454" i="3"/>
  <c r="BF454" i="3"/>
  <c r="BG454" i="3"/>
  <c r="BH454" i="3"/>
  <c r="BI454" i="3"/>
  <c r="BJ454" i="3"/>
  <c r="BK454" i="3"/>
  <c r="BA454" i="3"/>
  <c r="BM454" i="3"/>
  <c r="BN454" i="3"/>
  <c r="BO454" i="3"/>
  <c r="BP454" i="3"/>
  <c r="BQ454" i="3"/>
  <c r="BR454" i="3"/>
  <c r="BS454" i="3"/>
  <c r="BT454" i="3"/>
  <c r="BL454" i="3"/>
  <c r="AZ454" i="3"/>
  <c r="BB455" i="3"/>
  <c r="BD455" i="3"/>
  <c r="BE455" i="3"/>
  <c r="BF455" i="3"/>
  <c r="BG455" i="3"/>
  <c r="BH455" i="3"/>
  <c r="BI455" i="3"/>
  <c r="BJ455" i="3"/>
  <c r="BK455" i="3"/>
  <c r="BA455" i="3"/>
  <c r="BM455" i="3"/>
  <c r="BN455" i="3"/>
  <c r="BO455" i="3"/>
  <c r="BP455" i="3"/>
  <c r="BQ455" i="3"/>
  <c r="BR455" i="3"/>
  <c r="BS455" i="3"/>
  <c r="BT455" i="3"/>
  <c r="BL455" i="3"/>
  <c r="AZ455" i="3"/>
  <c r="BB456" i="3"/>
  <c r="BD456" i="3"/>
  <c r="BE456" i="3"/>
  <c r="BF456" i="3"/>
  <c r="BG456" i="3"/>
  <c r="BH456" i="3"/>
  <c r="BI456" i="3"/>
  <c r="BJ456" i="3"/>
  <c r="BK456" i="3"/>
  <c r="BA456" i="3"/>
  <c r="BM456" i="3"/>
  <c r="BN456" i="3"/>
  <c r="BO456" i="3"/>
  <c r="BP456" i="3"/>
  <c r="BQ456" i="3"/>
  <c r="BR456" i="3"/>
  <c r="BS456" i="3"/>
  <c r="BT456" i="3"/>
  <c r="BL456" i="3"/>
  <c r="AZ456" i="3"/>
  <c r="BB457" i="3"/>
  <c r="BD457" i="3"/>
  <c r="BE457" i="3"/>
  <c r="BF457" i="3"/>
  <c r="BG457" i="3"/>
  <c r="BH457" i="3"/>
  <c r="BI457" i="3"/>
  <c r="BJ457" i="3"/>
  <c r="BK457" i="3"/>
  <c r="BA457" i="3"/>
  <c r="BM457" i="3"/>
  <c r="BN457" i="3"/>
  <c r="BO457" i="3"/>
  <c r="BP457" i="3"/>
  <c r="BQ457" i="3"/>
  <c r="BR457" i="3"/>
  <c r="BS457" i="3"/>
  <c r="BT457" i="3"/>
  <c r="BL457" i="3"/>
  <c r="AZ457" i="3"/>
  <c r="BB458" i="3"/>
  <c r="BD458" i="3"/>
  <c r="BE458" i="3"/>
  <c r="BF458" i="3"/>
  <c r="BG458" i="3"/>
  <c r="BH458" i="3"/>
  <c r="BI458" i="3"/>
  <c r="BJ458" i="3"/>
  <c r="BK458" i="3"/>
  <c r="BA458" i="3"/>
  <c r="BM458" i="3"/>
  <c r="BN458" i="3"/>
  <c r="BO458" i="3"/>
  <c r="BP458" i="3"/>
  <c r="BQ458" i="3"/>
  <c r="BR458" i="3"/>
  <c r="BS458" i="3"/>
  <c r="BT458" i="3"/>
  <c r="BL458" i="3"/>
  <c r="AZ458" i="3"/>
  <c r="BB459" i="3"/>
  <c r="BD459" i="3"/>
  <c r="BE459" i="3"/>
  <c r="BF459" i="3"/>
  <c r="BG459" i="3"/>
  <c r="BH459" i="3"/>
  <c r="BI459" i="3"/>
  <c r="BJ459" i="3"/>
  <c r="BK459" i="3"/>
  <c r="BA459" i="3"/>
  <c r="BM459" i="3"/>
  <c r="BN459" i="3"/>
  <c r="BO459" i="3"/>
  <c r="BP459" i="3"/>
  <c r="BQ459" i="3"/>
  <c r="BR459" i="3"/>
  <c r="BS459" i="3"/>
  <c r="BT459" i="3"/>
  <c r="BL459" i="3"/>
  <c r="AZ459" i="3"/>
  <c r="BB460" i="3"/>
  <c r="BD460" i="3"/>
  <c r="BE460" i="3"/>
  <c r="BF460" i="3"/>
  <c r="BG460" i="3"/>
  <c r="BH460" i="3"/>
  <c r="BI460" i="3"/>
  <c r="BJ460" i="3"/>
  <c r="BK460" i="3"/>
  <c r="BA460" i="3"/>
  <c r="BM460" i="3"/>
  <c r="BN460" i="3"/>
  <c r="BO460" i="3"/>
  <c r="BP460" i="3"/>
  <c r="BQ460" i="3"/>
  <c r="BR460" i="3"/>
  <c r="BS460" i="3"/>
  <c r="BT460" i="3"/>
  <c r="BL460" i="3"/>
  <c r="AZ460" i="3"/>
  <c r="BB461" i="3"/>
  <c r="BD461" i="3"/>
  <c r="BE461" i="3"/>
  <c r="BF461" i="3"/>
  <c r="BG461" i="3"/>
  <c r="BH461" i="3"/>
  <c r="BI461" i="3"/>
  <c r="BJ461" i="3"/>
  <c r="BK461" i="3"/>
  <c r="BA461" i="3"/>
  <c r="BM461" i="3"/>
  <c r="BN461" i="3"/>
  <c r="BO461" i="3"/>
  <c r="BP461" i="3"/>
  <c r="BQ461" i="3"/>
  <c r="BR461" i="3"/>
  <c r="BS461" i="3"/>
  <c r="BT461" i="3"/>
  <c r="BL461" i="3"/>
  <c r="AZ461" i="3"/>
  <c r="BB462" i="3"/>
  <c r="BD462" i="3"/>
  <c r="BE462" i="3"/>
  <c r="BF462" i="3"/>
  <c r="BG462" i="3"/>
  <c r="BH462" i="3"/>
  <c r="BI462" i="3"/>
  <c r="BJ462" i="3"/>
  <c r="BK462" i="3"/>
  <c r="BA462" i="3"/>
  <c r="BM462" i="3"/>
  <c r="BN462" i="3"/>
  <c r="BO462" i="3"/>
  <c r="BP462" i="3"/>
  <c r="BQ462" i="3"/>
  <c r="BR462" i="3"/>
  <c r="BS462" i="3"/>
  <c r="BT462" i="3"/>
  <c r="BL462" i="3"/>
  <c r="AZ462" i="3"/>
  <c r="BB463" i="3"/>
  <c r="BD463" i="3"/>
  <c r="BE463" i="3"/>
  <c r="BF463" i="3"/>
  <c r="BG463" i="3"/>
  <c r="BH463" i="3"/>
  <c r="BI463" i="3"/>
  <c r="BJ463" i="3"/>
  <c r="BK463" i="3"/>
  <c r="BA463" i="3"/>
  <c r="BM463" i="3"/>
  <c r="BN463" i="3"/>
  <c r="BO463" i="3"/>
  <c r="BP463" i="3"/>
  <c r="BQ463" i="3"/>
  <c r="BR463" i="3"/>
  <c r="BS463" i="3"/>
  <c r="BT463" i="3"/>
  <c r="BL463" i="3"/>
  <c r="AZ463" i="3"/>
  <c r="BB464" i="3"/>
  <c r="BD464" i="3"/>
  <c r="BE464" i="3"/>
  <c r="BF464" i="3"/>
  <c r="BG464" i="3"/>
  <c r="BH464" i="3"/>
  <c r="BI464" i="3"/>
  <c r="BJ464" i="3"/>
  <c r="BK464" i="3"/>
  <c r="BA464" i="3"/>
  <c r="BM464" i="3"/>
  <c r="BN464" i="3"/>
  <c r="BO464" i="3"/>
  <c r="BP464" i="3"/>
  <c r="BQ464" i="3"/>
  <c r="BR464" i="3"/>
  <c r="BS464" i="3"/>
  <c r="BT464" i="3"/>
  <c r="BL464" i="3"/>
  <c r="AZ464" i="3"/>
  <c r="BB465" i="3"/>
  <c r="BD465" i="3"/>
  <c r="BE465" i="3"/>
  <c r="BF465" i="3"/>
  <c r="BG465" i="3"/>
  <c r="BH465" i="3"/>
  <c r="BI465" i="3"/>
  <c r="BJ465" i="3"/>
  <c r="BK465" i="3"/>
  <c r="BA465" i="3"/>
  <c r="BM465" i="3"/>
  <c r="BN465" i="3"/>
  <c r="BO465" i="3"/>
  <c r="BP465" i="3"/>
  <c r="BQ465" i="3"/>
  <c r="BR465" i="3"/>
  <c r="BS465" i="3"/>
  <c r="BT465" i="3"/>
  <c r="BL465" i="3"/>
  <c r="AZ465" i="3"/>
  <c r="BB466" i="3"/>
  <c r="BD466" i="3"/>
  <c r="BE466" i="3"/>
  <c r="BF466" i="3"/>
  <c r="BG466" i="3"/>
  <c r="BH466" i="3"/>
  <c r="BI466" i="3"/>
  <c r="BJ466" i="3"/>
  <c r="BK466" i="3"/>
  <c r="BA466" i="3"/>
  <c r="BM466" i="3"/>
  <c r="BN466" i="3"/>
  <c r="BO466" i="3"/>
  <c r="BP466" i="3"/>
  <c r="BQ466" i="3"/>
  <c r="BR466" i="3"/>
  <c r="BS466" i="3"/>
  <c r="BT466" i="3"/>
  <c r="BL466" i="3"/>
  <c r="AZ466" i="3"/>
  <c r="BB467" i="3"/>
  <c r="BD467" i="3"/>
  <c r="BE467" i="3"/>
  <c r="BF467" i="3"/>
  <c r="BG467" i="3"/>
  <c r="BH467" i="3"/>
  <c r="BI467" i="3"/>
  <c r="BJ467" i="3"/>
  <c r="BK467" i="3"/>
  <c r="BA467" i="3"/>
  <c r="BM467" i="3"/>
  <c r="BN467" i="3"/>
  <c r="BO467" i="3"/>
  <c r="BP467" i="3"/>
  <c r="BQ467" i="3"/>
  <c r="BR467" i="3"/>
  <c r="BS467" i="3"/>
  <c r="BT467" i="3"/>
  <c r="BL467" i="3"/>
  <c r="AZ467" i="3"/>
  <c r="BB468" i="3"/>
  <c r="BD468" i="3"/>
  <c r="BE468" i="3"/>
  <c r="BF468" i="3"/>
  <c r="BG468" i="3"/>
  <c r="BH468" i="3"/>
  <c r="BI468" i="3"/>
  <c r="BJ468" i="3"/>
  <c r="BK468" i="3"/>
  <c r="BA468" i="3"/>
  <c r="BM468" i="3"/>
  <c r="BN468" i="3"/>
  <c r="BO468" i="3"/>
  <c r="BP468" i="3"/>
  <c r="BQ468" i="3"/>
  <c r="BR468" i="3"/>
  <c r="BS468" i="3"/>
  <c r="BT468" i="3"/>
  <c r="BL468" i="3"/>
  <c r="AZ468" i="3"/>
  <c r="BB469" i="3"/>
  <c r="BD469" i="3"/>
  <c r="BE469" i="3"/>
  <c r="BF469" i="3"/>
  <c r="BG469" i="3"/>
  <c r="BH469" i="3"/>
  <c r="BI469" i="3"/>
  <c r="BJ469" i="3"/>
  <c r="BK469" i="3"/>
  <c r="BA469" i="3"/>
  <c r="BM469" i="3"/>
  <c r="BN469" i="3"/>
  <c r="BO469" i="3"/>
  <c r="BP469" i="3"/>
  <c r="BQ469" i="3"/>
  <c r="BR469" i="3"/>
  <c r="BS469" i="3"/>
  <c r="BT469" i="3"/>
  <c r="BL469" i="3"/>
  <c r="AZ469" i="3"/>
  <c r="BB470" i="3"/>
  <c r="BD470" i="3"/>
  <c r="BE470" i="3"/>
  <c r="BF470" i="3"/>
  <c r="BG470" i="3"/>
  <c r="BH470" i="3"/>
  <c r="BI470" i="3"/>
  <c r="BJ470" i="3"/>
  <c r="BK470" i="3"/>
  <c r="BA470" i="3"/>
  <c r="BM470" i="3"/>
  <c r="BN470" i="3"/>
  <c r="BO470" i="3"/>
  <c r="BP470" i="3"/>
  <c r="BQ470" i="3"/>
  <c r="BR470" i="3"/>
  <c r="BS470" i="3"/>
  <c r="BT470" i="3"/>
  <c r="BL470" i="3"/>
  <c r="AZ470" i="3"/>
  <c r="BB471" i="3"/>
  <c r="BD471" i="3"/>
  <c r="BE471" i="3"/>
  <c r="BF471" i="3"/>
  <c r="BG471" i="3"/>
  <c r="BH471" i="3"/>
  <c r="BI471" i="3"/>
  <c r="BJ471" i="3"/>
  <c r="BK471" i="3"/>
  <c r="BA471" i="3"/>
  <c r="BM471" i="3"/>
  <c r="BN471" i="3"/>
  <c r="BO471" i="3"/>
  <c r="BP471" i="3"/>
  <c r="BQ471" i="3"/>
  <c r="BR471" i="3"/>
  <c r="BS471" i="3"/>
  <c r="BT471" i="3"/>
  <c r="BL471" i="3"/>
  <c r="AZ471" i="3"/>
  <c r="BB472" i="3"/>
  <c r="BD472" i="3"/>
  <c r="BE472" i="3"/>
  <c r="BF472" i="3"/>
  <c r="BG472" i="3"/>
  <c r="BH472" i="3"/>
  <c r="BI472" i="3"/>
  <c r="BJ472" i="3"/>
  <c r="BK472" i="3"/>
  <c r="BA472" i="3"/>
  <c r="BM472" i="3"/>
  <c r="BN472" i="3"/>
  <c r="BO472" i="3"/>
  <c r="BP472" i="3"/>
  <c r="BQ472" i="3"/>
  <c r="BR472" i="3"/>
  <c r="BS472" i="3"/>
  <c r="BT472" i="3"/>
  <c r="BL472" i="3"/>
  <c r="AZ472" i="3"/>
  <c r="BB473" i="3"/>
  <c r="BD473" i="3"/>
  <c r="BE473" i="3"/>
  <c r="BF473" i="3"/>
  <c r="BG473" i="3"/>
  <c r="BH473" i="3"/>
  <c r="BI473" i="3"/>
  <c r="BJ473" i="3"/>
  <c r="BK473" i="3"/>
  <c r="BA473" i="3"/>
  <c r="BM473" i="3"/>
  <c r="BN473" i="3"/>
  <c r="BO473" i="3"/>
  <c r="BP473" i="3"/>
  <c r="BQ473" i="3"/>
  <c r="BR473" i="3"/>
  <c r="BS473" i="3"/>
  <c r="BT473" i="3"/>
  <c r="BL473" i="3"/>
  <c r="AZ473" i="3"/>
  <c r="BB474" i="3"/>
  <c r="BD474" i="3"/>
  <c r="BE474" i="3"/>
  <c r="BF474" i="3"/>
  <c r="BG474" i="3"/>
  <c r="BH474" i="3"/>
  <c r="BI474" i="3"/>
  <c r="BJ474" i="3"/>
  <c r="BK474" i="3"/>
  <c r="BA474" i="3"/>
  <c r="BM474" i="3"/>
  <c r="BN474" i="3"/>
  <c r="BO474" i="3"/>
  <c r="BP474" i="3"/>
  <c r="BQ474" i="3"/>
  <c r="BR474" i="3"/>
  <c r="BS474" i="3"/>
  <c r="BT474" i="3"/>
  <c r="BL474" i="3"/>
  <c r="AZ474" i="3"/>
  <c r="BB475" i="3"/>
  <c r="BD475" i="3"/>
  <c r="BE475" i="3"/>
  <c r="BF475" i="3"/>
  <c r="BG475" i="3"/>
  <c r="BH475" i="3"/>
  <c r="BI475" i="3"/>
  <c r="BJ475" i="3"/>
  <c r="BK475" i="3"/>
  <c r="BA475" i="3"/>
  <c r="BM475" i="3"/>
  <c r="BN475" i="3"/>
  <c r="BO475" i="3"/>
  <c r="BP475" i="3"/>
  <c r="BQ475" i="3"/>
  <c r="BR475" i="3"/>
  <c r="BS475" i="3"/>
  <c r="BT475" i="3"/>
  <c r="BL475" i="3"/>
  <c r="AZ475" i="3"/>
  <c r="BB476" i="3"/>
  <c r="BD476" i="3"/>
  <c r="BE476" i="3"/>
  <c r="BF476" i="3"/>
  <c r="BG476" i="3"/>
  <c r="BH476" i="3"/>
  <c r="BI476" i="3"/>
  <c r="BJ476" i="3"/>
  <c r="BK476" i="3"/>
  <c r="BA476" i="3"/>
  <c r="BM476" i="3"/>
  <c r="BN476" i="3"/>
  <c r="BO476" i="3"/>
  <c r="BP476" i="3"/>
  <c r="BQ476" i="3"/>
  <c r="BR476" i="3"/>
  <c r="BS476" i="3"/>
  <c r="BT476" i="3"/>
  <c r="BL476" i="3"/>
  <c r="AZ476" i="3"/>
  <c r="BB477" i="3"/>
  <c r="BD477" i="3"/>
  <c r="BE477" i="3"/>
  <c r="BF477" i="3"/>
  <c r="BG477" i="3"/>
  <c r="BH477" i="3"/>
  <c r="BI477" i="3"/>
  <c r="BJ477" i="3"/>
  <c r="BK477" i="3"/>
  <c r="BA477" i="3"/>
  <c r="BM477" i="3"/>
  <c r="BN477" i="3"/>
  <c r="BO477" i="3"/>
  <c r="BP477" i="3"/>
  <c r="BQ477" i="3"/>
  <c r="BR477" i="3"/>
  <c r="BS477" i="3"/>
  <c r="BT477" i="3"/>
  <c r="BL477" i="3"/>
  <c r="AZ477" i="3"/>
  <c r="BB478" i="3"/>
  <c r="BD478" i="3"/>
  <c r="BE478" i="3"/>
  <c r="BF478" i="3"/>
  <c r="BG478" i="3"/>
  <c r="BH478" i="3"/>
  <c r="BI478" i="3"/>
  <c r="BJ478" i="3"/>
  <c r="BK478" i="3"/>
  <c r="BA478" i="3"/>
  <c r="BM478" i="3"/>
  <c r="BN478" i="3"/>
  <c r="BO478" i="3"/>
  <c r="BP478" i="3"/>
  <c r="BQ478" i="3"/>
  <c r="BR478" i="3"/>
  <c r="BS478" i="3"/>
  <c r="BT478" i="3"/>
  <c r="BL478" i="3"/>
  <c r="AZ478" i="3"/>
  <c r="BB479" i="3"/>
  <c r="BD479" i="3"/>
  <c r="BE479" i="3"/>
  <c r="BF479" i="3"/>
  <c r="BG479" i="3"/>
  <c r="BH479" i="3"/>
  <c r="BI479" i="3"/>
  <c r="BJ479" i="3"/>
  <c r="BK479" i="3"/>
  <c r="BA479" i="3"/>
  <c r="BM479" i="3"/>
  <c r="BN479" i="3"/>
  <c r="BO479" i="3"/>
  <c r="BP479" i="3"/>
  <c r="BQ479" i="3"/>
  <c r="BR479" i="3"/>
  <c r="BS479" i="3"/>
  <c r="BT479" i="3"/>
  <c r="BL479" i="3"/>
  <c r="AZ479" i="3"/>
  <c r="BB480" i="3"/>
  <c r="BD480" i="3"/>
  <c r="BE480" i="3"/>
  <c r="BF480" i="3"/>
  <c r="BG480" i="3"/>
  <c r="BH480" i="3"/>
  <c r="BI480" i="3"/>
  <c r="BJ480" i="3"/>
  <c r="BK480" i="3"/>
  <c r="BA480" i="3"/>
  <c r="BM480" i="3"/>
  <c r="BN480" i="3"/>
  <c r="BO480" i="3"/>
  <c r="BP480" i="3"/>
  <c r="BQ480" i="3"/>
  <c r="BR480" i="3"/>
  <c r="BS480" i="3"/>
  <c r="BT480" i="3"/>
  <c r="BL480" i="3"/>
  <c r="AZ480" i="3"/>
  <c r="BB481" i="3"/>
  <c r="BD481" i="3"/>
  <c r="BE481" i="3"/>
  <c r="BF481" i="3"/>
  <c r="BG481" i="3"/>
  <c r="BH481" i="3"/>
  <c r="BI481" i="3"/>
  <c r="BJ481" i="3"/>
  <c r="BK481" i="3"/>
  <c r="BA481" i="3"/>
  <c r="BM481" i="3"/>
  <c r="BN481" i="3"/>
  <c r="BO481" i="3"/>
  <c r="BP481" i="3"/>
  <c r="BQ481" i="3"/>
  <c r="BR481" i="3"/>
  <c r="BS481" i="3"/>
  <c r="BT481" i="3"/>
  <c r="BL481" i="3"/>
  <c r="AZ481" i="3"/>
  <c r="BB482" i="3"/>
  <c r="BD482" i="3"/>
  <c r="BE482" i="3"/>
  <c r="BF482" i="3"/>
  <c r="BG482" i="3"/>
  <c r="BH482" i="3"/>
  <c r="BI482" i="3"/>
  <c r="BJ482" i="3"/>
  <c r="BK482" i="3"/>
  <c r="BA482" i="3"/>
  <c r="BM482" i="3"/>
  <c r="BN482" i="3"/>
  <c r="BO482" i="3"/>
  <c r="BP482" i="3"/>
  <c r="BQ482" i="3"/>
  <c r="BR482" i="3"/>
  <c r="BS482" i="3"/>
  <c r="BT482" i="3"/>
  <c r="BL482" i="3"/>
  <c r="AZ482" i="3"/>
  <c r="BB483" i="3"/>
  <c r="BD483" i="3"/>
  <c r="BE483" i="3"/>
  <c r="BF483" i="3"/>
  <c r="BG483" i="3"/>
  <c r="BH483" i="3"/>
  <c r="BI483" i="3"/>
  <c r="BJ483" i="3"/>
  <c r="BK483" i="3"/>
  <c r="BA483" i="3"/>
  <c r="BM483" i="3"/>
  <c r="BN483" i="3"/>
  <c r="BO483" i="3"/>
  <c r="BP483" i="3"/>
  <c r="BQ483" i="3"/>
  <c r="BR483" i="3"/>
  <c r="BS483" i="3"/>
  <c r="BT483" i="3"/>
  <c r="BL483" i="3"/>
  <c r="AZ483" i="3"/>
  <c r="BB484" i="3"/>
  <c r="BD484" i="3"/>
  <c r="BE484" i="3"/>
  <c r="BF484" i="3"/>
  <c r="BG484" i="3"/>
  <c r="BH484" i="3"/>
  <c r="BI484" i="3"/>
  <c r="BJ484" i="3"/>
  <c r="BK484" i="3"/>
  <c r="BA484" i="3"/>
  <c r="BM484" i="3"/>
  <c r="BN484" i="3"/>
  <c r="BO484" i="3"/>
  <c r="BP484" i="3"/>
  <c r="BQ484" i="3"/>
  <c r="BR484" i="3"/>
  <c r="BS484" i="3"/>
  <c r="BT484" i="3"/>
  <c r="BL484" i="3"/>
  <c r="AZ484" i="3"/>
  <c r="BB485" i="3"/>
  <c r="BD485" i="3"/>
  <c r="BE485" i="3"/>
  <c r="BF485" i="3"/>
  <c r="BG485" i="3"/>
  <c r="BH485" i="3"/>
  <c r="BI485" i="3"/>
  <c r="BJ485" i="3"/>
  <c r="BK485" i="3"/>
  <c r="BA485" i="3"/>
  <c r="BM485" i="3"/>
  <c r="BN485" i="3"/>
  <c r="BO485" i="3"/>
  <c r="BP485" i="3"/>
  <c r="BQ485" i="3"/>
  <c r="BR485" i="3"/>
  <c r="BS485" i="3"/>
  <c r="BT485" i="3"/>
  <c r="BL485" i="3"/>
  <c r="AZ485" i="3"/>
  <c r="BB486" i="3"/>
  <c r="BD486" i="3"/>
  <c r="BE486" i="3"/>
  <c r="BF486" i="3"/>
  <c r="BG486" i="3"/>
  <c r="BH486" i="3"/>
  <c r="BI486" i="3"/>
  <c r="BJ486" i="3"/>
  <c r="BK486" i="3"/>
  <c r="BA486" i="3"/>
  <c r="BM486" i="3"/>
  <c r="BN486" i="3"/>
  <c r="BO486" i="3"/>
  <c r="BP486" i="3"/>
  <c r="BQ486" i="3"/>
  <c r="BR486" i="3"/>
  <c r="BS486" i="3"/>
  <c r="BT486" i="3"/>
  <c r="BL486" i="3"/>
  <c r="AZ486" i="3"/>
  <c r="BB487" i="3"/>
  <c r="BD487" i="3"/>
  <c r="BE487" i="3"/>
  <c r="BF487" i="3"/>
  <c r="BG487" i="3"/>
  <c r="BH487" i="3"/>
  <c r="BI487" i="3"/>
  <c r="BJ487" i="3"/>
  <c r="BK487" i="3"/>
  <c r="BA487" i="3"/>
  <c r="BM487" i="3"/>
  <c r="BN487" i="3"/>
  <c r="BO487" i="3"/>
  <c r="BP487" i="3"/>
  <c r="BQ487" i="3"/>
  <c r="BR487" i="3"/>
  <c r="BS487" i="3"/>
  <c r="BT487" i="3"/>
  <c r="BL487" i="3"/>
  <c r="AZ487" i="3"/>
  <c r="BB488" i="3"/>
  <c r="BD488" i="3"/>
  <c r="BE488" i="3"/>
  <c r="BF488" i="3"/>
  <c r="BG488" i="3"/>
  <c r="BH488" i="3"/>
  <c r="BI488" i="3"/>
  <c r="BJ488" i="3"/>
  <c r="BK488" i="3"/>
  <c r="BA488" i="3"/>
  <c r="BM488" i="3"/>
  <c r="BN488" i="3"/>
  <c r="BO488" i="3"/>
  <c r="BP488" i="3"/>
  <c r="BQ488" i="3"/>
  <c r="BR488" i="3"/>
  <c r="BS488" i="3"/>
  <c r="BT488" i="3"/>
  <c r="BL488" i="3"/>
  <c r="AZ488" i="3"/>
  <c r="BB489" i="3"/>
  <c r="BD489" i="3"/>
  <c r="BE489" i="3"/>
  <c r="BF489" i="3"/>
  <c r="BG489" i="3"/>
  <c r="BH489" i="3"/>
  <c r="BI489" i="3"/>
  <c r="BJ489" i="3"/>
  <c r="BK489" i="3"/>
  <c r="BA489" i="3"/>
  <c r="BM489" i="3"/>
  <c r="BN489" i="3"/>
  <c r="BO489" i="3"/>
  <c r="BP489" i="3"/>
  <c r="BQ489" i="3"/>
  <c r="BR489" i="3"/>
  <c r="BS489" i="3"/>
  <c r="BT489" i="3"/>
  <c r="BL489" i="3"/>
  <c r="AZ489" i="3"/>
  <c r="BB490" i="3"/>
  <c r="BD490" i="3"/>
  <c r="BE490" i="3"/>
  <c r="BF490" i="3"/>
  <c r="BG490" i="3"/>
  <c r="BH490" i="3"/>
  <c r="BI490" i="3"/>
  <c r="BJ490" i="3"/>
  <c r="BK490" i="3"/>
  <c r="BA490" i="3"/>
  <c r="BM490" i="3"/>
  <c r="BN490" i="3"/>
  <c r="BO490" i="3"/>
  <c r="BP490" i="3"/>
  <c r="BQ490" i="3"/>
  <c r="BR490" i="3"/>
  <c r="BS490" i="3"/>
  <c r="BT490" i="3"/>
  <c r="BL490" i="3"/>
  <c r="AZ490" i="3"/>
  <c r="BB491" i="3"/>
  <c r="BD491" i="3"/>
  <c r="BE491" i="3"/>
  <c r="BF491" i="3"/>
  <c r="BG491" i="3"/>
  <c r="BH491" i="3"/>
  <c r="BI491" i="3"/>
  <c r="BJ491" i="3"/>
  <c r="BK491" i="3"/>
  <c r="BA491" i="3"/>
  <c r="BM491" i="3"/>
  <c r="BN491" i="3"/>
  <c r="BO491" i="3"/>
  <c r="BP491" i="3"/>
  <c r="BQ491" i="3"/>
  <c r="BR491" i="3"/>
  <c r="BS491" i="3"/>
  <c r="BT491" i="3"/>
  <c r="BL491" i="3"/>
  <c r="AZ491" i="3"/>
  <c r="BB492" i="3"/>
  <c r="BD492" i="3"/>
  <c r="BE492" i="3"/>
  <c r="BF492" i="3"/>
  <c r="BG492" i="3"/>
  <c r="BH492" i="3"/>
  <c r="BI492" i="3"/>
  <c r="BJ492" i="3"/>
  <c r="BK492" i="3"/>
  <c r="BA492" i="3"/>
  <c r="BM492" i="3"/>
  <c r="BN492" i="3"/>
  <c r="BO492" i="3"/>
  <c r="BP492" i="3"/>
  <c r="BQ492" i="3"/>
  <c r="BR492" i="3"/>
  <c r="BS492" i="3"/>
  <c r="BT492" i="3"/>
  <c r="BL492" i="3"/>
  <c r="AZ492" i="3"/>
  <c r="BB493" i="3"/>
  <c r="BD493" i="3"/>
  <c r="BE493" i="3"/>
  <c r="BF493" i="3"/>
  <c r="BG493" i="3"/>
  <c r="BH493" i="3"/>
  <c r="BI493" i="3"/>
  <c r="BJ493" i="3"/>
  <c r="BK493" i="3"/>
  <c r="BA493" i="3"/>
  <c r="BM493" i="3"/>
  <c r="BN493" i="3"/>
  <c r="BO493" i="3"/>
  <c r="BP493" i="3"/>
  <c r="BQ493" i="3"/>
  <c r="BR493" i="3"/>
  <c r="BS493" i="3"/>
  <c r="BT493" i="3"/>
  <c r="BL493" i="3"/>
  <c r="AZ493" i="3"/>
  <c r="BB494" i="3"/>
  <c r="BD494" i="3"/>
  <c r="BE494" i="3"/>
  <c r="BF494" i="3"/>
  <c r="BG494" i="3"/>
  <c r="BH494" i="3"/>
  <c r="BI494" i="3"/>
  <c r="BJ494" i="3"/>
  <c r="BK494" i="3"/>
  <c r="BA494" i="3"/>
  <c r="BM494" i="3"/>
  <c r="BN494" i="3"/>
  <c r="BO494" i="3"/>
  <c r="BP494" i="3"/>
  <c r="BQ494" i="3"/>
  <c r="BR494" i="3"/>
  <c r="BS494" i="3"/>
  <c r="BT494" i="3"/>
  <c r="BL494" i="3"/>
  <c r="AZ494" i="3"/>
  <c r="BB495" i="3"/>
  <c r="BD495" i="3"/>
  <c r="BE495" i="3"/>
  <c r="BF495" i="3"/>
  <c r="BG495" i="3"/>
  <c r="BH495" i="3"/>
  <c r="BI495" i="3"/>
  <c r="BJ495" i="3"/>
  <c r="BK495" i="3"/>
  <c r="BA495" i="3"/>
  <c r="BM495" i="3"/>
  <c r="BN495" i="3"/>
  <c r="BO495" i="3"/>
  <c r="BP495" i="3"/>
  <c r="BQ495" i="3"/>
  <c r="BR495" i="3"/>
  <c r="BS495" i="3"/>
  <c r="BT495" i="3"/>
  <c r="BL495" i="3"/>
  <c r="AZ495" i="3"/>
  <c r="BB496" i="3"/>
  <c r="BD496" i="3"/>
  <c r="BE496" i="3"/>
  <c r="BF496" i="3"/>
  <c r="BG496" i="3"/>
  <c r="BH496" i="3"/>
  <c r="BI496" i="3"/>
  <c r="BJ496" i="3"/>
  <c r="BK496" i="3"/>
  <c r="BA496" i="3"/>
  <c r="BM496" i="3"/>
  <c r="BN496" i="3"/>
  <c r="BO496" i="3"/>
  <c r="BP496" i="3"/>
  <c r="BQ496" i="3"/>
  <c r="BR496" i="3"/>
  <c r="BS496" i="3"/>
  <c r="BT496" i="3"/>
  <c r="BL496" i="3"/>
  <c r="AZ496" i="3"/>
  <c r="BB497" i="3"/>
  <c r="BD497" i="3"/>
  <c r="BE497" i="3"/>
  <c r="BF497" i="3"/>
  <c r="BG497" i="3"/>
  <c r="BH497" i="3"/>
  <c r="BI497" i="3"/>
  <c r="BJ497" i="3"/>
  <c r="BK497" i="3"/>
  <c r="BA497" i="3"/>
  <c r="BM497" i="3"/>
  <c r="BN497" i="3"/>
  <c r="BO497" i="3"/>
  <c r="BP497" i="3"/>
  <c r="BQ497" i="3"/>
  <c r="BR497" i="3"/>
  <c r="BS497" i="3"/>
  <c r="BT497" i="3"/>
  <c r="BL497" i="3"/>
  <c r="AZ497" i="3"/>
  <c r="BB498" i="3"/>
  <c r="BD498" i="3"/>
  <c r="BE498" i="3"/>
  <c r="BF498" i="3"/>
  <c r="BG498" i="3"/>
  <c r="BH498" i="3"/>
  <c r="BI498" i="3"/>
  <c r="BJ498" i="3"/>
  <c r="BK498" i="3"/>
  <c r="BA498" i="3"/>
  <c r="BM498" i="3"/>
  <c r="BN498" i="3"/>
  <c r="BO498" i="3"/>
  <c r="BP498" i="3"/>
  <c r="BQ498" i="3"/>
  <c r="BR498" i="3"/>
  <c r="BS498" i="3"/>
  <c r="BT498" i="3"/>
  <c r="BL498" i="3"/>
  <c r="AZ498" i="3"/>
  <c r="BB499" i="3"/>
  <c r="BD499" i="3"/>
  <c r="BE499" i="3"/>
  <c r="BF499" i="3"/>
  <c r="BG499" i="3"/>
  <c r="BH499" i="3"/>
  <c r="BI499" i="3"/>
  <c r="BJ499" i="3"/>
  <c r="BK499" i="3"/>
  <c r="BA499" i="3"/>
  <c r="BM499" i="3"/>
  <c r="BN499" i="3"/>
  <c r="BO499" i="3"/>
  <c r="BP499" i="3"/>
  <c r="BQ499" i="3"/>
  <c r="BR499" i="3"/>
  <c r="BS499" i="3"/>
  <c r="BT499" i="3"/>
  <c r="BL499" i="3"/>
  <c r="AZ499" i="3"/>
  <c r="BB500" i="3"/>
  <c r="BD500" i="3"/>
  <c r="BE500" i="3"/>
  <c r="BF500" i="3"/>
  <c r="BG500" i="3"/>
  <c r="BH500" i="3"/>
  <c r="BI500" i="3"/>
  <c r="BJ500" i="3"/>
  <c r="BK500" i="3"/>
  <c r="BA500" i="3"/>
  <c r="BM500" i="3"/>
  <c r="BN500" i="3"/>
  <c r="BO500" i="3"/>
  <c r="BP500" i="3"/>
  <c r="BQ500" i="3"/>
  <c r="BR500" i="3"/>
  <c r="BS500" i="3"/>
  <c r="BT500" i="3"/>
  <c r="BL500" i="3"/>
  <c r="AZ500" i="3"/>
  <c r="BB501" i="3"/>
  <c r="BD501" i="3"/>
  <c r="BE501" i="3"/>
  <c r="BF501" i="3"/>
  <c r="BG501" i="3"/>
  <c r="BH501" i="3"/>
  <c r="BI501" i="3"/>
  <c r="BJ501" i="3"/>
  <c r="BK501" i="3"/>
  <c r="BA501" i="3"/>
  <c r="BM501" i="3"/>
  <c r="BN501" i="3"/>
  <c r="BO501" i="3"/>
  <c r="BP501" i="3"/>
  <c r="BQ501" i="3"/>
  <c r="BR501" i="3"/>
  <c r="BS501" i="3"/>
  <c r="BT501" i="3"/>
  <c r="BL501" i="3"/>
  <c r="AZ501" i="3"/>
  <c r="BB502" i="3"/>
  <c r="BD502" i="3"/>
  <c r="BE502" i="3"/>
  <c r="BF502" i="3"/>
  <c r="BG502" i="3"/>
  <c r="BH502" i="3"/>
  <c r="BI502" i="3"/>
  <c r="BJ502" i="3"/>
  <c r="BK502" i="3"/>
  <c r="BA502" i="3"/>
  <c r="BM502" i="3"/>
  <c r="BN502" i="3"/>
  <c r="BO502" i="3"/>
  <c r="BP502" i="3"/>
  <c r="BQ502" i="3"/>
  <c r="BR502" i="3"/>
  <c r="BS502" i="3"/>
  <c r="BT502" i="3"/>
  <c r="BL502" i="3"/>
  <c r="AZ502" i="3"/>
  <c r="BB503" i="3"/>
  <c r="BD503" i="3"/>
  <c r="BE503" i="3"/>
  <c r="BF503" i="3"/>
  <c r="BG503" i="3"/>
  <c r="BH503" i="3"/>
  <c r="BI503" i="3"/>
  <c r="BJ503" i="3"/>
  <c r="BK503" i="3"/>
  <c r="BA503" i="3"/>
  <c r="BM503" i="3"/>
  <c r="BN503" i="3"/>
  <c r="BO503" i="3"/>
  <c r="BP503" i="3"/>
  <c r="BQ503" i="3"/>
  <c r="BR503" i="3"/>
  <c r="BS503" i="3"/>
  <c r="BT503" i="3"/>
  <c r="BL503" i="3"/>
  <c r="AZ503" i="3"/>
  <c r="BB504" i="3"/>
  <c r="BD504" i="3"/>
  <c r="BE504" i="3"/>
  <c r="BF504" i="3"/>
  <c r="BG504" i="3"/>
  <c r="BH504" i="3"/>
  <c r="BI504" i="3"/>
  <c r="BJ504" i="3"/>
  <c r="BK504" i="3"/>
  <c r="BA504" i="3"/>
  <c r="BM504" i="3"/>
  <c r="BN504" i="3"/>
  <c r="BO504" i="3"/>
  <c r="BP504" i="3"/>
  <c r="BQ504" i="3"/>
  <c r="BR504" i="3"/>
  <c r="BS504" i="3"/>
  <c r="BT504" i="3"/>
  <c r="BL504" i="3"/>
  <c r="AZ504" i="3"/>
  <c r="BB505" i="3"/>
  <c r="BD505" i="3"/>
  <c r="BE505" i="3"/>
  <c r="BF505" i="3"/>
  <c r="BG505" i="3"/>
  <c r="BH505" i="3"/>
  <c r="BI505" i="3"/>
  <c r="BJ505" i="3"/>
  <c r="BK505" i="3"/>
  <c r="BA505" i="3"/>
  <c r="BM505" i="3"/>
  <c r="BN505" i="3"/>
  <c r="BO505" i="3"/>
  <c r="BP505" i="3"/>
  <c r="BQ505" i="3"/>
  <c r="BR505" i="3"/>
  <c r="BS505" i="3"/>
  <c r="BT505" i="3"/>
  <c r="BL505" i="3"/>
  <c r="AZ505" i="3"/>
  <c r="BB506" i="3"/>
  <c r="BD506" i="3"/>
  <c r="BE506" i="3"/>
  <c r="BF506" i="3"/>
  <c r="BG506" i="3"/>
  <c r="BH506" i="3"/>
  <c r="BI506" i="3"/>
  <c r="BJ506" i="3"/>
  <c r="BK506" i="3"/>
  <c r="BA506" i="3"/>
  <c r="BM506" i="3"/>
  <c r="BN506" i="3"/>
  <c r="BO506" i="3"/>
  <c r="BP506" i="3"/>
  <c r="BQ506" i="3"/>
  <c r="BR506" i="3"/>
  <c r="BS506" i="3"/>
  <c r="BT506" i="3"/>
  <c r="BL506" i="3"/>
  <c r="AZ506" i="3"/>
  <c r="BB507" i="3"/>
  <c r="BD507" i="3"/>
  <c r="BE507" i="3"/>
  <c r="BF507" i="3"/>
  <c r="BG507" i="3"/>
  <c r="BH507" i="3"/>
  <c r="BI507" i="3"/>
  <c r="BJ507" i="3"/>
  <c r="BK507" i="3"/>
  <c r="BA507" i="3"/>
  <c r="BM507" i="3"/>
  <c r="BN507" i="3"/>
  <c r="BO507" i="3"/>
  <c r="BP507" i="3"/>
  <c r="BQ507" i="3"/>
  <c r="BR507" i="3"/>
  <c r="BS507" i="3"/>
  <c r="BT507" i="3"/>
  <c r="BL507" i="3"/>
  <c r="AZ507" i="3"/>
  <c r="BB508" i="3"/>
  <c r="BD508" i="3"/>
  <c r="BE508" i="3"/>
  <c r="BF508" i="3"/>
  <c r="BG508" i="3"/>
  <c r="BH508" i="3"/>
  <c r="BI508" i="3"/>
  <c r="BJ508" i="3"/>
  <c r="BK508" i="3"/>
  <c r="BA508" i="3"/>
  <c r="BM508" i="3"/>
  <c r="BN508" i="3"/>
  <c r="BO508" i="3"/>
  <c r="BP508" i="3"/>
  <c r="BQ508" i="3"/>
  <c r="BR508" i="3"/>
  <c r="BS508" i="3"/>
  <c r="BT508" i="3"/>
  <c r="BL508" i="3"/>
  <c r="AZ508" i="3"/>
  <c r="BB509" i="3"/>
  <c r="BD509" i="3"/>
  <c r="BE509" i="3"/>
  <c r="BF509" i="3"/>
  <c r="BG509" i="3"/>
  <c r="BH509" i="3"/>
  <c r="BI509" i="3"/>
  <c r="BJ509" i="3"/>
  <c r="BK509" i="3"/>
  <c r="BA509" i="3"/>
  <c r="BM509" i="3"/>
  <c r="BN509" i="3"/>
  <c r="BO509" i="3"/>
  <c r="BP509" i="3"/>
  <c r="BQ509" i="3"/>
  <c r="BR509" i="3"/>
  <c r="BS509" i="3"/>
  <c r="BT509" i="3"/>
  <c r="BL509" i="3"/>
  <c r="AZ509" i="3"/>
  <c r="BB510" i="3"/>
  <c r="BD510" i="3"/>
  <c r="BE510" i="3"/>
  <c r="BF510" i="3"/>
  <c r="BG510" i="3"/>
  <c r="BH510" i="3"/>
  <c r="BI510" i="3"/>
  <c r="BJ510" i="3"/>
  <c r="BK510" i="3"/>
  <c r="BA510" i="3"/>
  <c r="BM510" i="3"/>
  <c r="BN510" i="3"/>
  <c r="BO510" i="3"/>
  <c r="BP510" i="3"/>
  <c r="BQ510" i="3"/>
  <c r="BR510" i="3"/>
  <c r="BS510" i="3"/>
  <c r="BT510" i="3"/>
  <c r="BL510" i="3"/>
  <c r="AZ510" i="3"/>
  <c r="BB511" i="3"/>
  <c r="BD511" i="3"/>
  <c r="BE511" i="3"/>
  <c r="BF511" i="3"/>
  <c r="BG511" i="3"/>
  <c r="BH511" i="3"/>
  <c r="BI511" i="3"/>
  <c r="BJ511" i="3"/>
  <c r="BK511" i="3"/>
  <c r="BA511" i="3"/>
  <c r="BM511" i="3"/>
  <c r="BN511" i="3"/>
  <c r="BO511" i="3"/>
  <c r="BP511" i="3"/>
  <c r="BQ511" i="3"/>
  <c r="BR511" i="3"/>
  <c r="BS511" i="3"/>
  <c r="BT511" i="3"/>
  <c r="BL511" i="3"/>
  <c r="AZ511" i="3"/>
  <c r="BB512" i="3"/>
  <c r="BD512" i="3"/>
  <c r="BE512" i="3"/>
  <c r="BF512" i="3"/>
  <c r="BG512" i="3"/>
  <c r="BH512" i="3"/>
  <c r="BI512" i="3"/>
  <c r="BJ512" i="3"/>
  <c r="BK512" i="3"/>
  <c r="BA512" i="3"/>
  <c r="BM512" i="3"/>
  <c r="BN512" i="3"/>
  <c r="BO512" i="3"/>
  <c r="BP512" i="3"/>
  <c r="BQ512" i="3"/>
  <c r="BR512" i="3"/>
  <c r="BS512" i="3"/>
  <c r="BT512" i="3"/>
  <c r="BL512" i="3"/>
  <c r="AZ512" i="3"/>
  <c r="BB513" i="3"/>
  <c r="BD513" i="3"/>
  <c r="BE513" i="3"/>
  <c r="BF513" i="3"/>
  <c r="BG513" i="3"/>
  <c r="BH513" i="3"/>
  <c r="BI513" i="3"/>
  <c r="BJ513" i="3"/>
  <c r="BK513" i="3"/>
  <c r="BA513" i="3"/>
  <c r="BM513" i="3"/>
  <c r="BN513" i="3"/>
  <c r="BO513" i="3"/>
  <c r="BP513" i="3"/>
  <c r="BQ513" i="3"/>
  <c r="BR513" i="3"/>
  <c r="BS513" i="3"/>
  <c r="BT513" i="3"/>
  <c r="BL513" i="3"/>
  <c r="AZ513" i="3"/>
  <c r="BB514" i="3"/>
  <c r="BD514" i="3"/>
  <c r="BE514" i="3"/>
  <c r="BF514" i="3"/>
  <c r="BG514" i="3"/>
  <c r="BH514" i="3"/>
  <c r="BI514" i="3"/>
  <c r="BJ514" i="3"/>
  <c r="BK514" i="3"/>
  <c r="BA514" i="3"/>
  <c r="BM514" i="3"/>
  <c r="BN514" i="3"/>
  <c r="BO514" i="3"/>
  <c r="BP514" i="3"/>
  <c r="BQ514" i="3"/>
  <c r="BR514" i="3"/>
  <c r="BS514" i="3"/>
  <c r="BT514" i="3"/>
  <c r="BL514" i="3"/>
  <c r="AZ514" i="3"/>
  <c r="BB515" i="3"/>
  <c r="BD515" i="3"/>
  <c r="BE515" i="3"/>
  <c r="BF515" i="3"/>
  <c r="BG515" i="3"/>
  <c r="BH515" i="3"/>
  <c r="BI515" i="3"/>
  <c r="BJ515" i="3"/>
  <c r="BK515" i="3"/>
  <c r="BA515" i="3"/>
  <c r="BM515" i="3"/>
  <c r="BN515" i="3"/>
  <c r="BO515" i="3"/>
  <c r="BP515" i="3"/>
  <c r="BQ515" i="3"/>
  <c r="BR515" i="3"/>
  <c r="BS515" i="3"/>
  <c r="BT515" i="3"/>
  <c r="BL515" i="3"/>
  <c r="AZ515" i="3"/>
  <c r="BB516" i="3"/>
  <c r="BD516" i="3"/>
  <c r="BE516" i="3"/>
  <c r="BF516" i="3"/>
  <c r="BG516" i="3"/>
  <c r="BH516" i="3"/>
  <c r="BI516" i="3"/>
  <c r="BJ516" i="3"/>
  <c r="BK516" i="3"/>
  <c r="BA516" i="3"/>
  <c r="BM516" i="3"/>
  <c r="BN516" i="3"/>
  <c r="BO516" i="3"/>
  <c r="BP516" i="3"/>
  <c r="BQ516" i="3"/>
  <c r="BR516" i="3"/>
  <c r="BS516" i="3"/>
  <c r="BT516" i="3"/>
  <c r="BL516" i="3"/>
  <c r="AZ516" i="3"/>
  <c r="BB517" i="3"/>
  <c r="BD517" i="3"/>
  <c r="BE517" i="3"/>
  <c r="BF517" i="3"/>
  <c r="BG517" i="3"/>
  <c r="BH517" i="3"/>
  <c r="BI517" i="3"/>
  <c r="BJ517" i="3"/>
  <c r="BK517" i="3"/>
  <c r="BA517" i="3"/>
  <c r="BM517" i="3"/>
  <c r="BN517" i="3"/>
  <c r="BO517" i="3"/>
  <c r="BP517" i="3"/>
  <c r="BQ517" i="3"/>
  <c r="BR517" i="3"/>
  <c r="BS517" i="3"/>
  <c r="BT517" i="3"/>
  <c r="BL517" i="3"/>
  <c r="AZ517" i="3"/>
  <c r="BB518" i="3"/>
  <c r="BD518" i="3"/>
  <c r="BE518" i="3"/>
  <c r="BF518" i="3"/>
  <c r="BG518" i="3"/>
  <c r="BH518" i="3"/>
  <c r="BI518" i="3"/>
  <c r="BJ518" i="3"/>
  <c r="BK518" i="3"/>
  <c r="BA518" i="3"/>
  <c r="BM518" i="3"/>
  <c r="BN518" i="3"/>
  <c r="BO518" i="3"/>
  <c r="BP518" i="3"/>
  <c r="BQ518" i="3"/>
  <c r="BR518" i="3"/>
  <c r="BS518" i="3"/>
  <c r="BT518" i="3"/>
  <c r="BL518" i="3"/>
  <c r="AZ518" i="3"/>
  <c r="BB519" i="3"/>
  <c r="BD519" i="3"/>
  <c r="BE519" i="3"/>
  <c r="BF519" i="3"/>
  <c r="BG519" i="3"/>
  <c r="BH519" i="3"/>
  <c r="BI519" i="3"/>
  <c r="BJ519" i="3"/>
  <c r="BK519" i="3"/>
  <c r="BA519" i="3"/>
  <c r="BM519" i="3"/>
  <c r="BN519" i="3"/>
  <c r="BO519" i="3"/>
  <c r="BP519" i="3"/>
  <c r="BQ519" i="3"/>
  <c r="BR519" i="3"/>
  <c r="BS519" i="3"/>
  <c r="BT519" i="3"/>
  <c r="BL519" i="3"/>
  <c r="AZ519" i="3"/>
  <c r="BB520" i="3"/>
  <c r="BD520" i="3"/>
  <c r="BE520" i="3"/>
  <c r="BF520" i="3"/>
  <c r="BG520" i="3"/>
  <c r="BH520" i="3"/>
  <c r="BI520" i="3"/>
  <c r="BJ520" i="3"/>
  <c r="BK520" i="3"/>
  <c r="BA520" i="3"/>
  <c r="BM520" i="3"/>
  <c r="BN520" i="3"/>
  <c r="BO520" i="3"/>
  <c r="BP520" i="3"/>
  <c r="BQ520" i="3"/>
  <c r="BR520" i="3"/>
  <c r="BS520" i="3"/>
  <c r="BT520" i="3"/>
  <c r="BL520" i="3"/>
  <c r="AZ520" i="3"/>
  <c r="BB521" i="3"/>
  <c r="BD521" i="3"/>
  <c r="BE521" i="3"/>
  <c r="BF521" i="3"/>
  <c r="BG521" i="3"/>
  <c r="BH521" i="3"/>
  <c r="BI521" i="3"/>
  <c r="BJ521" i="3"/>
  <c r="BK521" i="3"/>
  <c r="BA521" i="3"/>
  <c r="BM521" i="3"/>
  <c r="BN521" i="3"/>
  <c r="BO521" i="3"/>
  <c r="BP521" i="3"/>
  <c r="BQ521" i="3"/>
  <c r="BR521" i="3"/>
  <c r="BS521" i="3"/>
  <c r="BT521" i="3"/>
  <c r="BL521" i="3"/>
  <c r="AZ521" i="3"/>
  <c r="BB522" i="3"/>
  <c r="BD522" i="3"/>
  <c r="BE522" i="3"/>
  <c r="BF522" i="3"/>
  <c r="BG522" i="3"/>
  <c r="BH522" i="3"/>
  <c r="BI522" i="3"/>
  <c r="BJ522" i="3"/>
  <c r="BK522" i="3"/>
  <c r="BA522" i="3"/>
  <c r="BM522" i="3"/>
  <c r="BN522" i="3"/>
  <c r="BO522" i="3"/>
  <c r="BP522" i="3"/>
  <c r="BQ522" i="3"/>
  <c r="BR522" i="3"/>
  <c r="BS522" i="3"/>
  <c r="BT522" i="3"/>
  <c r="BL522" i="3"/>
  <c r="AZ522" i="3"/>
  <c r="BB523" i="3"/>
  <c r="BD523" i="3"/>
  <c r="BE523" i="3"/>
  <c r="BF523" i="3"/>
  <c r="BG523" i="3"/>
  <c r="BH523" i="3"/>
  <c r="BI523" i="3"/>
  <c r="BJ523" i="3"/>
  <c r="BK523" i="3"/>
  <c r="BA523" i="3"/>
  <c r="BM523" i="3"/>
  <c r="BN523" i="3"/>
  <c r="BO523" i="3"/>
  <c r="BP523" i="3"/>
  <c r="BQ523" i="3"/>
  <c r="BR523" i="3"/>
  <c r="BS523" i="3"/>
  <c r="BT523" i="3"/>
  <c r="BL523" i="3"/>
  <c r="AZ523" i="3"/>
  <c r="BB524" i="3"/>
  <c r="BD524" i="3"/>
  <c r="BE524" i="3"/>
  <c r="BF524" i="3"/>
  <c r="BG524" i="3"/>
  <c r="BH524" i="3"/>
  <c r="BI524" i="3"/>
  <c r="BJ524" i="3"/>
  <c r="BK524" i="3"/>
  <c r="BA524" i="3"/>
  <c r="BM524" i="3"/>
  <c r="BN524" i="3"/>
  <c r="BO524" i="3"/>
  <c r="BP524" i="3"/>
  <c r="BQ524" i="3"/>
  <c r="BR524" i="3"/>
  <c r="BS524" i="3"/>
  <c r="BT524" i="3"/>
  <c r="BL524" i="3"/>
  <c r="AZ524" i="3"/>
  <c r="BB525" i="3"/>
  <c r="BD525" i="3"/>
  <c r="BE525" i="3"/>
  <c r="BF525" i="3"/>
  <c r="BG525" i="3"/>
  <c r="BH525" i="3"/>
  <c r="BI525" i="3"/>
  <c r="BJ525" i="3"/>
  <c r="BK525" i="3"/>
  <c r="BA525" i="3"/>
  <c r="BM525" i="3"/>
  <c r="BN525" i="3"/>
  <c r="BO525" i="3"/>
  <c r="BP525" i="3"/>
  <c r="BQ525" i="3"/>
  <c r="BR525" i="3"/>
  <c r="BS525" i="3"/>
  <c r="BT525" i="3"/>
  <c r="BL525" i="3"/>
  <c r="AZ525" i="3"/>
  <c r="BB526" i="3"/>
  <c r="BD526" i="3"/>
  <c r="BE526" i="3"/>
  <c r="BF526" i="3"/>
  <c r="BG526" i="3"/>
  <c r="BH526" i="3"/>
  <c r="BI526" i="3"/>
  <c r="BJ526" i="3"/>
  <c r="BK526" i="3"/>
  <c r="BA526" i="3"/>
  <c r="BM526" i="3"/>
  <c r="BN526" i="3"/>
  <c r="BO526" i="3"/>
  <c r="BP526" i="3"/>
  <c r="BQ526" i="3"/>
  <c r="BR526" i="3"/>
  <c r="BS526" i="3"/>
  <c r="BT526" i="3"/>
  <c r="BL526" i="3"/>
  <c r="AZ526" i="3"/>
  <c r="BB527" i="3"/>
  <c r="BD527" i="3"/>
  <c r="BE527" i="3"/>
  <c r="BF527" i="3"/>
  <c r="BG527" i="3"/>
  <c r="BH527" i="3"/>
  <c r="BI527" i="3"/>
  <c r="BJ527" i="3"/>
  <c r="BK527" i="3"/>
  <c r="BA527" i="3"/>
  <c r="BM527" i="3"/>
  <c r="BN527" i="3"/>
  <c r="BO527" i="3"/>
  <c r="BP527" i="3"/>
  <c r="BQ527" i="3"/>
  <c r="BR527" i="3"/>
  <c r="BS527" i="3"/>
  <c r="BT527" i="3"/>
  <c r="BL527" i="3"/>
  <c r="AZ527" i="3"/>
  <c r="BB528" i="3"/>
  <c r="BD528" i="3"/>
  <c r="BE528" i="3"/>
  <c r="BF528" i="3"/>
  <c r="BG528" i="3"/>
  <c r="BH528" i="3"/>
  <c r="BI528" i="3"/>
  <c r="BJ528" i="3"/>
  <c r="BK528" i="3"/>
  <c r="BA528" i="3"/>
  <c r="BM528" i="3"/>
  <c r="BN528" i="3"/>
  <c r="BO528" i="3"/>
  <c r="BP528" i="3"/>
  <c r="BQ528" i="3"/>
  <c r="BR528" i="3"/>
  <c r="BS528" i="3"/>
  <c r="BT528" i="3"/>
  <c r="BL528" i="3"/>
  <c r="AZ528" i="3"/>
  <c r="BB529" i="3"/>
  <c r="BD529" i="3"/>
  <c r="BE529" i="3"/>
  <c r="BF529" i="3"/>
  <c r="BG529" i="3"/>
  <c r="BH529" i="3"/>
  <c r="BI529" i="3"/>
  <c r="BJ529" i="3"/>
  <c r="BK529" i="3"/>
  <c r="BA529" i="3"/>
  <c r="BM529" i="3"/>
  <c r="BN529" i="3"/>
  <c r="BO529" i="3"/>
  <c r="BP529" i="3"/>
  <c r="BQ529" i="3"/>
  <c r="BR529" i="3"/>
  <c r="BS529" i="3"/>
  <c r="BT529" i="3"/>
  <c r="BL529" i="3"/>
  <c r="AZ529" i="3"/>
  <c r="BB530" i="3"/>
  <c r="BD530" i="3"/>
  <c r="BE530" i="3"/>
  <c r="BF530" i="3"/>
  <c r="BG530" i="3"/>
  <c r="BH530" i="3"/>
  <c r="BI530" i="3"/>
  <c r="BJ530" i="3"/>
  <c r="BK530" i="3"/>
  <c r="BA530" i="3"/>
  <c r="BM530" i="3"/>
  <c r="BN530" i="3"/>
  <c r="BO530" i="3"/>
  <c r="BP530" i="3"/>
  <c r="BQ530" i="3"/>
  <c r="BR530" i="3"/>
  <c r="BS530" i="3"/>
  <c r="BT530" i="3"/>
  <c r="BL530" i="3"/>
  <c r="AZ530" i="3"/>
  <c r="BB531" i="3"/>
  <c r="BD531" i="3"/>
  <c r="BE531" i="3"/>
  <c r="BF531" i="3"/>
  <c r="BG531" i="3"/>
  <c r="BH531" i="3"/>
  <c r="BI531" i="3"/>
  <c r="BJ531" i="3"/>
  <c r="BK531" i="3"/>
  <c r="BA531" i="3"/>
  <c r="BM531" i="3"/>
  <c r="BN531" i="3"/>
  <c r="BO531" i="3"/>
  <c r="BP531" i="3"/>
  <c r="BQ531" i="3"/>
  <c r="BR531" i="3"/>
  <c r="BS531" i="3"/>
  <c r="BT531" i="3"/>
  <c r="BL531" i="3"/>
  <c r="AZ531" i="3"/>
  <c r="BB532" i="3"/>
  <c r="BD532" i="3"/>
  <c r="BE532" i="3"/>
  <c r="BF532" i="3"/>
  <c r="BG532" i="3"/>
  <c r="BH532" i="3"/>
  <c r="BI532" i="3"/>
  <c r="BJ532" i="3"/>
  <c r="BK532" i="3"/>
  <c r="BA532" i="3"/>
  <c r="BM532" i="3"/>
  <c r="BN532" i="3"/>
  <c r="BO532" i="3"/>
  <c r="BP532" i="3"/>
  <c r="BQ532" i="3"/>
  <c r="BR532" i="3"/>
  <c r="BS532" i="3"/>
  <c r="BT532" i="3"/>
  <c r="BL532" i="3"/>
  <c r="AZ532" i="3"/>
  <c r="BB533" i="3"/>
  <c r="BD533" i="3"/>
  <c r="BE533" i="3"/>
  <c r="BF533" i="3"/>
  <c r="BG533" i="3"/>
  <c r="BH533" i="3"/>
  <c r="BI533" i="3"/>
  <c r="BJ533" i="3"/>
  <c r="BK533" i="3"/>
  <c r="BA533" i="3"/>
  <c r="BM533" i="3"/>
  <c r="BN533" i="3"/>
  <c r="BO533" i="3"/>
  <c r="BP533" i="3"/>
  <c r="BQ533" i="3"/>
  <c r="BR533" i="3"/>
  <c r="BS533" i="3"/>
  <c r="BT533" i="3"/>
  <c r="BL533" i="3"/>
  <c r="AZ533" i="3"/>
  <c r="BB534" i="3"/>
  <c r="BD534" i="3"/>
  <c r="BE534" i="3"/>
  <c r="BF534" i="3"/>
  <c r="BG534" i="3"/>
  <c r="BH534" i="3"/>
  <c r="BI534" i="3"/>
  <c r="BJ534" i="3"/>
  <c r="BK534" i="3"/>
  <c r="BA534" i="3"/>
  <c r="BM534" i="3"/>
  <c r="BN534" i="3"/>
  <c r="BO534" i="3"/>
  <c r="BP534" i="3"/>
  <c r="BQ534" i="3"/>
  <c r="BR534" i="3"/>
  <c r="BS534" i="3"/>
  <c r="BT534" i="3"/>
  <c r="BL534" i="3"/>
  <c r="AZ534" i="3"/>
  <c r="BB535" i="3"/>
  <c r="BD535" i="3"/>
  <c r="BE535" i="3"/>
  <c r="BF535" i="3"/>
  <c r="BG535" i="3"/>
  <c r="BH535" i="3"/>
  <c r="BI535" i="3"/>
  <c r="BJ535" i="3"/>
  <c r="BK535" i="3"/>
  <c r="BA535" i="3"/>
  <c r="BM535" i="3"/>
  <c r="BN535" i="3"/>
  <c r="BO535" i="3"/>
  <c r="BP535" i="3"/>
  <c r="BQ535" i="3"/>
  <c r="BR535" i="3"/>
  <c r="BS535" i="3"/>
  <c r="BT535" i="3"/>
  <c r="BL535" i="3"/>
  <c r="AZ535" i="3"/>
  <c r="BB536" i="3"/>
  <c r="BD536" i="3"/>
  <c r="BE536" i="3"/>
  <c r="BF536" i="3"/>
  <c r="BG536" i="3"/>
  <c r="BH536" i="3"/>
  <c r="BI536" i="3"/>
  <c r="BJ536" i="3"/>
  <c r="BK536" i="3"/>
  <c r="BA536" i="3"/>
  <c r="BM536" i="3"/>
  <c r="BN536" i="3"/>
  <c r="BO536" i="3"/>
  <c r="BP536" i="3"/>
  <c r="BQ536" i="3"/>
  <c r="BR536" i="3"/>
  <c r="BS536" i="3"/>
  <c r="BT536" i="3"/>
  <c r="BL536" i="3"/>
  <c r="AZ536" i="3"/>
  <c r="BB537" i="3"/>
  <c r="BD537" i="3"/>
  <c r="BE537" i="3"/>
  <c r="BF537" i="3"/>
  <c r="BG537" i="3"/>
  <c r="BH537" i="3"/>
  <c r="BI537" i="3"/>
  <c r="BJ537" i="3"/>
  <c r="BK537" i="3"/>
  <c r="BA537" i="3"/>
  <c r="BM537" i="3"/>
  <c r="BN537" i="3"/>
  <c r="BO537" i="3"/>
  <c r="BP537" i="3"/>
  <c r="BQ537" i="3"/>
  <c r="BR537" i="3"/>
  <c r="BS537" i="3"/>
  <c r="BT537" i="3"/>
  <c r="BL537" i="3"/>
  <c r="AZ537" i="3"/>
  <c r="BB538" i="3"/>
  <c r="BD538" i="3"/>
  <c r="BE538" i="3"/>
  <c r="BF538" i="3"/>
  <c r="BG538" i="3"/>
  <c r="BH538" i="3"/>
  <c r="BI538" i="3"/>
  <c r="BJ538" i="3"/>
  <c r="BK538" i="3"/>
  <c r="BA538" i="3"/>
  <c r="BM538" i="3"/>
  <c r="BN538" i="3"/>
  <c r="BO538" i="3"/>
  <c r="BP538" i="3"/>
  <c r="BQ538" i="3"/>
  <c r="BR538" i="3"/>
  <c r="BS538" i="3"/>
  <c r="BT538" i="3"/>
  <c r="BL538" i="3"/>
  <c r="AZ538" i="3"/>
  <c r="BB539" i="3"/>
  <c r="BD539" i="3"/>
  <c r="BE539" i="3"/>
  <c r="BF539" i="3"/>
  <c r="BG539" i="3"/>
  <c r="BH539" i="3"/>
  <c r="BI539" i="3"/>
  <c r="BJ539" i="3"/>
  <c r="BK539" i="3"/>
  <c r="BA539" i="3"/>
  <c r="BM539" i="3"/>
  <c r="BN539" i="3"/>
  <c r="BO539" i="3"/>
  <c r="BP539" i="3"/>
  <c r="BQ539" i="3"/>
  <c r="BR539" i="3"/>
  <c r="BS539" i="3"/>
  <c r="BT539" i="3"/>
  <c r="BL539" i="3"/>
  <c r="AZ539" i="3"/>
  <c r="BB540" i="3"/>
  <c r="BD540" i="3"/>
  <c r="BE540" i="3"/>
  <c r="BF540" i="3"/>
  <c r="BG540" i="3"/>
  <c r="BH540" i="3"/>
  <c r="BI540" i="3"/>
  <c r="BJ540" i="3"/>
  <c r="BK540" i="3"/>
  <c r="BA540" i="3"/>
  <c r="BM540" i="3"/>
  <c r="BN540" i="3"/>
  <c r="BO540" i="3"/>
  <c r="BP540" i="3"/>
  <c r="BQ540" i="3"/>
  <c r="BR540" i="3"/>
  <c r="BS540" i="3"/>
  <c r="BT540" i="3"/>
  <c r="BL540" i="3"/>
  <c r="AZ540" i="3"/>
  <c r="BB541" i="3"/>
  <c r="BD541" i="3"/>
  <c r="BE541" i="3"/>
  <c r="BF541" i="3"/>
  <c r="BG541" i="3"/>
  <c r="BH541" i="3"/>
  <c r="BI541" i="3"/>
  <c r="BJ541" i="3"/>
  <c r="BK541" i="3"/>
  <c r="BA541" i="3"/>
  <c r="BM541" i="3"/>
  <c r="BN541" i="3"/>
  <c r="BO541" i="3"/>
  <c r="BP541" i="3"/>
  <c r="BQ541" i="3"/>
  <c r="BR541" i="3"/>
  <c r="BS541" i="3"/>
  <c r="BT541" i="3"/>
  <c r="BL541" i="3"/>
  <c r="AZ541" i="3"/>
  <c r="BB542" i="3"/>
  <c r="BD542" i="3"/>
  <c r="BE542" i="3"/>
  <c r="BF542" i="3"/>
  <c r="BG542" i="3"/>
  <c r="BH542" i="3"/>
  <c r="BI542" i="3"/>
  <c r="BJ542" i="3"/>
  <c r="BK542" i="3"/>
  <c r="BA542" i="3"/>
  <c r="BM542" i="3"/>
  <c r="BN542" i="3"/>
  <c r="BO542" i="3"/>
  <c r="BP542" i="3"/>
  <c r="BQ542" i="3"/>
  <c r="BR542" i="3"/>
  <c r="BS542" i="3"/>
  <c r="BT542" i="3"/>
  <c r="BL542" i="3"/>
  <c r="AZ542" i="3"/>
  <c r="BB543" i="3"/>
  <c r="BD543" i="3"/>
  <c r="BE543" i="3"/>
  <c r="BF543" i="3"/>
  <c r="BG543" i="3"/>
  <c r="BH543" i="3"/>
  <c r="BI543" i="3"/>
  <c r="BJ543" i="3"/>
  <c r="BK543" i="3"/>
  <c r="BA543" i="3"/>
  <c r="BM543" i="3"/>
  <c r="BN543" i="3"/>
  <c r="BO543" i="3"/>
  <c r="BP543" i="3"/>
  <c r="BQ543" i="3"/>
  <c r="BR543" i="3"/>
  <c r="BS543" i="3"/>
  <c r="BT543" i="3"/>
  <c r="BL543" i="3"/>
  <c r="AZ543" i="3"/>
  <c r="BB544" i="3"/>
  <c r="BD544" i="3"/>
  <c r="BE544" i="3"/>
  <c r="BF544" i="3"/>
  <c r="BG544" i="3"/>
  <c r="BH544" i="3"/>
  <c r="BI544" i="3"/>
  <c r="BJ544" i="3"/>
  <c r="BK544" i="3"/>
  <c r="BA544" i="3"/>
  <c r="BM544" i="3"/>
  <c r="BN544" i="3"/>
  <c r="BO544" i="3"/>
  <c r="BP544" i="3"/>
  <c r="BQ544" i="3"/>
  <c r="BR544" i="3"/>
  <c r="BS544" i="3"/>
  <c r="BT544" i="3"/>
  <c r="BL544" i="3"/>
  <c r="AZ544" i="3"/>
  <c r="BB545" i="3"/>
  <c r="BD545" i="3"/>
  <c r="BE545" i="3"/>
  <c r="BF545" i="3"/>
  <c r="BG545" i="3"/>
  <c r="BH545" i="3"/>
  <c r="BI545" i="3"/>
  <c r="BJ545" i="3"/>
  <c r="BK545" i="3"/>
  <c r="BA545" i="3"/>
  <c r="BM545" i="3"/>
  <c r="BN545" i="3"/>
  <c r="BO545" i="3"/>
  <c r="BP545" i="3"/>
  <c r="BQ545" i="3"/>
  <c r="BR545" i="3"/>
  <c r="BS545" i="3"/>
  <c r="BT545" i="3"/>
  <c r="BL545" i="3"/>
  <c r="AZ545" i="3"/>
  <c r="BB546" i="3"/>
  <c r="BD546" i="3"/>
  <c r="BE546" i="3"/>
  <c r="BF546" i="3"/>
  <c r="BG546" i="3"/>
  <c r="BH546" i="3"/>
  <c r="BI546" i="3"/>
  <c r="BJ546" i="3"/>
  <c r="BK546" i="3"/>
  <c r="BA546" i="3"/>
  <c r="BM546" i="3"/>
  <c r="BN546" i="3"/>
  <c r="BO546" i="3"/>
  <c r="BP546" i="3"/>
  <c r="BQ546" i="3"/>
  <c r="BR546" i="3"/>
  <c r="BS546" i="3"/>
  <c r="BT546" i="3"/>
  <c r="BL546" i="3"/>
  <c r="AZ546" i="3"/>
  <c r="BB547" i="3"/>
  <c r="BD547" i="3"/>
  <c r="BE547" i="3"/>
  <c r="BF547" i="3"/>
  <c r="BG547" i="3"/>
  <c r="BH547" i="3"/>
  <c r="BI547" i="3"/>
  <c r="BJ547" i="3"/>
  <c r="BK547" i="3"/>
  <c r="BA547" i="3"/>
  <c r="BM547" i="3"/>
  <c r="BN547" i="3"/>
  <c r="BO547" i="3"/>
  <c r="BP547" i="3"/>
  <c r="BQ547" i="3"/>
  <c r="BR547" i="3"/>
  <c r="BS547" i="3"/>
  <c r="BT547" i="3"/>
  <c r="BL547" i="3"/>
  <c r="AZ547" i="3"/>
  <c r="BB548" i="3"/>
  <c r="BD548" i="3"/>
  <c r="BE548" i="3"/>
  <c r="BF548" i="3"/>
  <c r="BG548" i="3"/>
  <c r="BH548" i="3"/>
  <c r="BI548" i="3"/>
  <c r="BJ548" i="3"/>
  <c r="BK548" i="3"/>
  <c r="BA548" i="3"/>
  <c r="BM548" i="3"/>
  <c r="BN548" i="3"/>
  <c r="BO548" i="3"/>
  <c r="BP548" i="3"/>
  <c r="BQ548" i="3"/>
  <c r="BR548" i="3"/>
  <c r="BS548" i="3"/>
  <c r="BT548" i="3"/>
  <c r="BL548" i="3"/>
  <c r="AZ548" i="3"/>
  <c r="BB549" i="3"/>
  <c r="BD549" i="3"/>
  <c r="BE549" i="3"/>
  <c r="BF549" i="3"/>
  <c r="BG549" i="3"/>
  <c r="BH549" i="3"/>
  <c r="BI549" i="3"/>
  <c r="BJ549" i="3"/>
  <c r="BK549" i="3"/>
  <c r="BA549" i="3"/>
  <c r="BM549" i="3"/>
  <c r="BN549" i="3"/>
  <c r="BO549" i="3"/>
  <c r="BP549" i="3"/>
  <c r="BQ549" i="3"/>
  <c r="BR549" i="3"/>
  <c r="BS549" i="3"/>
  <c r="BT549" i="3"/>
  <c r="BL549" i="3"/>
  <c r="AZ549" i="3"/>
  <c r="BB550" i="3"/>
  <c r="BD550" i="3"/>
  <c r="BE550" i="3"/>
  <c r="BF550" i="3"/>
  <c r="BG550" i="3"/>
  <c r="BH550" i="3"/>
  <c r="BI550" i="3"/>
  <c r="BJ550" i="3"/>
  <c r="BK550" i="3"/>
  <c r="BA550" i="3"/>
  <c r="BM550" i="3"/>
  <c r="BN550" i="3"/>
  <c r="BO550" i="3"/>
  <c r="BP550" i="3"/>
  <c r="BQ550" i="3"/>
  <c r="BR550" i="3"/>
  <c r="BS550" i="3"/>
  <c r="BT550" i="3"/>
  <c r="BL550" i="3"/>
  <c r="AZ550" i="3"/>
  <c r="BB551" i="3"/>
  <c r="BD551" i="3"/>
  <c r="BE551" i="3"/>
  <c r="BF551" i="3"/>
  <c r="BG551" i="3"/>
  <c r="BH551" i="3"/>
  <c r="BI551" i="3"/>
  <c r="BJ551" i="3"/>
  <c r="BK551" i="3"/>
  <c r="BA551" i="3"/>
  <c r="BM551" i="3"/>
  <c r="BN551" i="3"/>
  <c r="BO551" i="3"/>
  <c r="BP551" i="3"/>
  <c r="BQ551" i="3"/>
  <c r="BR551" i="3"/>
  <c r="BS551" i="3"/>
  <c r="BT551" i="3"/>
  <c r="BL551" i="3"/>
  <c r="AZ551" i="3"/>
  <c r="BB552" i="3"/>
  <c r="BD552" i="3"/>
  <c r="BE552" i="3"/>
  <c r="BF552" i="3"/>
  <c r="BG552" i="3"/>
  <c r="BH552" i="3"/>
  <c r="BI552" i="3"/>
  <c r="BJ552" i="3"/>
  <c r="BK552" i="3"/>
  <c r="BA552" i="3"/>
  <c r="BM552" i="3"/>
  <c r="BN552" i="3"/>
  <c r="BO552" i="3"/>
  <c r="BP552" i="3"/>
  <c r="BQ552" i="3"/>
  <c r="BR552" i="3"/>
  <c r="BS552" i="3"/>
  <c r="BT552" i="3"/>
  <c r="BL552" i="3"/>
  <c r="AZ552" i="3"/>
  <c r="BB553" i="3"/>
  <c r="BD553" i="3"/>
  <c r="BE553" i="3"/>
  <c r="BF553" i="3"/>
  <c r="BG553" i="3"/>
  <c r="BH553" i="3"/>
  <c r="BI553" i="3"/>
  <c r="BJ553" i="3"/>
  <c r="BK553" i="3"/>
  <c r="BA553" i="3"/>
  <c r="BM553" i="3"/>
  <c r="BN553" i="3"/>
  <c r="BO553" i="3"/>
  <c r="BP553" i="3"/>
  <c r="BQ553" i="3"/>
  <c r="BR553" i="3"/>
  <c r="BS553" i="3"/>
  <c r="BT553" i="3"/>
  <c r="BL553" i="3"/>
  <c r="AZ553" i="3"/>
  <c r="BB554" i="3"/>
  <c r="BD554" i="3"/>
  <c r="BE554" i="3"/>
  <c r="BF554" i="3"/>
  <c r="BG554" i="3"/>
  <c r="BH554" i="3"/>
  <c r="BI554" i="3"/>
  <c r="BJ554" i="3"/>
  <c r="BK554" i="3"/>
  <c r="BA554" i="3"/>
  <c r="BM554" i="3"/>
  <c r="BN554" i="3"/>
  <c r="BO554" i="3"/>
  <c r="BP554" i="3"/>
  <c r="BQ554" i="3"/>
  <c r="BR554" i="3"/>
  <c r="BS554" i="3"/>
  <c r="BT554" i="3"/>
  <c r="BL554" i="3"/>
  <c r="AZ554" i="3"/>
  <c r="BB555" i="3"/>
  <c r="BD555" i="3"/>
  <c r="BE555" i="3"/>
  <c r="BF555" i="3"/>
  <c r="BG555" i="3"/>
  <c r="BH555" i="3"/>
  <c r="BI555" i="3"/>
  <c r="BJ555" i="3"/>
  <c r="BK555" i="3"/>
  <c r="BA555" i="3"/>
  <c r="BM555" i="3"/>
  <c r="BN555" i="3"/>
  <c r="BO555" i="3"/>
  <c r="BP555" i="3"/>
  <c r="BQ555" i="3"/>
  <c r="BR555" i="3"/>
  <c r="BS555" i="3"/>
  <c r="BT555" i="3"/>
  <c r="BL555" i="3"/>
  <c r="AZ555" i="3"/>
  <c r="BB556" i="3"/>
  <c r="BD556" i="3"/>
  <c r="BE556" i="3"/>
  <c r="BF556" i="3"/>
  <c r="BG556" i="3"/>
  <c r="BH556" i="3"/>
  <c r="BI556" i="3"/>
  <c r="BJ556" i="3"/>
  <c r="BK556" i="3"/>
  <c r="BA556" i="3"/>
  <c r="BM556" i="3"/>
  <c r="BN556" i="3"/>
  <c r="BO556" i="3"/>
  <c r="BP556" i="3"/>
  <c r="BQ556" i="3"/>
  <c r="BR556" i="3"/>
  <c r="BS556" i="3"/>
  <c r="BT556" i="3"/>
  <c r="BL556" i="3"/>
  <c r="AZ556" i="3"/>
  <c r="BB557" i="3"/>
  <c r="BD557" i="3"/>
  <c r="BE557" i="3"/>
  <c r="BF557" i="3"/>
  <c r="BG557" i="3"/>
  <c r="BH557" i="3"/>
  <c r="BI557" i="3"/>
  <c r="BJ557" i="3"/>
  <c r="BK557" i="3"/>
  <c r="BA557" i="3"/>
  <c r="BM557" i="3"/>
  <c r="BN557" i="3"/>
  <c r="BO557" i="3"/>
  <c r="BP557" i="3"/>
  <c r="BQ557" i="3"/>
  <c r="BR557" i="3"/>
  <c r="BS557" i="3"/>
  <c r="BT557" i="3"/>
  <c r="BL557" i="3"/>
  <c r="AZ557" i="3"/>
  <c r="BB558" i="3"/>
  <c r="BD558" i="3"/>
  <c r="BE558" i="3"/>
  <c r="BF558" i="3"/>
  <c r="BG558" i="3"/>
  <c r="BH558" i="3"/>
  <c r="BI558" i="3"/>
  <c r="BJ558" i="3"/>
  <c r="BK558" i="3"/>
  <c r="BA558" i="3"/>
  <c r="BM558" i="3"/>
  <c r="BN558" i="3"/>
  <c r="BO558" i="3"/>
  <c r="BP558" i="3"/>
  <c r="BQ558" i="3"/>
  <c r="BR558" i="3"/>
  <c r="BS558" i="3"/>
  <c r="BT558" i="3"/>
  <c r="BL558" i="3"/>
  <c r="AZ558" i="3"/>
  <c r="BB559" i="3"/>
  <c r="BD559" i="3"/>
  <c r="BE559" i="3"/>
  <c r="BF559" i="3"/>
  <c r="BG559" i="3"/>
  <c r="BH559" i="3"/>
  <c r="BI559" i="3"/>
  <c r="BJ559" i="3"/>
  <c r="BK559" i="3"/>
  <c r="BA559" i="3"/>
  <c r="BM559" i="3"/>
  <c r="BN559" i="3"/>
  <c r="BO559" i="3"/>
  <c r="BP559" i="3"/>
  <c r="BQ559" i="3"/>
  <c r="BR559" i="3"/>
  <c r="BS559" i="3"/>
  <c r="BT559" i="3"/>
  <c r="BL559" i="3"/>
  <c r="AZ559" i="3"/>
  <c r="BB560" i="3"/>
  <c r="BD560" i="3"/>
  <c r="BE560" i="3"/>
  <c r="BF560" i="3"/>
  <c r="BG560" i="3"/>
  <c r="BH560" i="3"/>
  <c r="BI560" i="3"/>
  <c r="BJ560" i="3"/>
  <c r="BK560" i="3"/>
  <c r="BA560" i="3"/>
  <c r="BM560" i="3"/>
  <c r="BN560" i="3"/>
  <c r="BO560" i="3"/>
  <c r="BP560" i="3"/>
  <c r="BQ560" i="3"/>
  <c r="BR560" i="3"/>
  <c r="BS560" i="3"/>
  <c r="BT560" i="3"/>
  <c r="BL560" i="3"/>
  <c r="AZ560" i="3"/>
  <c r="BB561" i="3"/>
  <c r="BD561" i="3"/>
  <c r="BE561" i="3"/>
  <c r="BF561" i="3"/>
  <c r="BG561" i="3"/>
  <c r="BH561" i="3"/>
  <c r="BI561" i="3"/>
  <c r="BJ561" i="3"/>
  <c r="BK561" i="3"/>
  <c r="BA561" i="3"/>
  <c r="BM561" i="3"/>
  <c r="BN561" i="3"/>
  <c r="BO561" i="3"/>
  <c r="BP561" i="3"/>
  <c r="BQ561" i="3"/>
  <c r="BR561" i="3"/>
  <c r="BS561" i="3"/>
  <c r="BT561" i="3"/>
  <c r="BL561" i="3"/>
  <c r="AZ561" i="3"/>
  <c r="BB562" i="3"/>
  <c r="BD562" i="3"/>
  <c r="BE562" i="3"/>
  <c r="BF562" i="3"/>
  <c r="BG562" i="3"/>
  <c r="BH562" i="3"/>
  <c r="BI562" i="3"/>
  <c r="BJ562" i="3"/>
  <c r="BK562" i="3"/>
  <c r="BA562" i="3"/>
  <c r="BM562" i="3"/>
  <c r="BN562" i="3"/>
  <c r="BO562" i="3"/>
  <c r="BP562" i="3"/>
  <c r="BQ562" i="3"/>
  <c r="BR562" i="3"/>
  <c r="BS562" i="3"/>
  <c r="BT562" i="3"/>
  <c r="BL562" i="3"/>
  <c r="AZ562" i="3"/>
  <c r="BB563" i="3"/>
  <c r="BD563" i="3"/>
  <c r="BE563" i="3"/>
  <c r="BF563" i="3"/>
  <c r="BG563" i="3"/>
  <c r="BH563" i="3"/>
  <c r="BI563" i="3"/>
  <c r="BJ563" i="3"/>
  <c r="BK563" i="3"/>
  <c r="BA563" i="3"/>
  <c r="BM563" i="3"/>
  <c r="BN563" i="3"/>
  <c r="BO563" i="3"/>
  <c r="BP563" i="3"/>
  <c r="BQ563" i="3"/>
  <c r="BR563" i="3"/>
  <c r="BS563" i="3"/>
  <c r="BT563" i="3"/>
  <c r="BL563" i="3"/>
  <c r="AZ563" i="3"/>
  <c r="BB564" i="3"/>
  <c r="BD564" i="3"/>
  <c r="BE564" i="3"/>
  <c r="BF564" i="3"/>
  <c r="BG564" i="3"/>
  <c r="BH564" i="3"/>
  <c r="BI564" i="3"/>
  <c r="BJ564" i="3"/>
  <c r="BK564" i="3"/>
  <c r="BA564" i="3"/>
  <c r="BM564" i="3"/>
  <c r="BN564" i="3"/>
  <c r="BO564" i="3"/>
  <c r="BP564" i="3"/>
  <c r="BQ564" i="3"/>
  <c r="BR564" i="3"/>
  <c r="BS564" i="3"/>
  <c r="BT564" i="3"/>
  <c r="BL564" i="3"/>
  <c r="AZ564" i="3"/>
  <c r="BB565" i="3"/>
  <c r="BD565" i="3"/>
  <c r="BE565" i="3"/>
  <c r="BF565" i="3"/>
  <c r="BG565" i="3"/>
  <c r="BH565" i="3"/>
  <c r="BI565" i="3"/>
  <c r="BJ565" i="3"/>
  <c r="BK565" i="3"/>
  <c r="BA565" i="3"/>
  <c r="BM565" i="3"/>
  <c r="BN565" i="3"/>
  <c r="BO565" i="3"/>
  <c r="BP565" i="3"/>
  <c r="BQ565" i="3"/>
  <c r="BR565" i="3"/>
  <c r="BS565" i="3"/>
  <c r="BT565" i="3"/>
  <c r="BL565" i="3"/>
  <c r="AZ565" i="3"/>
  <c r="BB566" i="3"/>
  <c r="BD566" i="3"/>
  <c r="BE566" i="3"/>
  <c r="BF566" i="3"/>
  <c r="BG566" i="3"/>
  <c r="BH566" i="3"/>
  <c r="BI566" i="3"/>
  <c r="BJ566" i="3"/>
  <c r="BK566" i="3"/>
  <c r="BA566" i="3"/>
  <c r="BM566" i="3"/>
  <c r="BN566" i="3"/>
  <c r="BO566" i="3"/>
  <c r="BP566" i="3"/>
  <c r="BQ566" i="3"/>
  <c r="BR566" i="3"/>
  <c r="BS566" i="3"/>
  <c r="BT566" i="3"/>
  <c r="BL566" i="3"/>
  <c r="AZ566" i="3"/>
  <c r="BB567" i="3"/>
  <c r="BD567" i="3"/>
  <c r="BE567" i="3"/>
  <c r="BF567" i="3"/>
  <c r="BG567" i="3"/>
  <c r="BH567" i="3"/>
  <c r="BI567" i="3"/>
  <c r="BJ567" i="3"/>
  <c r="BK567" i="3"/>
  <c r="BA567" i="3"/>
  <c r="BM567" i="3"/>
  <c r="BN567" i="3"/>
  <c r="BO567" i="3"/>
  <c r="BP567" i="3"/>
  <c r="BQ567" i="3"/>
  <c r="BR567" i="3"/>
  <c r="BS567" i="3"/>
  <c r="BT567" i="3"/>
  <c r="BL567" i="3"/>
  <c r="AZ567" i="3"/>
  <c r="BB568" i="3"/>
  <c r="BD568" i="3"/>
  <c r="BE568" i="3"/>
  <c r="BF568" i="3"/>
  <c r="BG568" i="3"/>
  <c r="BH568" i="3"/>
  <c r="BI568" i="3"/>
  <c r="BJ568" i="3"/>
  <c r="BK568" i="3"/>
  <c r="BA568" i="3"/>
  <c r="BM568" i="3"/>
  <c r="BN568" i="3"/>
  <c r="BO568" i="3"/>
  <c r="BP568" i="3"/>
  <c r="BQ568" i="3"/>
  <c r="BR568" i="3"/>
  <c r="BS568" i="3"/>
  <c r="BT568" i="3"/>
  <c r="BL568" i="3"/>
  <c r="AZ568" i="3"/>
  <c r="BB569" i="3"/>
  <c r="BD569" i="3"/>
  <c r="BE569" i="3"/>
  <c r="BF569" i="3"/>
  <c r="BG569" i="3"/>
  <c r="BH569" i="3"/>
  <c r="BI569" i="3"/>
  <c r="BJ569" i="3"/>
  <c r="BK569" i="3"/>
  <c r="BA569" i="3"/>
  <c r="BM569" i="3"/>
  <c r="BN569" i="3"/>
  <c r="BO569" i="3"/>
  <c r="BP569" i="3"/>
  <c r="BQ569" i="3"/>
  <c r="BR569" i="3"/>
  <c r="BS569" i="3"/>
  <c r="BT569" i="3"/>
  <c r="BL569" i="3"/>
  <c r="AZ569" i="3"/>
  <c r="BB570" i="3"/>
  <c r="BD570" i="3"/>
  <c r="BE570" i="3"/>
  <c r="BF570" i="3"/>
  <c r="BG570" i="3"/>
  <c r="BH570" i="3"/>
  <c r="BI570" i="3"/>
  <c r="BJ570" i="3"/>
  <c r="BK570" i="3"/>
  <c r="BA570" i="3"/>
  <c r="BM570" i="3"/>
  <c r="BN570" i="3"/>
  <c r="BO570" i="3"/>
  <c r="BP570" i="3"/>
  <c r="BQ570" i="3"/>
  <c r="BR570" i="3"/>
  <c r="BS570" i="3"/>
  <c r="BT570" i="3"/>
  <c r="BL570" i="3"/>
  <c r="AZ570" i="3"/>
  <c r="BB571" i="3"/>
  <c r="BD571" i="3"/>
  <c r="BE571" i="3"/>
  <c r="BF571" i="3"/>
  <c r="BG571" i="3"/>
  <c r="BH571" i="3"/>
  <c r="BI571" i="3"/>
  <c r="BJ571" i="3"/>
  <c r="BK571" i="3"/>
  <c r="BA571" i="3"/>
  <c r="BM571" i="3"/>
  <c r="BN571" i="3"/>
  <c r="BO571" i="3"/>
  <c r="BP571" i="3"/>
  <c r="BQ571" i="3"/>
  <c r="BR571" i="3"/>
  <c r="BS571" i="3"/>
  <c r="BT571" i="3"/>
  <c r="BL571" i="3"/>
  <c r="AZ571" i="3"/>
  <c r="BB572" i="3"/>
  <c r="BD572" i="3"/>
  <c r="BE572" i="3"/>
  <c r="BF572" i="3"/>
  <c r="BG572" i="3"/>
  <c r="BH572" i="3"/>
  <c r="BI572" i="3"/>
  <c r="BJ572" i="3"/>
  <c r="BK572" i="3"/>
  <c r="BA572" i="3"/>
  <c r="BM572" i="3"/>
  <c r="BN572" i="3"/>
  <c r="BO572" i="3"/>
  <c r="BP572" i="3"/>
  <c r="BQ572" i="3"/>
  <c r="BR572" i="3"/>
  <c r="BS572" i="3"/>
  <c r="BT572" i="3"/>
  <c r="BL572" i="3"/>
  <c r="AZ572" i="3"/>
  <c r="AZ5" i="3"/>
  <c r="H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AT5" i="3"/>
  <c r="B3" i="3"/>
  <c r="AY6" i="3"/>
  <c r="D3" i="6"/>
  <c r="E3" i="6"/>
  <c r="D20" i="6"/>
  <c r="BQ5" i="3"/>
  <c r="BS5" i="3"/>
  <c r="F28" i="6"/>
  <c r="BR5" i="3"/>
  <c r="BT5" i="3"/>
  <c r="G28" i="6"/>
  <c r="E28" i="6"/>
  <c r="BB5" i="3"/>
  <c r="F19" i="6"/>
  <c r="E19" i="6"/>
  <c r="E21" i="6"/>
  <c r="E22" i="6"/>
  <c r="E23" i="6"/>
  <c r="E24" i="6"/>
  <c r="E25" i="6"/>
  <c r="E26" i="6"/>
  <c r="BA5" i="3"/>
  <c r="E8" i="6"/>
  <c r="F27" i="6"/>
  <c r="E27" i="6"/>
  <c r="K20" i="6"/>
  <c r="L20" i="6"/>
  <c r="M20" i="6"/>
  <c r="I20" i="6"/>
  <c r="H20" i="6"/>
  <c r="R20" i="6"/>
  <c r="R7" i="1"/>
  <c r="B52" i="1"/>
  <c r="F34" i="15"/>
  <c r="M7" i="1"/>
  <c r="T4" i="1"/>
  <c r="K14" i="1"/>
  <c r="M14" i="1"/>
  <c r="T7" i="1" s="1"/>
  <c r="S7" i="1"/>
  <c r="K19" i="6"/>
  <c r="S6" i="1"/>
  <c r="A8" i="1"/>
  <c r="K21" i="6"/>
  <c r="S8" i="1"/>
  <c r="A9" i="1"/>
  <c r="S9" i="1"/>
  <c r="A10" i="1"/>
  <c r="S10" i="1"/>
  <c r="A11" i="1"/>
  <c r="S11" i="1"/>
  <c r="A12" i="1"/>
  <c r="S12" i="1"/>
  <c r="A13" i="1"/>
  <c r="S13" i="1"/>
  <c r="S16" i="1"/>
  <c r="F15" i="15"/>
  <c r="F17" i="15"/>
  <c r="F18" i="15"/>
  <c r="F20" i="15"/>
  <c r="H1" i="65"/>
  <c r="B22" i="1"/>
  <c r="C2" i="65"/>
  <c r="F23" i="15"/>
  <c r="F21" i="15"/>
  <c r="F28" i="15"/>
  <c r="B2" i="1"/>
  <c r="C42" i="1"/>
  <c r="C28" i="15"/>
  <c r="E19" i="4"/>
  <c r="F7" i="1"/>
  <c r="M47" i="15"/>
  <c r="J50" i="15"/>
  <c r="J51" i="15"/>
  <c r="L46" i="15"/>
  <c r="K6" i="1"/>
  <c r="M6" i="1"/>
  <c r="O6" i="1" s="1"/>
  <c r="P6" i="1" s="1"/>
  <c r="O14" i="1"/>
  <c r="P14" i="1" s="1"/>
  <c r="O7" i="1"/>
  <c r="P7" i="1" s="1"/>
  <c r="K8" i="1"/>
  <c r="M8" i="1"/>
  <c r="O8" i="1" s="1"/>
  <c r="K9" i="1"/>
  <c r="M9" i="1"/>
  <c r="O9" i="1"/>
  <c r="P9" i="1"/>
  <c r="K10" i="1"/>
  <c r="M10" i="1"/>
  <c r="O10" i="1"/>
  <c r="P10" i="1"/>
  <c r="K11" i="1"/>
  <c r="M11" i="1"/>
  <c r="O11" i="1"/>
  <c r="P11" i="1"/>
  <c r="K12" i="1"/>
  <c r="M12" i="1"/>
  <c r="O12" i="1"/>
  <c r="P12" i="1"/>
  <c r="K13" i="1"/>
  <c r="M13" i="1"/>
  <c r="O13" i="1"/>
  <c r="P13" i="1"/>
  <c r="F14" i="12"/>
  <c r="F15" i="12"/>
  <c r="D16" i="12"/>
  <c r="C16" i="12" s="1"/>
  <c r="E16" i="12"/>
  <c r="F17" i="12"/>
  <c r="E19" i="12"/>
  <c r="BB11"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D5" i="3"/>
  <c r="BE5" i="3"/>
  <c r="BF5" i="3"/>
  <c r="BG5" i="3"/>
  <c r="BH5" i="3"/>
  <c r="BI5" i="3"/>
  <c r="BJ5" i="3"/>
  <c r="BK5" i="3"/>
  <c r="BL5" i="3"/>
  <c r="BM5" i="3"/>
  <c r="BN5" i="3"/>
  <c r="BO5" i="3"/>
  <c r="BP5" i="3"/>
  <c r="E5" i="6"/>
  <c r="D21" i="12"/>
  <c r="C21" i="12" s="1"/>
  <c r="E21" i="12"/>
  <c r="E6" i="6"/>
  <c r="D22" i="12"/>
  <c r="C22" i="12" s="1"/>
  <c r="E22" i="12"/>
  <c r="F23" i="12"/>
  <c r="C9" i="12"/>
  <c r="C10" i="12"/>
  <c r="F24" i="12"/>
  <c r="B24" i="1"/>
  <c r="F29" i="12"/>
  <c r="Q16" i="1"/>
  <c r="F33" i="12"/>
  <c r="F25" i="12"/>
  <c r="C25" i="12" s="1"/>
  <c r="BB10" i="3"/>
  <c r="BC10" i="3"/>
  <c r="BD10" i="3"/>
  <c r="BE10" i="3"/>
  <c r="BF10" i="3"/>
  <c r="BG10" i="3"/>
  <c r="BH10" i="3"/>
  <c r="BI10" i="3"/>
  <c r="BJ10" i="3"/>
  <c r="BK10" i="3"/>
  <c r="F29" i="6"/>
  <c r="F30" i="6"/>
  <c r="F31" i="6"/>
  <c r="I4" i="6"/>
  <c r="C11" i="21"/>
  <c r="I20" i="46"/>
  <c r="G20" i="46"/>
  <c r="J20" i="46"/>
  <c r="C20" i="46"/>
  <c r="G19" i="46"/>
  <c r="N6" i="59"/>
  <c r="B6" i="59"/>
  <c r="N5" i="59"/>
  <c r="B5" i="59"/>
  <c r="O6" i="59"/>
  <c r="C6" i="59"/>
  <c r="O5" i="59"/>
  <c r="C5" i="59"/>
  <c r="D5" i="59"/>
  <c r="P6" i="59"/>
  <c r="E6" i="59"/>
  <c r="P5" i="59"/>
  <c r="E5" i="59"/>
  <c r="Q6" i="59"/>
  <c r="F6" i="59"/>
  <c r="Q5" i="59"/>
  <c r="F5" i="59"/>
  <c r="D6" i="59"/>
  <c r="D7" i="59"/>
  <c r="N10" i="59"/>
  <c r="B10" i="59"/>
  <c r="N9" i="59"/>
  <c r="B9" i="59"/>
  <c r="N8" i="59"/>
  <c r="B8" i="59"/>
  <c r="O10" i="59"/>
  <c r="C10" i="59"/>
  <c r="O9" i="59"/>
  <c r="C9" i="59"/>
  <c r="O8" i="59"/>
  <c r="C8" i="59"/>
  <c r="D8" i="59"/>
  <c r="P10" i="59"/>
  <c r="E10" i="59"/>
  <c r="P9" i="59"/>
  <c r="E9" i="59"/>
  <c r="P8" i="59"/>
  <c r="E8" i="59"/>
  <c r="Q10" i="59"/>
  <c r="F10" i="59"/>
  <c r="Q9" i="59"/>
  <c r="F9" i="59"/>
  <c r="Q8" i="59"/>
  <c r="F8" i="59"/>
  <c r="D9" i="59"/>
  <c r="D10" i="59"/>
  <c r="D11" i="59"/>
  <c r="N11" i="59"/>
  <c r="B12" i="59"/>
  <c r="O11" i="59"/>
  <c r="C12" i="59"/>
  <c r="D12" i="59"/>
  <c r="P11" i="59"/>
  <c r="E12" i="59"/>
  <c r="Q11" i="59"/>
  <c r="F12" i="59"/>
  <c r="N12" i="59"/>
  <c r="B13" i="59"/>
  <c r="O12" i="59"/>
  <c r="C13" i="59"/>
  <c r="D13" i="59"/>
  <c r="P12" i="59"/>
  <c r="E13" i="59"/>
  <c r="Q12" i="59"/>
  <c r="F13" i="59"/>
  <c r="N13" i="59"/>
  <c r="B14" i="59"/>
  <c r="O13" i="59"/>
  <c r="C14" i="59"/>
  <c r="D14" i="59"/>
  <c r="P13" i="59"/>
  <c r="E14" i="59"/>
  <c r="Q13" i="59"/>
  <c r="F14" i="59"/>
  <c r="D15" i="59"/>
  <c r="N15" i="59"/>
  <c r="B16" i="59"/>
  <c r="O15" i="59"/>
  <c r="C16" i="59"/>
  <c r="D16" i="59"/>
  <c r="P15" i="59"/>
  <c r="E16" i="59"/>
  <c r="Q15" i="59"/>
  <c r="F16" i="59"/>
  <c r="N16" i="59"/>
  <c r="B17" i="59"/>
  <c r="O16" i="59"/>
  <c r="C17" i="59"/>
  <c r="D17" i="59"/>
  <c r="P16" i="59"/>
  <c r="E17" i="59"/>
  <c r="Q16" i="59"/>
  <c r="F17" i="59"/>
  <c r="N17" i="59"/>
  <c r="B18" i="59"/>
  <c r="O17" i="59"/>
  <c r="C18" i="59"/>
  <c r="D18" i="59"/>
  <c r="P17" i="59"/>
  <c r="E18" i="59"/>
  <c r="Q17" i="59"/>
  <c r="F18" i="59"/>
  <c r="D19" i="59"/>
  <c r="N19" i="59"/>
  <c r="B20" i="59"/>
  <c r="O19" i="59"/>
  <c r="C20" i="59"/>
  <c r="D20" i="59"/>
  <c r="P19" i="59"/>
  <c r="E20" i="59"/>
  <c r="Q19" i="59"/>
  <c r="F20" i="59"/>
  <c r="N20" i="59"/>
  <c r="B21" i="59"/>
  <c r="O20" i="59"/>
  <c r="C21" i="59"/>
  <c r="D21" i="59"/>
  <c r="P20" i="59"/>
  <c r="E21" i="59"/>
  <c r="Q20" i="59"/>
  <c r="F21" i="59"/>
  <c r="N21" i="59"/>
  <c r="B22" i="59"/>
  <c r="O21" i="59"/>
  <c r="C22" i="59"/>
  <c r="D22" i="59"/>
  <c r="P21" i="59"/>
  <c r="E22" i="59"/>
  <c r="Q21" i="59"/>
  <c r="F22" i="59"/>
  <c r="M20" i="46"/>
  <c r="M19" i="46"/>
  <c r="C19" i="46"/>
  <c r="G3" i="46"/>
  <c r="G2" i="46"/>
  <c r="C23" i="46"/>
  <c r="C21" i="46"/>
  <c r="C24" i="46"/>
  <c r="C6" i="46"/>
  <c r="G17" i="46"/>
  <c r="H17" i="46"/>
  <c r="C16" i="46" s="1"/>
  <c r="C5" i="46" s="1"/>
  <c r="I17" i="46"/>
  <c r="J17" i="46"/>
  <c r="C17" i="46"/>
  <c r="C18" i="46"/>
  <c r="D5" i="46"/>
  <c r="F33" i="46"/>
  <c r="F34" i="46"/>
  <c r="F35" i="46"/>
  <c r="F36" i="46"/>
  <c r="F37" i="46"/>
  <c r="F38" i="46"/>
  <c r="F39" i="46"/>
  <c r="E22" i="46"/>
  <c r="E101" i="46"/>
  <c r="E102" i="46"/>
  <c r="E103" i="46"/>
  <c r="E104" i="46"/>
  <c r="E105" i="46"/>
  <c r="E106" i="46"/>
  <c r="E107" i="46"/>
  <c r="E99" i="46"/>
  <c r="E108" i="46"/>
  <c r="E109" i="46"/>
  <c r="B113" i="46"/>
  <c r="D115" i="46"/>
  <c r="E115" i="46"/>
  <c r="D116" i="46"/>
  <c r="E116" i="46"/>
  <c r="D117" i="46"/>
  <c r="E117" i="46"/>
  <c r="D118" i="46"/>
  <c r="E118" i="46"/>
  <c r="F22" i="46"/>
  <c r="F101" i="46"/>
  <c r="F102" i="46"/>
  <c r="F103" i="46"/>
  <c r="F104" i="46"/>
  <c r="F105" i="46"/>
  <c r="F106" i="46"/>
  <c r="F107" i="46"/>
  <c r="F99" i="46"/>
  <c r="F108" i="46"/>
  <c r="F109" i="46"/>
  <c r="F115" i="46"/>
  <c r="F116" i="46"/>
  <c r="F117" i="46"/>
  <c r="F118" i="46"/>
  <c r="C10" i="46"/>
  <c r="C11" i="46"/>
  <c r="E8" i="46"/>
  <c r="E9" i="46"/>
  <c r="E10" i="46"/>
  <c r="E11" i="46"/>
  <c r="E15" i="46"/>
  <c r="E17"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100" i="46"/>
  <c r="F15" i="46"/>
  <c r="F47" i="46"/>
  <c r="F58" i="46"/>
  <c r="F69" i="46"/>
  <c r="F80" i="46"/>
  <c r="F100" i="46"/>
  <c r="F113" i="46"/>
  <c r="H33" i="46"/>
  <c r="C101" i="46"/>
  <c r="C102" i="46"/>
  <c r="C103" i="46"/>
  <c r="C104" i="46"/>
  <c r="C105" i="46"/>
  <c r="C106" i="46"/>
  <c r="C107" i="46"/>
  <c r="C99" i="46"/>
  <c r="C108" i="46"/>
  <c r="C109" i="46"/>
  <c r="B115" i="46"/>
  <c r="C115" i="46"/>
  <c r="B116" i="46"/>
  <c r="C116" i="46"/>
  <c r="B117" i="46"/>
  <c r="C117" i="46"/>
  <c r="B118" i="46"/>
  <c r="C118" i="46"/>
  <c r="G22" i="46"/>
  <c r="H22" i="46"/>
  <c r="D22" i="46"/>
  <c r="D101" i="46"/>
  <c r="D102" i="46"/>
  <c r="D103" i="46"/>
  <c r="D104" i="46"/>
  <c r="D105" i="46"/>
  <c r="D106" i="46"/>
  <c r="D107" i="46"/>
  <c r="D99" i="46"/>
  <c r="D108"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H113" i="46"/>
  <c r="D113" i="46"/>
  <c r="D1" i="46"/>
  <c r="C9" i="46"/>
  <c r="C7" i="46"/>
  <c r="C15" i="46"/>
  <c r="D15" i="46"/>
  <c r="C12" i="46"/>
  <c r="C100" i="46"/>
  <c r="AH5" i="59"/>
  <c r="AG5" i="59"/>
  <c r="AE5" i="59"/>
  <c r="AF5" i="59"/>
  <c r="AD5" i="59"/>
  <c r="I3" i="59"/>
  <c r="L3" i="59"/>
  <c r="K3" i="59"/>
  <c r="J3" i="59"/>
  <c r="K38" i="9"/>
  <c r="C14" i="66"/>
  <c r="L38" i="9"/>
  <c r="B14" i="66"/>
  <c r="AE6" i="59"/>
  <c r="AF6" i="59"/>
  <c r="AG6" i="59"/>
  <c r="AH6" i="59"/>
  <c r="AD6" i="59"/>
  <c r="Q7" i="59"/>
  <c r="Q14" i="59"/>
  <c r="Q18" i="59"/>
  <c r="AB5" i="59"/>
  <c r="P7" i="59"/>
  <c r="P14" i="59"/>
  <c r="P18" i="59"/>
  <c r="AA5" i="59"/>
  <c r="O7" i="59"/>
  <c r="O14" i="59"/>
  <c r="O18" i="59"/>
  <c r="Y5" i="59"/>
  <c r="Z5" i="59"/>
  <c r="N7" i="59"/>
  <c r="N14" i="59"/>
  <c r="N18" i="59"/>
  <c r="X5" i="59"/>
  <c r="L4" i="9"/>
  <c r="A30" i="51" s="1"/>
  <c r="B22" i="63" s="1"/>
  <c r="M4" i="9"/>
  <c r="A30" i="64"/>
  <c r="K59" i="15"/>
  <c r="P62" i="15"/>
  <c r="P75" i="15"/>
  <c r="Q74" i="44"/>
  <c r="Q61" i="44"/>
  <c r="Q60" i="44"/>
  <c r="Q53" i="44"/>
  <c r="J51" i="44"/>
  <c r="J52" i="44"/>
  <c r="M48" i="44"/>
  <c r="A16" i="55"/>
  <c r="A15" i="55"/>
  <c r="B66" i="63" s="1"/>
  <c r="C43" i="9"/>
  <c r="K47" i="9" s="1"/>
  <c r="A14" i="55" s="1"/>
  <c r="B65" i="63" s="1"/>
  <c r="L24" i="4"/>
  <c r="L25" i="4"/>
  <c r="L26" i="4"/>
  <c r="A11" i="55"/>
  <c r="A10" i="55"/>
  <c r="A9" i="55"/>
  <c r="A8" i="55"/>
  <c r="A6" i="54"/>
  <c r="A8" i="54"/>
  <c r="A7" i="54"/>
  <c r="C57" i="10"/>
  <c r="A28" i="51"/>
  <c r="A27" i="51"/>
  <c r="AB6" i="59"/>
  <c r="Y6" i="59"/>
  <c r="Z6" i="59"/>
  <c r="X6" i="59"/>
  <c r="AA6"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0" i="59"/>
  <c r="U10" i="59"/>
  <c r="T10" i="59"/>
  <c r="S10" i="59"/>
  <c r="V6" i="59"/>
  <c r="U6" i="59"/>
  <c r="S6"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AB20" i="59"/>
  <c r="AA20" i="59"/>
  <c r="Y20" i="59"/>
  <c r="X20" i="59"/>
  <c r="S2" i="31"/>
  <c r="M2" i="31"/>
  <c r="N2" i="31"/>
  <c r="O2" i="31"/>
  <c r="P2" i="31"/>
  <c r="Q2" i="31"/>
  <c r="R2" i="31"/>
  <c r="C3" i="65"/>
  <c r="T6"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s="1"/>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A4" i="55"/>
  <c r="B57" i="63" s="1"/>
  <c r="B41" i="63"/>
  <c r="G5" i="54"/>
  <c r="B34" i="63"/>
  <c r="E5" i="54"/>
  <c r="B32" i="63"/>
  <c r="R2" i="54"/>
  <c r="B24" i="63"/>
  <c r="B19" i="63"/>
  <c r="B49" i="50"/>
  <c r="B5" i="63"/>
  <c r="B40" i="50"/>
  <c r="B3" i="63"/>
  <c r="N4" i="63"/>
  <c r="B21" i="63"/>
  <c r="B67" i="63"/>
  <c r="I19" i="46"/>
  <c r="D71" i="59"/>
  <c r="F70" i="59"/>
  <c r="E70" i="59"/>
  <c r="E69" i="59"/>
  <c r="E68" i="59"/>
  <c r="C70" i="59"/>
  <c r="D70" i="59"/>
  <c r="B70" i="59"/>
  <c r="F69" i="59"/>
  <c r="F68" i="59"/>
  <c r="B69" i="59"/>
  <c r="B68" i="59"/>
  <c r="D67" i="59"/>
  <c r="F66" i="59"/>
  <c r="E66" i="59"/>
  <c r="E65" i="59"/>
  <c r="E64" i="59"/>
  <c r="C66" i="59"/>
  <c r="D66" i="59"/>
  <c r="B66" i="59"/>
  <c r="F65" i="59"/>
  <c r="F64"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c r="E50" i="59"/>
  <c r="E49" i="59"/>
  <c r="P49" i="59"/>
  <c r="C50" i="59"/>
  <c r="B50" i="59"/>
  <c r="N50" i="59"/>
  <c r="F49" i="59"/>
  <c r="F48" i="59"/>
  <c r="Q48" i="59"/>
  <c r="B49" i="59"/>
  <c r="Q47"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O31" i="59"/>
  <c r="C32" i="59"/>
  <c r="N31" i="59"/>
  <c r="B32" i="59"/>
  <c r="D31" i="59"/>
  <c r="T30" i="59"/>
  <c r="Q30" i="59"/>
  <c r="P30" i="59"/>
  <c r="O30" i="59"/>
  <c r="N30" i="59"/>
  <c r="D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P23" i="59"/>
  <c r="E24" i="59"/>
  <c r="E25" i="59"/>
  <c r="E26" i="59"/>
  <c r="U26" i="59"/>
  <c r="O23" i="59"/>
  <c r="C24" i="59"/>
  <c r="N23" i="59"/>
  <c r="B24" i="59"/>
  <c r="B25" i="59"/>
  <c r="B26" i="59"/>
  <c r="S26" i="59"/>
  <c r="D23" i="59"/>
  <c r="Q22" i="59"/>
  <c r="P22" i="59"/>
  <c r="O22" i="59"/>
  <c r="N22" i="59"/>
  <c r="AB21" i="59"/>
  <c r="Y21" i="59"/>
  <c r="Z21" i="59"/>
  <c r="X21" i="59"/>
  <c r="U22" i="59"/>
  <c r="S22" i="59"/>
  <c r="U18" i="59"/>
  <c r="S18" i="59"/>
  <c r="X3" i="59"/>
  <c r="X7" i="59"/>
  <c r="X8" i="59"/>
  <c r="X9" i="59"/>
  <c r="X10" i="59"/>
  <c r="AA3" i="59"/>
  <c r="AA7" i="59"/>
  <c r="AA8" i="59"/>
  <c r="AA9" i="59"/>
  <c r="AA10" i="59"/>
  <c r="Y7" i="59"/>
  <c r="Z7" i="59"/>
  <c r="Y8" i="59"/>
  <c r="Z8" i="59"/>
  <c r="Y9" i="59"/>
  <c r="Z9" i="59"/>
  <c r="Y10" i="59"/>
  <c r="Z10" i="59"/>
  <c r="Y3" i="59"/>
  <c r="Z3" i="59"/>
  <c r="AB10" i="59"/>
  <c r="AB3" i="59"/>
  <c r="AB7" i="59"/>
  <c r="AB8" i="59"/>
  <c r="AB9" i="59"/>
  <c r="S14" i="59"/>
  <c r="U14" i="59"/>
  <c r="B33" i="59"/>
  <c r="B34" i="59"/>
  <c r="S34" i="59"/>
  <c r="E33" i="59"/>
  <c r="E34" i="59"/>
  <c r="U34" i="59"/>
  <c r="S50" i="59"/>
  <c r="Z20" i="59"/>
  <c r="AA21" i="59"/>
  <c r="V14" i="59"/>
  <c r="V18" i="59"/>
  <c r="V22" i="59"/>
  <c r="F25" i="59"/>
  <c r="F26" i="59"/>
  <c r="V26" i="59"/>
  <c r="F29" i="59"/>
  <c r="F30" i="59"/>
  <c r="V30" i="59"/>
  <c r="F37" i="59"/>
  <c r="F38" i="59"/>
  <c r="V38" i="59"/>
  <c r="F41" i="59"/>
  <c r="F42" i="59"/>
  <c r="V42" i="59"/>
  <c r="F45" i="59"/>
  <c r="F46" i="59"/>
  <c r="V46" i="59"/>
  <c r="C25" i="59"/>
  <c r="D24" i="59"/>
  <c r="C29" i="59"/>
  <c r="D29" i="59"/>
  <c r="D28" i="59"/>
  <c r="C33" i="59"/>
  <c r="D32" i="59"/>
  <c r="C37" i="59"/>
  <c r="D36" i="59"/>
  <c r="C41" i="59"/>
  <c r="D40" i="59"/>
  <c r="C45" i="59"/>
  <c r="D44" i="59"/>
  <c r="E48" i="59"/>
  <c r="N49" i="59"/>
  <c r="B48" i="59"/>
  <c r="Q49" i="59"/>
  <c r="T50" i="59"/>
  <c r="O50" i="59"/>
  <c r="D50" i="59"/>
  <c r="C49" i="59"/>
  <c r="P50" i="59"/>
  <c r="U50" i="59"/>
  <c r="Q50" i="59"/>
  <c r="C53" i="59"/>
  <c r="E53" i="59"/>
  <c r="E52" i="59"/>
  <c r="D54" i="59"/>
  <c r="C57" i="59"/>
  <c r="E57" i="59"/>
  <c r="E56" i="59"/>
  <c r="D58" i="59"/>
  <c r="C61" i="59"/>
  <c r="E61" i="59"/>
  <c r="E60" i="59"/>
  <c r="D62" i="59"/>
  <c r="C65" i="59"/>
  <c r="C69" i="59"/>
  <c r="U16" i="4"/>
  <c r="S16" i="4"/>
  <c r="Q16" i="4"/>
  <c r="O16" i="4"/>
  <c r="M16" i="4"/>
  <c r="K16" i="4"/>
  <c r="P47" i="59"/>
  <c r="P48" i="59"/>
  <c r="D69" i="59"/>
  <c r="C68" i="59"/>
  <c r="D68" i="59"/>
  <c r="D61" i="59"/>
  <c r="C60" i="59"/>
  <c r="D60" i="59"/>
  <c r="D53" i="59"/>
  <c r="C52" i="59"/>
  <c r="D52" i="59"/>
  <c r="C48" i="59"/>
  <c r="O49" i="59"/>
  <c r="D49" i="59"/>
  <c r="D65" i="59"/>
  <c r="C64" i="59"/>
  <c r="D64" i="59"/>
  <c r="D57" i="59"/>
  <c r="C56" i="59"/>
  <c r="D56" i="59"/>
  <c r="N47" i="59"/>
  <c r="N48" i="59"/>
  <c r="C46" i="59"/>
  <c r="D45" i="59"/>
  <c r="D41" i="59"/>
  <c r="C42" i="59"/>
  <c r="C38" i="59"/>
  <c r="D37" i="59"/>
  <c r="C34" i="59"/>
  <c r="D33" i="59"/>
  <c r="C26" i="59"/>
  <c r="D25" i="59"/>
  <c r="N16" i="4"/>
  <c r="L16" i="4"/>
  <c r="T42" i="59"/>
  <c r="D42" i="59"/>
  <c r="T14" i="59"/>
  <c r="T22" i="59"/>
  <c r="T26" i="59"/>
  <c r="D26" i="59"/>
  <c r="T34" i="59"/>
  <c r="D34" i="59"/>
  <c r="T38" i="59"/>
  <c r="D38" i="59"/>
  <c r="T46" i="59"/>
  <c r="D46" i="59"/>
  <c r="T18" i="59"/>
  <c r="O48" i="59"/>
  <c r="D48" i="59"/>
  <c r="O47"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s="1"/>
  <c r="F83" i="21" s="1"/>
  <c r="G83" i="21" s="1"/>
  <c r="F21" i="21"/>
  <c r="AA21" i="21" s="1"/>
  <c r="C21" i="21"/>
  <c r="Q27" i="40"/>
  <c r="Z27" i="40"/>
  <c r="D96" i="40"/>
  <c r="E96" i="40"/>
  <c r="F27" i="40"/>
  <c r="AA27" i="40"/>
  <c r="Q31" i="39"/>
  <c r="Z31" i="39"/>
  <c r="D105" i="39"/>
  <c r="E105" i="39" s="1"/>
  <c r="F105" i="39" s="1"/>
  <c r="G105" i="39" s="1"/>
  <c r="F31" i="39"/>
  <c r="S31" i="39" s="1"/>
  <c r="G20" i="20"/>
  <c r="B85" i="46"/>
  <c r="C22" i="20"/>
  <c r="C31" i="39" s="1"/>
  <c r="S18" i="36"/>
  <c r="S18" i="35"/>
  <c r="S21" i="37"/>
  <c r="S21" i="34"/>
  <c r="S27" i="40"/>
  <c r="C27" i="40"/>
  <c r="E66" i="36"/>
  <c r="H18" i="35"/>
  <c r="J18" i="35"/>
  <c r="H21" i="37"/>
  <c r="J21" i="37"/>
  <c r="E84" i="34"/>
  <c r="F84" i="34"/>
  <c r="G84" i="34"/>
  <c r="J21" i="34"/>
  <c r="H21" i="34"/>
  <c r="F21" i="33"/>
  <c r="H21" i="33"/>
  <c r="J21" i="33"/>
  <c r="H21" i="21"/>
  <c r="J21" i="21"/>
  <c r="AC21" i="21" s="1"/>
  <c r="F96" i="40"/>
  <c r="H27" i="40"/>
  <c r="H31" i="39"/>
  <c r="U31" i="39" s="1"/>
  <c r="D22" i="15"/>
  <c r="G17" i="11"/>
  <c r="D2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D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G11" i="1" s="1"/>
  <c r="D12" i="1"/>
  <c r="D13" i="1"/>
  <c r="D6" i="1"/>
  <c r="D7" i="1"/>
  <c r="G7" i="1" s="1"/>
  <c r="D8" i="1"/>
  <c r="D9" i="1"/>
  <c r="F10" i="1"/>
  <c r="AP10" i="1" s="1"/>
  <c r="D10" i="1"/>
  <c r="G10" i="1" s="1"/>
  <c r="R12" i="1"/>
  <c r="B13" i="1"/>
  <c r="E13" i="1"/>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s="1"/>
  <c r="H59" i="39"/>
  <c r="I59" i="39"/>
  <c r="C59" i="39"/>
  <c r="H67" i="39"/>
  <c r="I67" i="39"/>
  <c r="C67" i="39"/>
  <c r="H66" i="39"/>
  <c r="I66" i="39"/>
  <c r="C66" i="39"/>
  <c r="H65" i="39"/>
  <c r="I65" i="39"/>
  <c r="C65" i="39" s="1"/>
  <c r="H64" i="39"/>
  <c r="I64" i="39"/>
  <c r="C64" i="39"/>
  <c r="H62" i="39"/>
  <c r="I62" i="39"/>
  <c r="C62" i="39"/>
  <c r="H61" i="39"/>
  <c r="I61" i="39"/>
  <c r="C61" i="39"/>
  <c r="H60" i="39"/>
  <c r="I60" i="39"/>
  <c r="C60" i="39" s="1"/>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AP9" i="1" s="1"/>
  <c r="F19" i="4"/>
  <c r="F8" i="1"/>
  <c r="AP8" i="1" s="1"/>
  <c r="B2" i="52"/>
  <c r="E22" i="52" s="1"/>
  <c r="I2" i="46"/>
  <c r="N12" i="46"/>
  <c r="A7" i="46"/>
  <c r="F41" i="4"/>
  <c r="J52" i="40"/>
  <c r="H61" i="49"/>
  <c r="H39" i="46"/>
  <c r="H38" i="46"/>
  <c r="H37" i="46"/>
  <c r="H36" i="46"/>
  <c r="H35" i="46"/>
  <c r="H34" i="46"/>
  <c r="E32" i="6"/>
  <c r="D38" i="4"/>
  <c r="C39" i="4"/>
  <c r="C35" i="4"/>
  <c r="I73" i="9"/>
  <c r="F73" i="9"/>
  <c r="P73" i="9"/>
  <c r="D107" i="9"/>
  <c r="C107" i="9"/>
  <c r="C105" i="9"/>
  <c r="C110" i="9" s="1"/>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c r="F40" i="39"/>
  <c r="AA40" i="39" s="1"/>
  <c r="F42" i="39"/>
  <c r="AA42" i="39" s="1"/>
  <c r="H10" i="39"/>
  <c r="AB10" i="39" s="1"/>
  <c r="H11" i="39"/>
  <c r="AB11" i="39" s="1"/>
  <c r="H36" i="39"/>
  <c r="AB36" i="39" s="1"/>
  <c r="H40" i="39"/>
  <c r="AB40" i="39" s="1"/>
  <c r="H42" i="39"/>
  <c r="AB42" i="39" s="1"/>
  <c r="J10" i="39"/>
  <c r="AC10" i="39" s="1"/>
  <c r="J11" i="39"/>
  <c r="AC11" i="39" s="1"/>
  <c r="J36" i="39"/>
  <c r="AC36" i="39"/>
  <c r="J40" i="39"/>
  <c r="AC40" i="39" s="1"/>
  <c r="J42" i="39"/>
  <c r="AC42" i="39" s="1"/>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9" i="12"/>
  <c r="I9" i="12"/>
  <c r="J9" i="12"/>
  <c r="K9" i="12"/>
  <c r="G111" i="21"/>
  <c r="H111" i="21"/>
  <c r="B112" i="39"/>
  <c r="F37" i="39" s="1"/>
  <c r="B114" i="39"/>
  <c r="F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W41" i="21" s="1"/>
  <c r="AC41" i="21"/>
  <c r="H41" i="21"/>
  <c r="U41" i="21"/>
  <c r="D83" i="39"/>
  <c r="J13" i="39" s="1"/>
  <c r="W1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s="1"/>
  <c r="F126" i="39" s="1"/>
  <c r="G126" i="39" s="1"/>
  <c r="D122" i="39"/>
  <c r="E122" i="39"/>
  <c r="F122" i="39" s="1"/>
  <c r="G122" i="39" s="1"/>
  <c r="H122" i="39" s="1"/>
  <c r="I122" i="39" s="1"/>
  <c r="J122" i="39" s="1"/>
  <c r="K122" i="39" s="1"/>
  <c r="L122" i="39" s="1"/>
  <c r="M122" i="39" s="1"/>
  <c r="B116" i="39"/>
  <c r="H39" i="39" s="1"/>
  <c r="AB39" i="39" s="1"/>
  <c r="D111" i="39"/>
  <c r="E111" i="39" s="1"/>
  <c r="F111" i="39" s="1"/>
  <c r="G111" i="39" s="1"/>
  <c r="H111" i="39" s="1"/>
  <c r="I111" i="39" s="1"/>
  <c r="J111" i="39" s="1"/>
  <c r="K111" i="39" s="1"/>
  <c r="L111" i="39" s="1"/>
  <c r="M111" i="39" s="1"/>
  <c r="D109" i="39"/>
  <c r="E109" i="39" s="1"/>
  <c r="F109" i="39" s="1"/>
  <c r="G109" i="39" s="1"/>
  <c r="D107" i="39"/>
  <c r="E107" i="39" s="1"/>
  <c r="F107" i="39" s="1"/>
  <c r="G107" i="39" s="1"/>
  <c r="H107" i="39" s="1"/>
  <c r="I107" i="39" s="1"/>
  <c r="J107" i="39" s="1"/>
  <c r="K107" i="39" s="1"/>
  <c r="L107" i="39" s="1"/>
  <c r="M107" i="39" s="1"/>
  <c r="D103" i="39"/>
  <c r="E103" i="39" s="1"/>
  <c r="D101" i="39"/>
  <c r="E101" i="39" s="1"/>
  <c r="Q41" i="39"/>
  <c r="Z41" i="39" s="1"/>
  <c r="Q42" i="39"/>
  <c r="Z42" i="39" s="1"/>
  <c r="Q43" i="39"/>
  <c r="Q44" i="39"/>
  <c r="Z44" i="39"/>
  <c r="Q45" i="39"/>
  <c r="Z45" i="39" s="1"/>
  <c r="Q46" i="39"/>
  <c r="Z46" i="39" s="1"/>
  <c r="Q47" i="39"/>
  <c r="Z47" i="39" s="1"/>
  <c r="Q40" i="39"/>
  <c r="Z40" i="39" s="1"/>
  <c r="Q38" i="39"/>
  <c r="Z38" i="39" s="1"/>
  <c r="Q39" i="39"/>
  <c r="Z39" i="39"/>
  <c r="Z43" i="39"/>
  <c r="M118" i="39"/>
  <c r="L118" i="39"/>
  <c r="K118" i="39"/>
  <c r="J118" i="39"/>
  <c r="I118" i="39"/>
  <c r="H118" i="39"/>
  <c r="G118" i="39"/>
  <c r="F118" i="39"/>
  <c r="E118" i="39"/>
  <c r="D118" i="39"/>
  <c r="C118" i="39"/>
  <c r="B133" i="39"/>
  <c r="H47" i="39" s="1"/>
  <c r="B131" i="39"/>
  <c r="J46" i="39" s="1"/>
  <c r="B129" i="39"/>
  <c r="F45" i="39" s="1"/>
  <c r="D128" i="39"/>
  <c r="E128" i="39" s="1"/>
  <c r="F128" i="39" s="1"/>
  <c r="G128" i="39" s="1"/>
  <c r="H128" i="39" s="1"/>
  <c r="I128" i="39" s="1"/>
  <c r="J128" i="39" s="1"/>
  <c r="K128" i="39" s="1"/>
  <c r="L128" i="39" s="1"/>
  <c r="M128" i="39" s="1"/>
  <c r="D124" i="39"/>
  <c r="E124" i="39" s="1"/>
  <c r="F124" i="39" s="1"/>
  <c r="G124" i="39" s="1"/>
  <c r="H124" i="39" s="1"/>
  <c r="I124" i="39" s="1"/>
  <c r="J124" i="39" s="1"/>
  <c r="K124" i="39" s="1"/>
  <c r="L124" i="39" s="1"/>
  <c r="M124" i="39" s="1"/>
  <c r="B106" i="39"/>
  <c r="H33" i="39" s="1"/>
  <c r="D99" i="39"/>
  <c r="E99" i="39" s="1"/>
  <c r="F99" i="39" s="1"/>
  <c r="D97" i="39"/>
  <c r="D95" i="39"/>
  <c r="E95" i="39"/>
  <c r="F95" i="39" s="1"/>
  <c r="G95" i="39" s="1"/>
  <c r="D93" i="39"/>
  <c r="E93" i="39" s="1"/>
  <c r="D91" i="39"/>
  <c r="E91" i="39" s="1"/>
  <c r="B88" i="39"/>
  <c r="J16" i="39" s="1"/>
  <c r="B86" i="39"/>
  <c r="F15" i="39" s="1"/>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s="1"/>
  <c r="Q29" i="39"/>
  <c r="Z29" i="39"/>
  <c r="Q27" i="39"/>
  <c r="Z27" i="39" s="1"/>
  <c r="Q25" i="39"/>
  <c r="Z25" i="39"/>
  <c r="Q23" i="39"/>
  <c r="Z23" i="39" s="1"/>
  <c r="Q21" i="39"/>
  <c r="Z21" i="39"/>
  <c r="Q19" i="39"/>
  <c r="Z19" i="39" s="1"/>
  <c r="Q17" i="39"/>
  <c r="Z17" i="39"/>
  <c r="Q16" i="39"/>
  <c r="Z16" i="39" s="1"/>
  <c r="Q15" i="39"/>
  <c r="Z15" i="39"/>
  <c r="Q14" i="39"/>
  <c r="Z14" i="39" s="1"/>
  <c r="Q13" i="39"/>
  <c r="Z13" i="39"/>
  <c r="Q12" i="39"/>
  <c r="Z12" i="39" s="1"/>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AA9" i="21" s="1"/>
  <c r="G18" i="20"/>
  <c r="B87" i="46"/>
  <c r="C25" i="40"/>
  <c r="G16" i="20"/>
  <c r="B81" i="46"/>
  <c r="G15" i="20"/>
  <c r="B80" i="46"/>
  <c r="C24" i="20"/>
  <c r="B72" i="46"/>
  <c r="C21" i="20"/>
  <c r="B73" i="46"/>
  <c r="C20" i="20"/>
  <c r="B76" i="46"/>
  <c r="C18" i="20"/>
  <c r="B70" i="46" s="1"/>
  <c r="C17" i="20"/>
  <c r="B58" i="46" s="1"/>
  <c r="C16" i="20"/>
  <c r="B47" i="46"/>
  <c r="C15" i="20"/>
  <c r="B69" i="46" s="1"/>
  <c r="E54" i="21"/>
  <c r="F54" i="21" s="1"/>
  <c r="I54" i="21"/>
  <c r="J54" i="21" s="1"/>
  <c r="G54" i="21"/>
  <c r="H54" i="21" s="1"/>
  <c r="D125" i="21"/>
  <c r="E125" i="21"/>
  <c r="F125" i="21" s="1"/>
  <c r="G125" i="21" s="1"/>
  <c r="D123" i="21"/>
  <c r="E123" i="21" s="1"/>
  <c r="D119" i="21"/>
  <c r="D117" i="21"/>
  <c r="E117" i="21" s="1"/>
  <c r="F117" i="21" s="1"/>
  <c r="G117" i="21" s="1"/>
  <c r="D115" i="21"/>
  <c r="E115" i="21" s="1"/>
  <c r="F115" i="21" s="1"/>
  <c r="G115" i="21" s="1"/>
  <c r="H115" i="21" s="1"/>
  <c r="I115" i="21" s="1"/>
  <c r="J115" i="21" s="1"/>
  <c r="K115" i="21" s="1"/>
  <c r="L115" i="21" s="1"/>
  <c r="M115" i="21" s="1"/>
  <c r="D113" i="21"/>
  <c r="E113" i="21"/>
  <c r="F113" i="21" s="1"/>
  <c r="G113" i="21" s="1"/>
  <c r="D110" i="21"/>
  <c r="E110" i="21" s="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c r="G66" i="21"/>
  <c r="H66" i="21"/>
  <c r="I66" i="21"/>
  <c r="D111" i="21"/>
  <c r="E111" i="21"/>
  <c r="F111" i="21"/>
  <c r="C111" i="21"/>
  <c r="D79" i="21"/>
  <c r="H17" i="21" s="1"/>
  <c r="E79" i="21"/>
  <c r="F79" i="21" s="1"/>
  <c r="G79" i="21" s="1"/>
  <c r="D85" i="21"/>
  <c r="E85" i="21" s="1"/>
  <c r="D81" i="21"/>
  <c r="E81" i="21" s="1"/>
  <c r="D77" i="21"/>
  <c r="E77" i="21" s="1"/>
  <c r="B130" i="21"/>
  <c r="H46" i="21" s="1"/>
  <c r="B128" i="21"/>
  <c r="J45" i="21" s="1"/>
  <c r="B126" i="21"/>
  <c r="B98" i="21"/>
  <c r="B96" i="21"/>
  <c r="B94" i="21"/>
  <c r="H29" i="21" s="1"/>
  <c r="B92" i="21"/>
  <c r="B90" i="21"/>
  <c r="B74" i="21"/>
  <c r="B72" i="21"/>
  <c r="B70" i="21"/>
  <c r="J12" i="21" s="1"/>
  <c r="F12" i="21"/>
  <c r="AA12" i="21" s="1"/>
  <c r="F10" i="21"/>
  <c r="AA10" i="21" s="1"/>
  <c r="C7" i="21"/>
  <c r="C58" i="21"/>
  <c r="D58" i="21"/>
  <c r="E58" i="21"/>
  <c r="F58" i="21"/>
  <c r="G58" i="21"/>
  <c r="H58" i="21"/>
  <c r="I58" i="21"/>
  <c r="J58" i="21"/>
  <c r="K58" i="21"/>
  <c r="L58" i="21"/>
  <c r="M58" i="21"/>
  <c r="N58" i="21"/>
  <c r="O58" i="21"/>
  <c r="C19" i="21"/>
  <c r="C17" i="21"/>
  <c r="C23" i="21"/>
  <c r="Q9" i="21"/>
  <c r="Z9" i="21"/>
  <c r="Q10" i="21"/>
  <c r="Z10" i="21"/>
  <c r="Q11" i="21"/>
  <c r="Z11" i="21"/>
  <c r="Q12" i="21"/>
  <c r="Z12" i="21" s="1"/>
  <c r="Q13" i="21"/>
  <c r="Z13" i="21"/>
  <c r="Q14" i="21"/>
  <c r="Z14" i="21"/>
  <c r="Q15" i="21"/>
  <c r="Z15" i="21"/>
  <c r="Q17" i="21"/>
  <c r="Z17" i="21"/>
  <c r="Q19" i="21"/>
  <c r="Z19" i="21"/>
  <c r="Q23" i="21"/>
  <c r="Z23" i="21"/>
  <c r="Q25" i="21"/>
  <c r="Z25" i="21" s="1"/>
  <c r="Q26" i="21"/>
  <c r="Z26" i="21"/>
  <c r="Q27" i="21"/>
  <c r="Z27" i="21" s="1"/>
  <c r="Q28" i="21"/>
  <c r="Z28" i="21"/>
  <c r="Q29" i="21"/>
  <c r="Z29" i="21" s="1"/>
  <c r="Q30" i="21"/>
  <c r="Z30" i="2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3" i="11"/>
  <c r="E12" i="11"/>
  <c r="BB12" i="3"/>
  <c r="F9" i="12"/>
  <c r="D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U35" i="21" s="1"/>
  <c r="J8" i="21"/>
  <c r="AC8" i="21" s="1"/>
  <c r="J9" i="21"/>
  <c r="AC9" i="21" s="1"/>
  <c r="H8" i="21"/>
  <c r="U8" i="21" s="1"/>
  <c r="H9" i="21"/>
  <c r="AB9" i="21" s="1"/>
  <c r="H10" i="21"/>
  <c r="U10" i="21" s="1"/>
  <c r="H39" i="21"/>
  <c r="U39" i="21" s="1"/>
  <c r="J34" i="21"/>
  <c r="W34" i="21" s="1"/>
  <c r="H36" i="21"/>
  <c r="U36" i="21" s="1"/>
  <c r="F35" i="21"/>
  <c r="AA35" i="21" s="1"/>
  <c r="J33" i="21"/>
  <c r="W33" i="21" s="1"/>
  <c r="H33" i="21"/>
  <c r="U33" i="21" s="1"/>
  <c r="F33" i="21"/>
  <c r="S33" i="21" s="1"/>
  <c r="J10" i="21"/>
  <c r="W10" i="21" s="1"/>
  <c r="H26" i="21"/>
  <c r="AB26" i="21" s="1"/>
  <c r="H12" i="21"/>
  <c r="U12" i="21" s="1"/>
  <c r="J26" i="21"/>
  <c r="W26" i="21" s="1"/>
  <c r="F26" i="21"/>
  <c r="S26" i="21" s="1"/>
  <c r="AA26" i="21"/>
  <c r="AB41" i="21"/>
  <c r="S41" i="21"/>
  <c r="AA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H39" i="37"/>
  <c r="AB39" i="37"/>
  <c r="AB27" i="35"/>
  <c r="S10" i="40"/>
  <c r="W10" i="40"/>
  <c r="S11" i="40"/>
  <c r="U11" i="40"/>
  <c r="S36" i="40"/>
  <c r="U36" i="40"/>
  <c r="S36" i="39"/>
  <c r="F11" i="21"/>
  <c r="S11" i="21" s="1"/>
  <c r="C29" i="39"/>
  <c r="C23" i="39"/>
  <c r="U36" i="39"/>
  <c r="S42" i="39"/>
  <c r="H32" i="33"/>
  <c r="AB32" i="33"/>
  <c r="H11" i="21"/>
  <c r="U11" i="21" s="1"/>
  <c r="J11" i="21"/>
  <c r="W11" i="21" s="1"/>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J14" i="21"/>
  <c r="F14" i="21"/>
  <c r="AA14" i="21"/>
  <c r="H14" i="21"/>
  <c r="U14" i="21"/>
  <c r="H28" i="21"/>
  <c r="AB28" i="21"/>
  <c r="F28" i="21"/>
  <c r="S28" i="21" s="1"/>
  <c r="J28" i="21"/>
  <c r="AC28" i="21" s="1"/>
  <c r="H30" i="21"/>
  <c r="AB30" i="21" s="1"/>
  <c r="U30" i="21"/>
  <c r="F30" i="21"/>
  <c r="S30" i="21" s="1"/>
  <c r="J30" i="21"/>
  <c r="J44" i="21"/>
  <c r="AC44" i="21" s="1"/>
  <c r="H44" i="21"/>
  <c r="U44" i="21"/>
  <c r="F44" i="21"/>
  <c r="AA44" i="21" s="1"/>
  <c r="J46" i="21"/>
  <c r="W46" i="21" s="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31" i="21"/>
  <c r="AC31" i="21"/>
  <c r="H31" i="21"/>
  <c r="U31" i="21"/>
  <c r="F31" i="21"/>
  <c r="S31" i="21"/>
  <c r="F45" i="21"/>
  <c r="AA45" i="21" s="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AC30" i="21"/>
  <c r="W30" i="21"/>
  <c r="AA28" i="21"/>
  <c r="AB14" i="21"/>
  <c r="W14" i="21"/>
  <c r="AC14" i="21"/>
  <c r="W31" i="34"/>
  <c r="S46" i="33"/>
  <c r="U36" i="37"/>
  <c r="AC13" i="36"/>
  <c r="AB45" i="33"/>
  <c r="AB31" i="33"/>
  <c r="AA27" i="33"/>
  <c r="AB27" i="33"/>
  <c r="S45" i="21"/>
  <c r="AC28" i="33"/>
  <c r="U28" i="21"/>
  <c r="AB44" i="21"/>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s="1"/>
  <c r="J25" i="21"/>
  <c r="AC25" i="21" s="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6" i="48"/>
  <c r="H9" i="48"/>
  <c r="H8" i="48"/>
  <c r="AB16" i="35"/>
  <c r="AB15" i="37"/>
  <c r="AA13" i="40"/>
  <c r="E78" i="40"/>
  <c r="F78" i="40"/>
  <c r="G78" i="40"/>
  <c r="H78" i="40"/>
  <c r="I78" i="40"/>
  <c r="J78" i="40"/>
  <c r="K78" i="40"/>
  <c r="L78" i="40"/>
  <c r="M78" i="40"/>
  <c r="R16" i="4"/>
  <c r="K17" i="4" s="1"/>
  <c r="A22" i="51" s="1"/>
  <c r="B16" i="63" s="1"/>
  <c r="P16" i="4"/>
  <c r="D3" i="35"/>
  <c r="G4" i="4"/>
  <c r="S37" i="34"/>
  <c r="J16" i="35"/>
  <c r="W16" i="35"/>
  <c r="AC26" i="36"/>
  <c r="W25" i="35"/>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H32" i="21"/>
  <c r="U32" i="21" s="1"/>
  <c r="U26" i="21"/>
  <c r="J32" i="21"/>
  <c r="AC32" i="21" s="1"/>
  <c r="F17" i="21"/>
  <c r="S17" i="21" s="1"/>
  <c r="J17" i="21"/>
  <c r="W17" i="21" s="1"/>
  <c r="F40" i="21"/>
  <c r="S40" i="21" s="1"/>
  <c r="H40" i="21"/>
  <c r="U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99" i="37"/>
  <c r="AC27" i="37"/>
  <c r="U25" i="35"/>
  <c r="S45" i="34"/>
  <c r="U31" i="34"/>
  <c r="AC40" i="37"/>
  <c r="W40" i="37"/>
  <c r="W27" i="33"/>
  <c r="S28" i="33"/>
  <c r="S14" i="21"/>
  <c r="AA44" i="34"/>
  <c r="AB29" i="35"/>
  <c r="U29" i="35"/>
  <c r="AC19" i="33"/>
  <c r="W19" i="33"/>
  <c r="U43" i="34"/>
  <c r="AB43" i="34"/>
  <c r="AC34" i="37"/>
  <c r="S35" i="37"/>
  <c r="AA35" i="37"/>
  <c r="AB10" i="35"/>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AA21" i="39" s="1"/>
  <c r="H21" i="39"/>
  <c r="J21" i="39"/>
  <c r="W21" i="39" s="1"/>
  <c r="F33" i="39"/>
  <c r="AA33" i="39" s="1"/>
  <c r="J33" i="39"/>
  <c r="AC33" i="39" s="1"/>
  <c r="F44" i="39"/>
  <c r="AA44" i="39" s="1"/>
  <c r="H44" i="39"/>
  <c r="U44" i="39" s="1"/>
  <c r="J44" i="39"/>
  <c r="W44" i="39" s="1"/>
  <c r="F46" i="39"/>
  <c r="S46" i="39" s="1"/>
  <c r="H46" i="39"/>
  <c r="AB46" i="39" s="1"/>
  <c r="F39" i="39"/>
  <c r="AA39" i="39" s="1"/>
  <c r="J29" i="35"/>
  <c r="AC29" i="35"/>
  <c r="F29" i="35"/>
  <c r="S29" i="35"/>
  <c r="W30" i="36"/>
  <c r="AC30" i="36"/>
  <c r="H37" i="39"/>
  <c r="U37" i="39" s="1"/>
  <c r="F36" i="44"/>
  <c r="F114" i="34"/>
  <c r="G114" i="34"/>
  <c r="H114" i="34"/>
  <c r="I114" i="34"/>
  <c r="J114" i="34"/>
  <c r="K114" i="34"/>
  <c r="L114" i="34"/>
  <c r="M114" i="34"/>
  <c r="H38" i="34"/>
  <c r="U38" i="34"/>
  <c r="H30" i="40"/>
  <c r="AB30" i="40"/>
  <c r="G100" i="40"/>
  <c r="J30" i="40"/>
  <c r="AC30" i="40"/>
  <c r="F38" i="40"/>
  <c r="AA38" i="40"/>
  <c r="AA36" i="34"/>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H16" i="39"/>
  <c r="U16" i="39" s="1"/>
  <c r="E97" i="39"/>
  <c r="F97" i="39" s="1"/>
  <c r="G97" i="39" s="1"/>
  <c r="F15" i="40"/>
  <c r="AA15" i="40"/>
  <c r="J15" i="40"/>
  <c r="H15" i="40"/>
  <c r="AB15" i="40"/>
  <c r="E92" i="40"/>
  <c r="F92" i="40"/>
  <c r="H23" i="40"/>
  <c r="U23" i="40"/>
  <c r="H41" i="40"/>
  <c r="AB41" i="40"/>
  <c r="F41" i="40"/>
  <c r="AA41" i="40"/>
  <c r="J41" i="40"/>
  <c r="H36" i="33"/>
  <c r="AB36" i="33"/>
  <c r="H37" i="34"/>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U37" i="34"/>
  <c r="AB37" i="34"/>
  <c r="AC41" i="40"/>
  <c r="W41" i="40"/>
  <c r="U41" i="40"/>
  <c r="J23" i="40"/>
  <c r="AC23" i="40"/>
  <c r="G92" i="40"/>
  <c r="F23" i="40"/>
  <c r="S23" i="40"/>
  <c r="AC15" i="40"/>
  <c r="W15" i="40"/>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AB21" i="39"/>
  <c r="U21" i="39"/>
  <c r="AB33" i="36"/>
  <c r="AA11" i="36"/>
  <c r="AA14" i="35"/>
  <c r="S14" i="35"/>
  <c r="G99" i="37"/>
  <c r="F33" i="37"/>
  <c r="U46" i="34"/>
  <c r="AC30" i="34"/>
  <c r="AA14" i="34"/>
  <c r="W12" i="34"/>
  <c r="U29" i="33"/>
  <c r="AC13" i="33"/>
  <c r="U17" i="34"/>
  <c r="AA11" i="34"/>
  <c r="W32" i="33"/>
  <c r="H15" i="33"/>
  <c r="U15" i="33"/>
  <c r="AA11" i="33"/>
  <c r="U16" i="40"/>
  <c r="W34" i="40"/>
  <c r="AB34" i="40"/>
  <c r="AB42" i="40"/>
  <c r="U42" i="40"/>
  <c r="AC16" i="40"/>
  <c r="W32" i="40"/>
  <c r="H25" i="40"/>
  <c r="AB25" i="40"/>
  <c r="F94" i="40"/>
  <c r="G94" i="40"/>
  <c r="J37" i="34"/>
  <c r="AC37" i="34"/>
  <c r="J36" i="33"/>
  <c r="W36" i="33"/>
  <c r="S41" i="40"/>
  <c r="AB23" i="40"/>
  <c r="H23" i="39"/>
  <c r="AB23" i="39" s="1"/>
  <c r="S15" i="34"/>
  <c r="AA15" i="34"/>
  <c r="AA41" i="33"/>
  <c r="AA34" i="33"/>
  <c r="F106" i="33"/>
  <c r="G106" i="33"/>
  <c r="H106" i="33"/>
  <c r="I106" i="33"/>
  <c r="J106" i="33"/>
  <c r="K106" i="33"/>
  <c r="L106" i="33"/>
  <c r="M106" i="33"/>
  <c r="J34" i="33"/>
  <c r="AC34" i="33"/>
  <c r="U30" i="40"/>
  <c r="W29" i="35"/>
  <c r="S39" i="39"/>
  <c r="AB44" i="39"/>
  <c r="W33"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F6" i="1"/>
  <c r="AP6" i="1" s="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AA17" i="21"/>
  <c r="AB11" i="21"/>
  <c r="W13" i="21"/>
  <c r="AA11" i="21"/>
  <c r="AB21" i="21"/>
  <c r="U21"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22" i="31"/>
  <c r="M20" i="15"/>
  <c r="D96" i="9"/>
  <c r="M18" i="15"/>
  <c r="A18" i="64"/>
  <c r="B74" i="63"/>
  <c r="C53" i="10"/>
  <c r="A25" i="64"/>
  <c r="A18" i="51"/>
  <c r="B14" i="63"/>
  <c r="F3" i="35"/>
  <c r="K1" i="43"/>
  <c r="K1" i="12"/>
  <c r="G1" i="44"/>
  <c r="E413"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4" i="9"/>
  <c r="C25" i="9"/>
  <c r="AP7"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E70" i="39" s="1"/>
  <c r="O19" i="46"/>
  <c r="H77" i="46"/>
  <c r="H73" i="46"/>
  <c r="H69" i="46"/>
  <c r="H74" i="46"/>
  <c r="H86" i="46"/>
  <c r="H82" i="46"/>
  <c r="H63" i="46"/>
  <c r="H59" i="46"/>
  <c r="H64" i="46"/>
  <c r="H60" i="46"/>
  <c r="H10" i="48"/>
  <c r="H87" i="46"/>
  <c r="H85" i="46"/>
  <c r="H83" i="4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W25" i="21"/>
  <c r="U27" i="21"/>
  <c r="W31" i="21"/>
  <c r="S27" i="21"/>
  <c r="AC27" i="21"/>
  <c r="G96" i="40"/>
  <c r="J27" i="40"/>
  <c r="W37" i="40"/>
  <c r="S17" i="40"/>
  <c r="W30" i="40"/>
  <c r="S34" i="40"/>
  <c r="U17" i="40"/>
  <c r="U38" i="40"/>
  <c r="S40" i="40"/>
  <c r="S42" i="40"/>
  <c r="J31" i="39"/>
  <c r="W31" i="39" s="1"/>
  <c r="W42" i="39"/>
  <c r="W36" i="39"/>
  <c r="W11" i="39"/>
  <c r="S32" i="40"/>
  <c r="C27" i="39"/>
  <c r="C17" i="40"/>
  <c r="C19" i="40"/>
  <c r="C19" i="39"/>
  <c r="C21" i="39"/>
  <c r="C23" i="40"/>
  <c r="B48" i="46"/>
  <c r="B51" i="46"/>
  <c r="B55" i="46"/>
  <c r="B62" i="46"/>
  <c r="B66" i="46"/>
  <c r="B53" i="46"/>
  <c r="B64" i="46"/>
  <c r="D24" i="15"/>
  <c r="E86" i="3"/>
  <c r="AE11" i="46"/>
  <c r="AE13" i="46"/>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AI11" i="46"/>
  <c r="AI13" i="46"/>
  <c r="AA11" i="46"/>
  <c r="AA13" i="46"/>
  <c r="E297" i="3"/>
  <c r="AO6" i="3"/>
  <c r="E561" i="3"/>
  <c r="E476" i="3"/>
  <c r="S3" i="46"/>
  <c r="S7" i="46"/>
  <c r="AH11" i="46"/>
  <c r="AH13" i="46"/>
  <c r="AD11" i="46"/>
  <c r="AD13" i="46"/>
  <c r="Z11" i="46"/>
  <c r="Z13" i="46"/>
  <c r="S4" i="46"/>
  <c r="Y11" i="46"/>
  <c r="Y13" i="46"/>
  <c r="AG11" i="46"/>
  <c r="AG13" i="46"/>
  <c r="AC11" i="46"/>
  <c r="AC13" i="46"/>
  <c r="N109" i="46"/>
  <c r="K109" i="46"/>
  <c r="Z7" i="46"/>
  <c r="N104" i="4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29" i="6"/>
  <c r="G30" i="6"/>
  <c r="G31" i="6"/>
  <c r="E14" i="6"/>
  <c r="E10" i="6"/>
  <c r="E15" i="6"/>
  <c r="H16" i="1"/>
  <c r="E13" i="6"/>
  <c r="E11" i="6"/>
  <c r="H70" i="46"/>
  <c r="H72" i="46"/>
  <c r="A9" i="64"/>
  <c r="A9" i="51"/>
  <c r="B9" i="63"/>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W7" i="33"/>
  <c r="AC7" i="33"/>
  <c r="V48" i="33"/>
  <c r="I48" i="33"/>
  <c r="I52" i="33"/>
  <c r="J52" i="33"/>
  <c r="U7" i="33"/>
  <c r="AB7" i="33"/>
  <c r="T48" i="33"/>
  <c r="G48" i="33"/>
  <c r="D67" i="40"/>
  <c r="E65" i="40"/>
  <c r="S7" i="33"/>
  <c r="AA7" i="33"/>
  <c r="R48" i="33"/>
  <c r="R49" i="33"/>
  <c r="G39" i="46"/>
  <c r="I39" i="46" s="1"/>
  <c r="F18" i="11"/>
  <c r="C18" i="11"/>
  <c r="E4" i="4"/>
  <c r="G66" i="36"/>
  <c r="J18" i="36"/>
  <c r="AE6" i="1"/>
  <c r="F33" i="44"/>
  <c r="F31" i="15"/>
  <c r="F58" i="15"/>
  <c r="M17" i="15"/>
  <c r="M19" i="44"/>
  <c r="H7" i="37"/>
  <c r="J7" i="37"/>
  <c r="F7" i="37"/>
  <c r="AA7" i="37"/>
  <c r="R42" i="37"/>
  <c r="E42" i="37"/>
  <c r="H6" i="3"/>
  <c r="L109" i="46"/>
  <c r="G109" i="46"/>
  <c r="I109" i="46"/>
  <c r="M109" i="46"/>
  <c r="H109" i="46"/>
  <c r="U7" i="35"/>
  <c r="AC7" i="36"/>
  <c r="V36" i="36"/>
  <c r="I36" i="36"/>
  <c r="I40" i="36"/>
  <c r="J40" i="36"/>
  <c r="W18" i="36"/>
  <c r="AC18" i="36"/>
  <c r="U7" i="36"/>
  <c r="G41" i="36"/>
  <c r="H41" i="36"/>
  <c r="W7" i="35"/>
  <c r="S7" i="37"/>
  <c r="U7" i="34"/>
  <c r="E48" i="33"/>
  <c r="E52" i="33"/>
  <c r="F52" i="33"/>
  <c r="AG6" i="1"/>
  <c r="AC6" i="3"/>
  <c r="D12" i="11"/>
  <c r="C12" i="11"/>
  <c r="E59" i="40"/>
  <c r="E29" i="6"/>
  <c r="E58" i="40"/>
  <c r="E63" i="39"/>
  <c r="E16" i="6"/>
  <c r="F24" i="43"/>
  <c r="C26" i="43" s="1"/>
  <c r="D24" i="43" s="1"/>
  <c r="E60" i="40"/>
  <c r="E65" i="39"/>
  <c r="K26" i="6"/>
  <c r="M26" i="6"/>
  <c r="I26" i="6"/>
  <c r="S26" i="6"/>
  <c r="K24" i="6"/>
  <c r="M24" i="6"/>
  <c r="I24" i="6"/>
  <c r="S24" i="6"/>
  <c r="K22" i="6"/>
  <c r="K23" i="6"/>
  <c r="M23" i="6"/>
  <c r="I23" i="6"/>
  <c r="S23" i="6"/>
  <c r="K25" i="6"/>
  <c r="M25" i="6"/>
  <c r="I25" i="6"/>
  <c r="S25" i="6"/>
  <c r="E30" i="6"/>
  <c r="E31" i="6"/>
  <c r="L19" i="6"/>
  <c r="K15" i="1"/>
  <c r="E62" i="40"/>
  <c r="E67" i="39"/>
  <c r="E66" i="39"/>
  <c r="E61" i="40"/>
  <c r="B21" i="55"/>
  <c r="B72"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S7" i="21" s="1"/>
  <c r="J7" i="21"/>
  <c r="AC7" i="21" s="1"/>
  <c r="H7" i="21"/>
  <c r="AB7" i="21" s="1"/>
  <c r="G43" i="35"/>
  <c r="H43" i="35"/>
  <c r="I42" i="35"/>
  <c r="J42" i="35"/>
  <c r="G52" i="33"/>
  <c r="H52" i="33"/>
  <c r="G53" i="33"/>
  <c r="H53" i="33"/>
  <c r="E67" i="40"/>
  <c r="F65" i="40"/>
  <c r="I53" i="34"/>
  <c r="J53" i="34"/>
  <c r="E46" i="37"/>
  <c r="F46" i="37"/>
  <c r="C48" i="33"/>
  <c r="C49" i="33"/>
  <c r="B3" i="33"/>
  <c r="B2" i="33"/>
  <c r="U7" i="37"/>
  <c r="AB7" i="37"/>
  <c r="T42" i="37"/>
  <c r="G42" i="37"/>
  <c r="E6" i="3"/>
  <c r="J22" i="46"/>
  <c r="E41" i="36"/>
  <c r="F41" i="36"/>
  <c r="I47" i="37"/>
  <c r="J47" i="37"/>
  <c r="G47" i="37"/>
  <c r="H47" i="37"/>
  <c r="E53" i="33"/>
  <c r="F53" i="33"/>
  <c r="I53" i="33"/>
  <c r="J53" i="33"/>
  <c r="L27" i="6"/>
  <c r="E38" i="35"/>
  <c r="I43" i="35"/>
  <c r="J43" i="35"/>
  <c r="I41" i="36"/>
  <c r="J41" i="36"/>
  <c r="R37" i="36"/>
  <c r="K16" i="1"/>
  <c r="S20" i="6"/>
  <c r="K27" i="6"/>
  <c r="M19" i="6"/>
  <c r="M21" i="6"/>
  <c r="I21" i="6"/>
  <c r="S21" i="6"/>
  <c r="M22" i="6"/>
  <c r="I22" i="6"/>
  <c r="S22" i="6"/>
  <c r="B1" i="66"/>
  <c r="R43" i="37"/>
  <c r="R50" i="34"/>
  <c r="C50" i="34"/>
  <c r="B3" i="34"/>
  <c r="B2" i="34"/>
  <c r="E49" i="34"/>
  <c r="C39" i="35"/>
  <c r="B3" i="35"/>
  <c r="B2" i="35" s="1"/>
  <c r="F67" i="40"/>
  <c r="G65" i="40"/>
  <c r="G46" i="37"/>
  <c r="H46" i="37"/>
  <c r="E47" i="37"/>
  <c r="F47" i="37"/>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c r="B45" i="63"/>
  <c r="D10" i="11"/>
  <c r="C43" i="37"/>
  <c r="B3" i="37"/>
  <c r="B2" i="37"/>
  <c r="C42" i="37"/>
  <c r="C49" i="34"/>
  <c r="E54" i="34"/>
  <c r="F54" i="34"/>
  <c r="I54" i="34"/>
  <c r="J54" i="34"/>
  <c r="E53" i="34"/>
  <c r="F53" i="34"/>
  <c r="G67" i="40"/>
  <c r="H65" i="40"/>
  <c r="B2" i="66"/>
  <c r="E68" i="39"/>
  <c r="E63" i="40"/>
  <c r="T10" i="1"/>
  <c r="T9" i="1"/>
  <c r="T6" i="1"/>
  <c r="T11" i="1"/>
  <c r="T8" i="1"/>
  <c r="T12" i="1"/>
  <c r="D13" i="11"/>
  <c r="C13" i="11"/>
  <c r="I27" i="6"/>
  <c r="S19" i="6"/>
  <c r="S27" i="6"/>
  <c r="H19" i="6"/>
  <c r="C22" i="4"/>
  <c r="D19" i="6"/>
  <c r="D24" i="6"/>
  <c r="D21" i="6"/>
  <c r="D26" i="6"/>
  <c r="D25" i="6"/>
  <c r="D22" i="6"/>
  <c r="D10" i="6"/>
  <c r="D11" i="6"/>
  <c r="D13" i="6"/>
  <c r="D12" i="6"/>
  <c r="H21" i="6"/>
  <c r="H24" i="6"/>
  <c r="H25" i="6"/>
  <c r="D6" i="6"/>
  <c r="D9" i="6"/>
  <c r="D23" i="6"/>
  <c r="D5" i="6"/>
  <c r="D14" i="6"/>
  <c r="D29" i="6"/>
  <c r="D28" i="6"/>
  <c r="H22" i="6"/>
  <c r="R22" i="6"/>
  <c r="R9" i="1"/>
  <c r="D15" i="6"/>
  <c r="D8" i="6"/>
  <c r="H26" i="6"/>
  <c r="H23" i="6"/>
  <c r="I65" i="40"/>
  <c r="H67" i="40"/>
  <c r="H27" i="6"/>
  <c r="R24" i="6"/>
  <c r="D16" i="6"/>
  <c r="D30" i="6"/>
  <c r="R23" i="6"/>
  <c r="R25" i="6"/>
  <c r="R21" i="6"/>
  <c r="R8" i="1"/>
  <c r="R19" i="6"/>
  <c r="R6" i="1"/>
  <c r="D27" i="6"/>
  <c r="A6" i="51"/>
  <c r="B7" i="63" s="1"/>
  <c r="A20" i="64"/>
  <c r="A6" i="64"/>
  <c r="A20" i="51"/>
  <c r="B15" i="63" s="1"/>
  <c r="N5" i="54"/>
  <c r="B43" i="63"/>
  <c r="R26" i="6"/>
  <c r="J65" i="40"/>
  <c r="I67" i="40"/>
  <c r="R16" i="1"/>
  <c r="D31" i="6"/>
  <c r="I6" i="6"/>
  <c r="R27" i="6"/>
  <c r="K65" i="40"/>
  <c r="J67" i="40"/>
  <c r="I5" i="6"/>
  <c r="K67" i="40"/>
  <c r="L65" i="40"/>
  <c r="M65" i="40"/>
  <c r="L67" i="40"/>
  <c r="N65" i="40"/>
  <c r="N67" i="40"/>
  <c r="M67" i="40"/>
  <c r="J9" i="40"/>
  <c r="F9" i="40"/>
  <c r="H9" i="40"/>
  <c r="AA9" i="40"/>
  <c r="R44" i="40"/>
  <c r="R45" i="40" s="1"/>
  <c r="S9" i="40"/>
  <c r="AB9" i="40"/>
  <c r="T44" i="40"/>
  <c r="G44" i="40" s="1"/>
  <c r="G48" i="40" s="1"/>
  <c r="H48" i="40" s="1"/>
  <c r="U9" i="40"/>
  <c r="AC9" i="40"/>
  <c r="V44" i="40"/>
  <c r="I44" i="40" s="1"/>
  <c r="W9" i="40"/>
  <c r="E44" i="40"/>
  <c r="E48" i="40" s="1"/>
  <c r="F48" i="40" s="1"/>
  <c r="C45" i="9"/>
  <c r="E45" i="9" s="1"/>
  <c r="D45" i="9"/>
  <c r="K31" i="9"/>
  <c r="K32" i="9" s="1"/>
  <c r="N76" i="9"/>
  <c r="C46" i="9"/>
  <c r="K33" i="9" s="1"/>
  <c r="K34" i="9" s="1"/>
  <c r="F46" i="9"/>
  <c r="O41" i="9"/>
  <c r="I14" i="66"/>
  <c r="B8" i="66" s="1"/>
  <c r="E46" i="9"/>
  <c r="D46" i="9"/>
  <c r="R8" i="54"/>
  <c r="B54" i="63" s="1"/>
  <c r="F43" i="69"/>
  <c r="F37" i="69"/>
  <c r="F6" i="69"/>
  <c r="F35" i="69"/>
  <c r="M8" i="69"/>
  <c r="M23" i="69"/>
  <c r="F8" i="69"/>
  <c r="M26" i="69"/>
  <c r="F13" i="69"/>
  <c r="F36" i="69"/>
  <c r="F26" i="69"/>
  <c r="F16" i="69"/>
  <c r="F7" i="69"/>
  <c r="J15" i="69"/>
  <c r="M28" i="69"/>
  <c r="F35" i="15"/>
  <c r="F40" i="15"/>
  <c r="F12" i="67"/>
  <c r="E12" i="67"/>
  <c r="B10" i="67"/>
  <c r="N6" i="65"/>
  <c r="M25" i="44"/>
  <c r="M8" i="44"/>
  <c r="L47" i="15"/>
  <c r="F43" i="44"/>
  <c r="N4" i="65"/>
  <c r="I4" i="65"/>
  <c r="F37" i="15"/>
  <c r="F9" i="67"/>
  <c r="E9" i="67"/>
  <c r="B13" i="67"/>
  <c r="J6" i="65"/>
  <c r="F11" i="44"/>
  <c r="F39" i="44"/>
  <c r="F10" i="44"/>
  <c r="M23" i="15"/>
  <c r="M24" i="44"/>
  <c r="F6" i="15"/>
  <c r="M6" i="15"/>
  <c r="F14" i="67"/>
  <c r="E14" i="67"/>
  <c r="B12" i="67"/>
  <c r="J7" i="65"/>
  <c r="J3" i="65"/>
  <c r="M24" i="15"/>
  <c r="J36" i="15"/>
  <c r="F40" i="44"/>
  <c r="M30" i="44"/>
  <c r="F46" i="44"/>
  <c r="F11" i="67"/>
  <c r="M26" i="15"/>
  <c r="F13" i="15"/>
  <c r="I7" i="65"/>
  <c r="M29" i="15"/>
  <c r="C14" i="15"/>
  <c r="F38" i="15"/>
  <c r="E11" i="67"/>
  <c r="M11" i="44"/>
  <c r="J15" i="15"/>
  <c r="F42" i="15"/>
  <c r="J17" i="44"/>
  <c r="C19" i="44"/>
  <c r="F37" i="44"/>
  <c r="M6" i="69"/>
  <c r="M22" i="69"/>
  <c r="M21" i="69"/>
  <c r="L47" i="69"/>
  <c r="M9" i="69"/>
  <c r="J36" i="69"/>
  <c r="F40" i="69"/>
  <c r="F9" i="69"/>
  <c r="L48" i="69"/>
  <c r="C14" i="69"/>
  <c r="F38" i="69"/>
  <c r="M29" i="69"/>
  <c r="F42" i="69"/>
  <c r="M27" i="69"/>
  <c r="F7" i="15"/>
  <c r="F43" i="15"/>
  <c r="F8" i="67"/>
  <c r="E8" i="67"/>
  <c r="B8" i="67"/>
  <c r="N5" i="65"/>
  <c r="F18" i="44"/>
  <c r="L48" i="44"/>
  <c r="M28" i="44"/>
  <c r="L49" i="44"/>
  <c r="F9" i="15"/>
  <c r="I5" i="65"/>
  <c r="F36" i="15"/>
  <c r="M9" i="15"/>
  <c r="F13" i="67"/>
  <c r="E13" i="67"/>
  <c r="I3" i="65"/>
  <c r="J4" i="65"/>
  <c r="M28" i="15"/>
  <c r="M10" i="44"/>
  <c r="M22" i="15"/>
  <c r="F45" i="44"/>
  <c r="M23" i="44"/>
  <c r="F16" i="15"/>
  <c r="F10" i="67"/>
  <c r="E10" i="67"/>
  <c r="B14" i="67"/>
  <c r="N7" i="65"/>
  <c r="N3" i="65"/>
  <c r="M27" i="15"/>
  <c r="F15" i="44"/>
  <c r="M26" i="44"/>
  <c r="M31" i="44"/>
  <c r="F38" i="44"/>
  <c r="M8" i="15"/>
  <c r="B9" i="67"/>
  <c r="F9" i="44"/>
  <c r="B11" i="67"/>
  <c r="M29" i="44"/>
  <c r="F8" i="15"/>
  <c r="F26" i="15"/>
  <c r="L48" i="15"/>
  <c r="J5" i="65"/>
  <c r="F28" i="44"/>
  <c r="M21" i="15"/>
  <c r="I6" i="65"/>
  <c r="F8" i="44"/>
  <c r="C16" i="44"/>
  <c r="H14" i="66" l="1"/>
  <c r="B7" i="66" s="1"/>
  <c r="T16" i="1"/>
  <c r="N16" i="1"/>
  <c r="C29" i="43" s="1"/>
  <c r="C15" i="43"/>
  <c r="M16" i="1"/>
  <c r="P8" i="1"/>
  <c r="P16" i="1" s="1"/>
  <c r="C13" i="12" s="1"/>
  <c r="C17" i="12" s="1"/>
  <c r="O16" i="1"/>
  <c r="C15" i="12"/>
  <c r="C34" i="12"/>
  <c r="D33" i="12" s="1"/>
  <c r="C7" i="66"/>
  <c r="D7" i="66"/>
  <c r="C8" i="66"/>
  <c r="D8" i="66"/>
  <c r="O40" i="9"/>
  <c r="R7" i="54" s="1"/>
  <c r="B52" i="63" s="1"/>
  <c r="F45" i="9"/>
  <c r="C44" i="40"/>
  <c r="C45" i="40"/>
  <c r="G8" i="1"/>
  <c r="F49" i="69"/>
  <c r="M7" i="69"/>
  <c r="F65" i="69"/>
  <c r="C27" i="69"/>
  <c r="C18" i="69"/>
  <c r="C15" i="69"/>
  <c r="F63" i="69"/>
  <c r="L56" i="69"/>
  <c r="J53" i="69"/>
  <c r="L57" i="69"/>
  <c r="J57" i="69"/>
  <c r="J55" i="69" s="1"/>
  <c r="J58" i="69" s="1"/>
  <c r="Q51" i="69" s="1"/>
  <c r="I54" i="69"/>
  <c r="L60" i="69"/>
  <c r="J60" i="69"/>
  <c r="Q49" i="69" s="1"/>
  <c r="J59" i="69"/>
  <c r="F67" i="69"/>
  <c r="F50" i="69"/>
  <c r="Q72" i="69"/>
  <c r="L58" i="69"/>
  <c r="L59" i="69"/>
  <c r="C34" i="69"/>
  <c r="F62" i="69"/>
  <c r="C61" i="69" s="1"/>
  <c r="J20" i="69"/>
  <c r="C6" i="69"/>
  <c r="F64" i="69"/>
  <c r="J6" i="69"/>
  <c r="F70" i="69"/>
  <c r="G9" i="1"/>
  <c r="E49" i="40"/>
  <c r="F49" i="40" s="1"/>
  <c r="B62" i="40"/>
  <c r="F62" i="40" s="1"/>
  <c r="B55" i="40"/>
  <c r="F55" i="40" s="1"/>
  <c r="AP16" i="1"/>
  <c r="F22" i="11" s="1"/>
  <c r="G49" i="40"/>
  <c r="H49" i="40" s="1"/>
  <c r="I49" i="40"/>
  <c r="J49" i="40" s="1"/>
  <c r="I48" i="40"/>
  <c r="J48" i="40" s="1"/>
  <c r="B58" i="40"/>
  <c r="F58" i="40" s="1"/>
  <c r="B56" i="40"/>
  <c r="F56" i="40" s="1"/>
  <c r="B53" i="40"/>
  <c r="F53" i="40" s="1"/>
  <c r="B54" i="40"/>
  <c r="F54" i="40" s="1"/>
  <c r="G6" i="1"/>
  <c r="C29" i="46"/>
  <c r="E29" i="46" s="1"/>
  <c r="C18" i="9"/>
  <c r="M43" i="9" s="1"/>
  <c r="D18" i="9"/>
  <c r="M44" i="9" s="1"/>
  <c r="F81" i="21"/>
  <c r="G81" i="21" s="1"/>
  <c r="H19" i="21"/>
  <c r="AB19" i="21" s="1"/>
  <c r="J19" i="21"/>
  <c r="W19" i="21" s="1"/>
  <c r="J15" i="21"/>
  <c r="AC15" i="21" s="1"/>
  <c r="F15" i="21"/>
  <c r="S15" i="21" s="1"/>
  <c r="H15" i="21"/>
  <c r="U15" i="21" s="1"/>
  <c r="W43" i="21"/>
  <c r="W21" i="21"/>
  <c r="W8" i="21"/>
  <c r="S32" i="21"/>
  <c r="AB33" i="21"/>
  <c r="AA43" i="21"/>
  <c r="U43" i="21"/>
  <c r="F123" i="21"/>
  <c r="G123" i="21" s="1"/>
  <c r="H123" i="21" s="1"/>
  <c r="I123" i="21" s="1"/>
  <c r="J123" i="21" s="1"/>
  <c r="K123" i="21" s="1"/>
  <c r="L123" i="21" s="1"/>
  <c r="M123" i="21" s="1"/>
  <c r="H42" i="21"/>
  <c r="AB42" i="21" s="1"/>
  <c r="J42" i="21"/>
  <c r="AC42" i="21" s="1"/>
  <c r="F42" i="21"/>
  <c r="AA42" i="21" s="1"/>
  <c r="H37" i="21"/>
  <c r="H113" i="21"/>
  <c r="F37" i="21"/>
  <c r="S37" i="21" s="1"/>
  <c r="J37" i="21"/>
  <c r="AB34" i="21"/>
  <c r="F23" i="21"/>
  <c r="AA23" i="21" s="1"/>
  <c r="F85" i="21"/>
  <c r="G85" i="21" s="1"/>
  <c r="H23" i="21"/>
  <c r="J23" i="21"/>
  <c r="U19" i="21"/>
  <c r="F19" i="21"/>
  <c r="AA19" i="21" s="1"/>
  <c r="U17" i="21"/>
  <c r="AB17" i="21"/>
  <c r="AC17" i="21"/>
  <c r="W15" i="21"/>
  <c r="F77" i="21"/>
  <c r="G77" i="21" s="1"/>
  <c r="AB8" i="21"/>
  <c r="U7" i="21"/>
  <c r="W7" i="21"/>
  <c r="AA37" i="21"/>
  <c r="AA33" i="21"/>
  <c r="S21" i="21"/>
  <c r="AA15" i="21"/>
  <c r="AC11" i="21"/>
  <c r="AB12" i="21"/>
  <c r="S8" i="21"/>
  <c r="AA7" i="21"/>
  <c r="U46" i="21"/>
  <c r="AB46" i="21"/>
  <c r="W45" i="21"/>
  <c r="AC45" i="21"/>
  <c r="W44" i="21"/>
  <c r="H45" i="21"/>
  <c r="F46" i="21"/>
  <c r="AC46" i="21"/>
  <c r="AC36" i="21"/>
  <c r="AA36" i="21"/>
  <c r="S35" i="21"/>
  <c r="S34" i="21"/>
  <c r="AC34" i="21"/>
  <c r="AC33" i="21"/>
  <c r="W32" i="21"/>
  <c r="AA40" i="21"/>
  <c r="AB40" i="21"/>
  <c r="AC40" i="21"/>
  <c r="S39" i="21"/>
  <c r="AB39" i="21"/>
  <c r="W39" i="21"/>
  <c r="U38" i="21"/>
  <c r="AA38" i="21"/>
  <c r="AC38" i="21"/>
  <c r="AB36" i="21"/>
  <c r="AC35" i="21"/>
  <c r="AB35" i="21"/>
  <c r="AB32" i="21"/>
  <c r="U29" i="21"/>
  <c r="AB29" i="21"/>
  <c r="AC26" i="21"/>
  <c r="F29" i="21"/>
  <c r="J29" i="21"/>
  <c r="AA25" i="21"/>
  <c r="W28" i="21"/>
  <c r="S23" i="21"/>
  <c r="W9" i="21"/>
  <c r="U9" i="21"/>
  <c r="S9" i="21"/>
  <c r="AC10" i="21"/>
  <c r="AB10" i="21"/>
  <c r="S10" i="21"/>
  <c r="AC12" i="21"/>
  <c r="W12" i="21"/>
  <c r="S12" i="21"/>
  <c r="H15" i="39"/>
  <c r="AB33" i="39"/>
  <c r="U33" i="39"/>
  <c r="S33" i="39"/>
  <c r="W46" i="39"/>
  <c r="AC46" i="39"/>
  <c r="AA46" i="39"/>
  <c r="J39" i="39"/>
  <c r="AC16" i="39"/>
  <c r="W16" i="39"/>
  <c r="E72" i="39"/>
  <c r="F70" i="39"/>
  <c r="H126" i="39"/>
  <c r="I126" i="39" s="1"/>
  <c r="J126" i="39" s="1"/>
  <c r="K126" i="39" s="1"/>
  <c r="L126" i="39" s="1"/>
  <c r="M126" i="39" s="1"/>
  <c r="J43" i="39"/>
  <c r="AC43" i="39" s="1"/>
  <c r="F43" i="39"/>
  <c r="AA43" i="39" s="1"/>
  <c r="H43" i="39"/>
  <c r="U43" i="39" s="1"/>
  <c r="AB31" i="39"/>
  <c r="AC21" i="39"/>
  <c r="W41" i="39"/>
  <c r="S11" i="39"/>
  <c r="F16" i="39"/>
  <c r="S21" i="39"/>
  <c r="W10" i="39"/>
  <c r="U11" i="39"/>
  <c r="AC44" i="39"/>
  <c r="J23" i="39"/>
  <c r="AC23" i="39" s="1"/>
  <c r="AB16" i="39"/>
  <c r="H45" i="39"/>
  <c r="U45" i="39" s="1"/>
  <c r="F103" i="39"/>
  <c r="G103" i="39" s="1"/>
  <c r="H29" i="39"/>
  <c r="AB29" i="39" s="1"/>
  <c r="J29" i="39"/>
  <c r="AC29" i="39" s="1"/>
  <c r="W43" i="39"/>
  <c r="W40" i="39"/>
  <c r="W23" i="39"/>
  <c r="H109" i="39"/>
  <c r="I109" i="39" s="1"/>
  <c r="J109" i="39" s="1"/>
  <c r="K109" i="39" s="1"/>
  <c r="L109" i="39" s="1"/>
  <c r="M109" i="39" s="1"/>
  <c r="J34" i="39"/>
  <c r="AC34" i="39" s="1"/>
  <c r="F34" i="39"/>
  <c r="H34" i="39"/>
  <c r="AB34" i="39" s="1"/>
  <c r="F29" i="39"/>
  <c r="F101" i="39"/>
  <c r="G101" i="39" s="1"/>
  <c r="F27" i="39"/>
  <c r="AA27" i="39" s="1"/>
  <c r="H27" i="39"/>
  <c r="J27" i="39"/>
  <c r="AC27" i="39" s="1"/>
  <c r="G99" i="39"/>
  <c r="H25" i="39"/>
  <c r="U25" i="39" s="1"/>
  <c r="J25" i="39"/>
  <c r="AC25" i="39" s="1"/>
  <c r="F25" i="39"/>
  <c r="AA25" i="39" s="1"/>
  <c r="F23" i="39"/>
  <c r="AA23" i="39" s="1"/>
  <c r="U23" i="39"/>
  <c r="U14" i="39"/>
  <c r="S44" i="39"/>
  <c r="S41" i="39"/>
  <c r="F93" i="39"/>
  <c r="G93" i="39" s="1"/>
  <c r="F19" i="39"/>
  <c r="S19" i="39" s="1"/>
  <c r="H19" i="39"/>
  <c r="J19" i="39"/>
  <c r="W19" i="39" s="1"/>
  <c r="J17" i="39"/>
  <c r="W17" i="39" s="1"/>
  <c r="F91" i="39"/>
  <c r="G91" i="39" s="1"/>
  <c r="F17" i="39"/>
  <c r="E83" i="39"/>
  <c r="U46" i="39"/>
  <c r="U47" i="39"/>
  <c r="AB47" i="39"/>
  <c r="AA45" i="39"/>
  <c r="S45" i="39"/>
  <c r="J47" i="39"/>
  <c r="F47" i="39"/>
  <c r="J45" i="39"/>
  <c r="AB43" i="39"/>
  <c r="S43" i="39"/>
  <c r="U42" i="39"/>
  <c r="U41" i="39"/>
  <c r="S40" i="39"/>
  <c r="AA38" i="39"/>
  <c r="S38" i="39"/>
  <c r="S37" i="39"/>
  <c r="AA37" i="39"/>
  <c r="AC38" i="39"/>
  <c r="U39" i="39"/>
  <c r="H38" i="39"/>
  <c r="J37" i="39"/>
  <c r="AC31" i="39"/>
  <c r="AA31" i="39"/>
  <c r="S27" i="39"/>
  <c r="AB25" i="39"/>
  <c r="B65" i="46"/>
  <c r="B74" i="46"/>
  <c r="B54" i="46"/>
  <c r="C17" i="39"/>
  <c r="B59" i="46"/>
  <c r="B5" i="52"/>
  <c r="T15" i="46"/>
  <c r="V15" i="46" s="1"/>
  <c r="T11" i="46"/>
  <c r="V11" i="46" s="1"/>
  <c r="T5" i="46"/>
  <c r="V5" i="46" s="1"/>
  <c r="T14" i="46"/>
  <c r="V14" i="46" s="1"/>
  <c r="T10" i="46"/>
  <c r="V10" i="46" s="1"/>
  <c r="T6" i="46"/>
  <c r="V6" i="46" s="1"/>
  <c r="T7" i="46"/>
  <c r="V7" i="46" s="1"/>
  <c r="B6" i="52"/>
  <c r="B10" i="52"/>
  <c r="C36" i="46"/>
  <c r="T13" i="46"/>
  <c r="V13" i="46" s="1"/>
  <c r="T9" i="46"/>
  <c r="V9" i="46" s="1"/>
  <c r="T16" i="46"/>
  <c r="V16" i="46" s="1"/>
  <c r="T12" i="46"/>
  <c r="V12" i="46" s="1"/>
  <c r="T8" i="46"/>
  <c r="V8" i="46" s="1"/>
  <c r="T2" i="46"/>
  <c r="V2" i="46" s="1"/>
  <c r="E9" i="52"/>
  <c r="C38" i="46"/>
  <c r="C34" i="46"/>
  <c r="C37" i="46"/>
  <c r="C33" i="46"/>
  <c r="T4" i="46"/>
  <c r="V4" i="46" s="1"/>
  <c r="T3" i="46"/>
  <c r="V3" i="46" s="1"/>
  <c r="E4" i="52"/>
  <c r="B14" i="52"/>
  <c r="C39" i="46"/>
  <c r="E39" i="46" s="1"/>
  <c r="C35" i="46"/>
  <c r="B11" i="52"/>
  <c r="B22" i="52"/>
  <c r="E7" i="52"/>
  <c r="C4" i="4" s="1"/>
  <c r="B20" i="55" s="1"/>
  <c r="B70" i="63" s="1"/>
  <c r="B23" i="52"/>
  <c r="B4" i="52"/>
  <c r="E11" i="52"/>
  <c r="AA19" i="39"/>
  <c r="AA15" i="39"/>
  <c r="S15" i="39"/>
  <c r="E16" i="52"/>
  <c r="E8" i="52"/>
  <c r="B13" i="52"/>
  <c r="E21" i="52"/>
  <c r="E6" i="52"/>
  <c r="J15" i="39"/>
  <c r="E5" i="52"/>
  <c r="B16" i="52"/>
  <c r="E10" i="52"/>
  <c r="B8" i="52"/>
  <c r="B9" i="52"/>
  <c r="B7" i="52"/>
  <c r="S14" i="39"/>
  <c r="W14" i="39"/>
  <c r="AC13" i="39"/>
  <c r="D19" i="12"/>
  <c r="C19" i="12" s="1"/>
  <c r="C36" i="44"/>
  <c r="C20" i="44"/>
  <c r="C17" i="44"/>
  <c r="C8" i="44"/>
  <c r="J20" i="15"/>
  <c r="C29" i="44"/>
  <c r="L56" i="15"/>
  <c r="I54" i="15"/>
  <c r="J57" i="15"/>
  <c r="J55" i="15" s="1"/>
  <c r="J58" i="15" s="1"/>
  <c r="Q51" i="15" s="1"/>
  <c r="J59" i="15"/>
  <c r="L60" i="15"/>
  <c r="J60" i="15"/>
  <c r="Q49" i="15" s="1"/>
  <c r="L57" i="15"/>
  <c r="J53" i="15"/>
  <c r="F65" i="15"/>
  <c r="C27" i="15"/>
  <c r="C18" i="15"/>
  <c r="C15" i="15"/>
  <c r="F50" i="15"/>
  <c r="M9" i="44"/>
  <c r="J8" i="44" s="1"/>
  <c r="Q72" i="15"/>
  <c r="J1" i="65"/>
  <c r="C6" i="15"/>
  <c r="J22" i="44"/>
  <c r="F64" i="15"/>
  <c r="F63" i="15"/>
  <c r="E20" i="46"/>
  <c r="I1" i="65"/>
  <c r="C4" i="65"/>
  <c r="B39" i="1" s="1"/>
  <c r="Q73" i="44"/>
  <c r="J60" i="44"/>
  <c r="J58" i="44"/>
  <c r="J56" i="44" s="1"/>
  <c r="J59" i="44" s="1"/>
  <c r="Q52" i="44" s="1"/>
  <c r="L57" i="44"/>
  <c r="I55" i="44"/>
  <c r="J61" i="44"/>
  <c r="Q50" i="44" s="1"/>
  <c r="J54" i="44"/>
  <c r="L58" i="15"/>
  <c r="L59" i="15"/>
  <c r="L60" i="44"/>
  <c r="L59" i="44"/>
  <c r="F67" i="15"/>
  <c r="F70" i="15"/>
  <c r="F62" i="15"/>
  <c r="C61" i="15" s="1"/>
  <c r="C34" i="15"/>
  <c r="M7" i="15"/>
  <c r="J6" i="15" s="1"/>
  <c r="F49" i="15"/>
  <c r="C20" i="12"/>
  <c r="C17" i="69"/>
  <c r="C17" i="15"/>
  <c r="C16" i="69"/>
  <c r="C16" i="15"/>
  <c r="E3" i="65"/>
  <c r="C18" i="44"/>
  <c r="E2" i="65"/>
  <c r="L16" i="1" l="1"/>
  <c r="C13" i="43"/>
  <c r="C14" i="12"/>
  <c r="C18" i="12" s="1"/>
  <c r="C23" i="12" s="1"/>
  <c r="C48" i="69"/>
  <c r="B61" i="40"/>
  <c r="F61" i="40" s="1"/>
  <c r="B57" i="40"/>
  <c r="F57" i="40" s="1"/>
  <c r="B60" i="40"/>
  <c r="F60" i="40" s="1"/>
  <c r="F63" i="40"/>
  <c r="B2" i="40" s="1"/>
  <c r="B59" i="40"/>
  <c r="F59" i="40" s="1"/>
  <c r="C19" i="69"/>
  <c r="Q75" i="69"/>
  <c r="Q62" i="69"/>
  <c r="Q58" i="69"/>
  <c r="Q67" i="69"/>
  <c r="F1" i="69"/>
  <c r="Q53" i="69"/>
  <c r="M11" i="69"/>
  <c r="J10" i="69" s="1"/>
  <c r="J5" i="69" s="1"/>
  <c r="F11" i="69"/>
  <c r="C52" i="69" s="1"/>
  <c r="Q61" i="69"/>
  <c r="Q74" i="69"/>
  <c r="C30" i="46"/>
  <c r="E30" i="46" s="1"/>
  <c r="G16" i="1"/>
  <c r="J12" i="40" s="1"/>
  <c r="AC19" i="21"/>
  <c r="AB15" i="21"/>
  <c r="T48" i="21" s="1"/>
  <c r="G48" i="21" s="1"/>
  <c r="W42" i="21"/>
  <c r="S42" i="21"/>
  <c r="U42" i="21"/>
  <c r="AB37" i="21"/>
  <c r="U37" i="21"/>
  <c r="W37" i="21"/>
  <c r="AC37" i="21"/>
  <c r="W23" i="21"/>
  <c r="AC23" i="21"/>
  <c r="V48" i="21" s="1"/>
  <c r="I48" i="21" s="1"/>
  <c r="I52" i="21" s="1"/>
  <c r="J52" i="21" s="1"/>
  <c r="AB23" i="21"/>
  <c r="U23" i="21"/>
  <c r="S19" i="21"/>
  <c r="R48" i="21"/>
  <c r="E48" i="21" s="1"/>
  <c r="AA46" i="21"/>
  <c r="S46" i="21"/>
  <c r="U45" i="21"/>
  <c r="AB45" i="21"/>
  <c r="S29" i="21"/>
  <c r="AA29" i="21"/>
  <c r="W29" i="21"/>
  <c r="AC29" i="21"/>
  <c r="U15" i="39"/>
  <c r="AB15" i="39"/>
  <c r="W39" i="39"/>
  <c r="AC39" i="39"/>
  <c r="F72" i="39"/>
  <c r="G70" i="39"/>
  <c r="H17" i="39"/>
  <c r="S16" i="39"/>
  <c r="AA16" i="39"/>
  <c r="AB45" i="39"/>
  <c r="W29" i="39"/>
  <c r="U29" i="39"/>
  <c r="F83" i="39"/>
  <c r="G83" i="39" s="1"/>
  <c r="H83" i="39" s="1"/>
  <c r="I83" i="39" s="1"/>
  <c r="J83" i="39" s="1"/>
  <c r="K83" i="39" s="1"/>
  <c r="L83" i="39" s="1"/>
  <c r="M83" i="39" s="1"/>
  <c r="F13" i="39"/>
  <c r="H13" i="39"/>
  <c r="AC19" i="39"/>
  <c r="W27" i="39"/>
  <c r="W34" i="39"/>
  <c r="AA34" i="39"/>
  <c r="S34" i="39"/>
  <c r="U34" i="39"/>
  <c r="AA29" i="39"/>
  <c r="S29" i="39"/>
  <c r="AB27" i="39"/>
  <c r="U27" i="39"/>
  <c r="W25" i="39"/>
  <c r="S25" i="39"/>
  <c r="S23" i="39"/>
  <c r="AB19" i="39"/>
  <c r="U19" i="39"/>
  <c r="AB17" i="39"/>
  <c r="U17" i="39"/>
  <c r="AA17" i="39"/>
  <c r="S17" i="39"/>
  <c r="AC17" i="39"/>
  <c r="AC45" i="39"/>
  <c r="W45" i="39"/>
  <c r="S47" i="39"/>
  <c r="AA47" i="39"/>
  <c r="W47" i="39"/>
  <c r="AC47" i="39"/>
  <c r="U38" i="39"/>
  <c r="AB38" i="39"/>
  <c r="W37" i="39"/>
  <c r="AC37" i="39"/>
  <c r="G38" i="46"/>
  <c r="I38" i="46" s="1"/>
  <c r="E38" i="46"/>
  <c r="E36" i="46"/>
  <c r="G36" i="46"/>
  <c r="I36" i="46" s="1"/>
  <c r="G33" i="46"/>
  <c r="I33" i="46" s="1"/>
  <c r="E33" i="46"/>
  <c r="C26" i="46" s="1"/>
  <c r="E37" i="46"/>
  <c r="G37" i="46"/>
  <c r="I37" i="46" s="1"/>
  <c r="G35" i="46"/>
  <c r="I35" i="46" s="1"/>
  <c r="E35" i="46"/>
  <c r="E34" i="46"/>
  <c r="G34" i="46"/>
  <c r="I34" i="46" s="1"/>
  <c r="AC15" i="39"/>
  <c r="W15" i="39"/>
  <c r="B40" i="1"/>
  <c r="F24" i="69" s="1"/>
  <c r="C24" i="69" s="1"/>
  <c r="F17" i="11"/>
  <c r="C17" i="11" s="1"/>
  <c r="C19" i="11" s="1"/>
  <c r="C19" i="15"/>
  <c r="C21" i="44"/>
  <c r="Q63" i="44"/>
  <c r="Q76" i="44"/>
  <c r="F1" i="44"/>
  <c r="Q54" i="44"/>
  <c r="F1" i="15"/>
  <c r="Q53" i="15"/>
  <c r="O17" i="46"/>
  <c r="N17" i="46"/>
  <c r="M17" i="46"/>
  <c r="P17" i="46"/>
  <c r="Q75" i="15"/>
  <c r="Q62" i="15"/>
  <c r="C48" i="15"/>
  <c r="Q62" i="44"/>
  <c r="Q75" i="44"/>
  <c r="Q61" i="15"/>
  <c r="Q74" i="15"/>
  <c r="L47" i="44"/>
  <c r="F11" i="15"/>
  <c r="C52" i="15" s="1"/>
  <c r="F13" i="44"/>
  <c r="C12" i="44" s="1"/>
  <c r="C7" i="44" s="1"/>
  <c r="M11" i="15"/>
  <c r="J10" i="15" s="1"/>
  <c r="J5" i="15" s="1"/>
  <c r="M13" i="44"/>
  <c r="J12" i="44" s="1"/>
  <c r="J7" i="44" s="1"/>
  <c r="Q58" i="15"/>
  <c r="Q67" i="15"/>
  <c r="AE8" i="1"/>
  <c r="AE7" i="1"/>
  <c r="F41" i="15"/>
  <c r="F7" i="67"/>
  <c r="F41" i="69"/>
  <c r="C14" i="43" l="1"/>
  <c r="C17" i="43"/>
  <c r="C47" i="69"/>
  <c r="C65" i="69" s="1"/>
  <c r="B3" i="40"/>
  <c r="B4" i="40"/>
  <c r="B5" i="40"/>
  <c r="F68" i="69"/>
  <c r="J26" i="69"/>
  <c r="J29" i="69" s="1"/>
  <c r="J24" i="69"/>
  <c r="J18" i="69"/>
  <c r="C27" i="46"/>
  <c r="C10" i="69"/>
  <c r="C5" i="69" s="1"/>
  <c r="C20" i="69"/>
  <c r="C26" i="69" s="1"/>
  <c r="F12" i="40"/>
  <c r="S12" i="40" s="1"/>
  <c r="J12" i="39"/>
  <c r="W12" i="39" s="1"/>
  <c r="H12" i="40"/>
  <c r="H12" i="39"/>
  <c r="U12" i="39" s="1"/>
  <c r="F12" i="39"/>
  <c r="AA12" i="39" s="1"/>
  <c r="AA12" i="40"/>
  <c r="AB12" i="39"/>
  <c r="U12" i="40"/>
  <c r="AB12" i="40"/>
  <c r="S12" i="39"/>
  <c r="W12" i="40"/>
  <c r="AC12" i="40"/>
  <c r="I53" i="21"/>
  <c r="J53" i="21" s="1"/>
  <c r="G53" i="21"/>
  <c r="H53" i="21" s="1"/>
  <c r="E52" i="21"/>
  <c r="F52" i="21" s="1"/>
  <c r="E53" i="21"/>
  <c r="F53" i="21" s="1"/>
  <c r="G52" i="21"/>
  <c r="H52" i="21" s="1"/>
  <c r="R49" i="21"/>
  <c r="C48" i="21" s="1"/>
  <c r="H70" i="39"/>
  <c r="G72" i="39"/>
  <c r="AB13" i="39"/>
  <c r="U13" i="39"/>
  <c r="S13" i="39"/>
  <c r="AA13" i="39"/>
  <c r="E4" i="67"/>
  <c r="B2" i="46"/>
  <c r="C47" i="15"/>
  <c r="C59" i="15" s="1"/>
  <c r="F68" i="15"/>
  <c r="J18" i="15"/>
  <c r="J26" i="15"/>
  <c r="J29" i="15" s="1"/>
  <c r="J24" i="15"/>
  <c r="J20" i="44"/>
  <c r="J26" i="44"/>
  <c r="J28" i="44"/>
  <c r="J31" i="44" s="1"/>
  <c r="C20" i="15"/>
  <c r="C26" i="15" s="1"/>
  <c r="C20" i="11"/>
  <c r="C21" i="11" s="1"/>
  <c r="C22" i="11" s="1"/>
  <c r="C23" i="11" s="1"/>
  <c r="B2" i="11" s="1"/>
  <c r="C40" i="44"/>
  <c r="C34" i="44"/>
  <c r="C10" i="15"/>
  <c r="C5" i="15" s="1"/>
  <c r="C22" i="44"/>
  <c r="F24" i="15"/>
  <c r="C24" i="15" s="1"/>
  <c r="F26" i="44"/>
  <c r="C26" i="44" s="1"/>
  <c r="F21" i="43"/>
  <c r="F26" i="12"/>
  <c r="C27" i="12" s="1"/>
  <c r="D26" i="12" s="1"/>
  <c r="C32" i="12" s="1"/>
  <c r="D30" i="12" s="1"/>
  <c r="B7" i="67"/>
  <c r="L52" i="44"/>
  <c r="E7" i="67"/>
  <c r="C18" i="43" l="1"/>
  <c r="C19" i="43" s="1"/>
  <c r="C25" i="43" s="1"/>
  <c r="C24" i="43" s="1"/>
  <c r="C60" i="69"/>
  <c r="C59" i="69"/>
  <c r="AC12" i="39"/>
  <c r="E3" i="67"/>
  <c r="C38" i="69"/>
  <c r="C33" i="69"/>
  <c r="C32" i="69"/>
  <c r="C23" i="69"/>
  <c r="C29" i="69" s="1"/>
  <c r="C49" i="21"/>
  <c r="B3" i="21" s="1"/>
  <c r="B2" i="21" s="1"/>
  <c r="H72" i="39"/>
  <c r="I70" i="39"/>
  <c r="B2" i="67"/>
  <c r="B3" i="67" s="1"/>
  <c r="D4" i="46"/>
  <c r="B3" i="46"/>
  <c r="B4" i="46"/>
  <c r="C60" i="15"/>
  <c r="C58" i="15" s="1"/>
  <c r="C65" i="15"/>
  <c r="C25" i="44"/>
  <c r="Q69" i="44"/>
  <c r="L58" i="44"/>
  <c r="L61" i="44" s="1"/>
  <c r="C33" i="15"/>
  <c r="C38" i="15"/>
  <c r="C32" i="15"/>
  <c r="Q67" i="44"/>
  <c r="Q49" i="44"/>
  <c r="Q55" i="44" s="1"/>
  <c r="Q58" i="44"/>
  <c r="C28" i="44"/>
  <c r="C23" i="15"/>
  <c r="C29" i="15" s="1"/>
  <c r="B3" i="11"/>
  <c r="B5" i="11"/>
  <c r="B4" i="11"/>
  <c r="C23" i="43"/>
  <c r="D21" i="43" s="1"/>
  <c r="C22" i="43"/>
  <c r="C21" i="43" s="1"/>
  <c r="C58" i="69" l="1"/>
  <c r="C31" i="69"/>
  <c r="J19" i="69"/>
  <c r="J17" i="69" s="1"/>
  <c r="J14" i="69"/>
  <c r="C13" i="69"/>
  <c r="C56" i="69"/>
  <c r="C63" i="69" s="1"/>
  <c r="Q50" i="69"/>
  <c r="C36" i="69"/>
  <c r="J70" i="39"/>
  <c r="I72" i="39"/>
  <c r="B4" i="67"/>
  <c r="C31" i="44"/>
  <c r="J16" i="44" s="1"/>
  <c r="C13" i="15"/>
  <c r="C36" i="15"/>
  <c r="J14" i="15"/>
  <c r="C56" i="15"/>
  <c r="C63" i="15" s="1"/>
  <c r="J19" i="15"/>
  <c r="J17" i="15" s="1"/>
  <c r="Q50" i="15"/>
  <c r="C31" i="15"/>
  <c r="Q59" i="44"/>
  <c r="Q64" i="44" s="1"/>
  <c r="Q68" i="44"/>
  <c r="Q77" i="44" s="1"/>
  <c r="C28" i="43"/>
  <c r="C30" i="43" s="1"/>
  <c r="C32" i="43" s="1"/>
  <c r="B2" i="43" s="1"/>
  <c r="C37" i="69" l="1"/>
  <c r="C30" i="69" s="1"/>
  <c r="C39" i="69" s="1"/>
  <c r="J35" i="69"/>
  <c r="C55" i="69"/>
  <c r="C64" i="69" s="1"/>
  <c r="C57" i="69" s="1"/>
  <c r="C66" i="69" s="1"/>
  <c r="C67" i="69" s="1"/>
  <c r="Q71" i="69"/>
  <c r="J13" i="69"/>
  <c r="J23" i="69" s="1"/>
  <c r="J22" i="69"/>
  <c r="J72" i="39"/>
  <c r="K70" i="39"/>
  <c r="C35" i="44"/>
  <c r="C33" i="44" s="1"/>
  <c r="J21" i="44"/>
  <c r="J19" i="44" s="1"/>
  <c r="C15" i="44"/>
  <c r="C43" i="44" s="1"/>
  <c r="C38" i="44"/>
  <c r="Q51" i="44"/>
  <c r="C55" i="15"/>
  <c r="C64" i="15" s="1"/>
  <c r="C57" i="15" s="1"/>
  <c r="C66" i="15" s="1"/>
  <c r="C67" i="15" s="1"/>
  <c r="C37" i="15"/>
  <c r="C30" i="15" s="1"/>
  <c r="C39" i="15" s="1"/>
  <c r="J35" i="15"/>
  <c r="Q71" i="15"/>
  <c r="B4" i="43"/>
  <c r="B3" i="43"/>
  <c r="B5" i="43"/>
  <c r="J22" i="15"/>
  <c r="J13" i="15"/>
  <c r="J23" i="15" s="1"/>
  <c r="C39" i="44"/>
  <c r="J24" i="44"/>
  <c r="J15" i="44"/>
  <c r="J25" i="44" s="1"/>
  <c r="J16" i="69" l="1"/>
  <c r="J25" i="69" s="1"/>
  <c r="J39" i="69"/>
  <c r="J40" i="69" s="1"/>
  <c r="C70" i="69"/>
  <c r="C40" i="69"/>
  <c r="Q70" i="69"/>
  <c r="Q69" i="69" s="1"/>
  <c r="L70" i="39"/>
  <c r="K72" i="39"/>
  <c r="C32" i="44"/>
  <c r="C42" i="44" s="1"/>
  <c r="C44" i="44" s="1"/>
  <c r="C45" i="44" s="1"/>
  <c r="B2" i="44" s="1"/>
  <c r="Q72" i="44"/>
  <c r="J18" i="44"/>
  <c r="J27" i="44" s="1"/>
  <c r="J16" i="15"/>
  <c r="J25" i="15" s="1"/>
  <c r="C70" i="15"/>
  <c r="J39" i="15"/>
  <c r="J40" i="15" s="1"/>
  <c r="Q70" i="15"/>
  <c r="Q69" i="15" s="1"/>
  <c r="C40" i="15"/>
  <c r="C46" i="15" s="1"/>
  <c r="L51" i="15"/>
  <c r="L51" i="69"/>
  <c r="Q68" i="69" l="1"/>
  <c r="Q66" i="69"/>
  <c r="Q76" i="69" s="1"/>
  <c r="Q57" i="69"/>
  <c r="Q63" i="69" s="1"/>
  <c r="C43" i="69"/>
  <c r="Q48" i="69"/>
  <c r="Q54" i="69" s="1"/>
  <c r="B2" i="69"/>
  <c r="J42" i="69"/>
  <c r="J43" i="69" s="1"/>
  <c r="C46" i="69"/>
  <c r="L72" i="39"/>
  <c r="M70" i="39"/>
  <c r="Q71" i="44"/>
  <c r="Q70" i="44" s="1"/>
  <c r="Q68" i="15"/>
  <c r="C43" i="15"/>
  <c r="D8" i="12" s="1"/>
  <c r="B2" i="15"/>
  <c r="Q48" i="15"/>
  <c r="Q54" i="15" s="1"/>
  <c r="Q66" i="15"/>
  <c r="Q76" i="15" s="1"/>
  <c r="Q57" i="15"/>
  <c r="Q63" i="15" s="1"/>
  <c r="J42" i="15"/>
  <c r="J43" i="15" s="1"/>
  <c r="B4" i="44"/>
  <c r="B5" i="44"/>
  <c r="B3" i="44"/>
  <c r="U17" i="1" l="1"/>
  <c r="E8" i="12"/>
  <c r="B3" i="69"/>
  <c r="E10" i="12"/>
  <c r="N70" i="39"/>
  <c r="N72" i="39" s="1"/>
  <c r="F9" i="39" s="1"/>
  <c r="M72" i="39"/>
  <c r="D10" i="12"/>
  <c r="B3" i="15"/>
  <c r="C6" i="12" l="1"/>
  <c r="C29" i="12" s="1"/>
  <c r="S9" i="39"/>
  <c r="AA9" i="39"/>
  <c r="R49" i="39" s="1"/>
  <c r="J9" i="39"/>
  <c r="H9" i="39"/>
  <c r="C24" i="12" l="1"/>
  <c r="C35" i="12" s="1"/>
  <c r="C33" i="12" s="1"/>
  <c r="AB9" i="39"/>
  <c r="T49" i="39" s="1"/>
  <c r="G49" i="39" s="1"/>
  <c r="U9" i="39"/>
  <c r="E49" i="39"/>
  <c r="W9" i="39"/>
  <c r="AC9" i="39"/>
  <c r="V49" i="39" s="1"/>
  <c r="I49" i="39" s="1"/>
  <c r="C28" i="12" l="1"/>
  <c r="C26" i="12" s="1"/>
  <c r="C31" i="12" s="1"/>
  <c r="C30" i="12" s="1"/>
  <c r="C36" i="12" s="1"/>
  <c r="B2" i="12" s="1"/>
  <c r="D3" i="12" s="1"/>
  <c r="R50" i="39"/>
  <c r="C49" i="39" s="1"/>
  <c r="E54" i="39"/>
  <c r="F54" i="39" s="1"/>
  <c r="E53" i="39"/>
  <c r="F53" i="39" s="1"/>
  <c r="I53" i="39"/>
  <c r="J53" i="39" s="1"/>
  <c r="I54" i="39"/>
  <c r="J54" i="39" s="1"/>
  <c r="G53" i="39"/>
  <c r="H53" i="39" s="1"/>
  <c r="G54" i="39"/>
  <c r="H54" i="39" s="1"/>
  <c r="D19" i="9"/>
  <c r="C50" i="39" l="1"/>
  <c r="B67" i="39" s="1"/>
  <c r="F67" i="39" s="1"/>
  <c r="L44" i="9"/>
  <c r="B3" i="12"/>
  <c r="B5" i="12"/>
  <c r="B4" i="12"/>
  <c r="D20" i="9"/>
  <c r="D21" i="9"/>
  <c r="B62" i="39" l="1"/>
  <c r="F62" i="39" s="1"/>
  <c r="B58" i="39"/>
  <c r="F58" i="39" s="1"/>
  <c r="B66" i="39"/>
  <c r="F66" i="39" s="1"/>
  <c r="B60" i="39"/>
  <c r="F60" i="39" s="1"/>
  <c r="B64" i="39"/>
  <c r="F64" i="39" s="1"/>
  <c r="B59" i="39"/>
  <c r="F59" i="39" s="1"/>
  <c r="B61" i="39"/>
  <c r="F61" i="39" s="1"/>
  <c r="B63" i="39"/>
  <c r="F63" i="39" s="1"/>
  <c r="B65" i="39"/>
  <c r="F65" i="39" s="1"/>
  <c r="F68" i="39" l="1"/>
  <c r="B2" i="39" s="1"/>
  <c r="B4" i="39" s="1"/>
  <c r="C21" i="9"/>
  <c r="C19" i="9"/>
  <c r="D22" i="9" l="1"/>
  <c r="L43" i="9"/>
  <c r="G19" i="9"/>
  <c r="G22" i="9" s="1"/>
  <c r="B3" i="39"/>
  <c r="B5" i="39"/>
  <c r="G21" i="9"/>
  <c r="C20" i="9"/>
  <c r="C32" i="9" l="1"/>
  <c r="C34" i="9" s="1"/>
  <c r="N43" i="9"/>
  <c r="G20" i="9"/>
  <c r="O38" i="9" l="1"/>
  <c r="K26" i="9" s="1"/>
  <c r="C42" i="9"/>
  <c r="N68" i="9" s="1"/>
  <c r="C33" i="9"/>
  <c r="N38" i="9" s="1"/>
  <c r="K28" i="9" s="1"/>
  <c r="C35" i="9"/>
  <c r="F42" i="9" s="1"/>
  <c r="O43" i="9"/>
  <c r="M38" i="9"/>
  <c r="K27" i="9" s="1"/>
  <c r="E42" i="9"/>
  <c r="P5" i="54" s="1"/>
  <c r="B46" i="63" s="1"/>
  <c r="R5" i="54" l="1"/>
  <c r="B48" i="63" s="1"/>
  <c r="D42" i="9"/>
  <c r="Q5" i="54" s="1"/>
  <c r="B47" i="63" s="1"/>
  <c r="C44" i="9"/>
  <c r="N69" i="9" s="1"/>
  <c r="K25" i="9"/>
  <c r="D63" i="9"/>
  <c r="C96" i="9" s="1"/>
  <c r="C91" i="9" s="1"/>
  <c r="D14" i="66"/>
  <c r="E14" i="66" s="1"/>
  <c r="D44" i="9" l="1"/>
  <c r="O39" i="9"/>
  <c r="R6" i="54" s="1"/>
  <c r="B50" i="63" s="1"/>
  <c r="C82" i="9"/>
  <c r="C81" i="9" s="1"/>
  <c r="C85" i="9" s="1"/>
  <c r="C86" i="9" s="1"/>
  <c r="D72" i="9" s="1"/>
  <c r="D77" i="9"/>
  <c r="N75" i="9" s="1"/>
  <c r="G14" i="66"/>
  <c r="B6" i="66" s="1"/>
  <c r="C6" i="66" s="1"/>
  <c r="C111" i="9"/>
  <c r="C104" i="9" s="1"/>
  <c r="F44" i="9"/>
  <c r="E44" i="9"/>
  <c r="D70" i="9"/>
  <c r="C90" i="9"/>
  <c r="C97" i="9" s="1"/>
  <c r="C98" i="9" s="1"/>
  <c r="E98" i="9" s="1"/>
  <c r="E99" i="9" s="1"/>
  <c r="D71" i="9"/>
  <c r="D66" i="9" s="1"/>
  <c r="N72" i="9" s="1"/>
  <c r="C103" i="9"/>
  <c r="B5" i="66"/>
  <c r="D5" i="66" s="1"/>
  <c r="F14" i="66"/>
  <c r="M85" i="9"/>
  <c r="N85" i="9" s="1"/>
  <c r="M84" i="9"/>
  <c r="N84" i="9" s="1"/>
  <c r="M86" i="9"/>
  <c r="N86" i="9" s="1"/>
  <c r="M87" i="9"/>
  <c r="N87" i="9" s="1"/>
  <c r="M88" i="9"/>
  <c r="N88" i="9" s="1"/>
  <c r="M83" i="9"/>
  <c r="N83" i="9" s="1"/>
  <c r="N89" i="9" l="1"/>
  <c r="O89" i="9" s="1"/>
  <c r="K29" i="9"/>
  <c r="K30" i="9" s="1"/>
  <c r="C5" i="66"/>
  <c r="D6" i="66"/>
  <c r="C113" i="9"/>
  <c r="C114" i="9" s="1"/>
  <c r="E114" i="9" s="1"/>
  <c r="E115" i="9" s="1"/>
  <c r="C99" i="9"/>
  <c r="C115" i="9" l="1"/>
  <c r="D76" i="9" s="1"/>
  <c r="D74" i="9" s="1"/>
  <c r="N74" i="9" s="1"/>
  <c r="O77" i="9" s="1"/>
  <c r="O78" i="9" s="1"/>
  <c r="O79" i="9" l="1"/>
  <c r="O80" i="9" s="1"/>
  <c r="Q77" i="9"/>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<sst xmlns="http://schemas.openxmlformats.org/spreadsheetml/2006/main" count="7860" uniqueCount="3282">
  <si>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</si>
  <si>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</si>
  <si>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</si>
  <si>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</si>
  <si>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</si>
  <si>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</si>
  <si>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</si>
  <si>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</si>
  <si>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</si>
  <si>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</si>
  <si>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</si>
  <si>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</si>
  <si>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</si>
  <si>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</si>
  <si>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</si>
  <si>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</si>
  <si>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</si>
  <si>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</si>
  <si>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</si>
  <si>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</si>
  <si>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</si>
  <si>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</si>
  <si>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</si>
  <si>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</si>
  <si>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</si>
  <si>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</si>
  <si>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</si>
  <si>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</si>
  <si>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</si>
  <si>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</si>
  <si>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</si>
  <si>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</si>
  <si>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</si>
  <si>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</si>
  <si>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</si>
  <si>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</si>
  <si>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</si>
  <si>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</si>
  <si>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</si>
  <si>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</si>
  <si>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</si>
  <si>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</si>
  <si>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</si>
  <si>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</si>
  <si>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</si>
  <si>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</si>
  <si>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</si>
  <si>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</si>
  <si>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</si>
  <si>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</si>
  <si>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</si>
  <si>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</si>
  <si>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</si>
  <si>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</si>
  <si>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</si>
  <si>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</si>
  <si>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</si>
  <si>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</si>
  <si>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</si>
  <si>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</si>
  <si>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</si>
  <si>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</si>
  <si>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</si>
  <si>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</si>
  <si>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</si>
  <si>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</si>
  <si>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</si>
  <si>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</si>
  <si>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</si>
  <si>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</si>
  <si>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</si>
  <si>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</si>
  <si>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</si>
  <si>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</si>
  <si>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</si>
  <si>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</si>
  <si>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</si>
  <si>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</si>
  <si>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</si>
  <si>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</si>
  <si>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</si>
  <si>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</si>
  <si>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</si>
  <si>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</si>
  <si>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</si>
  <si>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</si>
  <si>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</si>
  <si>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</si>
  <si>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</si>
  <si>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</si>
  <si>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</si>
  <si>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</si>
  <si>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</si>
  <si>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</si>
  <si>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</si>
  <si>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</si>
  <si>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</si>
  <si>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</si>
  <si>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</si>
  <si>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</si>
  <si>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</si>
  <si>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</si>
  <si>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</si>
  <si>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</si>
  <si>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</si>
  <si>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</si>
  <si>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</si>
  <si>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</si>
  <si>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</si>
  <si>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</si>
  <si>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</si>
  <si>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</si>
  <si>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</si>
  <si>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</si>
  <si>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</si>
  <si>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</si>
  <si>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</si>
  <si>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</si>
  <si>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</si>
  <si>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</si>
  <si>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</si>
  <si>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</si>
  <si>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</si>
  <si>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</si>
  <si>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</si>
  <si>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</si>
  <si>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</si>
  <si>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</si>
  <si>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</si>
  <si>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</si>
  <si>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</si>
  <si>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</si>
  <si>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</si>
  <si>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</si>
  <si>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</si>
  <si>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</si>
  <si>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</si>
  <si>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</si>
  <si>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</si>
  <si>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</si>
  <si>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</si>
  <si>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</si>
  <si>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</si>
  <si>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</si>
  <si>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</si>
  <si>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</si>
  <si>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</si>
  <si>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</si>
  <si>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</si>
  <si>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</si>
  <si>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</si>
  <si>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</si>
  <si>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</si>
  <si>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</si>
  <si>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</si>
  <si>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</si>
  <si>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</si>
  <si>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</si>
  <si>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</si>
  <si>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</si>
  <si>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</si>
  <si>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</si>
  <si>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</si>
  <si>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</si>
  <si>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</si>
  <si>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</si>
  <si>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</si>
  <si>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</si>
  <si>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</si>
  <si>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</si>
  <si>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</si>
  <si>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</si>
  <si>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</si>
  <si>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</si>
  <si>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</si>
  <si>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</si>
  <si>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</si>
  <si>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</si>
  <si>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</si>
  <si>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</si>
  <si>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</si>
  <si>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</si>
  <si>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</si>
  <si>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</si>
  <si>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</si>
  <si>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</si>
  <si>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</si>
  <si>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</si>
  <si>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</si>
  <si>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</si>
  <si>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</si>
  <si>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</si>
  <si>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</si>
  <si>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</si>
  <si>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</si>
  <si>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</si>
  <si>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</si>
  <si>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</si>
  <si>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</si>
  <si>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</si>
  <si>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</si>
  <si>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</si>
  <si>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</si>
  <si>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</si>
  <si>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</si>
  <si>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</si>
  <si>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</si>
  <si>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</si>
  <si>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</si>
  <si>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</si>
  <si>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</si>
  <si>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</si>
  <si>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</si>
  <si>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</si>
  <si>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</si>
  <si>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</si>
  <si>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</si>
  <si>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</si>
  <si>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</si>
  <si>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</si>
  <si>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</si>
  <si>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</si>
  <si>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</si>
  <si>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</si>
  <si>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</si>
  <si>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</si>
  <si>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</si>
  <si>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</si>
  <si>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</si>
  <si>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</si>
  <si>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</si>
  <si>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</si>
  <si>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</si>
  <si>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</si>
  <si>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</si>
  <si>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</si>
  <si>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</si>
  <si>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</si>
  <si>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</si>
  <si>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</si>
  <si>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</si>
  <si>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</si>
  <si>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</si>
  <si>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</si>
  <si>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</si>
  <si>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</si>
  <si>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</si>
  <si>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</si>
  <si>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</si>
  <si>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</si>
  <si>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</si>
  <si>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</si>
  <si>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</si>
  <si>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</si>
  <si>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</si>
  <si>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</si>
  <si>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</si>
  <si>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</si>
  <si>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</si>
  <si>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</si>
  <si>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</si>
  <si>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</si>
  <si>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</si>
  <si>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</si>
  <si>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</si>
  <si>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</si>
  <si>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</si>
  <si>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</si>
  <si>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</si>
  <si>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</si>
  <si>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</si>
  <si>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</si>
  <si>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</si>
  <si>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</si>
  <si>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</si>
  <si>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</si>
  <si>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</si>
  <si>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</si>
  <si>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</si>
  <si>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</si>
  <si>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</si>
  <si>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</si>
  <si>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</si>
  <si>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</si>
  <si>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</si>
  <si>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</si>
  <si>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</si>
  <si>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</si>
  <si>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</si>
  <si>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</si>
  <si>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</si>
  <si>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</si>
  <si>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</si>
  <si>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</si>
  <si>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</si>
  <si>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</si>
  <si>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</si>
  <si>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</si>
  <si>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</si>
  <si>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</si>
  <si>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</si>
  <si>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</si>
  <si>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</si>
  <si>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</si>
  <si>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</si>
  <si>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</si>
  <si>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</si>
  <si>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</si>
  <si>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</si>
  <si>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</si>
  <si>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</si>
  <si>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</si>
  <si>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</si>
  <si>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</si>
  <si>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</si>
  <si>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</si>
  <si>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</si>
  <si>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</si>
  <si>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</si>
  <si>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</si>
  <si>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</si>
  <si>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</si>
  <si>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</si>
  <si>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</si>
  <si>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</si>
  <si>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</si>
  <si>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</si>
  <si>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</si>
  <si>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</si>
  <si>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</si>
  <si>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</si>
  <si>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</si>
  <si>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</si>
  <si>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</si>
  <si>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</si>
  <si>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</si>
  <si>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</si>
  <si>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</si>
  <si>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</si>
  <si>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</si>
  <si>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</si>
  <si>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</si>
  <si>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</si>
  <si>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</si>
  <si>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</si>
  <si>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</si>
  <si>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</si>
  <si>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</si>
  <si>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</si>
  <si>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</si>
  <si>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</si>
  <si>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</si>
  <si>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</si>
  <si>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</si>
  <si>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</si>
  <si>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</si>
  <si>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</si>
  <si>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</si>
  <si>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</si>
  <si>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</si>
  <si>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</si>
  <si>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</si>
  <si>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</si>
  <si>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</si>
  <si>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</si>
  <si>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</si>
  <si>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</si>
  <si>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</si>
  <si>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</si>
  <si>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</si>
  <si>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</si>
  <si>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</si>
  <si>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</si>
  <si>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</si>
  <si>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</si>
  <si>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</si>
  <si>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</si>
  <si>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</si>
  <si>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</si>
  <si>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</si>
  <si>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</si>
  <si>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</si>
  <si>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</si>
  <si>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</si>
  <si>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</si>
  <si>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</si>
  <si>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</si>
  <si>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</si>
  <si>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</si>
  <si>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</si>
  <si>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</si>
  <si>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</si>
  <si>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</si>
  <si>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</si>
  <si>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</si>
  <si>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</si>
  <si>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</si>
  <si>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</si>
  <si>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</si>
  <si>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</si>
  <si>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</si>
  <si>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</si>
  <si>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</si>
  <si>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</si>
  <si>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</si>
  <si>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</si>
  <si>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</si>
  <si>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</si>
  <si>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</si>
  <si>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</si>
  <si>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</si>
  <si>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</si>
  <si>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</si>
  <si>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</si>
  <si>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</si>
  <si>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</si>
  <si>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</si>
  <si>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</si>
  <si>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</si>
  <si>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</si>
  <si>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</si>
  <si>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</si>
  <si>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</si>
  <si>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</si>
  <si>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</si>
  <si>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</si>
  <si>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</si>
  <si>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</si>
  <si>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</si>
  <si>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</si>
  <si>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</si>
  <si>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</si>
  <si>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</si>
  <si>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</si>
  <si>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</si>
  <si>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</si>
  <si>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</si>
  <si>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</si>
  <si>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</si>
  <si>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</si>
  <si>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</si>
  <si>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</si>
  <si>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</si>
  <si>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</si>
  <si>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</si>
  <si>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</si>
  <si>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</si>
  <si>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</si>
  <si>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</si>
  <si>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</si>
  <si>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</si>
  <si>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</si>
  <si>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</si>
  <si>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</si>
  <si>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</si>
  <si>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</si>
  <si>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</si>
  <si>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</si>
  <si>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</si>
  <si>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</si>
  <si>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</si>
  <si>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</si>
  <si>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</si>
  <si>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</si>
  <si>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</si>
  <si>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</si>
  <si>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</si>
  <si>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</si>
  <si>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</si>
  <si>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</si>
  <si>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</si>
  <si>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</si>
  <si>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</si>
  <si>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</si>
  <si>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</si>
  <si>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</si>
  <si>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</si>
  <si>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</si>
  <si>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</si>
  <si>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</si>
  <si>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</si>
  <si>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</si>
  <si>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</si>
  <si>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</si>
  <si>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</si>
  <si>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</si>
  <si>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</si>
  <si>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</si>
  <si>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</si>
  <si>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</si>
  <si>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</si>
  <si>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</si>
  <si>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</si>
  <si>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</si>
  <si>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</si>
  <si>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</si>
  <si>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</si>
  <si>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</si>
  <si>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</si>
  <si>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</si>
  <si>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</si>
  <si>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</si>
  <si>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</si>
  <si>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</si>
  <si>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</si>
  <si>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</si>
  <si>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</si>
  <si>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</si>
  <si>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</si>
  <si>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</si>
  <si>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</si>
  <si>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</si>
  <si>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</si>
  <si>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</si>
  <si>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</si>
  <si>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</si>
  <si>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</si>
  <si>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</si>
  <si>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</si>
  <si>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</si>
  <si>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</si>
  <si>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</si>
  <si>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</si>
  <si>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</si>
  <si>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</si>
  <si>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</si>
  <si>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</si>
  <si>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</si>
  <si>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</si>
  <si>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</si>
  <si>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</si>
  <si>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</si>
  <si>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</si>
  <si>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</si>
  <si>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</si>
  <si>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</si>
  <si>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</si>
  <si>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</si>
  <si>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</si>
  <si>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</si>
  <si>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</si>
  <si>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</si>
  <si>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</si>
  <si>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</si>
  <si>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</si>
  <si>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</si>
  <si>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</si>
  <si>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</si>
  <si>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</si>
  <si>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</si>
  <si>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</si>
  <si>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</si>
  <si>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</si>
  <si>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</si>
  <si>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</si>
  <si>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</si>
  <si>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</si>
  <si>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</si>
  <si>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</si>
  <si>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</si>
  <si>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</si>
  <si>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</si>
  <si>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</si>
  <si>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</si>
  <si>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</si>
  <si>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</si>
  <si>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</si>
  <si>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</si>
  <si>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</si>
  <si>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</si>
  <si>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</si>
  <si>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</si>
  <si>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</si>
  <si>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</si>
  <si>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</si>
  <si>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</si>
  <si>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</si>
  <si>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</si>
  <si>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</si>
  <si>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</si>
  <si>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</si>
  <si>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</si>
  <si>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</si>
  <si>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</si>
  <si>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</si>
  <si>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</si>
  <si>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</si>
  <si>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</si>
  <si>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</si>
  <si>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</si>
  <si>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</si>
  <si>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</si>
  <si>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</si>
  <si>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</si>
  <si>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</si>
  <si>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</si>
  <si>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</si>
  <si>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</si>
  <si>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</si>
  <si>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</si>
  <si>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</si>
  <si>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</si>
  <si>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</si>
  <si>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</si>
  <si>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</si>
  <si>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</si>
  <si>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</si>
  <si>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</si>
  <si>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</si>
  <si>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</si>
  <si>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</si>
  <si>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</si>
  <si>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</si>
  <si>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</si>
  <si>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</si>
  <si>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</si>
  <si>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</si>
  <si>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</si>
  <si>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</si>
  <si>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</si>
  <si>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</si>
  <si>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</si>
  <si>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</si>
  <si>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</si>
  <si>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</si>
  <si>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</si>
  <si>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</si>
  <si>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</si>
  <si>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</si>
  <si>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</si>
  <si>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</si>
  <si>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</si>
  <si>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</si>
  <si>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</si>
  <si>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</si>
  <si>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</si>
  <si>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</si>
  <si>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</si>
  <si>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</si>
  <si>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</si>
  <si>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</si>
  <si>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</si>
  <si>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</si>
  <si>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</si>
  <si>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</si>
  <si>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</si>
  <si>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</si>
  <si>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</si>
  <si>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</si>
  <si>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</si>
  <si>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</si>
  <si>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</si>
  <si>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</si>
  <si>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</si>
  <si>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</si>
  <si>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</si>
  <si>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</si>
  <si>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</si>
  <si>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</si>
  <si>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</si>
  <si>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</si>
  <si>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</si>
  <si>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</si>
  <si>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</si>
  <si>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</si>
  <si>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</si>
  <si>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</si>
  <si>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</si>
  <si>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</si>
  <si>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</si>
  <si>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</si>
  <si>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</si>
  <si>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</si>
  <si>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</si>
  <si>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</si>
  <si>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</si>
  <si>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</si>
  <si>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</si>
  <si>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</si>
  <si>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</si>
  <si>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</si>
  <si>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</si>
  <si>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</si>
  <si>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</si>
  <si>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</si>
  <si>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</si>
  <si>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</si>
  <si>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</si>
  <si>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</si>
  <si>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</si>
  <si>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</si>
  <si>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</si>
  <si>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</si>
  <si>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</si>
  <si>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</si>
  <si>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</si>
  <si>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</si>
  <si>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</si>
  <si>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</si>
  <si>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</si>
  <si>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</si>
  <si>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</si>
  <si>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</si>
  <si>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</si>
  <si>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</si>
  <si>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</si>
  <si>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</si>
  <si>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</si>
  <si>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</si>
  <si>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</si>
  <si>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</si>
  <si>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</si>
  <si>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</si>
  <si>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</si>
  <si>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</si>
  <si>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</si>
  <si>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</si>
  <si>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</si>
  <si>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</si>
  <si>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</si>
  <si>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</si>
  <si>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</si>
  <si>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</si>
  <si>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</si>
  <si>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</si>
  <si>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</si>
  <si>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</si>
  <si>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</si>
  <si>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</si>
  <si>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</si>
  <si>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</si>
  <si>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</si>
  <si>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</si>
  <si>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</si>
  <si>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</si>
  <si>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</si>
  <si>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</si>
  <si>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</si>
  <si>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</si>
  <si>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</si>
  <si>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</si>
  <si>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</si>
  <si>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</si>
  <si>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</si>
  <si>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</si>
  <si>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</si>
  <si>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</si>
  <si>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</si>
  <si>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</si>
  <si>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</si>
  <si>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</si>
  <si>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</si>
  <si>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</si>
  <si>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</si>
  <si>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</si>
  <si>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</si>
  <si>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</si>
  <si>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</si>
  <si>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</si>
  <si>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</si>
  <si>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</si>
  <si>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</si>
  <si>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</si>
  <si>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</si>
  <si>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</si>
  <si>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</si>
  <si>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</si>
  <si>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</si>
  <si>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</si>
  <si>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</si>
  <si>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</si>
  <si>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</si>
  <si>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</si>
  <si>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</si>
  <si>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</si>
  <si>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</si>
  <si>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</si>
  <si>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</si>
  <si>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</si>
  <si>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</si>
  <si>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</si>
  <si>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</si>
  <si>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</si>
  <si>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</si>
  <si>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</si>
  <si>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</si>
  <si>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</si>
  <si>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</si>
  <si>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</si>
  <si>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</si>
  <si>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</si>
  <si>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</si>
  <si>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</si>
  <si>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</si>
  <si>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</si>
  <si>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</si>
  <si>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</si>
  <si>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</si>
  <si>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</si>
  <si>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</si>
  <si>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</si>
  <si>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t>土地使用年期</t>
    <phoneticPr fontId="123" type="noConversion"/>
  </si>
  <si>
    <t>建安费用</t>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</si>
  <si>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</si>
  <si>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</si>
  <si>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</si>
  <si>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</si>
  <si>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</si>
  <si>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</si>
  <si>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</si>
  <si>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</si>
  <si>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</si>
  <si>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</si>
  <si>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</si>
  <si>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</si>
  <si>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</si>
  <si>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</si>
  <si>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</si>
  <si>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</si>
  <si>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</si>
  <si>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</si>
  <si>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</si>
  <si>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</si>
  <si>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</si>
  <si>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</si>
  <si>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</si>
  <si>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</si>
  <si>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</si>
  <si>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</si>
  <si>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</si>
  <si>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</si>
  <si>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</si>
  <si>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</si>
  <si>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</si>
  <si>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</si>
  <si>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</si>
  <si>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</si>
  <si>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</si>
  <si>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</si>
  <si>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</si>
  <si>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</si>
  <si>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</si>
  <si>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</si>
  <si>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</si>
  <si>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</si>
  <si>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</si>
  <si>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</si>
  <si>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</si>
  <si>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</si>
  <si>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</si>
  <si>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</si>
  <si>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</si>
  <si>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</si>
  <si>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</si>
  <si>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</si>
  <si>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</si>
  <si>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</si>
  <si>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</si>
  <si>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</si>
  <si>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</si>
  <si>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</si>
  <si>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</si>
  <si>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</si>
  <si>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</si>
  <si>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</si>
  <si>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</si>
  <si>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</si>
  <si>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</si>
  <si>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</si>
  <si>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</si>
  <si>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</si>
  <si>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</si>
  <si>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</si>
  <si>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</si>
  <si>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</si>
  <si>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</si>
  <si>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</si>
  <si>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</si>
  <si>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</si>
  <si>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</si>
  <si>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</si>
  <si>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</si>
  <si>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</si>
  <si>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</si>
  <si>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</si>
  <si>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</si>
  <si>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</si>
  <si>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</si>
  <si>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</si>
  <si>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</si>
  <si>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</si>
  <si>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</si>
  <si>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</si>
  <si>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</si>
  <si>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</si>
  <si>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</si>
  <si>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</si>
  <si>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</si>
  <si>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</si>
  <si>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</si>
  <si>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</si>
  <si>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</si>
  <si>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</si>
  <si>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</si>
  <si>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</si>
  <si>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</si>
  <si>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</si>
  <si>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</si>
  <si>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</si>
  <si>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</si>
  <si>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</si>
  <si>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</si>
  <si>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</si>
  <si>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</si>
  <si>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</si>
  <si>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</si>
  <si>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</si>
  <si>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</si>
  <si>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</si>
  <si>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</si>
  <si>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</si>
  <si>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</si>
  <si>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</si>
  <si>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</si>
  <si>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</si>
  <si>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</si>
  <si>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</si>
  <si>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</si>
  <si>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</si>
  <si>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</si>
  <si>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</si>
  <si>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</si>
  <si>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</si>
  <si>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</si>
  <si>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</si>
  <si>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</si>
  <si>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</si>
  <si>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</si>
  <si>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</si>
  <si>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</si>
  <si>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</si>
  <si>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</si>
  <si>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</si>
  <si>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</si>
  <si>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</si>
  <si>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</si>
  <si>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</si>
  <si>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</si>
  <si>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</si>
  <si>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</si>
  <si>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</si>
  <si>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</si>
  <si>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</si>
  <si>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</si>
  <si>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</si>
  <si>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</si>
  <si>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</si>
  <si>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</si>
  <si>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</si>
  <si>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</si>
  <si>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</si>
  <si>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</si>
  <si>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</si>
  <si>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</si>
  <si>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</si>
  <si>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</si>
  <si>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</si>
  <si>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</si>
  <si>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</si>
  <si>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</si>
  <si>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</si>
  <si>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</si>
  <si>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</si>
  <si>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</si>
  <si>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</si>
  <si>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</si>
  <si>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</si>
  <si>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</si>
  <si>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</si>
  <si>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</si>
  <si>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</si>
  <si>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</si>
  <si>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</si>
  <si>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</si>
  <si>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</si>
  <si>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</si>
  <si>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</si>
  <si>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</si>
  <si>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</si>
  <si>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</si>
  <si>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</si>
  <si>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</si>
  <si>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</si>
  <si>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</si>
  <si>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</si>
  <si>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</si>
  <si>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</si>
  <si>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</si>
  <si>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</si>
  <si>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</si>
  <si>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</si>
  <si>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</si>
  <si>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</si>
  <si>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</si>
  <si>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</si>
  <si>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</si>
  <si>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</si>
  <si>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</si>
  <si>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</si>
  <si>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</si>
  <si>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</si>
  <si>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</si>
  <si>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</si>
  <si>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</si>
  <si>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</si>
  <si>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</si>
  <si>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</si>
  <si>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</si>
  <si>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</si>
  <si>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</si>
  <si>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</si>
  <si>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</si>
  <si>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</si>
  <si>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</si>
  <si>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</si>
  <si>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</si>
  <si>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</si>
  <si>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</si>
  <si>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</si>
  <si>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</si>
  <si>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</si>
  <si>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</si>
  <si>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</si>
  <si>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</si>
  <si>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</si>
  <si>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</si>
  <si>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</si>
  <si>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</si>
  <si>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</si>
  <si>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</si>
  <si>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</si>
  <si>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</si>
  <si>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</si>
  <si>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</si>
  <si>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</si>
  <si>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</si>
  <si>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</si>
  <si>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</si>
  <si>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</si>
  <si>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</si>
  <si>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</si>
  <si>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</si>
  <si>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</si>
  <si>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</si>
  <si>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</si>
  <si>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</si>
  <si>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</si>
  <si>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</si>
  <si>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</si>
  <si>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</si>
  <si>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</si>
  <si>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</si>
  <si>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</si>
  <si>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</si>
  <si>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</si>
  <si>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</si>
  <si>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</si>
  <si>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</si>
  <si>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</si>
  <si>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</si>
  <si>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</si>
  <si>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</si>
  <si>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</si>
  <si>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</si>
  <si>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</si>
  <si>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</si>
  <si>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</si>
  <si>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</si>
  <si>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</si>
  <si>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</si>
  <si>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</si>
  <si>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</si>
  <si>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</si>
  <si>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</si>
  <si>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</si>
  <si>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</si>
  <si>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</si>
  <si>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</si>
  <si>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</si>
  <si>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</si>
  <si>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</si>
  <si>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</si>
  <si>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</si>
  <si>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</si>
  <si>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</si>
  <si>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</si>
  <si>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</si>
  <si>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</si>
  <si>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</si>
  <si>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</si>
  <si>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</si>
  <si>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</si>
  <si>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</si>
  <si>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</si>
  <si>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</si>
  <si>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</si>
  <si>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</si>
  <si>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</si>
  <si>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</si>
  <si>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</si>
  <si>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</si>
  <si>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</si>
  <si>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</si>
  <si>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</si>
  <si>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</si>
  <si>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</si>
  <si>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</si>
  <si>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</si>
  <si>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</si>
  <si>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</si>
  <si>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</si>
  <si>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</si>
  <si>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</si>
  <si>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</si>
  <si>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</si>
  <si>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</si>
  <si>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</si>
  <si>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</si>
  <si>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</si>
  <si>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</si>
  <si>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</si>
  <si>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</si>
  <si>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</si>
  <si>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</si>
  <si>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</si>
  <si>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</si>
  <si>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</si>
  <si>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</si>
  <si>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</si>
  <si>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</si>
  <si>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</si>
  <si>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</si>
  <si>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</si>
  <si>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</si>
  <si>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</si>
  <si>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</si>
  <si>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</si>
  <si>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</si>
  <si>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</si>
  <si>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</si>
  <si>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</si>
  <si>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</si>
  <si>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</si>
  <si>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</si>
  <si>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</si>
  <si>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</si>
  <si>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</si>
  <si>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</si>
  <si>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</si>
  <si>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</si>
  <si>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</si>
  <si>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</si>
  <si>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</si>
  <si>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</si>
  <si>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</si>
  <si>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</si>
  <si>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</si>
  <si>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</si>
  <si>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</si>
  <si>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</si>
  <si>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</si>
  <si>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</si>
  <si>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</si>
  <si>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</si>
  <si>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</si>
  <si>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</si>
  <si>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</si>
  <si>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</si>
  <si>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</si>
  <si>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</si>
  <si>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</si>
  <si>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</si>
  <si>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</si>
  <si>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</si>
  <si>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</si>
  <si>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</si>
  <si>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</si>
  <si>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</si>
  <si>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</si>
  <si>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</si>
  <si>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</si>
  <si>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</si>
  <si>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</si>
  <si>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</si>
  <si>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</si>
  <si>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</si>
  <si>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</si>
  <si>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</si>
  <si>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</si>
  <si>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</si>
  <si>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</si>
  <si>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</si>
  <si>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</si>
  <si>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</si>
  <si>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</si>
  <si>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</si>
  <si>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</si>
  <si>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</si>
  <si>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</si>
  <si>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</si>
  <si>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</si>
  <si>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</si>
  <si>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</si>
  <si>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</si>
  <si>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</si>
  <si>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</si>
  <si>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</si>
  <si>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</si>
  <si>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</si>
  <si>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</si>
  <si>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</si>
  <si>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</si>
  <si>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</si>
  <si>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</si>
  <si>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</si>
  <si>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</si>
  <si>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</si>
  <si>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</si>
  <si>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</si>
  <si>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</si>
  <si>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</si>
  <si>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</si>
  <si>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</si>
  <si>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</si>
  <si>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</si>
  <si>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</si>
  <si>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</si>
  <si>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</si>
  <si>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</si>
  <si>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</si>
  <si>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</si>
  <si>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</si>
  <si>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</si>
  <si>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</si>
  <si>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</si>
  <si>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</si>
  <si>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</si>
  <si>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</si>
  <si>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</si>
  <si>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</si>
  <si>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</si>
  <si>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</si>
  <si>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</si>
  <si>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</si>
  <si>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</si>
  <si>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</si>
  <si>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</si>
  <si>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</si>
  <si>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</si>
  <si>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</si>
  <si>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</si>
  <si>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</si>
  <si>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</si>
  <si>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</si>
  <si>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</si>
  <si>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</si>
  <si>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</si>
  <si>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</si>
  <si>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</si>
  <si>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</si>
  <si>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</si>
  <si>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</si>
  <si>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</si>
  <si>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</si>
  <si>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</si>
  <si>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</si>
  <si>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</si>
  <si>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</si>
  <si>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</si>
  <si>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</si>
  <si>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</si>
  <si>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</si>
  <si>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</si>
  <si>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</si>
  <si>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</si>
  <si>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</si>
  <si>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</si>
  <si>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</si>
  <si>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</si>
  <si>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</si>
  <si>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</si>
  <si>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</si>
  <si>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</si>
  <si>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</si>
  <si>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</si>
  <si>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</si>
  <si>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</si>
  <si>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</si>
  <si>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</si>
  <si>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</si>
  <si>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</si>
  <si>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</si>
  <si>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</si>
  <si>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</si>
  <si>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</si>
  <si>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</si>
  <si>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</si>
  <si>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</si>
  <si>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</si>
  <si>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</si>
  <si>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</si>
  <si>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</si>
  <si>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</si>
  <si>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</si>
  <si>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</si>
  <si>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</si>
  <si>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</si>
  <si>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</si>
  <si>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</si>
  <si>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</si>
  <si>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</si>
  <si>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</si>
  <si>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</si>
  <si>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</si>
  <si>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</si>
  <si>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</si>
  <si>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</si>
  <si>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</si>
  <si>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</si>
  <si>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</si>
  <si>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</si>
  <si>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</si>
  <si>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</si>
  <si>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</si>
  <si>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</si>
  <si>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</si>
  <si>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</si>
  <si>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</si>
  <si>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</si>
  <si>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</si>
  <si>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</si>
  <si>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</si>
  <si>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</si>
  <si>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</si>
  <si>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</si>
  <si>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</si>
  <si>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</si>
  <si>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</si>
  <si>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</si>
  <si>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</si>
  <si>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</si>
  <si>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</si>
  <si>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</si>
  <si>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</si>
  <si>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</si>
  <si>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</si>
  <si>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</si>
  <si>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</si>
  <si>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</si>
  <si>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</si>
  <si>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</si>
  <si>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</si>
  <si>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</si>
  <si>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</si>
  <si>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</si>
  <si>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</si>
  <si>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</si>
  <si>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</si>
  <si>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</si>
  <si>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</si>
  <si>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</si>
  <si>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</si>
  <si>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</si>
  <si>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</si>
  <si>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</si>
  <si>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</si>
  <si>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</si>
  <si>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</si>
  <si>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</si>
  <si>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</si>
  <si>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</si>
  <si>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</si>
  <si>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</si>
  <si>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</si>
  <si>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</si>
  <si>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</si>
  <si>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</si>
  <si>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</si>
  <si>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</si>
  <si>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</si>
  <si>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</si>
  <si>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</si>
  <si>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</si>
  <si>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</si>
  <si>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</si>
  <si>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</si>
  <si>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</si>
  <si>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</si>
  <si>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</si>
  <si>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</si>
  <si>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</si>
  <si>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</si>
  <si>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</si>
  <si>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</si>
  <si>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</si>
  <si>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</si>
  <si>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</si>
  <si>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</si>
  <si>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</si>
  <si>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</si>
  <si>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</si>
  <si>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</si>
  <si>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</si>
  <si>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</si>
  <si>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</si>
  <si>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</si>
  <si>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</si>
  <si>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</si>
  <si>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</si>
  <si>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</si>
  <si>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</si>
  <si>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</si>
  <si>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</si>
  <si>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</si>
  <si>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</si>
  <si>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</si>
  <si>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</si>
  <si>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</si>
  <si>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</si>
  <si>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</si>
  <si>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</si>
  <si>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</si>
  <si>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</si>
  <si>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</si>
  <si>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</si>
  <si>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</si>
  <si>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</si>
  <si>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</si>
  <si>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</si>
  <si>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</si>
  <si>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</si>
  <si>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</si>
  <si>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</si>
  <si>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</si>
  <si>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</si>
  <si>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</si>
  <si>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</si>
  <si>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</si>
  <si>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</si>
  <si>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</si>
  <si>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</si>
  <si>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</si>
  <si>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</si>
  <si>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</si>
  <si>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</si>
  <si>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</si>
  <si>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</si>
  <si>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</si>
  <si>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</si>
  <si>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</si>
  <si>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</si>
  <si>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</si>
  <si>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</si>
  <si>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</si>
  <si>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</si>
  <si>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</si>
  <si>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</si>
  <si>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</si>
  <si>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</si>
  <si>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</si>
  <si>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</si>
  <si>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</si>
  <si>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</si>
  <si>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</si>
  <si>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</si>
  <si>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</si>
  <si>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</si>
  <si>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</si>
  <si>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</si>
  <si>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</si>
  <si>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</si>
  <si>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</si>
  <si>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</si>
  <si>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</si>
  <si>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</si>
  <si>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</si>
  <si>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</si>
  <si>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</si>
  <si>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</si>
  <si>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</si>
  <si>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</si>
  <si>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</si>
  <si>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</si>
  <si>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</si>
  <si>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</si>
  <si>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</si>
  <si>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</si>
  <si>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</si>
  <si>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</si>
  <si>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</si>
  <si>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</si>
  <si>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</si>
  <si>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</si>
  <si>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</si>
  <si>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</si>
  <si>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</si>
  <si>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</si>
  <si>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</si>
  <si>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</si>
  <si>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</si>
  <si>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</si>
  <si>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</si>
  <si>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</si>
  <si>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</si>
  <si>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</si>
  <si>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</si>
  <si>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</si>
  <si>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</si>
  <si>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</si>
  <si>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</si>
  <si>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</si>
  <si>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</si>
  <si>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</si>
  <si>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</si>
  <si>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</si>
  <si>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</si>
  <si>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</si>
  <si>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</si>
  <si>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</si>
  <si>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</si>
  <si>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</si>
  <si>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</si>
  <si>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</si>
  <si>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</si>
  <si>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</si>
  <si>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</si>
  <si>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</si>
  <si>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</si>
  <si>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</si>
  <si>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</si>
  <si>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</si>
  <si>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</si>
  <si>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</si>
  <si>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</si>
  <si>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</si>
  <si>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</si>
  <si>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</si>
  <si>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</si>
  <si>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</si>
  <si>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</si>
  <si>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</si>
  <si>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</si>
  <si>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</si>
  <si>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</si>
  <si>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</si>
  <si>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</si>
  <si>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</si>
  <si>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</si>
  <si>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</si>
  <si>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</si>
  <si>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</si>
  <si>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</si>
  <si>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</si>
  <si>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</si>
  <si>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</si>
  <si>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</si>
  <si>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</si>
  <si>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</si>
  <si>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</si>
  <si>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</si>
  <si>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</si>
  <si>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</si>
  <si>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</si>
  <si>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</si>
  <si>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</si>
  <si>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</si>
  <si>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</si>
  <si>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</si>
  <si>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</si>
  <si>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</si>
  <si>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</si>
  <si>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</si>
  <si>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</si>
  <si>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</si>
  <si>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</si>
  <si>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</si>
  <si>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</si>
  <si>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</si>
  <si>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</si>
  <si>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</si>
  <si>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</si>
  <si>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</si>
  <si>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</si>
  <si>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</si>
  <si>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</si>
  <si>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</si>
  <si>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</si>
  <si>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</si>
  <si>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</si>
  <si>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</si>
  <si>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</si>
  <si>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</si>
  <si>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</si>
  <si>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</si>
  <si>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</si>
  <si>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</si>
  <si>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</si>
  <si>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</si>
  <si>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</si>
  <si>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</si>
  <si>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</si>
  <si>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</si>
  <si>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</si>
  <si>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</si>
  <si>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</si>
  <si>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</si>
  <si>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</si>
  <si>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</si>
  <si>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</si>
  <si>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</si>
  <si>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</si>
  <si>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</si>
  <si>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</si>
  <si>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</si>
  <si>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</si>
  <si>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</si>
  <si>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</si>
  <si>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</si>
  <si>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</si>
  <si>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</si>
  <si>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</si>
  <si>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</si>
  <si>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</si>
  <si>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</si>
  <si>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</si>
  <si>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</si>
  <si>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</si>
  <si>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</si>
  <si>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</si>
  <si>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</si>
  <si>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</si>
  <si>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</si>
  <si>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</si>
  <si>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</si>
  <si>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</si>
  <si>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</si>
  <si>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</si>
  <si>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</si>
  <si>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</si>
  <si>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</si>
  <si>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</si>
  <si>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</si>
  <si>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</si>
  <si>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</si>
  <si>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</si>
  <si>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</si>
  <si>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</si>
  <si>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</si>
  <si>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</si>
  <si>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</si>
  <si>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</si>
  <si>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</si>
  <si>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</si>
  <si>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</si>
  <si>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</si>
  <si>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</si>
  <si>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</si>
  <si>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</si>
  <si>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</si>
  <si>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</si>
  <si>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</si>
  <si>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</si>
  <si>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</si>
  <si>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</si>
  <si>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</si>
  <si>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</si>
  <si>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</si>
  <si>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</si>
  <si>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</si>
  <si>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</si>
  <si>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</si>
  <si>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</si>
  <si>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</si>
  <si>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</si>
  <si>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</si>
  <si>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</si>
  <si>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</si>
  <si>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</si>
  <si>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</si>
  <si>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</si>
  <si>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</si>
  <si>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</si>
  <si>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</si>
  <si>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</si>
  <si>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</si>
  <si>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</si>
  <si>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</si>
  <si>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</si>
  <si>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</si>
  <si>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</si>
  <si>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</si>
  <si>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</si>
  <si>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</si>
  <si>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</si>
  <si>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</si>
  <si>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</si>
  <si>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</si>
  <si>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</si>
  <si>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</si>
  <si>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</si>
  <si>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</si>
  <si>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</si>
  <si>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</si>
  <si>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</si>
  <si>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</si>
  <si>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</si>
  <si>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</si>
  <si>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</si>
  <si>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</si>
  <si>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</si>
  <si>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</si>
  <si>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</si>
  <si>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</si>
  <si>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</si>
  <si>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</si>
  <si>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</si>
  <si>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</si>
  <si>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</si>
  <si>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</si>
  <si>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</si>
  <si>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</si>
  <si>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</si>
  <si>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</si>
  <si>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</si>
  <si>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</si>
  <si>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</si>
  <si>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</si>
  <si>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</si>
  <si>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</si>
  <si>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</si>
  <si>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</si>
  <si>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</si>
  <si>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</si>
  <si>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</si>
  <si>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</si>
  <si>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</si>
  <si>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</si>
  <si>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</si>
  <si>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</si>
  <si>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</si>
  <si>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</si>
  <si>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</si>
  <si>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</si>
  <si>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</si>
  <si>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</si>
  <si>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</si>
  <si>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</si>
  <si>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</si>
  <si>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</si>
  <si>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</si>
  <si>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</si>
  <si>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</si>
  <si>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</si>
  <si>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</si>
  <si>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</si>
  <si>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</si>
  <si>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</si>
  <si>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</si>
  <si>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</si>
  <si>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</si>
  <si>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</si>
  <si>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</si>
  <si>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</si>
  <si>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</si>
  <si>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</si>
  <si>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</si>
  <si>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</si>
  <si>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</si>
  <si>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</si>
  <si>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</si>
  <si>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</si>
  <si>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</si>
  <si>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</si>
  <si>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</si>
  <si>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</si>
  <si>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</si>
  <si>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</si>
  <si>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</si>
  <si>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</si>
  <si>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</si>
  <si>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</si>
  <si>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</si>
  <si>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</si>
  <si>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</si>
  <si>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</si>
  <si>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</si>
  <si>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</si>
  <si>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</si>
  <si>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</si>
  <si>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</si>
  <si>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</si>
  <si>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</si>
  <si>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</si>
  <si>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</si>
  <si>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</si>
  <si>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</si>
  <si>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</si>
  <si>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</si>
  <si>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</si>
  <si>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</si>
  <si>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</si>
  <si>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</si>
  <si>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</si>
  <si>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</si>
  <si>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</si>
  <si>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</si>
  <si>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</si>
  <si>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</si>
  <si>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</si>
  <si>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</si>
  <si>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</si>
  <si>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</si>
  <si>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</si>
  <si>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</si>
  <si>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</si>
  <si>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</si>
  <si>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</si>
  <si>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</si>
  <si>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</si>
  <si>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</si>
  <si>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</si>
  <si>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</si>
  <si>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</si>
  <si>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</si>
  <si>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</si>
  <si>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</si>
  <si>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</si>
  <si>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</si>
  <si>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</si>
  <si>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</si>
  <si>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</si>
  <si>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</si>
  <si>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</si>
  <si>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</si>
  <si>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</si>
  <si>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</si>
  <si>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</si>
  <si>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</si>
  <si>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</si>
  <si>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</si>
  <si>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</si>
  <si>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</si>
  <si>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</si>
  <si>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</si>
  <si>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</si>
  <si>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</si>
  <si>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</si>
  <si>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</si>
  <si>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</si>
  <si>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</si>
  <si>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</si>
  <si>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</si>
  <si>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</si>
  <si>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</si>
  <si>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</si>
  <si>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</si>
  <si>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</si>
  <si>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</si>
  <si>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</si>
  <si>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</si>
  <si>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</si>
  <si>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</si>
  <si>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</si>
  <si>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</si>
  <si>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</si>
  <si>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</si>
  <si>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</si>
  <si>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</si>
  <si>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</si>
  <si>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</si>
  <si>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</si>
  <si>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</si>
  <si>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</si>
  <si>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</si>
  <si>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</si>
  <si>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</si>
  <si>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</si>
  <si>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</si>
  <si>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</si>
  <si>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</si>
  <si>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</si>
  <si>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</si>
  <si>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</si>
  <si>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</si>
  <si>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</si>
  <si>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</si>
  <si>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</si>
  <si>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</si>
  <si>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</si>
  <si>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</si>
  <si>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</si>
  <si>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</si>
  <si>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</si>
  <si>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</si>
  <si>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</si>
  <si>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</si>
  <si>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</si>
  <si>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</si>
  <si>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</si>
  <si>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</si>
  <si>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</si>
  <si>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</si>
  <si>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</si>
  <si>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</si>
  <si>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</si>
  <si>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</si>
  <si>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</si>
  <si>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</si>
  <si>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</si>
  <si>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</si>
  <si>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</si>
  <si>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</si>
  <si>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</si>
  <si>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</si>
  <si>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</si>
  <si>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</si>
  <si>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</si>
  <si>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</si>
  <si>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</si>
  <si>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</si>
  <si>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</si>
  <si>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</si>
  <si>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</si>
  <si>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</si>
  <si>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</si>
  <si>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</si>
  <si>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</si>
  <si>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</si>
  <si>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</si>
  <si>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</si>
  <si>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</si>
  <si>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</si>
  <si>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</si>
  <si>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</si>
  <si>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</si>
  <si>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</si>
  <si>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</si>
  <si>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</si>
  <si>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</si>
  <si>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</si>
  <si>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</si>
  <si>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</si>
  <si>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</si>
  <si>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</si>
  <si>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</si>
  <si>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</si>
  <si>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</si>
  <si>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</si>
  <si>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</si>
  <si>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</si>
  <si>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</si>
  <si>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</si>
  <si>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</si>
  <si>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</si>
  <si>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</si>
  <si>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</si>
  <si>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</si>
  <si>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</si>
  <si>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</si>
  <si>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</si>
  <si>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</si>
  <si>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</si>
  <si>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</si>
  <si>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</si>
  <si>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</si>
  <si>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</si>
  <si>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</si>
  <si>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</si>
  <si>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</si>
  <si>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</si>
  <si>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</si>
  <si>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</si>
  <si>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</si>
  <si>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</si>
  <si>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</si>
  <si>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</si>
  <si>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</si>
  <si>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</si>
  <si>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</si>
  <si>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</si>
  <si>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</si>
  <si>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</si>
  <si>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</si>
  <si>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</si>
  <si>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</si>
  <si>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</si>
  <si>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</si>
  <si>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</si>
  <si>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</si>
  <si>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</si>
  <si>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</si>
  <si>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</si>
  <si>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</si>
  <si>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</si>
  <si>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</si>
  <si>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</si>
  <si>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</si>
  <si>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</si>
  <si>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</si>
  <si>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</si>
  <si>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</si>
  <si>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</si>
  <si>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</si>
  <si>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</si>
  <si>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</si>
  <si>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</si>
  <si>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</si>
  <si>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</si>
  <si>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</si>
  <si>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</si>
  <si>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</si>
  <si>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</si>
  <si>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</si>
  <si>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</si>
  <si>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</si>
  <si>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</si>
  <si>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</si>
  <si>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</si>
  <si>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</si>
  <si>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</si>
  <si>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</si>
  <si>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</si>
  <si>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</si>
  <si>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</si>
  <si>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</si>
  <si>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</si>
  <si>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</si>
  <si>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</si>
  <si>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</si>
  <si>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</si>
  <si>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</si>
  <si>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</si>
  <si>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</si>
  <si>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</si>
  <si>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</si>
  <si>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</si>
  <si>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</si>
  <si>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</si>
  <si>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</si>
  <si>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</si>
  <si>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</si>
  <si>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</si>
  <si>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</si>
  <si>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</si>
  <si>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</si>
  <si>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</si>
  <si>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</si>
  <si>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</si>
  <si>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</si>
  <si>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</si>
  <si>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</si>
  <si>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</si>
  <si>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</si>
  <si>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</si>
  <si>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</si>
  <si>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</si>
  <si>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</si>
  <si>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</si>
  <si>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</si>
  <si>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</si>
  <si>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</si>
  <si>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</si>
  <si>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</si>
  <si>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</si>
  <si>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</si>
  <si>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</si>
  <si>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</si>
  <si>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</si>
  <si>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</si>
  <si>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</si>
  <si>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</si>
  <si>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</si>
  <si>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</si>
  <si>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</si>
  <si>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</si>
  <si>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</si>
  <si>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</si>
  <si>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</si>
  <si>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</si>
  <si>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</si>
  <si>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</si>
  <si>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</si>
  <si>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</si>
  <si>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</si>
  <si>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</si>
  <si>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</si>
  <si>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</si>
  <si>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</si>
  <si>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</si>
  <si>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</si>
  <si>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</si>
  <si>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</si>
  <si>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</si>
  <si>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</si>
  <si>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</si>
  <si>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</si>
  <si>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</si>
  <si>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</si>
  <si>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</si>
  <si>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</si>
  <si>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</si>
  <si>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</si>
  <si>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</si>
  <si>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</si>
  <si>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</si>
  <si>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</si>
  <si>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</si>
  <si>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</si>
  <si>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</si>
  <si>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</si>
  <si>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</si>
  <si>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</si>
  <si>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</si>
  <si>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</si>
  <si>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</si>
  <si>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</si>
  <si>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</si>
  <si>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</si>
  <si>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</si>
  <si>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</si>
  <si>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</si>
  <si>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</si>
  <si>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</si>
  <si>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</si>
  <si>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</si>
  <si>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</si>
  <si>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</si>
  <si>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</si>
  <si>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</si>
  <si>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</si>
  <si>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</si>
  <si>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</si>
  <si>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</si>
  <si>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</si>
  <si>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</si>
  <si>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</si>
  <si>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</si>
  <si>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</si>
  <si>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</si>
  <si>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</si>
  <si>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</si>
  <si>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</si>
  <si>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</si>
  <si>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</si>
  <si>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</si>
  <si>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</si>
  <si>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</si>
  <si>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</si>
  <si>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</si>
  <si>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</si>
  <si>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</si>
  <si>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</si>
  <si>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</si>
  <si>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</si>
  <si>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</si>
  <si>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</si>
  <si>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</si>
  <si>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</si>
  <si>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</si>
  <si>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</si>
  <si>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</si>
  <si>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</si>
  <si>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</si>
  <si>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</si>
  <si>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</si>
  <si>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</si>
  <si>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</si>
  <si>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</si>
  <si>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</si>
  <si>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</si>
  <si>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</si>
  <si>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</si>
  <si>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</si>
  <si>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</si>
  <si>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</si>
  <si>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</si>
  <si>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</si>
  <si>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</si>
  <si>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</si>
  <si>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</si>
  <si>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</si>
  <si>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</si>
  <si>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</si>
  <si>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</si>
  <si>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</si>
  <si>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</si>
  <si>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</si>
  <si>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</si>
  <si>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</si>
  <si>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</si>
  <si>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</si>
  <si>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</si>
  <si>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</si>
  <si>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</si>
  <si>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</si>
  <si>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</si>
  <si>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</si>
  <si>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</si>
  <si>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</si>
  <si>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</si>
  <si>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</si>
  <si>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</si>
  <si>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</si>
  <si>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</si>
  <si>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</si>
  <si>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</si>
  <si>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</si>
  <si>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</si>
  <si>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</si>
  <si>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</si>
  <si>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</si>
  <si>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</si>
  <si>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</si>
  <si>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</si>
  <si>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</si>
  <si>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</si>
  <si>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</si>
  <si>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</si>
  <si>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</si>
  <si>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</si>
  <si>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</si>
  <si>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</si>
  <si>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</si>
  <si>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</si>
  <si>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</si>
  <si>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</si>
  <si>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</si>
  <si>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</si>
  <si>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</si>
  <si>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</si>
  <si>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</si>
  <si>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</si>
  <si>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</si>
  <si>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</si>
  <si>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</si>
  <si>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</si>
  <si>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</si>
  <si>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</si>
  <si>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</si>
  <si>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</si>
  <si>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</si>
  <si>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</si>
  <si>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</si>
  <si>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</si>
  <si>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</si>
  <si>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</si>
  <si>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</si>
  <si>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</si>
  <si>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</si>
  <si>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</si>
  <si>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</si>
  <si>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</si>
  <si>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</si>
  <si>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</si>
  <si>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</si>
  <si>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</si>
  <si>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</si>
  <si>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</si>
  <si>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</si>
  <si>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</si>
  <si>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</si>
  <si>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</si>
  <si>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</si>
  <si>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</si>
  <si>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</si>
  <si>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</si>
  <si>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</si>
  <si>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</si>
  <si>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</si>
  <si>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</si>
  <si>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</si>
  <si>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</si>
  <si>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</si>
  <si>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</si>
  <si>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</si>
  <si>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</si>
  <si>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</si>
  <si>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</si>
  <si>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</si>
  <si>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</si>
  <si>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</si>
  <si>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</si>
  <si>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</si>
  <si>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</si>
  <si>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</si>
  <si>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</si>
  <si>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</si>
  <si>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</si>
  <si>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</si>
  <si>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</si>
  <si>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</si>
  <si>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</si>
  <si>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</si>
  <si>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</si>
  <si>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</si>
  <si>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</si>
  <si>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</si>
  <si>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</si>
  <si>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</si>
  <si>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</si>
  <si>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</si>
  <si>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</si>
  <si>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</si>
  <si>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</si>
  <si>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</si>
  <si>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</si>
  <si>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</si>
  <si>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</si>
  <si>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</si>
  <si>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</si>
  <si>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</si>
  <si>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</si>
  <si>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</si>
  <si>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</si>
  <si>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</si>
  <si>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</si>
  <si>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</si>
  <si>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</si>
  <si>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</si>
  <si>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</si>
  <si>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</si>
  <si>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</si>
  <si>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</si>
  <si>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</si>
  <si>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</si>
  <si>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</si>
  <si>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</si>
  <si>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</si>
  <si>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</si>
  <si>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</si>
  <si>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</si>
  <si>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</si>
  <si>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</si>
  <si>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</si>
  <si>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</si>
  <si>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</si>
  <si>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</si>
  <si>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</si>
  <si>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</si>
  <si>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</si>
  <si>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</si>
  <si>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</si>
  <si>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</si>
  <si>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</si>
  <si>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</si>
  <si>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</si>
  <si>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</si>
  <si>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</si>
  <si>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</si>
  <si>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</si>
  <si>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</si>
  <si>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</si>
  <si>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</si>
  <si>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</si>
  <si>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</si>
  <si>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</si>
  <si>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</si>
  <si>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</si>
  <si>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</si>
  <si>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</si>
  <si>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</si>
  <si>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</si>
  <si>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</si>
  <si>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</si>
  <si>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</si>
  <si>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</si>
  <si>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</si>
  <si>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</si>
  <si>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</si>
  <si>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</si>
  <si>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</si>
  <si>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</si>
  <si>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</si>
  <si>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</si>
  <si>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</si>
  <si>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</si>
  <si>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</si>
  <si>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</si>
  <si>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</si>
  <si>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</si>
  <si>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</si>
  <si>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</si>
  <si>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</si>
  <si>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</si>
  <si>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</si>
  <si>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</si>
  <si>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</si>
  <si>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</si>
  <si>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</si>
  <si>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</si>
  <si>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</si>
  <si>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</si>
  <si>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</si>
  <si>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</si>
  <si>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</si>
  <si>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</si>
  <si>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</si>
  <si>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</si>
  <si>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</si>
  <si>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</si>
  <si>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</si>
  <si>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</si>
  <si>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</si>
  <si>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</si>
  <si>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</si>
  <si>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</si>
  <si>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</si>
  <si>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</si>
  <si>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</si>
  <si>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</si>
  <si>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</si>
  <si>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</si>
  <si>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</si>
  <si>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</si>
  <si>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</si>
  <si>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</si>
  <si>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</si>
  <si>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</si>
  <si>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</si>
  <si>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</si>
  <si>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</si>
  <si>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</si>
  <si>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</si>
  <si>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</si>
  <si>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</si>
  <si>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</si>
  <si>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</si>
  <si>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</si>
  <si>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</si>
  <si>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</si>
  <si>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</si>
  <si>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</si>
  <si>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</si>
  <si>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</si>
  <si>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</si>
  <si>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</si>
  <si>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</si>
  <si>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</si>
  <si>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</si>
  <si>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</si>
  <si>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</si>
  <si>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</si>
  <si>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</si>
  <si>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</si>
  <si>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</si>
  <si>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</si>
  <si>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</si>
  <si>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</si>
  <si>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</si>
  <si>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</si>
  <si>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</si>
  <si>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</si>
  <si>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</si>
  <si>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</si>
  <si>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</si>
  <si>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</si>
  <si>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</si>
  <si>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</si>
  <si>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</si>
  <si>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</si>
  <si>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</si>
  <si>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</si>
  <si>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</si>
  <si>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</si>
  <si>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</si>
  <si>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</si>
  <si>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</si>
  <si>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</si>
  <si>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</si>
  <si>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</si>
  <si>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</si>
  <si>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</si>
  <si>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</si>
  <si>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</si>
  <si>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</si>
  <si>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</si>
  <si>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</si>
  <si>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</si>
  <si>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</si>
  <si>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</si>
  <si>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</si>
  <si>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</si>
  <si>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</si>
  <si>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</si>
  <si>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</si>
  <si>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</si>
  <si>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</si>
  <si>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</si>
  <si>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</si>
  <si>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</si>
  <si>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</si>
  <si>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</si>
  <si>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</si>
  <si>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</si>
  <si>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</si>
  <si>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</si>
  <si>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</si>
  <si>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</si>
  <si>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</si>
  <si>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</si>
  <si>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</si>
  <si>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</si>
  <si>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</si>
  <si>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</si>
  <si>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</si>
  <si>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</si>
  <si>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</si>
  <si>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</si>
  <si>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</si>
  <si>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</si>
  <si>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</si>
  <si>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</si>
  <si>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</si>
  <si>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</si>
  <si>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</si>
  <si>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</si>
  <si>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</si>
  <si>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</si>
  <si>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</si>
  <si>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</si>
  <si>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</si>
  <si>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</si>
  <si>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</si>
  <si>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</si>
  <si>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</si>
  <si>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</si>
  <si>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</si>
  <si>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</si>
  <si>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</si>
  <si>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</si>
  <si>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</si>
  <si>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</si>
  <si>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</si>
  <si>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</si>
  <si>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</si>
  <si>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</si>
  <si>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</si>
  <si>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</si>
  <si>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</si>
  <si>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</si>
  <si>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</si>
  <si>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</si>
  <si>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</si>
  <si>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</si>
  <si>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</si>
  <si>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</si>
  <si>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</si>
  <si>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</si>
  <si>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</si>
  <si>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</si>
  <si>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</si>
  <si>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</si>
  <si>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</si>
  <si>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</si>
  <si>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</si>
  <si>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</si>
  <si>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</si>
  <si>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</si>
  <si>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</si>
  <si>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</si>
  <si>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</si>
  <si>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</si>
  <si>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</si>
  <si>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</si>
  <si>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</si>
  <si>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</si>
  <si>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</si>
  <si>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</si>
  <si>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</si>
  <si>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</si>
  <si>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</si>
  <si>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</si>
  <si>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</si>
  <si>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</si>
  <si>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</si>
  <si>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</si>
  <si>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</si>
  <si>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</si>
  <si>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</si>
  <si>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</si>
  <si>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</si>
  <si>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</si>
  <si>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</si>
  <si>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</si>
  <si>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</si>
  <si>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</si>
  <si>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</si>
  <si>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</si>
  <si>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</si>
  <si>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</si>
  <si>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</si>
  <si>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</si>
  <si>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</si>
  <si>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</si>
  <si>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</si>
  <si>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</si>
  <si>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</si>
  <si>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</si>
  <si>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</si>
  <si>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</si>
  <si>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</si>
  <si>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</si>
  <si>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</si>
  <si>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</si>
  <si>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</si>
  <si>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</si>
  <si>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</si>
  <si>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</si>
  <si>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</si>
  <si>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</si>
  <si>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</si>
  <si>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</si>
  <si>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</si>
  <si>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</si>
  <si>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</si>
  <si>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</si>
  <si>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</si>
  <si>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</si>
  <si>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</si>
  <si>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</si>
  <si>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</si>
  <si>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</si>
  <si>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</si>
  <si>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</si>
  <si>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</si>
  <si>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</si>
  <si>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</si>
  <si>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</si>
  <si>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</si>
  <si>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</si>
  <si>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</si>
  <si>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</si>
  <si>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</si>
  <si>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</si>
  <si>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</si>
  <si>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</si>
  <si>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</si>
  <si>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</si>
  <si>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</si>
  <si>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</si>
  <si>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</si>
  <si>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</si>
  <si>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</si>
  <si>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</si>
  <si>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</si>
  <si>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</si>
  <si>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</si>
  <si>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</si>
  <si>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</si>
  <si>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</si>
  <si>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</si>
  <si>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</si>
  <si>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</si>
  <si>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</si>
  <si>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</si>
  <si>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</si>
  <si>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</si>
  <si>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</si>
  <si>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</si>
  <si>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</si>
  <si>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</si>
  <si>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</si>
  <si>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</si>
  <si>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</si>
  <si>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</si>
  <si>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</si>
  <si>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</si>
  <si>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</si>
  <si>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</si>
  <si>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</si>
  <si>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</si>
  <si>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</si>
  <si>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</si>
  <si>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</si>
  <si>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</si>
  <si>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</si>
  <si>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</si>
  <si>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</si>
  <si>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</si>
  <si>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</si>
  <si>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</si>
  <si>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</si>
  <si>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</si>
  <si>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</si>
  <si>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</si>
  <si>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</si>
  <si>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</si>
  <si>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</si>
  <si>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</si>
  <si>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</si>
  <si>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</si>
  <si>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</si>
  <si>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</si>
  <si>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</si>
  <si>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</si>
  <si>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</si>
  <si>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</si>
  <si>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</si>
  <si>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</si>
  <si>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</si>
  <si>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</si>
  <si>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</si>
  <si>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</si>
  <si>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</si>
  <si>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</si>
  <si>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</si>
  <si>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</si>
  <si>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</si>
  <si>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</si>
  <si>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</si>
  <si>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</si>
  <si>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</si>
  <si>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</si>
  <si>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</si>
  <si>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</si>
  <si>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</si>
  <si>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</si>
  <si>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</si>
  <si>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</si>
  <si>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</si>
  <si>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</si>
  <si>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</si>
  <si>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</si>
  <si>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</si>
  <si>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</si>
  <si>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</si>
  <si>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</si>
  <si>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</si>
  <si>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</si>
  <si>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</si>
  <si>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</si>
  <si>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</si>
  <si>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</si>
  <si>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</si>
  <si>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</si>
  <si>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</si>
  <si>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</si>
  <si>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</si>
  <si>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</si>
  <si>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</si>
  <si>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</si>
  <si>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</si>
  <si>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</si>
  <si>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</si>
  <si>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</si>
  <si>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</si>
  <si>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</si>
  <si>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</si>
  <si>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</si>
  <si>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</si>
  <si>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</si>
  <si>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</si>
  <si>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</si>
  <si>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</si>
  <si>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</si>
  <si>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</si>
  <si>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</si>
  <si>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</si>
  <si>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</si>
  <si>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</si>
  <si>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</si>
  <si>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</si>
  <si>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</si>
  <si>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</si>
  <si>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</si>
  <si>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</si>
  <si>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</si>
  <si>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</si>
  <si>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</si>
  <si>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</si>
  <si>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</si>
  <si>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</si>
  <si>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</si>
  <si>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</si>
  <si>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</si>
  <si>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</si>
  <si>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</si>
  <si>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</si>
  <si>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</si>
  <si>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</si>
  <si>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</si>
  <si>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</si>
  <si>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</si>
  <si>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</si>
  <si>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</si>
  <si>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</si>
  <si>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</si>
  <si>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</si>
  <si>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</si>
  <si>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</si>
  <si>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</si>
  <si>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</si>
  <si>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</si>
  <si>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</si>
  <si>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</si>
  <si>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</si>
  <si>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</si>
  <si>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</si>
  <si>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</si>
  <si>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</si>
  <si>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</si>
  <si>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</si>
  <si>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</si>
  <si>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</si>
  <si>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</si>
  <si>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</si>
  <si>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</si>
  <si>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</si>
  <si>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</si>
  <si>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</si>
  <si>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</si>
  <si>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</si>
  <si>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</si>
  <si>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请录依据文件名称：</t>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</si>
  <si>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</si>
  <si>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</si>
  <si>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</si>
  <si>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</si>
  <si>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</si>
  <si>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</si>
  <si>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</si>
  <si>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</si>
  <si>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</si>
  <si>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</si>
  <si>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</si>
  <si>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</si>
  <si>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</si>
  <si>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</si>
  <si>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</si>
  <si>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</si>
  <si>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</si>
  <si>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</si>
  <si>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</si>
  <si>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</si>
  <si>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</si>
  <si>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</si>
  <si>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</si>
  <si>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</si>
  <si>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</si>
  <si>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</si>
  <si>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</si>
  <si>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</si>
  <si>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</si>
  <si>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</si>
  <si>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</si>
  <si>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</si>
  <si>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</si>
  <si>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</si>
  <si>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</si>
  <si>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</si>
  <si>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</si>
  <si>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</si>
  <si>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</si>
  <si>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</si>
  <si>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</si>
  <si>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</si>
  <si>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</si>
  <si>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</si>
  <si>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</si>
  <si>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</si>
  <si>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</si>
  <si>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</si>
  <si>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</si>
  <si>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</si>
  <si>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</si>
  <si>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</si>
  <si>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</si>
  <si>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</si>
  <si>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</si>
  <si>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</si>
  <si>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</si>
  <si>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</si>
  <si>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</si>
  <si>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</si>
  <si>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</si>
  <si>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</si>
  <si>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</si>
  <si>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</si>
  <si>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</si>
  <si>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</si>
  <si>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</si>
  <si>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</si>
  <si>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</si>
  <si>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</si>
  <si>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王鹏</t>
  </si>
  <si>
    <t>郑燚</t>
  </si>
  <si>
    <t>大业信托有限责任公司</t>
    <phoneticPr fontId="6" type="noConversion"/>
  </si>
  <si>
    <t>——</t>
    <phoneticPr fontId="6" type="noConversion"/>
  </si>
  <si>
    <t>抵押</t>
  </si>
  <si>
    <t>抵押价格</t>
  </si>
  <si>
    <t>其他：</t>
  </si>
  <si>
    <t>浙江省嘉兴市嘉善县</t>
    <phoneticPr fontId="6" type="noConversion"/>
  </si>
  <si>
    <t>大云镇云寺路北侧</t>
  </si>
  <si>
    <t>大云镇云寺路北侧</t>
    <phoneticPr fontId="6" type="noConversion"/>
  </si>
  <si>
    <t>企业</t>
  </si>
  <si>
    <t>嘉善裕景房地产开发有限公司</t>
    <phoneticPr fontId="6" type="noConversion"/>
  </si>
  <si>
    <t>《不动产权证书》[浙（2018）嘉善县不动产权第0017624号]</t>
  </si>
  <si>
    <t>《不动产权证书》[浙（2018）嘉善县不动产权第0017624号]</t>
    <phoneticPr fontId="6" type="noConversion"/>
  </si>
  <si>
    <t>住宅、商业</t>
    <phoneticPr fontId="6" type="noConversion"/>
  </si>
  <si>
    <t>商住用地（住宅、商业）</t>
    <phoneticPr fontId="6" type="noConversion"/>
  </si>
  <si>
    <t>一致</t>
  </si>
  <si>
    <t>出让</t>
  </si>
  <si>
    <t>商业</t>
  </si>
  <si>
    <t>否</t>
  </si>
  <si>
    <t>居住项目</t>
  </si>
  <si>
    <t>无</t>
  </si>
  <si>
    <t>场地平整</t>
  </si>
  <si>
    <t>平整</t>
  </si>
  <si>
    <t>通路</t>
  </si>
  <si>
    <t>通电</t>
  </si>
  <si>
    <t>通上水</t>
  </si>
  <si>
    <t>地上</t>
  </si>
  <si>
    <t>平层住宅</t>
  </si>
  <si>
    <t>底商</t>
  </si>
  <si>
    <t>住宅</t>
    <phoneticPr fontId="7" type="noConversion"/>
  </si>
  <si>
    <t>底商</t>
    <phoneticPr fontId="7" type="noConversion"/>
  </si>
  <si>
    <t>地下</t>
  </si>
  <si>
    <t>车库</t>
  </si>
  <si>
    <r>
      <rPr>
        <b/>
        <sz val="10"/>
        <color indexed="8"/>
        <rFont val="楷体_GB2312"/>
        <family val="3"/>
        <charset val="134"/>
      </rPr>
      <t>价值时点</t>
    </r>
    <r>
      <rPr>
        <b/>
        <sz val="10"/>
        <color indexed="8"/>
        <rFont val="Arial"/>
        <family val="2"/>
      </rPr>
      <t>/</t>
    </r>
    <r>
      <rPr>
        <b/>
        <sz val="10"/>
        <color indexed="8"/>
        <rFont val="楷体_GB2312"/>
        <family val="3"/>
        <charset val="134"/>
      </rPr>
      <t>估价期日</t>
    </r>
    <phoneticPr fontId="3" type="noConversion"/>
  </si>
  <si>
    <r>
      <rPr>
        <b/>
        <sz val="10"/>
        <color indexed="8"/>
        <rFont val="楷体_GB2312"/>
        <family val="3"/>
        <charset val="134"/>
      </rPr>
      <t>综合取费</t>
    </r>
    <phoneticPr fontId="123" type="noConversion"/>
  </si>
  <si>
    <r>
      <rPr>
        <sz val="10"/>
        <color indexed="8"/>
        <rFont val="楷体_GB2312"/>
        <family val="3"/>
        <charset val="134"/>
      </rPr>
      <t>无租约</t>
    </r>
    <r>
      <rPr>
        <sz val="10"/>
        <color indexed="8"/>
        <rFont val="Arial"/>
        <family val="2"/>
      </rPr>
      <t>/</t>
    </r>
    <r>
      <rPr>
        <sz val="10"/>
        <color indexed="8"/>
        <rFont val="楷体_GB2312"/>
        <family val="3"/>
        <charset val="134"/>
      </rPr>
      <t>租期内</t>
    </r>
    <phoneticPr fontId="123" type="noConversion"/>
  </si>
  <si>
    <r>
      <rPr>
        <sz val="10"/>
        <color indexed="8"/>
        <rFont val="楷体_GB2312"/>
        <family val="3"/>
        <charset val="134"/>
      </rPr>
      <t>租期外</t>
    </r>
    <phoneticPr fontId="123" type="noConversion"/>
  </si>
  <si>
    <r>
      <rPr>
        <sz val="10"/>
        <color indexed="8"/>
        <rFont val="楷体_GB2312"/>
        <family val="3"/>
        <charset val="134"/>
      </rPr>
      <t>收益期</t>
    </r>
    <phoneticPr fontId="123" type="noConversion"/>
  </si>
  <si>
    <r>
      <rPr>
        <sz val="10"/>
        <color indexed="8"/>
        <rFont val="楷体_GB2312"/>
        <family val="3"/>
        <charset val="134"/>
      </rPr>
      <t>类别</t>
    </r>
    <phoneticPr fontId="3" type="noConversion"/>
  </si>
  <si>
    <r>
      <rPr>
        <sz val="10"/>
        <color indexed="8"/>
        <rFont val="楷体_GB2312"/>
        <family val="3"/>
        <charset val="134"/>
      </rPr>
      <t>地类判定</t>
    </r>
    <phoneticPr fontId="3" type="noConversion"/>
  </si>
  <si>
    <r>
      <rPr>
        <sz val="10"/>
        <rFont val="楷体_GB2312"/>
        <family val="3"/>
        <charset val="134"/>
      </rPr>
      <t>法定最高</t>
    </r>
    <r>
      <rPr>
        <sz val="10"/>
        <rFont val="Arial"/>
        <family val="2"/>
      </rPr>
      <t>/</t>
    </r>
    <r>
      <rPr>
        <sz val="10"/>
        <rFont val="楷体_GB2312"/>
        <family val="3"/>
        <charset val="134"/>
      </rPr>
      <t>出让年限</t>
    </r>
    <phoneticPr fontId="3" type="noConversion"/>
  </si>
  <si>
    <r>
      <rPr>
        <sz val="10"/>
        <color indexed="8"/>
        <rFont val="楷体_GB2312"/>
        <family val="3"/>
        <charset val="134"/>
      </rPr>
      <t>终止日期</t>
    </r>
    <phoneticPr fontId="3" type="noConversion"/>
  </si>
  <si>
    <r>
      <rPr>
        <sz val="10"/>
        <color indexed="8"/>
        <rFont val="楷体_GB2312"/>
        <family val="3"/>
        <charset val="134"/>
      </rPr>
      <t>剩余土地使用年限</t>
    </r>
    <phoneticPr fontId="3" type="noConversion"/>
  </si>
  <si>
    <r>
      <rPr>
        <sz val="10"/>
        <color indexed="8"/>
        <rFont val="楷体_GB2312"/>
        <family val="3"/>
        <charset val="134"/>
      </rPr>
      <t>年期修正系数</t>
    </r>
    <phoneticPr fontId="3" type="noConversion"/>
  </si>
  <si>
    <r>
      <rPr>
        <sz val="10"/>
        <color indexed="8"/>
        <rFont val="楷体_GB2312"/>
        <family val="3"/>
        <charset val="134"/>
      </rPr>
      <t>还原率</t>
    </r>
    <r>
      <rPr>
        <sz val="10"/>
        <color indexed="8"/>
        <rFont val="Arial"/>
        <family val="2"/>
      </rPr>
      <t>-</t>
    </r>
    <r>
      <rPr>
        <sz val="10"/>
        <color indexed="8"/>
        <rFont val="楷体_GB2312"/>
        <family val="3"/>
        <charset val="134"/>
      </rPr>
      <t>土地</t>
    </r>
    <phoneticPr fontId="3" type="noConversion"/>
  </si>
  <si>
    <r>
      <rPr>
        <sz val="10"/>
        <color indexed="8"/>
        <rFont val="楷体_GB2312"/>
        <family val="3"/>
        <charset val="134"/>
      </rPr>
      <t>还原率</t>
    </r>
    <r>
      <rPr>
        <sz val="10"/>
        <color indexed="8"/>
        <rFont val="Arial"/>
        <family val="2"/>
      </rPr>
      <t>-</t>
    </r>
    <r>
      <rPr>
        <sz val="10"/>
        <color indexed="8"/>
        <rFont val="楷体_GB2312"/>
        <family val="3"/>
        <charset val="134"/>
      </rPr>
      <t>综合</t>
    </r>
    <phoneticPr fontId="3" type="noConversion"/>
  </si>
  <si>
    <r>
      <rPr>
        <sz val="10"/>
        <color indexed="8"/>
        <rFont val="楷体_GB2312"/>
        <family val="3"/>
        <charset val="134"/>
      </rPr>
      <t>资本化率</t>
    </r>
    <r>
      <rPr>
        <sz val="10"/>
        <color indexed="8"/>
        <rFont val="Arial"/>
        <family val="2"/>
      </rPr>
      <t>-</t>
    </r>
    <r>
      <rPr>
        <sz val="10"/>
        <color indexed="8"/>
        <rFont val="楷体_GB2312"/>
        <family val="3"/>
        <charset val="134"/>
      </rPr>
      <t>建筑物</t>
    </r>
    <phoneticPr fontId="3" type="noConversion"/>
  </si>
  <si>
    <r>
      <rPr>
        <sz val="10"/>
        <color indexed="8"/>
        <rFont val="楷体_GB2312"/>
        <family val="3"/>
        <charset val="134"/>
      </rPr>
      <t>建筑面积</t>
    </r>
    <phoneticPr fontId="4" type="noConversion"/>
  </si>
  <si>
    <r>
      <rPr>
        <sz val="10"/>
        <color indexed="8"/>
        <rFont val="楷体_GB2312"/>
        <family val="3"/>
        <charset val="134"/>
      </rPr>
      <t>单方造价</t>
    </r>
    <phoneticPr fontId="4" type="noConversion"/>
  </si>
  <si>
    <r>
      <rPr>
        <sz val="10"/>
        <color indexed="8"/>
        <rFont val="楷体_GB2312"/>
        <family val="3"/>
        <charset val="134"/>
      </rPr>
      <t>建安总额</t>
    </r>
    <phoneticPr fontId="4" type="noConversion"/>
  </si>
  <si>
    <r>
      <rPr>
        <sz val="10"/>
        <color indexed="8"/>
        <rFont val="楷体_GB2312"/>
        <family val="3"/>
        <charset val="134"/>
      </rPr>
      <t>在建建安</t>
    </r>
    <phoneticPr fontId="4" type="noConversion"/>
  </si>
  <si>
    <r>
      <rPr>
        <sz val="10"/>
        <color indexed="8"/>
        <rFont val="楷体_GB2312"/>
        <family val="3"/>
        <charset val="134"/>
      </rPr>
      <t>续建建安</t>
    </r>
    <phoneticPr fontId="4" type="noConversion"/>
  </si>
  <si>
    <r>
      <rPr>
        <sz val="10"/>
        <color indexed="8"/>
        <rFont val="楷体_GB2312"/>
        <family val="3"/>
        <charset val="134"/>
      </rPr>
      <t>利润</t>
    </r>
    <phoneticPr fontId="3" type="noConversion"/>
  </si>
  <si>
    <r>
      <rPr>
        <sz val="10"/>
        <color indexed="8"/>
        <rFont val="楷体_GB2312"/>
        <family val="3"/>
        <charset val="134"/>
      </rPr>
      <t>分摊土地面积（经营性）</t>
    </r>
    <phoneticPr fontId="3" type="noConversion"/>
  </si>
  <si>
    <r>
      <rPr>
        <sz val="10"/>
        <color indexed="8"/>
        <rFont val="楷体_GB2312"/>
        <family val="3"/>
        <charset val="134"/>
      </rPr>
      <t>总建安（分摊非经营）</t>
    </r>
    <phoneticPr fontId="3" type="noConversion"/>
  </si>
  <si>
    <r>
      <rPr>
        <sz val="10"/>
        <color indexed="8"/>
        <rFont val="楷体_GB2312"/>
        <family val="3"/>
        <charset val="134"/>
      </rPr>
      <t>租金</t>
    </r>
    <phoneticPr fontId="3" type="noConversion"/>
  </si>
  <si>
    <r>
      <rPr>
        <sz val="10"/>
        <color indexed="8"/>
        <rFont val="楷体_GB2312"/>
        <family val="3"/>
        <charset val="134"/>
      </rPr>
      <t>年租金增长率</t>
    </r>
    <phoneticPr fontId="3" type="noConversion"/>
  </si>
  <si>
    <r>
      <rPr>
        <sz val="10"/>
        <color indexed="8"/>
        <rFont val="楷体_GB2312"/>
        <family val="3"/>
        <charset val="134"/>
      </rPr>
      <t>空置率</t>
    </r>
    <phoneticPr fontId="3" type="noConversion"/>
  </si>
  <si>
    <r>
      <rPr>
        <sz val="10"/>
        <color indexed="8"/>
        <rFont val="楷体_GB2312"/>
        <family val="3"/>
        <charset val="134"/>
      </rPr>
      <t>成新度</t>
    </r>
    <phoneticPr fontId="3" type="noConversion"/>
  </si>
  <si>
    <r>
      <rPr>
        <sz val="10"/>
        <color indexed="8"/>
        <rFont val="楷体_GB2312"/>
        <family val="3"/>
        <charset val="134"/>
      </rPr>
      <t>剩余租赁期</t>
    </r>
    <phoneticPr fontId="3" type="noConversion"/>
  </si>
  <si>
    <r>
      <rPr>
        <sz val="10"/>
        <color indexed="8"/>
        <rFont val="楷体_GB2312"/>
        <family val="3"/>
        <charset val="134"/>
      </rPr>
      <t>租赁期外收益期</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</si>
  <si>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r>
      <rPr>
        <sz val="10"/>
        <color indexed="8"/>
        <rFont val="Arial"/>
        <family val="2"/>
      </rPr>
      <t>/</t>
    </r>
    <r>
      <rPr>
        <sz val="10"/>
        <color indexed="8"/>
        <rFont val="楷体_GB2312"/>
        <family val="3"/>
        <charset val="134"/>
      </rPr>
      <t>年</t>
    </r>
    <phoneticPr fontId="3" type="noConversion"/>
  </si>
  <si>
    <r>
      <rPr>
        <sz val="10"/>
        <color indexed="8"/>
        <rFont val="楷体_GB2312"/>
        <family val="3"/>
        <charset val="134"/>
      </rPr>
      <t>房产税</t>
    </r>
    <r>
      <rPr>
        <sz val="10"/>
        <color indexed="8"/>
        <rFont val="Arial"/>
        <family val="2"/>
      </rPr>
      <t>-</t>
    </r>
    <r>
      <rPr>
        <sz val="10"/>
        <color indexed="8"/>
        <rFont val="楷体_GB2312"/>
        <family val="3"/>
        <charset val="134"/>
      </rPr>
      <t>按票据</t>
    </r>
    <phoneticPr fontId="3" type="noConversion"/>
  </si>
  <si>
    <r>
      <rPr>
        <sz val="10"/>
        <color indexed="8"/>
        <rFont val="楷体_GB2312"/>
        <family val="3"/>
        <charset val="134"/>
      </rPr>
      <t>维修费率</t>
    </r>
    <phoneticPr fontId="3" type="noConversion"/>
  </si>
  <si>
    <r>
      <rPr>
        <sz val="10"/>
        <color indexed="8"/>
        <rFont val="楷体_GB2312"/>
        <family val="3"/>
        <charset val="134"/>
      </rPr>
      <t>保险费率</t>
    </r>
    <phoneticPr fontId="3" type="noConversion"/>
  </si>
  <si>
    <r>
      <rPr>
        <sz val="10"/>
        <color indexed="8"/>
        <rFont val="楷体_GB2312"/>
        <family val="3"/>
        <charset val="134"/>
      </rPr>
      <t>管理费率</t>
    </r>
    <phoneticPr fontId="3" type="noConversion"/>
  </si>
  <si>
    <r>
      <rPr>
        <b/>
        <sz val="10"/>
        <color indexed="8"/>
        <rFont val="楷体_GB2312"/>
        <family val="3"/>
        <charset val="134"/>
      </rPr>
      <t>合计</t>
    </r>
    <phoneticPr fontId="4" type="noConversion"/>
  </si>
  <si>
    <r>
      <rPr>
        <b/>
        <sz val="10"/>
        <color indexed="8"/>
        <rFont val="楷体_GB2312"/>
        <family val="3"/>
        <charset val="134"/>
      </rPr>
      <t>开发期</t>
    </r>
    <phoneticPr fontId="3" type="noConversion"/>
  </si>
  <si>
    <r>
      <rPr>
        <sz val="10"/>
        <rFont val="楷体_GB2312"/>
        <family val="3"/>
        <charset val="134"/>
      </rPr>
      <t>土地开发期</t>
    </r>
  </si>
  <si>
    <r>
      <rPr>
        <sz val="10"/>
        <rFont val="楷体_GB2312"/>
        <family val="3"/>
        <charset val="134"/>
      </rPr>
      <t>建设期</t>
    </r>
    <phoneticPr fontId="4" type="noConversion"/>
  </si>
  <si>
    <r>
      <rPr>
        <sz val="10"/>
        <color indexed="8"/>
        <rFont val="楷体_GB2312"/>
        <family val="3"/>
        <charset val="134"/>
      </rPr>
      <t>已建工期</t>
    </r>
    <phoneticPr fontId="4" type="noConversion"/>
  </si>
  <si>
    <r>
      <rPr>
        <sz val="10"/>
        <rFont val="楷体_GB2312"/>
        <family val="3"/>
        <charset val="134"/>
      </rPr>
      <t>项目开发期</t>
    </r>
    <phoneticPr fontId="4" type="noConversion"/>
  </si>
  <si>
    <r>
      <rPr>
        <sz val="10"/>
        <color indexed="8"/>
        <rFont val="楷体_GB2312"/>
        <family val="3"/>
        <charset val="134"/>
      </rPr>
      <t>项目已运行</t>
    </r>
    <phoneticPr fontId="4" type="noConversion"/>
  </si>
  <si>
    <r>
      <rPr>
        <sz val="10"/>
        <rFont val="楷体_GB2312"/>
        <family val="3"/>
        <charset val="134"/>
      </rPr>
      <t>续建工期</t>
    </r>
    <phoneticPr fontId="4" type="noConversion"/>
  </si>
  <si>
    <r>
      <rPr>
        <b/>
        <sz val="10"/>
        <color indexed="8"/>
        <rFont val="楷体_GB2312"/>
        <family val="3"/>
        <charset val="134"/>
      </rPr>
      <t>其他取费</t>
    </r>
    <phoneticPr fontId="3" type="noConversion"/>
  </si>
  <si>
    <r>
      <rPr>
        <sz val="10"/>
        <color indexed="8"/>
        <rFont val="楷体_GB2312"/>
        <family val="3"/>
        <charset val="134"/>
      </rPr>
      <t>取值</t>
    </r>
    <phoneticPr fontId="3" type="noConversion"/>
  </si>
  <si>
    <r>
      <rPr>
        <sz val="10"/>
        <color indexed="8"/>
        <rFont val="楷体_GB2312"/>
        <family val="3"/>
        <charset val="134"/>
      </rPr>
      <t>备注</t>
    </r>
    <phoneticPr fontId="3" type="noConversion"/>
  </si>
  <si>
    <r>
      <rPr>
        <sz val="10"/>
        <color indexed="8"/>
        <rFont val="楷体_GB2312"/>
        <family val="3"/>
        <charset val="134"/>
      </rPr>
      <t>城市基础设施建设费</t>
    </r>
    <r>
      <rPr>
        <sz val="10"/>
        <color indexed="8"/>
        <rFont val="Arial"/>
        <family val="2"/>
      </rPr>
      <t>-</t>
    </r>
    <r>
      <rPr>
        <sz val="10"/>
        <color indexed="8"/>
        <rFont val="楷体_GB2312"/>
        <family val="3"/>
        <charset val="134"/>
      </rPr>
      <t>住宅</t>
    </r>
    <r>
      <rPr>
        <sz val="11"/>
        <color rgb="FFFF0000"/>
        <rFont val="楷体_GB2312"/>
        <family val="3"/>
        <charset val="134"/>
      </rPr>
      <t/>
    </r>
    <phoneticPr fontId="3" type="noConversion"/>
  </si>
  <si>
    <r>
      <rPr>
        <sz val="10"/>
        <color theme="1"/>
        <rFont val="楷体_GB2312"/>
        <family val="3"/>
        <charset val="134"/>
      </rPr>
      <t>请录依据文件名称：</t>
    </r>
    <phoneticPr fontId="3" type="noConversion"/>
  </si>
  <si>
    <r>
      <rPr>
        <sz val="10"/>
        <color indexed="8"/>
        <rFont val="楷体_GB2312"/>
        <family val="3"/>
        <charset val="134"/>
      </rPr>
      <t>城市基础设施建设费</t>
    </r>
    <r>
      <rPr>
        <sz val="10"/>
        <color indexed="8"/>
        <rFont val="Arial"/>
        <family val="2"/>
      </rPr>
      <t>-</t>
    </r>
    <r>
      <rPr>
        <sz val="10"/>
        <color indexed="8"/>
        <rFont val="楷体_GB2312"/>
        <family val="3"/>
        <charset val="134"/>
      </rPr>
      <t>非住宅</t>
    </r>
    <r>
      <rPr>
        <sz val="11"/>
        <color rgb="FFFF0000"/>
        <rFont val="楷体_GB2312"/>
        <family val="3"/>
        <charset val="134"/>
      </rPr>
      <t/>
    </r>
    <phoneticPr fontId="3" type="noConversion"/>
  </si>
  <si>
    <r>
      <rPr>
        <sz val="10"/>
        <color indexed="8"/>
        <rFont val="楷体_GB2312"/>
        <family val="3"/>
        <charset val="134"/>
      </rPr>
      <t>城市基础设施建设费</t>
    </r>
    <r>
      <rPr>
        <sz val="10"/>
        <color indexed="8"/>
        <rFont val="Arial"/>
        <family val="2"/>
      </rPr>
      <t>-</t>
    </r>
    <r>
      <rPr>
        <sz val="10"/>
        <color indexed="8"/>
        <rFont val="楷体_GB2312"/>
        <family val="3"/>
        <charset val="134"/>
      </rPr>
      <t>凭票据已缴纳</t>
    </r>
    <r>
      <rPr>
        <sz val="10"/>
        <color rgb="FFFF0000"/>
        <rFont val="楷体_GB2312"/>
        <family val="3"/>
        <charset val="134"/>
      </rPr>
      <t>（万元）</t>
    </r>
    <phoneticPr fontId="3" type="noConversion"/>
  </si>
  <si>
    <r>
      <rPr>
        <sz val="10"/>
        <color indexed="8"/>
        <rFont val="楷体_GB2312"/>
        <family val="3"/>
        <charset val="134"/>
      </rPr>
      <t>红线外市政基础设施（总）</t>
    </r>
    <phoneticPr fontId="3" type="noConversion"/>
  </si>
  <si>
    <r>
      <rPr>
        <sz val="10"/>
        <color indexed="8"/>
        <rFont val="楷体_GB2312"/>
        <family val="3"/>
        <charset val="134"/>
      </rPr>
      <t>红线外市政基础设施（现状）</t>
    </r>
    <phoneticPr fontId="3" type="noConversion"/>
  </si>
  <si>
    <r>
      <rPr>
        <sz val="10"/>
        <color indexed="8"/>
        <rFont val="楷体_GB2312"/>
        <family val="3"/>
        <charset val="134"/>
      </rPr>
      <t>红线外市政基础设施（待完成）</t>
    </r>
    <phoneticPr fontId="3" type="noConversion"/>
  </si>
  <si>
    <r>
      <rPr>
        <sz val="10"/>
        <color indexed="8"/>
        <rFont val="楷体_GB2312"/>
        <family val="3"/>
        <charset val="134"/>
      </rPr>
      <t>勘察设计和前期工程费</t>
    </r>
    <phoneticPr fontId="3" type="noConversion"/>
  </si>
  <si>
    <r>
      <rPr>
        <sz val="10"/>
        <color theme="1"/>
        <rFont val="楷体_GB2312"/>
        <family val="3"/>
        <charset val="134"/>
      </rPr>
      <t>范围：</t>
    </r>
    <r>
      <rPr>
        <sz val="10"/>
        <color theme="1"/>
        <rFont val="Arial"/>
        <family val="2"/>
      </rPr>
      <t>3%-5%</t>
    </r>
    <phoneticPr fontId="3" type="noConversion"/>
  </si>
  <si>
    <r>
      <rPr>
        <sz val="10"/>
        <color indexed="8"/>
        <rFont val="楷体_GB2312"/>
        <family val="3"/>
        <charset val="134"/>
      </rPr>
      <t>公共配套设施费用</t>
    </r>
    <phoneticPr fontId="3" type="noConversion"/>
  </si>
  <si>
    <r>
      <rPr>
        <sz val="10"/>
        <color indexed="8"/>
        <rFont val="楷体_GB2312"/>
        <family val="3"/>
        <charset val="134"/>
      </rPr>
      <t>非住宅项目及用公共配套计算实为</t>
    </r>
    <r>
      <rPr>
        <sz val="10"/>
        <color indexed="8"/>
        <rFont val="Arial"/>
        <family val="2"/>
      </rPr>
      <t>0</t>
    </r>
    <phoneticPr fontId="3" type="noConversion"/>
  </si>
  <si>
    <r>
      <rPr>
        <sz val="10"/>
        <color indexed="8"/>
        <rFont val="楷体_GB2312"/>
        <family val="3"/>
        <charset val="134"/>
      </rPr>
      <t>红线内市政基础设施</t>
    </r>
    <phoneticPr fontId="3" type="noConversion"/>
  </si>
  <si>
    <r>
      <rPr>
        <sz val="10"/>
        <color indexed="8"/>
        <rFont val="楷体_GB2312"/>
        <family val="3"/>
        <charset val="134"/>
      </rPr>
      <t>建造成本中相关税费</t>
    </r>
    <phoneticPr fontId="3" type="noConversion"/>
  </si>
  <si>
    <r>
      <rPr>
        <sz val="10"/>
        <color indexed="8"/>
        <rFont val="楷体_GB2312"/>
        <family val="3"/>
        <charset val="134"/>
      </rPr>
      <t>管理费用</t>
    </r>
    <phoneticPr fontId="3" type="noConversion"/>
  </si>
  <si>
    <r>
      <rPr>
        <sz val="10"/>
        <color theme="1"/>
        <rFont val="楷体_GB2312"/>
        <family val="3"/>
        <charset val="134"/>
      </rPr>
      <t>范围：</t>
    </r>
    <r>
      <rPr>
        <sz val="10"/>
        <color theme="1"/>
        <rFont val="Arial"/>
        <family val="2"/>
      </rPr>
      <t>1%-3%</t>
    </r>
    <phoneticPr fontId="3" type="noConversion"/>
  </si>
  <si>
    <r>
      <rPr>
        <sz val="10"/>
        <color indexed="8"/>
        <rFont val="楷体_GB2312"/>
        <family val="3"/>
        <charset val="134"/>
      </rPr>
      <t>销售费用</t>
    </r>
    <phoneticPr fontId="3" type="noConversion"/>
  </si>
  <si>
    <r>
      <rPr>
        <sz val="10"/>
        <color indexed="8"/>
        <rFont val="楷体_GB2312"/>
        <family val="3"/>
        <charset val="134"/>
      </rPr>
      <t>销售税费</t>
    </r>
    <r>
      <rPr>
        <sz val="10"/>
        <color indexed="8"/>
        <rFont val="Arial"/>
        <family val="2"/>
      </rPr>
      <t>/</t>
    </r>
    <r>
      <rPr>
        <sz val="10"/>
        <color indexed="8"/>
        <rFont val="楷体_GB2312"/>
        <family val="3"/>
        <charset val="134"/>
      </rPr>
      <t>两税两费</t>
    </r>
    <phoneticPr fontId="3" type="noConversion"/>
  </si>
  <si>
    <r>
      <rPr>
        <sz val="10"/>
        <color indexed="8"/>
        <rFont val="楷体_GB2312"/>
        <family val="3"/>
        <charset val="134"/>
      </rPr>
      <t>增值税</t>
    </r>
    <phoneticPr fontId="3" type="noConversion"/>
  </si>
  <si>
    <r>
      <rPr>
        <sz val="10"/>
        <color indexed="8"/>
        <rFont val="楷体_GB2312"/>
        <family val="3"/>
        <charset val="134"/>
      </rPr>
      <t>附加税合计</t>
    </r>
    <phoneticPr fontId="3" type="noConversion"/>
  </si>
  <si>
    <r>
      <rPr>
        <sz val="10"/>
        <color indexed="8"/>
        <rFont val="楷体_GB2312"/>
        <family val="3"/>
        <charset val="134"/>
      </rPr>
      <t>城市维护建设税</t>
    </r>
    <phoneticPr fontId="3" type="noConversion"/>
  </si>
  <si>
    <r>
      <rPr>
        <sz val="10"/>
        <color indexed="8"/>
        <rFont val="楷体_GB2312"/>
        <family val="3"/>
        <charset val="134"/>
      </rPr>
      <t>教育费附加</t>
    </r>
    <phoneticPr fontId="3" type="noConversion"/>
  </si>
  <si>
    <r>
      <rPr>
        <sz val="10"/>
        <color theme="1"/>
        <rFont val="楷体_GB2312"/>
        <family val="3"/>
        <charset val="134"/>
      </rPr>
      <t>北京：</t>
    </r>
    <r>
      <rPr>
        <sz val="10"/>
        <color theme="1"/>
        <rFont val="Arial"/>
        <family val="2"/>
      </rPr>
      <t>3%</t>
    </r>
    <phoneticPr fontId="3" type="noConversion"/>
  </si>
  <si>
    <r>
      <rPr>
        <sz val="10"/>
        <color indexed="8"/>
        <rFont val="楷体_GB2312"/>
        <family val="3"/>
        <charset val="134"/>
      </rPr>
      <t>地方教育费附加</t>
    </r>
    <phoneticPr fontId="3" type="noConversion"/>
  </si>
  <si>
    <r>
      <rPr>
        <sz val="10"/>
        <color theme="1"/>
        <rFont val="楷体_GB2312"/>
        <family val="3"/>
        <charset val="134"/>
      </rPr>
      <t>北京：</t>
    </r>
    <r>
      <rPr>
        <sz val="10"/>
        <color theme="1"/>
        <rFont val="Arial"/>
        <family val="2"/>
      </rPr>
      <t>2%</t>
    </r>
    <phoneticPr fontId="3" type="noConversion"/>
  </si>
  <si>
    <r>
      <rPr>
        <sz val="10"/>
        <color indexed="8"/>
        <rFont val="楷体_GB2312"/>
        <family val="3"/>
        <charset val="134"/>
      </rPr>
      <t>其他税种</t>
    </r>
    <phoneticPr fontId="3" type="noConversion"/>
  </si>
  <si>
    <r>
      <rPr>
        <sz val="10"/>
        <color indexed="8"/>
        <rFont val="楷体_GB2312"/>
        <family val="3"/>
        <charset val="134"/>
      </rPr>
      <t>契税</t>
    </r>
    <phoneticPr fontId="3" type="noConversion"/>
  </si>
  <si>
    <r>
      <rPr>
        <sz val="10"/>
        <color indexed="8"/>
        <rFont val="楷体_GB2312"/>
        <family val="3"/>
        <charset val="134"/>
      </rPr>
      <t>北京：</t>
    </r>
    <r>
      <rPr>
        <sz val="10"/>
        <color indexed="8"/>
        <rFont val="Arial"/>
        <family val="2"/>
      </rPr>
      <t>3%</t>
    </r>
    <phoneticPr fontId="3" type="noConversion"/>
  </si>
  <si>
    <r>
      <rPr>
        <sz val="10"/>
        <color indexed="8"/>
        <rFont val="楷体_GB2312"/>
        <family val="3"/>
        <charset val="134"/>
      </rPr>
      <t>印花税</t>
    </r>
    <phoneticPr fontId="3" type="noConversion"/>
  </si>
  <si>
    <r>
      <rPr>
        <sz val="10"/>
        <color indexed="8"/>
        <rFont val="楷体_GB2312"/>
        <family val="3"/>
        <charset val="134"/>
      </rPr>
      <t>北京：</t>
    </r>
    <r>
      <rPr>
        <sz val="10"/>
        <color indexed="8"/>
        <rFont val="Arial"/>
        <family val="2"/>
      </rPr>
      <t>0.05%</t>
    </r>
    <phoneticPr fontId="3" type="noConversion"/>
  </si>
  <si>
    <r>
      <rPr>
        <sz val="10"/>
        <color indexed="8"/>
        <rFont val="楷体_GB2312"/>
        <family val="3"/>
        <charset val="134"/>
      </rPr>
      <t>房产税</t>
    </r>
    <r>
      <rPr>
        <sz val="10"/>
        <color indexed="8"/>
        <rFont val="Arial"/>
        <family val="2"/>
      </rPr>
      <t>-</t>
    </r>
    <r>
      <rPr>
        <sz val="10"/>
        <color indexed="8"/>
        <rFont val="楷体_GB2312"/>
        <family val="3"/>
        <charset val="134"/>
      </rPr>
      <t>按原值计税</t>
    </r>
    <phoneticPr fontId="3" type="noConversion"/>
  </si>
  <si>
    <r>
      <rPr>
        <sz val="10"/>
        <color indexed="8"/>
        <rFont val="楷体_GB2312"/>
        <family val="3"/>
        <charset val="134"/>
      </rPr>
      <t>房产税</t>
    </r>
    <r>
      <rPr>
        <sz val="10"/>
        <color indexed="8"/>
        <rFont val="Arial"/>
        <family val="2"/>
      </rPr>
      <t>-</t>
    </r>
    <r>
      <rPr>
        <sz val="10"/>
        <color indexed="8"/>
        <rFont val="楷体_GB2312"/>
        <family val="3"/>
        <charset val="134"/>
      </rPr>
      <t>按租金计税</t>
    </r>
    <phoneticPr fontId="3" type="noConversion"/>
  </si>
  <si>
    <r>
      <rPr>
        <sz val="10"/>
        <color indexed="8"/>
        <rFont val="楷体_GB2312"/>
        <family val="3"/>
        <charset val="134"/>
      </rPr>
      <t>土地使用税</t>
    </r>
    <phoneticPr fontId="3" type="noConversion"/>
  </si>
  <si>
    <r>
      <rPr>
        <sz val="10"/>
        <color indexed="8"/>
        <rFont val="楷体_GB2312"/>
        <family val="3"/>
        <charset val="134"/>
      </rPr>
      <t>城镇土地纳税等级分级范围</t>
    </r>
    <phoneticPr fontId="3" type="noConversion"/>
  </si>
  <si>
    <t>不动产收益法</t>
  </si>
  <si>
    <r>
      <rPr>
        <sz val="10"/>
        <color theme="1"/>
        <rFont val="宋体"/>
        <family val="3"/>
        <charset val="134"/>
      </rPr>
      <t>《嘉兴市人民政府办公室关于进一步降低企业成本优化发展环境的实施意见》</t>
    </r>
    <r>
      <rPr>
        <sz val="10"/>
        <color theme="1"/>
        <rFont val="Arial"/>
        <family val="2"/>
      </rPr>
      <t>[</t>
    </r>
    <r>
      <rPr>
        <sz val="10"/>
        <color theme="1"/>
        <rFont val="宋体"/>
        <family val="3"/>
        <charset val="134"/>
      </rPr>
      <t>嘉政办发〔</t>
    </r>
    <r>
      <rPr>
        <sz val="10"/>
        <color theme="1"/>
        <rFont val="Arial"/>
        <family val="2"/>
      </rPr>
      <t>2016</t>
    </r>
    <r>
      <rPr>
        <sz val="10"/>
        <color theme="1"/>
        <rFont val="宋体"/>
        <family val="3"/>
        <charset val="134"/>
      </rPr>
      <t>〕</t>
    </r>
    <r>
      <rPr>
        <sz val="10"/>
        <color theme="1"/>
        <rFont val="Arial"/>
        <family val="2"/>
      </rPr>
      <t>28</t>
    </r>
    <r>
      <rPr>
        <sz val="10"/>
        <color theme="1"/>
        <rFont val="宋体"/>
        <family val="3"/>
        <charset val="134"/>
      </rPr>
      <t>号</t>
    </r>
    <r>
      <rPr>
        <sz val="10"/>
        <color theme="1"/>
        <rFont val="Arial"/>
        <family val="2"/>
      </rPr>
      <t>]</t>
    </r>
    <phoneticPr fontId="3" type="noConversion"/>
  </si>
  <si>
    <t>按租金收入计税</t>
  </si>
  <si>
    <t>押二</t>
  </si>
  <si>
    <t>土地（套用方法）</t>
  </si>
  <si>
    <t>钢混</t>
  </si>
  <si>
    <t>售价</t>
  </si>
  <si>
    <t>大云寺路北侧</t>
    <phoneticPr fontId="21" type="noConversion"/>
  </si>
  <si>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</si>
  <si>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t>
    <phoneticPr fontId="26" type="noConversion"/>
  </si>
  <si>
    <t>居住</t>
  </si>
  <si>
    <t>居住</t>
    <phoneticPr fontId="26" type="noConversion"/>
  </si>
  <si>
    <t>高速公路</t>
    <phoneticPr fontId="26" type="noConversion"/>
  </si>
  <si>
    <t>快速路</t>
    <phoneticPr fontId="26" type="noConversion"/>
  </si>
  <si>
    <t>主干道</t>
    <phoneticPr fontId="26" type="noConversion"/>
  </si>
  <si>
    <t>次干道</t>
    <phoneticPr fontId="26" type="noConversion"/>
  </si>
  <si>
    <r>
      <rPr>
        <sz val="11"/>
        <color indexed="8"/>
        <rFont val="宋体"/>
        <family val="3"/>
        <charset val="134"/>
      </rPr>
      <t>支路</t>
    </r>
    <r>
      <rPr>
        <sz val="11"/>
        <color indexed="8"/>
        <rFont val="Arial"/>
        <family val="2"/>
      </rPr>
      <t>/</t>
    </r>
    <r>
      <rPr>
        <sz val="11"/>
        <color indexed="8"/>
        <rFont val="宋体"/>
        <family val="3"/>
        <charset val="134"/>
      </rPr>
      <t>规划路</t>
    </r>
    <phoneticPr fontId="26" type="noConversion"/>
  </si>
  <si>
    <t>近似规则</t>
    <phoneticPr fontId="26" type="noConversion"/>
  </si>
  <si>
    <t>不规则</t>
    <phoneticPr fontId="26" type="noConversion"/>
  </si>
  <si>
    <t>良好</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</si>
  <si>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</si>
  <si>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</si>
  <si>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</si>
  <si>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</si>
  <si>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</si>
  <si>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地块名称</t>
  </si>
  <si>
    <t>城市</t>
  </si>
  <si>
    <t>用地性质</t>
  </si>
  <si>
    <t>出让方式</t>
  </si>
  <si>
    <t>地块编号</t>
  </si>
  <si>
    <t>建设用地面积(㎡)</t>
  </si>
  <si>
    <t>规划建筑面积(㎡)</t>
  </si>
  <si>
    <t>成交特殊政策</t>
  </si>
  <si>
    <t>成交日期</t>
  </si>
  <si>
    <t>公告编号</t>
  </si>
  <si>
    <t>交易状态</t>
  </si>
  <si>
    <t>受让单位</t>
  </si>
  <si>
    <t>成交价(万元)</t>
  </si>
  <si>
    <t>成交楼面价(元/㎡)</t>
  </si>
  <si>
    <t>成交楼面价(除保障房)(元/㎡)</t>
  </si>
  <si>
    <t>溢价率</t>
  </si>
  <si>
    <t>出让年限</t>
  </si>
  <si>
    <t>罗星街道鑫锋村、新区南区城西大道东侧、规划经一路西侧、规划纬三路北侧</t>
  </si>
  <si>
    <t>嘉兴市</t>
  </si>
  <si>
    <t>住宅用地</t>
  </si>
  <si>
    <t>拍卖</t>
  </si>
  <si>
    <t>≥1且≤2.5</t>
  </si>
  <si>
    <t>2018-05-18</t>
  </si>
  <si>
    <t>善土告字[2018]15号</t>
  </si>
  <si>
    <t>已成交</t>
  </si>
  <si>
    <t>上海臻壬利房地产开发有限公司</t>
  </si>
  <si>
    <t>70年</t>
  </si>
  <si>
    <t>天凝镇东方红村、天凝大道南侧、东方路东侧</t>
  </si>
  <si>
    <t>挂牌</t>
  </si>
  <si>
    <t>2017-22</t>
  </si>
  <si>
    <t>≥1且≤2</t>
  </si>
  <si>
    <t>2018-05-02</t>
  </si>
  <si>
    <t>善土告字[2018]11号-4</t>
  </si>
  <si>
    <t>嘉兴碧康房地产开发有限公司</t>
  </si>
  <si>
    <t>惠民街道优家社区、开发区四期四明路东侧,晋吉路南侧</t>
  </si>
  <si>
    <t>2015-30</t>
  </si>
  <si>
    <t>限地价,竞配建</t>
  </si>
  <si>
    <t>善土告字[2018]13号-3</t>
  </si>
  <si>
    <t>格科(浙江)置业有限公司</t>
  </si>
  <si>
    <t>罗星街道厍浜村、白水塘路南侧、厍浜港东侧</t>
  </si>
  <si>
    <t>2017-15</t>
  </si>
  <si>
    <t>善土告字[2018]11号-3</t>
  </si>
  <si>
    <t>上海兆焕企业管理咨询有限公司</t>
  </si>
  <si>
    <t>罗星街道鑫锋村、经一路东侧、纬三路北侧、环西南路西侧</t>
  </si>
  <si>
    <t>2016-54</t>
  </si>
  <si>
    <t>≥1.5且≤2.5</t>
  </si>
  <si>
    <t>2018-02-07</t>
  </si>
  <si>
    <t>善土告字[2018]02号</t>
  </si>
  <si>
    <t>嘉兴京御房地产开发有限公司、上海盛垦实业有限公司</t>
  </si>
  <si>
    <t>罗星街道亭桥村、纬一路以南、经五路以东、亭桥南路以西</t>
  </si>
  <si>
    <t>2017-34</t>
  </si>
  <si>
    <t>综合用地(含住宅)</t>
  </si>
  <si>
    <t>2017-11-02</t>
  </si>
  <si>
    <t>善土告字[2017]30号-2</t>
  </si>
  <si>
    <t>住宅70年商业40年</t>
  </si>
  <si>
    <t>2016-37</t>
  </si>
  <si>
    <t>≥1且≤1.8</t>
  </si>
  <si>
    <t>善土告字[2017]28号-1</t>
  </si>
  <si>
    <t>嘉兴孔雀城房地产开发有限公司</t>
  </si>
  <si>
    <t>罗星街道李家社区、善江公路西侧、县科创中心北侧、徐家港东侧</t>
  </si>
  <si>
    <t>2009-20-2</t>
  </si>
  <si>
    <t>≥1且≤1.2</t>
  </si>
  <si>
    <t>2017-08-31</t>
  </si>
  <si>
    <t>善土告字[2017]20号-1</t>
  </si>
  <si>
    <t>嘉善县李家房地产开发有限公司</t>
  </si>
  <si>
    <t>西塘镇宏福路东侧、南苑路南侧</t>
  </si>
  <si>
    <t>2016-47</t>
  </si>
  <si>
    <t>善土告字[2017]20号-5</t>
  </si>
  <si>
    <t>上海新湾投资发展有限公司</t>
  </si>
  <si>
    <t>住宅70年、商业40年</t>
  </si>
  <si>
    <t>西塘镇西汉大道东侧、嘉善平川商贸中心北侧</t>
  </si>
  <si>
    <t>2014-53-1</t>
  </si>
  <si>
    <t>≥1且≤1.5</t>
  </si>
  <si>
    <t>善土告字[2017]20号-3</t>
  </si>
  <si>
    <t>浙江新大骏宏集团有限公司</t>
  </si>
  <si>
    <t>魏塘街道南北署村善西公路东侧</t>
  </si>
  <si>
    <t>2015-8-2</t>
  </si>
  <si>
    <t>2017-07-14</t>
  </si>
  <si>
    <t>善土告字[2017]15号-4</t>
  </si>
  <si>
    <t>上海旭麦实业有限公司</t>
  </si>
  <si>
    <t>2015-8-1</t>
  </si>
  <si>
    <t>善土告字[2017]15号-3</t>
  </si>
  <si>
    <t>2014-6、2014-7</t>
  </si>
  <si>
    <t>善土告字[2017]15号-1</t>
  </si>
  <si>
    <t>金科集团苏州百俊房地产开发有限公司</t>
  </si>
  <si>
    <t>惠民街道优家村、恒天花园里东侧、泰山路南侧</t>
  </si>
  <si>
    <t>2016-38</t>
  </si>
  <si>
    <t>善土告字[2017]15号-2</t>
  </si>
  <si>
    <t>上海众桨企业发展中心</t>
  </si>
  <si>
    <t>罗星街道亭桥村、纬一路以南、纬二路以北、亭桥南路以东、钟家港以西</t>
  </si>
  <si>
    <t>2017-05</t>
  </si>
  <si>
    <t/>
  </si>
  <si>
    <t>善土告字[2017]14号</t>
  </si>
  <si>
    <t>姚庄镇姚庄村、兴学路西、蒜墩河南</t>
  </si>
  <si>
    <t>2016-5-1、2016-5-2、2013-52</t>
  </si>
  <si>
    <t>≥1且≤2.2</t>
  </si>
  <si>
    <t>2017-06-20</t>
  </si>
  <si>
    <t>善土告字[2017]11号-3</t>
  </si>
  <si>
    <t>上海旭耐实业有限公司</t>
  </si>
  <si>
    <t>姚庄镇姚庄村、姚庄大道南侧、蒜墩河北侧</t>
  </si>
  <si>
    <t>2016-7</t>
  </si>
  <si>
    <t>善土告字[2017]11号-4</t>
  </si>
  <si>
    <t>罗星街道城西、和合社区、新区南区安登桥港南侧、纬一路北侧、环西南路西侧</t>
  </si>
  <si>
    <t>2016-51</t>
  </si>
  <si>
    <t>善土告字[2017]12号</t>
  </si>
  <si>
    <t>姚庄镇姚庄村、姚庄大道南侧、兴学路东侧</t>
  </si>
  <si>
    <t>2012-42、2013-33</t>
  </si>
  <si>
    <t>善土告字[2017]11号-2</t>
  </si>
  <si>
    <t>世纪大道南侧、汇丰家园西侧</t>
  </si>
  <si>
    <t>2016-14-2</t>
  </si>
  <si>
    <t>≥1,≤1.5</t>
  </si>
  <si>
    <t>2017-05-08</t>
  </si>
  <si>
    <t>善土告字[2017]08号-2</t>
  </si>
  <si>
    <t>中房地产股份有限公司、苏州华凯投资有限公司</t>
  </si>
  <si>
    <t>魏塘街道环北西路北侧,狗头泾港东侧,船厂路南侧</t>
  </si>
  <si>
    <t>2011-28</t>
  </si>
  <si>
    <t>≥1,≤2</t>
  </si>
  <si>
    <t>善土告字[2017]08号-1</t>
  </si>
  <si>
    <t>上海旭导实业有限公司</t>
  </si>
  <si>
    <t>商业40年、住宅70年</t>
  </si>
  <si>
    <t>汇丰家园西侧、白水塘路北侧</t>
  </si>
  <si>
    <t>2016-15</t>
  </si>
  <si>
    <t>善土告字[2017]08号-3</t>
  </si>
  <si>
    <t>罗星街道鑫锋村、新区南区规划经二路东侧,规划纬六路南侧</t>
  </si>
  <si>
    <t>2016-21</t>
  </si>
  <si>
    <t>2016-12-26</t>
  </si>
  <si>
    <t>善土告字[2016]38号-1</t>
  </si>
  <si>
    <t>罗星街道鑫锋村、新区南区西施湾南侧,规划经二路西侧</t>
  </si>
  <si>
    <t>2016-22</t>
  </si>
  <si>
    <t>≥1且≤1.75</t>
  </si>
  <si>
    <t>善土告字[2016]38号-2</t>
  </si>
  <si>
    <t>罗星街道鑫锋村、新区南区规划经二路东侧,西施湾南侧</t>
  </si>
  <si>
    <t>2016-23</t>
  </si>
  <si>
    <t>善土告字[2016]38号-3</t>
  </si>
  <si>
    <t>姚庄镇姚庄村、姚庄大道北侧、环西路东侧</t>
  </si>
  <si>
    <t>2010-80</t>
  </si>
  <si>
    <t>善土告字[2016]37号-1</t>
  </si>
  <si>
    <t>顾敏超</t>
  </si>
  <si>
    <t>干窑镇三仙路南侧、善西公路西侧</t>
  </si>
  <si>
    <t>2009-45、2016-35</t>
  </si>
  <si>
    <t>2016-12-22</t>
  </si>
  <si>
    <t>善土告字[2016]34号-1</t>
  </si>
  <si>
    <t>浙江东紫房地产开发有限公司</t>
  </si>
  <si>
    <t>天凝镇东方路西侧、康宁路北侧</t>
  </si>
  <si>
    <t>2012-2</t>
  </si>
  <si>
    <t>善土告字[2016]34号-3</t>
  </si>
  <si>
    <t>嘉善聚米投资有限公司</t>
  </si>
  <si>
    <t>西塘镇祥符荡北侧</t>
  </si>
  <si>
    <t>2016-24</t>
  </si>
  <si>
    <t>2016-12-19</t>
  </si>
  <si>
    <t>善土告字[2016]32号-1</t>
  </si>
  <si>
    <t>西塘恒天文化发展投资有限公司</t>
  </si>
  <si>
    <t>2016-25</t>
  </si>
  <si>
    <t>善土告字[2016]32号-2</t>
  </si>
  <si>
    <t>世纪大道南侧、环西南路东侧</t>
  </si>
  <si>
    <t>2016-14-1</t>
  </si>
  <si>
    <t>2016-11-03</t>
  </si>
  <si>
    <t>善土告字[2016]27号-1</t>
  </si>
  <si>
    <t>地上楼单</t>
    <phoneticPr fontId="15" type="noConversion"/>
  </si>
  <si>
    <t>2016-52-1</t>
    <phoneticPr fontId="233" type="noConversion"/>
  </si>
  <si>
    <t>地下车库</t>
    <phoneticPr fontId="7" type="noConversion"/>
  </si>
  <si>
    <t>剩余法-待开发</t>
  </si>
  <si>
    <t>比较法-住宅、综合</t>
  </si>
  <si>
    <t>罗星街道城西社区、城西大道西侧、白水塘路北侧</t>
    <phoneticPr fontId="233" type="noConversion"/>
  </si>
  <si>
    <t>魏塘街道南北署村善西公路东侧</t>
    <phoneticPr fontId="233" type="noConversion"/>
  </si>
  <si>
    <t>天水恒顺房地产开发有限公司</t>
    <phoneticPr fontId="233" type="noConversion"/>
  </si>
  <si>
    <t>2017-28</t>
    <phoneticPr fontId="233" type="noConversion"/>
  </si>
  <si>
    <t>惠民街道优家村、魏塘街道城东社区、永丰桥港东侧、嘉善塘北侧</t>
    <phoneticPr fontId="233" type="noConversion"/>
  </si>
  <si>
    <r>
      <rPr>
        <sz val="10"/>
        <rFont val="宋体"/>
        <family val="3"/>
        <charset val="134"/>
      </rPr>
      <t>配建保障住房</t>
    </r>
    <r>
      <rPr>
        <sz val="10"/>
        <rFont val="Arial"/>
        <family val="2"/>
      </rPr>
      <t>2600m</t>
    </r>
    <phoneticPr fontId="233" type="noConversion"/>
  </si>
  <si>
    <r>
      <rPr>
        <sz val="11"/>
        <color indexed="8"/>
        <rFont val="宋体"/>
        <family val="3"/>
        <charset val="134"/>
      </rPr>
      <t>住宅</t>
    </r>
    <r>
      <rPr>
        <sz val="11"/>
        <color indexed="8"/>
        <rFont val="Arial"/>
        <family val="2"/>
      </rPr>
      <t>69.9</t>
    </r>
    <r>
      <rPr>
        <sz val="11"/>
        <color indexed="8"/>
        <rFont val="宋体"/>
        <family val="3"/>
        <charset val="134"/>
      </rPr>
      <t>年、商业</t>
    </r>
    <r>
      <rPr>
        <sz val="11"/>
        <color indexed="8"/>
        <rFont val="Arial"/>
        <family val="2"/>
      </rPr>
      <t>39.9</t>
    </r>
    <r>
      <rPr>
        <sz val="11"/>
        <color indexed="8"/>
        <rFont val="宋体"/>
        <family val="3"/>
        <charset val="134"/>
      </rPr>
      <t>年</t>
    </r>
    <phoneticPr fontId="26" type="noConversion"/>
  </si>
  <si>
    <t>无</t>
    <phoneticPr fontId="26" type="noConversion"/>
  </si>
  <si>
    <t>较好</t>
  </si>
  <si>
    <t>较差</t>
  </si>
  <si>
    <t>一般</t>
  </si>
  <si>
    <r>
      <t>233</t>
    </r>
    <r>
      <rPr>
        <sz val="11"/>
        <color theme="9" tint="-0.249977111117893"/>
        <rFont val="宋体"/>
        <family val="3"/>
        <charset val="134"/>
      </rPr>
      <t>路、平湖</t>
    </r>
    <r>
      <rPr>
        <sz val="11"/>
        <color theme="9" tint="-0.249977111117893"/>
        <rFont val="Arial"/>
        <family val="2"/>
      </rPr>
      <t>k166</t>
    </r>
    <r>
      <rPr>
        <sz val="11"/>
        <color theme="9" tint="-0.249977111117893"/>
        <rFont val="宋体"/>
        <family val="3"/>
        <charset val="134"/>
      </rPr>
      <t>路；大云镇客运站；嘉善南站；</t>
    </r>
    <r>
      <rPr>
        <sz val="11"/>
        <color theme="9" tint="-0.249977111117893"/>
        <rFont val="Arial"/>
        <family val="2"/>
      </rPr>
      <t>1</t>
    </r>
    <r>
      <rPr>
        <sz val="11"/>
        <color theme="9" tint="-0.249977111117893"/>
        <rFont val="宋体"/>
        <family val="3"/>
        <charset val="134"/>
      </rPr>
      <t>高速、</t>
    </r>
    <r>
      <rPr>
        <sz val="11"/>
        <color theme="9" tint="-0.249977111117893"/>
        <rFont val="Arial"/>
        <family val="2"/>
      </rPr>
      <t>1</t>
    </r>
    <r>
      <rPr>
        <sz val="11"/>
        <color theme="9" tint="-0.249977111117893"/>
        <rFont val="宋体"/>
        <family val="3"/>
        <charset val="134"/>
      </rPr>
      <t>省道</t>
    </r>
    <phoneticPr fontId="21" type="noConversion"/>
  </si>
  <si>
    <t>多家工业厂房</t>
    <phoneticPr fontId="21" type="noConversion"/>
  </si>
  <si>
    <t>集贸百货、村镇商业</t>
    <phoneticPr fontId="21" type="noConversion"/>
  </si>
  <si>
    <t>大运府邸、云都花园、中都华庭</t>
    <phoneticPr fontId="21" type="noConversion"/>
  </si>
  <si>
    <t>医院、学校、银行、餐饮</t>
    <phoneticPr fontId="21" type="noConversion"/>
  </si>
  <si>
    <t>六通</t>
  </si>
  <si>
    <t>六通</t>
    <phoneticPr fontId="21" type="noConversion"/>
  </si>
  <si>
    <t>六生河</t>
    <phoneticPr fontId="21" type="noConversion"/>
  </si>
  <si>
    <t>支路</t>
    <phoneticPr fontId="21" type="noConversion"/>
  </si>
  <si>
    <t>单面临街</t>
  </si>
  <si>
    <t>周围大量工业用地</t>
    <phoneticPr fontId="21" type="noConversion"/>
  </si>
  <si>
    <t>云寺路</t>
    <phoneticPr fontId="26" type="noConversion"/>
  </si>
  <si>
    <t>支路/规划路</t>
  </si>
  <si>
    <t>近似规则</t>
  </si>
  <si>
    <t>良好</t>
  </si>
  <si>
    <t>三通</t>
  </si>
  <si>
    <t>毗邻水系</t>
    <phoneticPr fontId="26" type="noConversion"/>
  </si>
  <si>
    <t>楼面地价</t>
  </si>
  <si>
    <t>正常</t>
  </si>
  <si>
    <r>
      <t>70</t>
    </r>
    <r>
      <rPr>
        <sz val="11"/>
        <color indexed="8"/>
        <rFont val="宋体"/>
        <family val="3"/>
        <charset val="134"/>
      </rPr>
      <t>年</t>
    </r>
    <phoneticPr fontId="26" type="noConversion"/>
  </si>
  <si>
    <t>第一人民医院、多家中小学、银行、餐饮</t>
    <phoneticPr fontId="26" type="noConversion"/>
  </si>
  <si>
    <t>六通</t>
    <phoneticPr fontId="26" type="noConversion"/>
  </si>
  <si>
    <t>兴善大道</t>
    <phoneticPr fontId="26" type="noConversion"/>
  </si>
  <si>
    <t>2015-8-1/2</t>
    <phoneticPr fontId="26" type="noConversion"/>
  </si>
  <si>
    <t>医院、学校、银行、餐饮</t>
    <phoneticPr fontId="26" type="noConversion"/>
  </si>
  <si>
    <t>善西公路</t>
    <phoneticPr fontId="26" type="noConversion"/>
  </si>
  <si>
    <t>次干道</t>
  </si>
  <si>
    <t>规划路</t>
    <phoneticPr fontId="26" type="noConversion"/>
  </si>
  <si>
    <t>配建2%</t>
    <phoneticPr fontId="26" type="noConversion"/>
  </si>
  <si>
    <t>60-70（含）</t>
  </si>
  <si>
    <t>居住</t>
    <phoneticPr fontId="21" type="noConversion"/>
  </si>
  <si>
    <t>高层</t>
  </si>
  <si>
    <t>高层</t>
    <phoneticPr fontId="21" type="noConversion"/>
  </si>
  <si>
    <t>钢混</t>
    <phoneticPr fontId="21" type="noConversion"/>
  </si>
  <si>
    <t>高档</t>
    <phoneticPr fontId="21" type="noConversion"/>
  </si>
  <si>
    <t>中档</t>
  </si>
  <si>
    <t>中档</t>
    <phoneticPr fontId="21" type="noConversion"/>
  </si>
  <si>
    <t>精装修</t>
  </si>
  <si>
    <t>精装修</t>
    <phoneticPr fontId="21" type="noConversion"/>
  </si>
  <si>
    <t>品牌</t>
  </si>
  <si>
    <t>品牌</t>
    <phoneticPr fontId="21" type="noConversion"/>
  </si>
  <si>
    <t>专业</t>
  </si>
  <si>
    <t>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</si>
  <si>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</si>
  <si>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</si>
  <si>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</si>
  <si>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</si>
  <si>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</si>
  <si>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平层</t>
  </si>
  <si>
    <t>平层</t>
    <phoneticPr fontId="21" type="noConversion"/>
  </si>
  <si>
    <t>豪华装修</t>
    <phoneticPr fontId="21" type="noConversion"/>
  </si>
  <si>
    <t>毛坯</t>
  </si>
  <si>
    <t>毛坯</t>
    <phoneticPr fontId="21" type="noConversion"/>
  </si>
  <si>
    <t>好</t>
  </si>
  <si>
    <t>中都华庭</t>
    <phoneticPr fontId="3" type="noConversion"/>
  </si>
  <si>
    <t>大云镇双云公路东、康兴西路南</t>
    <phoneticPr fontId="3" type="noConversion"/>
  </si>
  <si>
    <t>孔雀城悦龙湾</t>
    <phoneticPr fontId="3" type="noConversion"/>
  </si>
  <si>
    <t>海上风华</t>
    <phoneticPr fontId="3" type="noConversion"/>
  </si>
  <si>
    <t>中高层</t>
  </si>
  <si>
    <t>中高层</t>
    <phoneticPr fontId="21" type="noConversion"/>
  </si>
  <si>
    <t>嘉兴市嘉善县世纪大道和车站南路的交叉口</t>
    <phoneticPr fontId="3" type="noConversion"/>
  </si>
  <si>
    <t>自定义</t>
  </si>
  <si>
    <r>
      <rPr>
        <sz val="11"/>
        <color theme="1"/>
        <rFont val="宋体"/>
        <family val="3"/>
        <charset val="134"/>
      </rPr>
      <t>不动产收益法</t>
    </r>
    <r>
      <rPr>
        <sz val="11"/>
        <color theme="1"/>
        <rFont val="Arial"/>
        <family val="2"/>
      </rPr>
      <t xml:space="preserve"> (</t>
    </r>
    <r>
      <rPr>
        <sz val="11"/>
        <color theme="1"/>
        <rFont val="宋体"/>
        <family val="3"/>
        <charset val="134"/>
      </rPr>
      <t>地下车库</t>
    </r>
    <r>
      <rPr>
        <sz val="11"/>
        <color theme="1"/>
        <rFont val="Arial"/>
        <family val="2"/>
      </rPr>
      <t>)</t>
    </r>
    <phoneticPr fontId="14" type="noConversion"/>
  </si>
  <si>
    <t>不动产收益法 (地下车库)</t>
  </si>
  <si>
    <t>项目全部</t>
  </si>
  <si>
    <t>土地</t>
  </si>
  <si>
    <t>出让合同总价</t>
    <phoneticPr fontId="9" type="noConversion"/>
  </si>
  <si>
    <t>万元</t>
    <phoneticPr fontId="9" type="noConversion"/>
  </si>
  <si>
    <t>税后：</t>
    <phoneticPr fontId="9" type="noConversion"/>
  </si>
  <si>
    <t>省会市名称</t>
  </si>
  <si>
    <t>建筑型式</t>
  </si>
  <si>
    <t>多层</t>
  </si>
  <si>
    <t>小高层</t>
  </si>
  <si>
    <t>杭州</t>
  </si>
  <si>
    <t xml:space="preserve"> </t>
  </si>
  <si>
    <r>
      <rPr>
        <sz val="10"/>
        <color rgb="FFFF0000"/>
        <rFont val="宋体"/>
        <family val="3"/>
        <charset val="134"/>
      </rPr>
      <t>苏哥市调价格为</t>
    </r>
    <r>
      <rPr>
        <sz val="10"/>
        <color rgb="FFFF0000"/>
        <rFont val="Arial"/>
        <family val="2"/>
      </rPr>
      <t>3000-4500</t>
    </r>
    <r>
      <rPr>
        <sz val="10"/>
        <color rgb="FFFF0000"/>
        <rFont val="宋体"/>
        <family val="3"/>
        <charset val="134"/>
      </rPr>
      <t>左右</t>
    </r>
    <phoneticPr fontId="3" type="noConversion"/>
  </si>
  <si>
    <t>《国有建设用地使用权出让合同》[电子监管号：3304212017B02671]、《建设用地规划许可证》[地字第33042120180009号]</t>
    <phoneticPr fontId="6" type="noConversion"/>
  </si>
  <si>
    <t>《不动产权证书》[浙（2018）嘉善县不动产权第0017624号]</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</si>
</sst>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0"/>
      <color rgb="FFFF0000"/>
      <name val="楷体_GB2312"/>
      <family val="3"/>
      <charset val="134"/>
    </font>
    <font>
      <sz val="10"/>
      <color indexed="10"/>
      <name val="楷体_GB2312"/>
      <family val="3"/>
      <charset val="134"/>
    </font>
    <font>
      <sz val="11"/>
      <color theme="9" tint="-0.249977111117893"/>
      <name val="宋体"/>
      <family val="3"/>
      <charset val="134"/>
    </font>
    <font>
      <sz val="10"/>
      <name val="Arial"/>
      <family val="3"/>
      <charset val="134"/>
    </font>
    <font>
      <sz val="11"/>
      <color indexed="8"/>
      <name val="Arial"/>
      <family val="3"/>
      <charset val="134"/>
    </font>
    <font>
      <sz val="11"/>
      <color theme="1"/>
      <name val="Arial"/>
      <family val="3"/>
      <charset val="134"/>
    </font>
    <font>
      <b/>
      <sz val="10"/>
      <color indexed="8"/>
      <name val="宋体"/>
      <family val="3"/>
      <charset val="134"/>
      <scheme val="minor"/>
    </font>
    <font>
      <sz val="10"/>
      <color indexed="8"/>
      <name val="宋体"/>
      <family val="3"/>
      <charset val="134"/>
      <scheme val="minor"/>
    </font>
    <font>
      <sz val="10"/>
      <color rgb="FFFF0000"/>
      <name val="Arial"/>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rgb="FF000000"/>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10">
    <xf numFmtId="0" fontId="0" fillId="0" borderId="0" xfId="0">
      <alignment vertical="center"/>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1" fillId="5" borderId="4" xfId="0" applyFont="1" applyFill="1" applyBorder="1" applyAlignment="1" applyProtection="1">
      <alignment horizontal="center" vertical="center"/>
    </xf>
    <xf numFmtId="0" fontId="71" fillId="5" borderId="40"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0" fontId="76" fillId="6" borderId="9" xfId="0" applyFont="1" applyFill="1" applyBorder="1" applyAlignment="1" applyProtection="1">
      <alignment horizontal="center" vertical="center"/>
      <protection locked="0"/>
    </xf>
    <xf numFmtId="0" fontId="85" fillId="0" borderId="0" xfId="0" applyFont="1" applyAlignment="1" applyProtection="1">
      <alignment vertical="center" wrapText="1"/>
      <protection locked="0"/>
    </xf>
    <xf numFmtId="0" fontId="86" fillId="0" borderId="7" xfId="2" applyNumberFormat="1" applyFont="1" applyFill="1" applyBorder="1" applyAlignment="1" applyProtection="1">
      <alignment horizontal="center" vertical="center"/>
      <protection locked="0"/>
    </xf>
    <xf numFmtId="0" fontId="86" fillId="0" borderId="12" xfId="2" applyNumberFormat="1" applyFont="1" applyFill="1" applyBorder="1" applyAlignment="1" applyProtection="1">
      <alignment horizontal="center" vertical="center"/>
      <protection locked="0"/>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182" fontId="76" fillId="0" borderId="51" xfId="0" applyNumberFormat="1" applyFont="1" applyFill="1" applyBorder="1" applyAlignment="1" applyProtection="1">
      <alignment horizontal="center"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86" fillId="0" borderId="51" xfId="2" applyNumberFormat="1" applyFont="1" applyFill="1" applyBorder="1" applyAlignment="1" applyProtection="1">
      <alignment horizontal="center" vertical="center"/>
      <protection locked="0"/>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0" fontId="71" fillId="5" borderId="2" xfId="0" applyFont="1" applyFill="1" applyBorder="1" applyAlignment="1" applyProtection="1">
      <alignment horizontal="righ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52" fillId="5" borderId="0" xfId="0" applyFont="1" applyFill="1" applyAlignment="1" applyProtection="1">
      <alignmen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266" fillId="0" borderId="12" xfId="0" applyFont="1" applyBorder="1" applyAlignment="1" applyProtection="1">
      <alignment horizontal="center" vertical="center" wrapText="1"/>
      <protection locked="0"/>
    </xf>
    <xf numFmtId="0" fontId="266" fillId="0" borderId="51" xfId="0" applyNumberFormat="1" applyFont="1" applyFill="1" applyBorder="1" applyAlignment="1" applyProtection="1">
      <alignment horizontal="center" vertical="center" wrapText="1"/>
      <protection locked="0"/>
    </xf>
    <xf numFmtId="0" fontId="266"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7" fillId="0" borderId="105" xfId="0" applyNumberFormat="1" applyFont="1" applyFill="1" applyBorder="1" applyAlignment="1" applyProtection="1">
      <alignment horizontal="center" vertical="center" wrapText="1"/>
      <protection locked="0"/>
    </xf>
    <xf numFmtId="0" fontId="267" fillId="5" borderId="31" xfId="0" applyNumberFormat="1" applyFont="1" applyFill="1" applyBorder="1" applyAlignment="1" applyProtection="1">
      <alignment horizontal="center" vertical="center" wrapText="1"/>
    </xf>
    <xf numFmtId="0" fontId="267"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1" fillId="0" borderId="10" xfId="0" applyNumberFormat="1" applyFont="1" applyFill="1" applyBorder="1" applyAlignment="1" applyProtection="1">
      <alignment horizontal="center" vertical="center" wrapText="1"/>
      <protection locked="0"/>
    </xf>
    <xf numFmtId="0" fontId="271"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2"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3" fillId="5" borderId="2" xfId="0" applyFont="1" applyFill="1" applyBorder="1" applyProtection="1">
      <alignment vertical="center"/>
    </xf>
    <xf numFmtId="0" fontId="0" fillId="5" borderId="2" xfId="0" applyFill="1" applyBorder="1" applyProtection="1">
      <alignment vertical="center"/>
    </xf>
    <xf numFmtId="0" fontId="273" fillId="5" borderId="0" xfId="0" applyFont="1" applyFill="1" applyProtection="1">
      <alignment vertical="center"/>
    </xf>
    <xf numFmtId="0" fontId="273"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4"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76" fillId="5" borderId="22" xfId="0" applyFont="1" applyFill="1" applyBorder="1" applyAlignment="1" applyProtection="1">
      <alignment horizontal="left" vertical="center" wrapText="1"/>
    </xf>
    <xf numFmtId="0" fontId="78" fillId="8" borderId="8" xfId="0" applyFont="1" applyFill="1" applyBorder="1" applyAlignment="1" applyProtection="1">
      <alignment vertical="center"/>
      <protection locked="0"/>
    </xf>
    <xf numFmtId="0" fontId="85" fillId="5" borderId="33" xfId="0" applyFont="1" applyFill="1" applyBorder="1" applyAlignment="1" applyProtection="1">
      <alignment vertical="center" wrapText="1"/>
    </xf>
    <xf numFmtId="14" fontId="85" fillId="5" borderId="34" xfId="0" applyNumberFormat="1" applyFont="1" applyFill="1" applyBorder="1" applyAlignment="1" applyProtection="1">
      <alignment horizontal="center" vertical="center"/>
    </xf>
    <xf numFmtId="0" fontId="76" fillId="5" borderId="0" xfId="0" applyFont="1" applyFill="1" applyAlignment="1" applyProtection="1">
      <alignment vertical="center" wrapText="1"/>
    </xf>
    <xf numFmtId="0" fontId="85" fillId="5" borderId="35" xfId="0" applyFont="1" applyFill="1" applyBorder="1" applyAlignment="1" applyProtection="1">
      <alignment vertical="center" wrapText="1"/>
    </xf>
    <xf numFmtId="0" fontId="76" fillId="5" borderId="36" xfId="0" applyFont="1" applyFill="1" applyBorder="1" applyAlignment="1" applyProtection="1">
      <alignment vertical="center"/>
    </xf>
    <xf numFmtId="0" fontId="76" fillId="5" borderId="37" xfId="0" applyFont="1" applyFill="1" applyBorder="1" applyAlignment="1" applyProtection="1">
      <alignment vertical="center"/>
    </xf>
    <xf numFmtId="180" fontId="76"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6" fillId="5" borderId="38" xfId="0" applyFont="1" applyFill="1" applyBorder="1" applyAlignment="1" applyProtection="1">
      <alignment vertical="center"/>
    </xf>
    <xf numFmtId="0" fontId="76" fillId="5" borderId="36" xfId="0" applyFont="1" applyFill="1" applyBorder="1" applyAlignment="1" applyProtection="1">
      <alignment horizontal="center" vertical="center"/>
    </xf>
    <xf numFmtId="0" fontId="76" fillId="5" borderId="37" xfId="0" applyFont="1" applyFill="1" applyBorder="1" applyAlignment="1" applyProtection="1">
      <alignment horizontal="center" vertical="center"/>
    </xf>
    <xf numFmtId="0" fontId="76" fillId="5" borderId="82" xfId="0" applyFont="1" applyFill="1" applyBorder="1" applyAlignment="1" applyProtection="1">
      <alignment horizontal="center" vertical="center"/>
    </xf>
    <xf numFmtId="0" fontId="76" fillId="5" borderId="28" xfId="0" applyFont="1" applyFill="1" applyBorder="1" applyAlignment="1" applyProtection="1">
      <alignment vertical="center"/>
    </xf>
    <xf numFmtId="0" fontId="76" fillId="5" borderId="26" xfId="0" applyFont="1" applyFill="1" applyBorder="1" applyAlignment="1" applyProtection="1">
      <alignment vertical="center"/>
    </xf>
    <xf numFmtId="0" fontId="11" fillId="5" borderId="1" xfId="2" applyFont="1" applyFill="1" applyBorder="1" applyAlignment="1" applyProtection="1">
      <alignment vertical="center" wrapText="1"/>
    </xf>
    <xf numFmtId="0" fontId="76" fillId="5" borderId="6" xfId="2" applyFont="1" applyFill="1" applyBorder="1" applyAlignment="1" applyProtection="1">
      <alignment vertical="center" wrapText="1"/>
    </xf>
    <xf numFmtId="0" fontId="76" fillId="5" borderId="29" xfId="2" applyFont="1" applyFill="1" applyBorder="1" applyAlignment="1" applyProtection="1">
      <alignment vertical="center" wrapText="1"/>
    </xf>
    <xf numFmtId="181" fontId="86" fillId="5" borderId="1" xfId="2" applyNumberFormat="1" applyFont="1" applyFill="1" applyBorder="1" applyAlignment="1" applyProtection="1">
      <alignment horizontal="center" vertical="center" wrapText="1"/>
    </xf>
    <xf numFmtId="0" fontId="76" fillId="5" borderId="6" xfId="0" applyFont="1" applyFill="1" applyBorder="1" applyAlignment="1" applyProtection="1">
      <alignment horizontal="center" vertical="center" wrapText="1"/>
    </xf>
    <xf numFmtId="180" fontId="76" fillId="5" borderId="6" xfId="0" applyNumberFormat="1" applyFont="1" applyFill="1" applyBorder="1" applyAlignment="1" applyProtection="1">
      <alignment horizontal="center" vertical="center" wrapText="1"/>
    </xf>
    <xf numFmtId="0" fontId="152" fillId="5" borderId="7" xfId="0" applyFont="1" applyFill="1" applyBorder="1" applyAlignment="1" applyProtection="1">
      <alignment horizontal="center" vertical="center" wrapText="1"/>
    </xf>
    <xf numFmtId="178" fontId="76" fillId="5" borderId="1" xfId="2" applyNumberFormat="1" applyFont="1" applyFill="1" applyBorder="1" applyAlignment="1" applyProtection="1">
      <alignment horizontal="center" vertical="center" wrapText="1"/>
    </xf>
    <xf numFmtId="0" fontId="76" fillId="5" borderId="6" xfId="2" applyFont="1" applyFill="1" applyBorder="1" applyAlignment="1" applyProtection="1">
      <alignment horizontal="center" vertical="center" wrapText="1"/>
    </xf>
    <xf numFmtId="180" fontId="76" fillId="5" borderId="6" xfId="2" applyNumberFormat="1" applyFont="1" applyFill="1" applyBorder="1" applyAlignment="1" applyProtection="1">
      <alignment horizontal="center" vertical="center" wrapText="1"/>
    </xf>
    <xf numFmtId="0" fontId="76" fillId="6" borderId="6" xfId="2" applyFont="1" applyFill="1" applyBorder="1" applyAlignment="1" applyProtection="1">
      <alignment horizontal="center" vertical="center" wrapText="1"/>
      <protection locked="0"/>
    </xf>
    <xf numFmtId="0" fontId="76" fillId="5" borderId="29" xfId="2" applyFont="1" applyFill="1" applyBorder="1" applyAlignment="1" applyProtection="1">
      <alignment horizontal="center" vertical="center" wrapText="1"/>
    </xf>
    <xf numFmtId="0" fontId="76" fillId="5" borderId="40" xfId="0" applyFont="1" applyFill="1" applyBorder="1" applyAlignment="1" applyProtection="1">
      <alignment horizontal="center" vertical="center" wrapText="1"/>
    </xf>
    <xf numFmtId="0" fontId="76" fillId="5" borderId="1" xfId="2" applyFont="1" applyFill="1" applyBorder="1" applyAlignment="1" applyProtection="1">
      <alignment horizontal="center" vertical="center" wrapText="1"/>
    </xf>
    <xf numFmtId="0" fontId="11" fillId="5" borderId="28" xfId="2" applyFont="1" applyFill="1" applyBorder="1" applyAlignment="1" applyProtection="1">
      <alignment horizontal="center" vertical="center" wrapText="1"/>
    </xf>
    <xf numFmtId="0" fontId="76" fillId="5" borderId="41" xfId="2" applyFont="1" applyFill="1" applyBorder="1" applyAlignment="1" applyProtection="1">
      <alignment horizontal="center" vertical="center" wrapText="1"/>
    </xf>
    <xf numFmtId="0" fontId="11" fillId="5" borderId="29" xfId="0" applyFont="1" applyFill="1" applyBorder="1" applyAlignment="1" applyProtection="1">
      <alignment horizontal="center" vertical="center" wrapText="1"/>
    </xf>
    <xf numFmtId="0" fontId="76" fillId="5" borderId="7" xfId="0" applyFont="1" applyFill="1" applyBorder="1" applyAlignment="1" applyProtection="1">
      <alignment horizontal="center" vertical="center" wrapText="1"/>
    </xf>
    <xf numFmtId="0" fontId="76" fillId="5" borderId="42" xfId="0" applyFont="1" applyFill="1" applyBorder="1" applyAlignment="1" applyProtection="1">
      <alignment horizontal="center" vertical="center" wrapText="1"/>
    </xf>
    <xf numFmtId="0" fontId="11" fillId="5" borderId="6" xfId="0" applyFont="1" applyFill="1" applyBorder="1" applyAlignment="1" applyProtection="1">
      <alignment horizontal="center" vertical="center" wrapText="1"/>
    </xf>
    <xf numFmtId="0" fontId="76" fillId="5" borderId="29"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protection locked="0"/>
    </xf>
    <xf numFmtId="178" fontId="82" fillId="5" borderId="11" xfId="2" applyNumberFormat="1" applyFont="1" applyFill="1" applyBorder="1" applyAlignment="1" applyProtection="1">
      <alignment horizontal="left" vertical="center"/>
    </xf>
    <xf numFmtId="178" fontId="49" fillId="5" borderId="2" xfId="2" applyNumberFormat="1" applyFont="1" applyFill="1" applyBorder="1" applyAlignment="1" applyProtection="1">
      <alignment vertical="center"/>
    </xf>
    <xf numFmtId="178" fontId="76" fillId="2" borderId="5" xfId="2" applyNumberFormat="1" applyFont="1" applyFill="1" applyBorder="1" applyAlignment="1" applyProtection="1">
      <alignment vertical="center"/>
      <protection locked="0"/>
    </xf>
    <xf numFmtId="178" fontId="76" fillId="5" borderId="11" xfId="2" applyNumberFormat="1" applyFont="1" applyFill="1" applyBorder="1" applyAlignment="1" applyProtection="1">
      <alignment horizontal="center" vertical="center"/>
    </xf>
    <xf numFmtId="184" fontId="76" fillId="5" borderId="2" xfId="0" applyNumberFormat="1" applyFont="1" applyFill="1" applyBorder="1" applyAlignment="1" applyProtection="1">
      <alignment horizontal="center" vertical="center"/>
    </xf>
    <xf numFmtId="180" fontId="86" fillId="5" borderId="2" xfId="2" applyNumberFormat="1" applyFont="1" applyFill="1" applyBorder="1" applyAlignment="1" applyProtection="1">
      <alignment horizontal="center" vertical="center"/>
    </xf>
    <xf numFmtId="181" fontId="86" fillId="5" borderId="2" xfId="2" applyNumberFormat="1" applyFont="1" applyFill="1" applyBorder="1" applyAlignment="1" applyProtection="1">
      <alignment horizontal="center" vertical="center"/>
    </xf>
    <xf numFmtId="182" fontId="76" fillId="0" borderId="2" xfId="0" applyNumberFormat="1" applyFont="1" applyFill="1" applyBorder="1" applyAlignment="1" applyProtection="1">
      <alignment horizontal="center" vertical="center"/>
      <protection locked="0"/>
    </xf>
    <xf numFmtId="180" fontId="76" fillId="5" borderId="11" xfId="2" applyNumberFormat="1" applyFont="1" applyFill="1" applyBorder="1" applyAlignment="1" applyProtection="1">
      <alignment horizontal="center" vertical="center"/>
    </xf>
    <xf numFmtId="0" fontId="76" fillId="5" borderId="2" xfId="2"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center" vertical="center"/>
    </xf>
    <xf numFmtId="0" fontId="76" fillId="0" borderId="12" xfId="2" applyNumberFormat="1" applyFont="1" applyFill="1" applyBorder="1" applyAlignment="1" applyProtection="1">
      <alignment horizontal="center" vertical="center"/>
      <protection locked="0"/>
    </xf>
    <xf numFmtId="0" fontId="76" fillId="0" borderId="11" xfId="0" applyFont="1" applyBorder="1" applyAlignment="1" applyProtection="1">
      <alignment vertical="center"/>
      <protection locked="0"/>
    </xf>
    <xf numFmtId="182" fontId="76" fillId="0" borderId="2" xfId="0" applyNumberFormat="1" applyFont="1" applyBorder="1" applyAlignment="1" applyProtection="1">
      <alignment vertical="center"/>
      <protection locked="0"/>
    </xf>
    <xf numFmtId="182" fontId="76" fillId="5" borderId="5" xfId="0" applyNumberFormat="1" applyFont="1" applyFill="1" applyBorder="1" applyAlignment="1" applyProtection="1">
      <alignment vertical="center"/>
    </xf>
    <xf numFmtId="182" fontId="76" fillId="0" borderId="12" xfId="0" applyNumberFormat="1" applyFont="1" applyBorder="1" applyAlignment="1" applyProtection="1">
      <alignment vertical="center"/>
      <protection locked="0"/>
    </xf>
    <xf numFmtId="0" fontId="76" fillId="0" borderId="9" xfId="0" applyFont="1" applyBorder="1" applyAlignment="1" applyProtection="1">
      <alignment vertical="center"/>
      <protection locked="0"/>
    </xf>
    <xf numFmtId="182" fontId="76" fillId="5" borderId="5" xfId="0" applyNumberFormat="1" applyFont="1" applyFill="1" applyBorder="1" applyAlignment="1" applyProtection="1">
      <alignment horizontal="center" vertical="center"/>
    </xf>
    <xf numFmtId="182" fontId="76" fillId="0" borderId="5" xfId="0" applyNumberFormat="1" applyFont="1" applyBorder="1" applyAlignment="1" applyProtection="1">
      <alignment vertical="center"/>
      <protection locked="0"/>
    </xf>
    <xf numFmtId="0" fontId="76" fillId="5" borderId="11" xfId="0" applyFont="1" applyFill="1" applyBorder="1" applyAlignment="1" applyProtection="1">
      <alignment horizontal="center" vertical="center"/>
    </xf>
    <xf numFmtId="0" fontId="152" fillId="5" borderId="12" xfId="0" applyFont="1" applyFill="1" applyBorder="1" applyAlignment="1" applyProtection="1">
      <alignment horizontal="center" vertical="center"/>
    </xf>
    <xf numFmtId="0" fontId="76" fillId="0" borderId="2" xfId="0" applyNumberFormat="1" applyFont="1" applyBorder="1" applyAlignment="1" applyProtection="1">
      <alignment horizontal="center" vertical="center"/>
      <protection locked="0"/>
    </xf>
    <xf numFmtId="10" fontId="76" fillId="0" borderId="2" xfId="0" applyNumberFormat="1" applyFont="1" applyBorder="1" applyAlignment="1" applyProtection="1">
      <alignment horizontal="center" vertical="center"/>
      <protection locked="0"/>
    </xf>
    <xf numFmtId="183" fontId="76" fillId="0" borderId="2" xfId="0" applyNumberFormat="1" applyFont="1" applyBorder="1" applyAlignment="1" applyProtection="1">
      <alignment horizontal="center" vertical="center"/>
      <protection locked="0"/>
    </xf>
    <xf numFmtId="182" fontId="76" fillId="0" borderId="12" xfId="0" applyNumberFormat="1" applyFont="1" applyBorder="1" applyAlignment="1" applyProtection="1">
      <alignment horizontal="center" vertical="center"/>
      <protection locked="0"/>
    </xf>
    <xf numFmtId="0" fontId="76" fillId="6" borderId="2" xfId="0" applyFont="1" applyFill="1" applyBorder="1" applyAlignment="1" applyProtection="1">
      <alignment vertical="center"/>
      <protection locked="0"/>
    </xf>
    <xf numFmtId="182" fontId="76" fillId="0" borderId="5" xfId="0" applyNumberFormat="1" applyFont="1" applyBorder="1" applyAlignment="1" applyProtection="1">
      <alignment horizontal="center" vertical="center"/>
      <protection locked="0"/>
    </xf>
    <xf numFmtId="0" fontId="76" fillId="0" borderId="11" xfId="0" applyFont="1" applyBorder="1" applyAlignment="1" applyProtection="1">
      <alignment horizontal="center" vertical="center"/>
      <protection locked="0"/>
    </xf>
    <xf numFmtId="0" fontId="76" fillId="0" borderId="9" xfId="0" applyFont="1" applyBorder="1" applyAlignment="1" applyProtection="1">
      <alignment horizontal="center" vertical="center"/>
      <protection locked="0"/>
    </xf>
    <xf numFmtId="10" fontId="76" fillId="0" borderId="2" xfId="0" applyNumberFormat="1" applyFont="1" applyFill="1" applyBorder="1" applyAlignment="1" applyProtection="1">
      <alignment horizontal="center" vertical="center"/>
      <protection locked="0"/>
    </xf>
    <xf numFmtId="183" fontId="76" fillId="0" borderId="2" xfId="0" applyNumberFormat="1" applyFont="1" applyFill="1" applyBorder="1" applyAlignment="1" applyProtection="1">
      <alignment horizontal="center" vertical="center"/>
      <protection locked="0"/>
    </xf>
    <xf numFmtId="182" fontId="76" fillId="0" borderId="5" xfId="0" applyNumberFormat="1" applyFont="1" applyFill="1" applyBorder="1" applyAlignment="1" applyProtection="1">
      <alignment horizontal="center" vertical="center"/>
      <protection locked="0"/>
    </xf>
    <xf numFmtId="178" fontId="76" fillId="5" borderId="11" xfId="2" applyNumberFormat="1" applyFont="1" applyFill="1" applyBorder="1" applyAlignment="1" applyProtection="1">
      <alignment horizontal="left" vertical="center" wrapText="1"/>
    </xf>
    <xf numFmtId="178" fontId="76" fillId="5" borderId="5" xfId="2" applyNumberFormat="1" applyFont="1" applyFill="1" applyBorder="1" applyAlignment="1" applyProtection="1">
      <alignment vertical="center"/>
    </xf>
    <xf numFmtId="182" fontId="79" fillId="5" borderId="2" xfId="0" applyNumberFormat="1" applyFont="1" applyFill="1" applyBorder="1" applyAlignment="1" applyProtection="1">
      <alignment horizontal="center" vertical="center"/>
    </xf>
    <xf numFmtId="9" fontId="76" fillId="5" borderId="5" xfId="0" applyNumberFormat="1" applyFont="1" applyFill="1" applyBorder="1" applyAlignment="1" applyProtection="1">
      <alignment horizontal="center" vertical="center"/>
    </xf>
    <xf numFmtId="0" fontId="76" fillId="0" borderId="12" xfId="2" applyNumberFormat="1" applyFont="1" applyFill="1" applyBorder="1" applyAlignment="1" applyProtection="1">
      <alignment horizontal="center" vertical="center"/>
    </xf>
    <xf numFmtId="0" fontId="76" fillId="5" borderId="11" xfId="0" applyFont="1" applyFill="1" applyBorder="1" applyAlignment="1" applyProtection="1">
      <alignment vertical="center"/>
    </xf>
    <xf numFmtId="182" fontId="76" fillId="5" borderId="2" xfId="0" applyNumberFormat="1" applyFont="1" applyFill="1" applyBorder="1" applyAlignment="1" applyProtection="1">
      <alignment vertical="center"/>
    </xf>
    <xf numFmtId="182" fontId="76" fillId="5" borderId="12" xfId="0" applyNumberFormat="1" applyFont="1" applyFill="1" applyBorder="1" applyAlignment="1" applyProtection="1">
      <alignment vertical="center"/>
    </xf>
    <xf numFmtId="0" fontId="76" fillId="5" borderId="9" xfId="0" applyFont="1" applyFill="1" applyBorder="1" applyAlignment="1" applyProtection="1">
      <alignment vertical="center"/>
    </xf>
    <xf numFmtId="182" fontId="76" fillId="5" borderId="2" xfId="0" applyNumberFormat="1" applyFont="1" applyFill="1" applyBorder="1" applyAlignment="1" applyProtection="1">
      <alignment horizontal="center" vertical="center"/>
    </xf>
    <xf numFmtId="183" fontId="76" fillId="5" borderId="2" xfId="0"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85" fillId="5" borderId="43" xfId="2" applyFont="1" applyFill="1" applyBorder="1" applyAlignment="1" applyProtection="1">
      <alignment vertical="center" wrapText="1"/>
    </xf>
    <xf numFmtId="0" fontId="85" fillId="5" borderId="44" xfId="2" applyFont="1" applyFill="1" applyBorder="1" applyAlignment="1" applyProtection="1">
      <alignment vertical="center"/>
    </xf>
    <xf numFmtId="0" fontId="85" fillId="5" borderId="45" xfId="2" applyFont="1" applyFill="1" applyBorder="1" applyAlignment="1" applyProtection="1">
      <alignment vertical="center"/>
    </xf>
    <xf numFmtId="0" fontId="85" fillId="5" borderId="43" xfId="2" applyFont="1" applyFill="1" applyBorder="1" applyAlignment="1" applyProtection="1">
      <alignment vertical="center"/>
    </xf>
    <xf numFmtId="0" fontId="85" fillId="5" borderId="44" xfId="2" applyFont="1" applyFill="1" applyBorder="1" applyAlignment="1" applyProtection="1">
      <alignment horizontal="center" vertical="center"/>
    </xf>
    <xf numFmtId="182" fontId="85" fillId="5" borderId="44" xfId="2" applyNumberFormat="1" applyFont="1" applyFill="1" applyBorder="1" applyAlignment="1" applyProtection="1">
      <alignment vertical="center"/>
    </xf>
    <xf numFmtId="0" fontId="85" fillId="5" borderId="46" xfId="2" applyFont="1" applyFill="1" applyBorder="1" applyAlignment="1" applyProtection="1">
      <alignment vertical="center"/>
    </xf>
    <xf numFmtId="177" fontId="76" fillId="5" borderId="43" xfId="0" applyNumberFormat="1" applyFont="1" applyFill="1" applyBorder="1" applyAlignment="1" applyProtection="1">
      <alignment horizontal="center" vertical="center"/>
    </xf>
    <xf numFmtId="0" fontId="76" fillId="5" borderId="44" xfId="2" applyNumberFormat="1" applyFont="1" applyFill="1" applyBorder="1" applyAlignment="1" applyProtection="1">
      <alignment horizontal="center" vertical="center"/>
    </xf>
    <xf numFmtId="10" fontId="76" fillId="5" borderId="44" xfId="2" applyNumberFormat="1" applyFont="1" applyFill="1" applyBorder="1" applyAlignment="1" applyProtection="1">
      <alignment horizontal="center" vertical="center"/>
    </xf>
    <xf numFmtId="9" fontId="76" fillId="5" borderId="45" xfId="0" applyNumberFormat="1" applyFont="1" applyFill="1" applyBorder="1" applyAlignment="1" applyProtection="1">
      <alignment horizontal="center" vertical="center"/>
    </xf>
    <xf numFmtId="180" fontId="76" fillId="5" borderId="43" xfId="2" applyNumberFormat="1" applyFont="1" applyFill="1" applyBorder="1" applyAlignment="1" applyProtection="1">
      <alignment horizontal="center" vertical="center"/>
    </xf>
    <xf numFmtId="180" fontId="76" fillId="5" borderId="47" xfId="2" applyNumberFormat="1" applyFont="1" applyFill="1" applyBorder="1" applyAlignment="1" applyProtection="1">
      <alignment horizontal="center" vertical="center"/>
    </xf>
    <xf numFmtId="0" fontId="76" fillId="5" borderId="48" xfId="2" applyNumberFormat="1" applyFont="1" applyFill="1" applyBorder="1" applyAlignment="1" applyProtection="1">
      <alignment horizontal="center" vertical="center"/>
    </xf>
    <xf numFmtId="0" fontId="76" fillId="5" borderId="43" xfId="0" applyFont="1" applyFill="1" applyBorder="1" applyAlignment="1" applyProtection="1">
      <alignment vertical="center"/>
    </xf>
    <xf numFmtId="0" fontId="76" fillId="5" borderId="46" xfId="0" applyFont="1" applyFill="1" applyBorder="1" applyAlignment="1" applyProtection="1">
      <alignment vertical="center"/>
    </xf>
    <xf numFmtId="0" fontId="76" fillId="5" borderId="47" xfId="0" applyFont="1" applyFill="1" applyBorder="1" applyAlignment="1" applyProtection="1">
      <alignment vertical="center"/>
    </xf>
    <xf numFmtId="177" fontId="86" fillId="5" borderId="1" xfId="2" applyNumberFormat="1" applyFont="1" applyFill="1" applyBorder="1" applyAlignment="1" applyProtection="1">
      <alignment vertical="center" wrapText="1"/>
    </xf>
    <xf numFmtId="177" fontId="86" fillId="0" borderId="7" xfId="2" applyNumberFormat="1" applyFont="1" applyFill="1" applyBorder="1" applyAlignment="1" applyProtection="1">
      <alignment horizontal="center" vertical="center"/>
      <protection locked="0"/>
    </xf>
    <xf numFmtId="0" fontId="82" fillId="5" borderId="0" xfId="0" applyFont="1" applyFill="1" applyAlignment="1" applyProtection="1">
      <alignment vertical="center"/>
      <protection locked="0"/>
    </xf>
    <xf numFmtId="177" fontId="86" fillId="5" borderId="11" xfId="2" applyNumberFormat="1" applyFont="1" applyFill="1" applyBorder="1" applyAlignment="1" applyProtection="1">
      <alignment vertical="center" wrapText="1"/>
    </xf>
    <xf numFmtId="177" fontId="76" fillId="0" borderId="12" xfId="2" applyNumberFormat="1" applyFont="1" applyFill="1" applyBorder="1" applyAlignment="1" applyProtection="1">
      <alignment horizontal="center" vertical="center"/>
      <protection locked="0"/>
    </xf>
    <xf numFmtId="177" fontId="76" fillId="5" borderId="11" xfId="2" applyNumberFormat="1" applyFont="1" applyFill="1" applyBorder="1" applyAlignment="1" applyProtection="1">
      <alignment vertical="center" wrapText="1"/>
    </xf>
    <xf numFmtId="177" fontId="86" fillId="5" borderId="12" xfId="2" applyNumberFormat="1" applyFont="1" applyFill="1" applyBorder="1" applyAlignment="1" applyProtection="1">
      <alignment horizontal="center" vertical="center"/>
    </xf>
    <xf numFmtId="177" fontId="86" fillId="5" borderId="43" xfId="2" applyNumberFormat="1" applyFont="1" applyFill="1" applyBorder="1" applyAlignment="1" applyProtection="1">
      <alignment vertical="center" wrapText="1"/>
    </xf>
    <xf numFmtId="177" fontId="86" fillId="5" borderId="46" xfId="2" applyNumberFormat="1" applyFont="1" applyFill="1" applyBorder="1" applyAlignment="1" applyProtection="1">
      <alignment horizontal="center" vertical="center"/>
    </xf>
    <xf numFmtId="0" fontId="76" fillId="5" borderId="49" xfId="0" applyFont="1" applyFill="1" applyBorder="1" applyAlignment="1" applyProtection="1">
      <alignment horizontal="center" vertical="center"/>
    </xf>
    <xf numFmtId="0" fontId="76" fillId="5" borderId="34" xfId="0" applyFont="1" applyFill="1" applyBorder="1" applyAlignment="1" applyProtection="1">
      <alignment horizontal="center" vertical="center"/>
      <protection locked="0"/>
    </xf>
    <xf numFmtId="0" fontId="76" fillId="5" borderId="1" xfId="0" applyFont="1" applyFill="1" applyBorder="1" applyAlignment="1" applyProtection="1">
      <alignment vertical="center" wrapText="1"/>
    </xf>
    <xf numFmtId="0" fontId="152" fillId="5" borderId="0" xfId="0" applyFont="1" applyFill="1" applyAlignment="1" applyProtection="1">
      <alignment horizontal="left" vertical="center"/>
      <protection locked="0"/>
    </xf>
    <xf numFmtId="180" fontId="76" fillId="5" borderId="0" xfId="0" applyNumberFormat="1" applyFont="1" applyFill="1" applyAlignment="1" applyProtection="1">
      <alignment horizontal="center" vertical="center"/>
      <protection locked="0"/>
    </xf>
    <xf numFmtId="0" fontId="76" fillId="5" borderId="11" xfId="0" applyFont="1" applyFill="1" applyBorder="1" applyAlignment="1" applyProtection="1">
      <alignment vertical="center" wrapText="1"/>
    </xf>
    <xf numFmtId="0" fontId="152" fillId="5" borderId="0" xfId="0" applyFont="1" applyFill="1" applyAlignment="1" applyProtection="1">
      <alignment horizontal="center" vertical="center"/>
      <protection locked="0"/>
    </xf>
    <xf numFmtId="0" fontId="76" fillId="5" borderId="43" xfId="0" applyFont="1" applyFill="1" applyBorder="1" applyAlignment="1" applyProtection="1">
      <alignment vertical="center" wrapText="1"/>
    </xf>
    <xf numFmtId="0" fontId="201" fillId="5" borderId="0" xfId="0" applyFont="1" applyFill="1" applyAlignment="1" applyProtection="1">
      <alignment horizontal="center" vertical="center"/>
      <protection locked="0"/>
    </xf>
    <xf numFmtId="0" fontId="76" fillId="5" borderId="50" xfId="0" applyFont="1" applyFill="1" applyBorder="1" applyAlignment="1" applyProtection="1">
      <alignment vertical="center" wrapText="1"/>
    </xf>
    <xf numFmtId="0" fontId="86" fillId="5" borderId="12" xfId="2" applyNumberFormat="1" applyFont="1" applyFill="1" applyBorder="1" applyAlignment="1" applyProtection="1">
      <alignment horizontal="center" vertical="center"/>
    </xf>
    <xf numFmtId="0" fontId="76" fillId="5" borderId="22" xfId="0" applyFont="1" applyFill="1" applyBorder="1" applyAlignment="1" applyProtection="1">
      <alignment vertical="center" wrapText="1"/>
    </xf>
    <xf numFmtId="0" fontId="11" fillId="5" borderId="22" xfId="0" applyFont="1" applyFill="1" applyBorder="1" applyAlignment="1" applyProtection="1">
      <alignment vertical="center" wrapText="1"/>
    </xf>
    <xf numFmtId="10" fontId="76" fillId="5" borderId="7" xfId="0" applyNumberFormat="1" applyFont="1" applyFill="1" applyBorder="1" applyAlignment="1" applyProtection="1">
      <alignment horizontal="center" vertical="center"/>
    </xf>
    <xf numFmtId="10" fontId="76" fillId="0" borderId="25" xfId="0" applyNumberFormat="1" applyFont="1" applyFill="1" applyBorder="1" applyAlignment="1" applyProtection="1">
      <alignment horizontal="center" vertical="center"/>
      <protection locked="0"/>
    </xf>
    <xf numFmtId="182" fontId="152" fillId="5" borderId="0" xfId="0" applyNumberFormat="1" applyFont="1" applyFill="1" applyAlignment="1" applyProtection="1">
      <alignment horizontal="center" vertical="center"/>
      <protection locked="0"/>
    </xf>
    <xf numFmtId="183" fontId="76" fillId="5" borderId="25" xfId="0" applyNumberFormat="1" applyFont="1" applyFill="1" applyBorder="1" applyAlignment="1" applyProtection="1">
      <alignment horizontal="center" vertical="center"/>
    </xf>
    <xf numFmtId="10" fontId="76" fillId="2" borderId="25" xfId="0" applyNumberFormat="1" applyFont="1" applyFill="1" applyBorder="1" applyAlignment="1" applyProtection="1">
      <alignment horizontal="center" vertical="center"/>
      <protection locked="0"/>
    </xf>
    <xf numFmtId="0" fontId="76" fillId="5" borderId="43" xfId="0" applyFont="1" applyFill="1" applyBorder="1" applyAlignment="1" applyProtection="1">
      <alignment horizontal="right" vertical="center" wrapText="1"/>
    </xf>
    <xf numFmtId="10" fontId="76" fillId="0" borderId="46" xfId="0" applyNumberFormat="1" applyFont="1" applyFill="1" applyBorder="1" applyAlignment="1" applyProtection="1">
      <alignment horizontal="center" vertical="center"/>
      <protection locked="0"/>
    </xf>
    <xf numFmtId="0" fontId="163" fillId="5" borderId="0" xfId="0" applyFont="1" applyFill="1" applyAlignment="1" applyProtection="1">
      <alignment horizontal="left" vertical="center"/>
      <protection locked="0"/>
    </xf>
    <xf numFmtId="0" fontId="76" fillId="5" borderId="24" xfId="0" applyFont="1" applyFill="1" applyBorder="1" applyAlignment="1" applyProtection="1">
      <alignment vertical="center" wrapText="1"/>
    </xf>
    <xf numFmtId="10" fontId="76" fillId="0" borderId="52" xfId="0" applyNumberFormat="1" applyFont="1" applyFill="1" applyBorder="1" applyAlignment="1" applyProtection="1">
      <alignment horizontal="center" vertical="center"/>
      <protection locked="0"/>
    </xf>
    <xf numFmtId="0" fontId="76" fillId="5" borderId="53" xfId="0" applyFont="1" applyFill="1" applyBorder="1" applyAlignment="1" applyProtection="1">
      <alignment vertical="center" wrapText="1"/>
    </xf>
    <xf numFmtId="10" fontId="76" fillId="5" borderId="41" xfId="0" applyNumberFormat="1" applyFont="1" applyFill="1" applyBorder="1" applyAlignment="1" applyProtection="1">
      <alignment horizontal="center" vertical="center"/>
    </xf>
    <xf numFmtId="10" fontId="76" fillId="5" borderId="46" xfId="0" applyNumberFormat="1" applyFont="1" applyFill="1" applyBorder="1" applyAlignment="1" applyProtection="1">
      <alignment horizontal="center" vertical="center"/>
    </xf>
    <xf numFmtId="179" fontId="76" fillId="5" borderId="41" xfId="0" applyNumberFormat="1" applyFont="1" applyFill="1" applyBorder="1" applyAlignment="1" applyProtection="1">
      <alignment horizontal="center" vertical="center"/>
    </xf>
    <xf numFmtId="0" fontId="76" fillId="2" borderId="12"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277" fillId="5" borderId="0" xfId="0" applyFont="1" applyFill="1" applyAlignment="1" applyProtection="1">
      <alignment vertical="center"/>
      <protection locked="0"/>
    </xf>
    <xf numFmtId="0" fontId="11" fillId="0" borderId="11" xfId="0" applyFont="1" applyBorder="1" applyAlignment="1" applyProtection="1">
      <alignment horizontal="right" vertical="center" wrapText="1"/>
      <protection locked="0"/>
    </xf>
    <xf numFmtId="0" fontId="76" fillId="0" borderId="12" xfId="0" applyFont="1" applyBorder="1" applyAlignment="1" applyProtection="1">
      <alignment horizontal="center" vertical="center"/>
      <protection locked="0"/>
    </xf>
    <xf numFmtId="180" fontId="11" fillId="5" borderId="0" xfId="0" applyNumberFormat="1" applyFont="1" applyFill="1" applyAlignment="1" applyProtection="1">
      <alignment vertical="center"/>
      <protection locked="0"/>
    </xf>
    <xf numFmtId="0" fontId="11" fillId="0" borderId="43" xfId="0" applyFont="1" applyBorder="1" applyAlignment="1" applyProtection="1">
      <alignment horizontal="right" vertical="center" wrapText="1"/>
      <protection locked="0"/>
    </xf>
    <xf numFmtId="0" fontId="76" fillId="0" borderId="46" xfId="0" applyFont="1" applyBorder="1" applyAlignment="1" applyProtection="1">
      <alignment vertical="center"/>
      <protection locked="0"/>
    </xf>
    <xf numFmtId="0" fontId="133" fillId="8" borderId="63" xfId="0" applyFont="1" applyFill="1" applyBorder="1" applyAlignment="1" applyProtection="1">
      <alignment horizontal="left" vertical="center" wrapText="1"/>
      <protection locked="0"/>
    </xf>
    <xf numFmtId="0" fontId="81" fillId="0" borderId="50" xfId="0" applyNumberFormat="1" applyFont="1" applyFill="1" applyBorder="1" applyAlignment="1" applyProtection="1">
      <alignment horizontal="center" vertical="center" wrapText="1"/>
      <protection locked="0"/>
    </xf>
    <xf numFmtId="180" fontId="71" fillId="0" borderId="67" xfId="0" applyNumberFormat="1" applyFont="1" applyFill="1" applyBorder="1" applyAlignment="1" applyProtection="1">
      <alignment horizontal="center" vertical="center" wrapText="1"/>
      <protection locked="0"/>
    </xf>
    <xf numFmtId="180" fontId="71" fillId="0" borderId="55"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6" fillId="0" borderId="0" xfId="0" applyFont="1" applyFill="1" applyBorder="1" applyAlignment="1"/>
    <xf numFmtId="0" fontId="86" fillId="17" borderId="0" xfId="0" applyFont="1" applyFill="1" applyBorder="1" applyAlignment="1"/>
    <xf numFmtId="0" fontId="127" fillId="0" borderId="0" xfId="0" applyFont="1" applyFill="1" applyBorder="1" applyAlignment="1"/>
    <xf numFmtId="0" fontId="57" fillId="5" borderId="2" xfId="2" applyFont="1" applyFill="1" applyBorder="1" applyAlignment="1" applyProtection="1">
      <alignment vertical="center"/>
      <protection locked="0"/>
    </xf>
    <xf numFmtId="0" fontId="97" fillId="5" borderId="2" xfId="2" applyFont="1" applyFill="1" applyBorder="1" applyAlignment="1" applyProtection="1">
      <alignment horizontal="right"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27" fillId="9" borderId="0" xfId="0" applyFont="1" applyFill="1" applyBorder="1" applyAlignment="1"/>
    <xf numFmtId="0" fontId="86" fillId="9" borderId="0" xfId="0" applyFont="1" applyFill="1" applyBorder="1" applyAlignment="1"/>
    <xf numFmtId="0" fontId="279" fillId="9" borderId="0" xfId="0" applyFont="1" applyFill="1" applyBorder="1" applyAlignment="1"/>
    <xf numFmtId="0" fontId="280" fillId="0" borderId="20" xfId="0" applyNumberFormat="1" applyFont="1" applyFill="1" applyBorder="1" applyAlignment="1" applyProtection="1">
      <alignment horizontal="center" vertical="center" wrapText="1"/>
      <protection locked="0"/>
    </xf>
    <xf numFmtId="49" fontId="278" fillId="0" borderId="12" xfId="0" applyNumberFormat="1" applyFont="1" applyFill="1" applyBorder="1" applyAlignment="1" applyProtection="1">
      <alignment horizontal="center" vertical="center" wrapText="1"/>
      <protection locked="0"/>
    </xf>
    <xf numFmtId="49" fontId="278" fillId="0" borderId="7" xfId="0" applyNumberFormat="1" applyFont="1" applyFill="1" applyBorder="1" applyAlignment="1" applyProtection="1">
      <alignment horizontal="center" vertical="center" wrapText="1"/>
      <protection locked="0"/>
    </xf>
    <xf numFmtId="0" fontId="278" fillId="0" borderId="12" xfId="0" applyFont="1" applyBorder="1" applyAlignment="1" applyProtection="1">
      <alignment horizontal="center" vertical="center" wrapText="1"/>
      <protection locked="0"/>
    </xf>
    <xf numFmtId="0" fontId="278"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44" fillId="0" borderId="5" xfId="0" applyFont="1" applyFill="1" applyBorder="1" applyAlignment="1" applyProtection="1">
      <alignment horizontal="center" vertical="center"/>
      <protection locked="0"/>
    </xf>
    <xf numFmtId="49" fontId="144" fillId="0" borderId="2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8" fillId="8" borderId="19" xfId="0" applyFont="1" applyFill="1" applyBorder="1" applyAlignment="1" applyProtection="1">
      <alignment vertical="center"/>
      <protection locked="0"/>
    </xf>
    <xf numFmtId="0" fontId="281" fillId="0" borderId="2" xfId="0" applyFont="1" applyBorder="1" applyAlignment="1" applyProtection="1">
      <alignment horizontal="center" vertical="center"/>
      <protection locked="0"/>
    </xf>
    <xf numFmtId="0" fontId="76" fillId="0" borderId="13" xfId="0" applyFont="1" applyBorder="1" applyAlignment="1" applyProtection="1">
      <alignment horizontal="left" vertical="center"/>
      <protection locked="0"/>
    </xf>
    <xf numFmtId="177" fontId="76" fillId="7" borderId="12" xfId="2" applyNumberFormat="1" applyFont="1" applyFill="1" applyBorder="1" applyAlignment="1" applyProtection="1">
      <alignment horizontal="center" vertical="center"/>
      <protection locked="0"/>
    </xf>
    <xf numFmtId="0" fontId="283" fillId="0" borderId="153" xfId="0" applyFont="1" applyFill="1" applyBorder="1" applyAlignment="1" applyProtection="1">
      <alignment horizontal="center" vertical="top" wrapText="1"/>
      <protection locked="0"/>
    </xf>
    <xf numFmtId="0" fontId="283" fillId="0" borderId="2" xfId="0" applyFont="1" applyFill="1" applyBorder="1" applyAlignment="1" applyProtection="1">
      <alignment horizontal="center" vertical="top" wrapText="1"/>
      <protection locked="0"/>
    </xf>
    <xf numFmtId="0" fontId="283" fillId="0" borderId="154" xfId="0" applyFont="1" applyFill="1" applyBorder="1" applyAlignment="1" applyProtection="1">
      <alignment horizontal="center" vertical="top" wrapText="1"/>
      <protection locked="0"/>
    </xf>
    <xf numFmtId="0" fontId="282" fillId="0" borderId="5" xfId="0" applyFont="1" applyFill="1" applyBorder="1" applyAlignment="1" applyProtection="1">
      <alignment vertical="top" wrapText="1"/>
      <protection locked="0"/>
    </xf>
    <xf numFmtId="0" fontId="283" fillId="0" borderId="153" xfId="0" applyNumberFormat="1" applyFont="1" applyFill="1" applyBorder="1" applyAlignment="1" applyProtection="1">
      <alignment vertical="top" wrapText="1"/>
      <protection locked="0"/>
    </xf>
    <xf numFmtId="0" fontId="283" fillId="0" borderId="2" xfId="0" applyNumberFormat="1" applyFont="1" applyFill="1" applyBorder="1" applyAlignment="1" applyProtection="1">
      <alignment vertical="top" wrapText="1"/>
      <protection locked="0"/>
    </xf>
    <xf numFmtId="0" fontId="283" fillId="0" borderId="154" xfId="0" applyNumberFormat="1" applyFont="1" applyFill="1" applyBorder="1" applyAlignment="1" applyProtection="1">
      <alignment vertical="top" wrapText="1"/>
      <protection locked="0"/>
    </xf>
    <xf numFmtId="0" fontId="284" fillId="6" borderId="0" xfId="0" applyFont="1" applyFill="1" applyAlignment="1" applyProtection="1">
      <alignment horizontal="left" vertical="center"/>
      <protection locked="0"/>
    </xf>
    <xf numFmtId="0" fontId="158" fillId="6" borderId="0" xfId="0" applyFont="1" applyFill="1" applyAlignment="1" applyProtection="1">
      <alignment horizontal="center" vertical="center"/>
      <protection locked="0"/>
    </xf>
    <xf numFmtId="0" fontId="158" fillId="6" borderId="0" xfId="0" applyFont="1" applyFill="1" applyAlignment="1" applyProtection="1">
      <alignment vertical="center"/>
      <protection locked="0"/>
    </xf>
    <xf numFmtId="9" fontId="76" fillId="7" borderId="5" xfId="0" applyNumberFormat="1" applyFont="1" applyFill="1" applyBorder="1" applyAlignment="1" applyProtection="1">
      <alignment horizontal="center" vertical="center"/>
      <protection locked="0"/>
    </xf>
    <xf numFmtId="57" fontId="158" fillId="6" borderId="0" xfId="0" applyNumberFormat="1" applyFont="1" applyFill="1" applyBorder="1" applyAlignment="1" applyProtection="1">
      <alignment horizontal="center" vertical="center" wrapText="1"/>
      <protection locked="0"/>
    </xf>
    <xf numFmtId="0" fontId="211" fillId="6" borderId="0" xfId="0" applyFont="1" applyFill="1" applyBorder="1" applyAlignment="1" applyProtection="1">
      <alignment horizontal="center" vertical="center" wrapText="1"/>
      <protection locked="0"/>
    </xf>
    <xf numFmtId="0" fontId="211" fillId="6" borderId="14" xfId="0" applyFont="1" applyFill="1" applyBorder="1" applyAlignment="1" applyProtection="1">
      <alignment horizontal="left" vertical="center" wrapText="1"/>
      <protection locked="0"/>
    </xf>
    <xf numFmtId="0" fontId="211" fillId="6" borderId="14" xfId="0" applyFont="1" applyFill="1" applyBorder="1" applyAlignment="1" applyProtection="1">
      <alignment horizontal="right" vertical="center"/>
      <protection locked="0"/>
    </xf>
    <xf numFmtId="0" fontId="158" fillId="6" borderId="32" xfId="0" applyFont="1" applyFill="1" applyBorder="1" applyAlignment="1" applyProtection="1">
      <alignment horizontal="left" vertical="center"/>
      <protection locked="0"/>
    </xf>
    <xf numFmtId="0" fontId="158" fillId="6" borderId="0" xfId="0" applyFont="1" applyFill="1" applyBorder="1" applyAlignment="1" applyProtection="1">
      <alignment horizontal="right" vertical="center" wrapText="1"/>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282" fillId="0" borderId="5" xfId="0" applyFont="1" applyFill="1" applyBorder="1" applyAlignment="1" applyProtection="1">
      <alignment horizontal="center" vertical="top" wrapText="1"/>
      <protection locked="0"/>
    </xf>
    <xf numFmtId="0" fontId="283" fillId="0" borderId="153" xfId="0" applyFont="1" applyFill="1" applyBorder="1" applyAlignment="1" applyProtection="1">
      <alignment horizontal="center" vertical="top" wrapText="1"/>
      <protection locked="0"/>
    </xf>
    <xf numFmtId="0" fontId="283" fillId="0" borderId="2" xfId="0" applyFont="1" applyFill="1" applyBorder="1" applyAlignment="1" applyProtection="1">
      <alignment horizontal="center" vertical="top" wrapText="1"/>
      <protection locked="0"/>
    </xf>
    <xf numFmtId="0" fontId="283" fillId="0" borderId="154" xfId="0"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6"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12"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6"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6" fillId="0" borderId="32" xfId="0" applyFont="1" applyFill="1" applyBorder="1" applyAlignment="1" applyProtection="1">
      <alignment horizontal="center" vertical="center" wrapText="1"/>
      <protection locked="0"/>
    </xf>
    <xf numFmtId="0" fontId="266"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266"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5" fillId="5" borderId="10" xfId="0" applyFont="1" applyFill="1" applyBorder="1" applyAlignment="1" applyProtection="1">
      <alignment vertical="center" wrapText="1"/>
    </xf>
    <xf numFmtId="0" fontId="275" fillId="5" borderId="3" xfId="0" applyFont="1" applyFill="1" applyBorder="1" applyAlignment="1" applyProtection="1">
      <alignment vertical="center" wrapText="1"/>
    </xf>
    <xf numFmtId="0" fontId="275"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5" fillId="0" borderId="22" xfId="0" applyFont="1" applyFill="1" applyBorder="1" applyAlignment="1" applyProtection="1">
      <alignment horizontal="center" vertical="center" wrapText="1"/>
      <protection locked="0"/>
    </xf>
    <xf numFmtId="0" fontId="265" fillId="0" borderId="11" xfId="0" applyFont="1" applyFill="1" applyBorder="1" applyAlignment="1" applyProtection="1">
      <alignment horizontal="center" vertical="center" wrapText="1"/>
      <protection locked="0"/>
    </xf>
    <xf numFmtId="0" fontId="278" fillId="0" borderId="22" xfId="0" applyFont="1" applyFill="1" applyBorder="1" applyAlignment="1" applyProtection="1">
      <alignment horizontal="center" vertical="center" wrapText="1"/>
      <protection locked="0"/>
    </xf>
    <xf numFmtId="0" fontId="265" fillId="0" borderId="32" xfId="0" applyFont="1" applyFill="1" applyBorder="1" applyAlignment="1" applyProtection="1">
      <alignment horizontal="center" vertical="center" wrapText="1"/>
      <protection locked="0"/>
    </xf>
    <xf numFmtId="0" fontId="265"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3" fillId="9" borderId="2" xfId="0" applyFont="1" applyFill="1" applyBorder="1" applyAlignment="1" applyProtection="1">
      <alignment horizontal="center" vertical="center"/>
      <protection locked="0"/>
    </xf>
    <xf numFmtId="10" fontId="153" fillId="0" borderId="2" xfId="0" applyNumberFormat="1"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751" customWidth="1"/>
    <col min="2" max="2" width="78.25" style="2752" customWidth="1"/>
    <col min="3" max="18" width="9" style="2746"/>
    <col min="19" max="19" width="17.875" style="2746" customWidth="1"/>
    <col min="20" max="51" width="9" style="2746"/>
    <col min="52" max="52" width="13.25" style="2746" customWidth="1"/>
    <col min="53" max="53" width="13.5" style="2746" bestFit="1" customWidth="1"/>
    <col min="54" max="54" width="11.625" style="2746" bestFit="1" customWidth="1"/>
    <col min="55" max="55" width="13.5" style="2746" bestFit="1" customWidth="1"/>
    <col min="56" max="16384" width="9" style="2746"/>
  </cols>
  <sheetData>
    <row r="1" spans="1:55" s="2757" customFormat="1" ht="16.5" thickBot="1">
      <c r="A1" s="2755" t="s">
        <v>2584</v>
      </c>
      <c r="B1" s="2756" t="s">
        <v>2681</v>
      </c>
    </row>
    <row r="2" spans="1:55" s="2760" customFormat="1" ht="15" thickTop="1">
      <c r="A2" s="2758" t="s">
        <v>2588</v>
      </c>
      <c r="B2" s="2759" t="str">
        <f>'预评函-封皮'!B37</f>
        <v>浙江省嘉兴市嘉善县大云镇云寺路北侧出让国有建设用地使用权抵押价格预评估</v>
      </c>
      <c r="AX2" s="2761"/>
      <c r="AZ2" s="2761"/>
      <c r="BA2" s="2762"/>
      <c r="BC2" s="2762"/>
    </row>
    <row r="3" spans="1:55" s="2763" customFormat="1">
      <c r="A3" s="2742" t="s">
        <v>2589</v>
      </c>
      <c r="B3" s="2745" t="str">
        <f>'预评函-封皮'!B40</f>
        <v>大业信托有限责任公司</v>
      </c>
    </row>
    <row r="4" spans="1:55" s="2744" customFormat="1">
      <c r="A4" s="2742" t="s">
        <v>2590</v>
      </c>
      <c r="B4" s="2743" t="str">
        <f>'预评函-封皮'!B46</f>
        <v>王鹏、郑燚</v>
      </c>
      <c r="N4" s="2744" t="str">
        <f>'预评函-1'!A28</f>
        <v>本次估价的“抵押净值”是指估价对象“抵押价格”减去估价对象在估价期日以“土地销售收入”为基数计算的预计抵押权实现进行处置时需缴纳的各项费用、税金等相关费用后的价格。</v>
      </c>
    </row>
    <row r="5" spans="1:55" s="2757" customFormat="1" ht="15" thickBot="1">
      <c r="A5" s="2764" t="s">
        <v>2591</v>
      </c>
      <c r="B5" s="2765" t="str">
        <f>'预评函-封皮'!B49</f>
        <v>康正预评字号</v>
      </c>
    </row>
    <row r="6" spans="1:55" s="2766" customFormat="1" ht="15" thickTop="1">
      <c r="A6" s="2758" t="s">
        <v>2633</v>
      </c>
      <c r="B6" s="2759" t="str">
        <f>'预评函-1'!A4</f>
        <v>受贵公司委托，我公司对浙江省嘉兴市嘉善县大云镇云寺路北侧出让国有建设用地使用权抵押价格进行了预评估。</v>
      </c>
      <c r="AM6" s="2767"/>
    </row>
    <row r="7" spans="1:55" s="2741" customFormat="1">
      <c r="A7" s="2742" t="s">
        <v>2585</v>
      </c>
      <c r="B7" s="2743" t="str">
        <f>'预评函-1'!A6</f>
        <v>估价对象为嘉善裕景房地产开发有限公司使用的、位于浙江省嘉兴市嘉善县大云镇云寺路北侧出让国有建设用地使用权。根据《不动产权证书》[浙（2018）嘉善县不动产权第0017624号]，估价对象（分摊）出让国有建设用地使用权面积为33431.8平方米。根据《国有建设用地使用权出让合同》[电子监管号：3304212017B02671]、《建设用地规划许可证》[地字第33042120180009号]，估价对象规划建筑面积为78389平方米。</v>
      </c>
    </row>
    <row r="8" spans="1:55" s="2741" customFormat="1">
      <c r="A8" s="2742" t="s">
        <v>2586</v>
      </c>
      <c r="B8" s="2743" t="str">
        <f>'预评函-1'!A7</f>
        <v xml:space="preserve">简述项目推广名，项目类型（用途），估价对象分布，各用途面积明细情况：XX用途建筑面积XX平方米，XX用途建筑面积XX平方米，……。复杂面积清单需设‘附表’列示：抵押物清单详见附表。        </v>
      </c>
    </row>
    <row r="9" spans="1:55" s="2741" customFormat="1">
      <c r="A9" s="2742" t="s">
        <v>2636</v>
      </c>
      <c r="B9" s="2743" t="str">
        <f>'预评函-1'!A9</f>
        <v>——拟使用浙江省嘉兴市嘉善县大云镇云寺路北侧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row>
    <row r="10" spans="1:55" s="2741" customFormat="1">
      <c r="A10" s="2742" t="s">
        <v>2587</v>
      </c>
      <c r="B10" s="2743" t="str">
        <f>'预评函-1'!A11</f>
        <v>2018年5月20日（评估专业人员勘察现场之日）</v>
      </c>
    </row>
    <row r="11" spans="1:55" s="2741" customFormat="1">
      <c r="A11" s="2742" t="s">
        <v>2593</v>
      </c>
      <c r="B11" s="2743" t="str">
        <f>'预评函-1'!A14</f>
        <v>根据《不动产权证书》[浙（2018）嘉善县不动产权第0017624号]，本次评估估价对象证载（地类）用途为商住用地（住宅、商业）。</v>
      </c>
    </row>
    <row r="12" spans="1:55" s="2741" customFormat="1">
      <c r="A12" s="2742" t="s">
        <v>2594</v>
      </c>
      <c r="B12" s="2743" t="str">
        <f>'预评函-1'!A15</f>
        <v>本次评估设定用途即为证载用途住宅、商业。</v>
      </c>
    </row>
    <row r="13" spans="1:55" s="2741" customFormat="1">
      <c r="A13" s="2742" t="s">
        <v>2595</v>
      </c>
      <c r="B13" s="2743" t="str">
        <f>'预评函-1'!A17</f>
        <v>根据委托估价方介绍及评估专业人员现场勘查，本次评估估价对象实际土地开发程度为红线外市政基础设施达“七通”（即通路、通电、通上水、、、、）、宗地红线内场地平整。</v>
      </c>
    </row>
    <row r="14" spans="1:55" s="2741" customFormat="1">
      <c r="A14" s="2742" t="s">
        <v>2596</v>
      </c>
      <c r="B14" s="2743" t="str">
        <f>'预评函-1'!A18</f>
        <v>本次评估设定土地开发程度为红线外市政基础设施达“七通”、宗地红线内场地平整。</v>
      </c>
    </row>
    <row r="15" spans="1:55" s="2741" customFormat="1">
      <c r="A15" s="2742" t="s">
        <v>2592</v>
      </c>
      <c r="B15" s="2743" t="str">
        <f>'预评函-1'!A20</f>
        <v>根据《不动产权证书》[浙（2018）嘉善县不动产权第0017624号]，估价对象（分摊）出让国有建设用地使用权面积为33431.8平方米。根据《国有建设用地使用权出让合同》[电子监管号：3304212017B02671]、《建设用地规划许可证》[地字第33042120180009号]，估价对象规划建筑面积为78389平方米。</v>
      </c>
    </row>
    <row r="16" spans="1:55" s="2741" customFormat="1">
      <c r="A16" s="2742" t="s">
        <v>2597</v>
      </c>
      <c r="B16" s="2743" t="str">
        <f>'预评函-1'!A22</f>
        <v>本次估价对象为出让国有建设用地使用权，《不动产权证书》[浙（2018）嘉善县不动产权第0017624号]证载土地终止日期为住宅2088年4月24日、商业2058年4月24日地下车库2058年4月24日。截至估价期日，出让国有建设用地使用权剩余土地使用年限为。</v>
      </c>
    </row>
    <row r="17" spans="1:48" s="2741" customFormat="1">
      <c r="A17" s="2742" t="s">
        <v>2598</v>
      </c>
      <c r="B17" s="2743" t="str">
        <f>'预评函-1'!A23</f>
        <v>本次评估设定估价对象剩余土地使用年限为。</v>
      </c>
    </row>
    <row r="18" spans="1:48" s="2741" customFormat="1">
      <c r="A18" s="2742" t="s">
        <v>2599</v>
      </c>
      <c r="B18" s="2743" t="str">
        <f>'预评函-1'!A25</f>
        <v>本次估价的“出让国有建设用地使用权价格”是指在估价对象土地所有权为国家所有，使用权性质为出让，在公开市场条件下、于估价期日2018年5月20日，在规划利用条件下、设定土地开发程度为红线外“七通”、宗地内场地平整，设定用途为住宅、商业，剩余土地使用年限为的出让国有建设用地使用权价格。</v>
      </c>
    </row>
    <row r="19" spans="1:48" s="2741" customFormat="1">
      <c r="A19" s="2742" t="s">
        <v>2600</v>
      </c>
      <c r="B19" s="2743" t="str">
        <f>'预评函-1'!A26</f>
        <v>本次估价的“抵押价格”是指估价对象在估价期日的“出让国有建设用地使用权价格”扣减估价师于估价期日所知悉的法定优先受偿款后的余额。</v>
      </c>
    </row>
    <row r="20" spans="1:48" s="2741" customFormat="1">
      <c r="A20" s="2742" t="s">
        <v>2601</v>
      </c>
      <c r="B20" s="274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757" customFormat="1" ht="15" thickBot="1">
      <c r="A21" s="2764" t="s">
        <v>2602</v>
      </c>
      <c r="B21" s="276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753" t="s">
        <v>2603</v>
      </c>
      <c r="B22" s="275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742" t="s">
        <v>2604</v>
      </c>
      <c r="B23" s="2743" t="str">
        <f>'预评函-2'!K2</f>
        <v>估价期日：2018年5月20日</v>
      </c>
    </row>
    <row r="24" spans="1:48">
      <c r="A24" s="2742" t="s">
        <v>2605</v>
      </c>
      <c r="B24" s="2743" t="str">
        <f>'预评函-2'!R2</f>
        <v>估价期日的国有建设用地使用权性质：出让</v>
      </c>
    </row>
    <row r="25" spans="1:48">
      <c r="A25" s="2742" t="s">
        <v>2661</v>
      </c>
      <c r="B25" s="2743" t="str">
        <f>'预评函-2'!A3</f>
        <v>估价期日土地使用者</v>
      </c>
    </row>
    <row r="26" spans="1:48">
      <c r="A26" s="2742" t="s">
        <v>2637</v>
      </c>
      <c r="B26" s="2743" t="str">
        <f>'预评函-2'!A5</f>
        <v>中信开发</v>
      </c>
    </row>
    <row r="27" spans="1:48">
      <c r="A27" s="2742" t="s">
        <v>2662</v>
      </c>
      <c r="B27" s="2743" t="str">
        <f>'预评函-2'!B3</f>
        <v>宗地编号/不动产单元号</v>
      </c>
    </row>
    <row r="28" spans="1:48">
      <c r="A28" s="2742" t="s">
        <v>2638</v>
      </c>
      <c r="B28" s="2743" t="str">
        <f>'预评函-2'!B5</f>
        <v>11111111111</v>
      </c>
    </row>
    <row r="29" spans="1:48">
      <c r="A29" s="2742" t="s">
        <v>2664</v>
      </c>
      <c r="B29" s="2743">
        <f>'预评函-2'!C5</f>
        <v>22</v>
      </c>
    </row>
    <row r="30" spans="1:48">
      <c r="A30" s="2742" t="s">
        <v>2665</v>
      </c>
      <c r="B30" s="2743" t="str">
        <f>'预评函-2'!D3</f>
        <v>土地使用证编号/不动产权证书编号</v>
      </c>
    </row>
    <row r="31" spans="1:48">
      <c r="A31" s="2742" t="s">
        <v>2639</v>
      </c>
      <c r="B31" s="2743" t="str">
        <f>'预评函-2'!D5</f>
        <v>京国土字第111号</v>
      </c>
    </row>
    <row r="32" spans="1:48">
      <c r="A32" s="2742" t="s">
        <v>2640</v>
      </c>
      <c r="B32" s="2743" t="str">
        <f>'预评函-2'!E5</f>
        <v>商住用地（住宅、商业）</v>
      </c>
      <c r="AV32" s="2747"/>
    </row>
    <row r="33" spans="1:2">
      <c r="A33" s="2742" t="s">
        <v>2641</v>
      </c>
      <c r="B33" s="2743">
        <f>'预评函-2'!F5</f>
        <v>258</v>
      </c>
    </row>
    <row r="34" spans="1:2">
      <c r="A34" s="2742" t="s">
        <v>2642</v>
      </c>
      <c r="B34" s="2743" t="str">
        <f>'预评函-2'!G5</f>
        <v>住宅、商业</v>
      </c>
    </row>
    <row r="35" spans="1:2">
      <c r="A35" s="2742" t="s">
        <v>2643</v>
      </c>
      <c r="B35" s="2743">
        <f>'预评函-2'!H5</f>
        <v>1.5</v>
      </c>
    </row>
    <row r="36" spans="1:2">
      <c r="A36" s="2742" t="s">
        <v>2644</v>
      </c>
      <c r="B36" s="2743">
        <f>'预评函-2'!I5</f>
        <v>1.5</v>
      </c>
    </row>
    <row r="37" spans="1:2">
      <c r="A37" s="2742" t="s">
        <v>2645</v>
      </c>
      <c r="B37" s="2743">
        <f>'预评函-2'!J5</f>
        <v>1.5</v>
      </c>
    </row>
    <row r="38" spans="1:2">
      <c r="A38" s="2742" t="s">
        <v>2646</v>
      </c>
      <c r="B38" s="2743" t="str">
        <f>'预评函-2'!K5</f>
        <v>红线外七通、宗地红线内场地平整</v>
      </c>
    </row>
    <row r="39" spans="1:2">
      <c r="A39" s="2742" t="s">
        <v>2647</v>
      </c>
      <c r="B39" s="2743" t="str">
        <f>'预评函-2'!L5</f>
        <v>红线外七通、宗地红线内场地平整</v>
      </c>
    </row>
    <row r="40" spans="1:2">
      <c r="A40" s="2742" t="s">
        <v>2666</v>
      </c>
      <c r="B40" s="2743" t="str">
        <f>'预评函-2'!M3</f>
        <v>（剩余）土地使用年限/年</v>
      </c>
    </row>
    <row r="41" spans="1:2">
      <c r="A41" s="2742" t="s">
        <v>2648</v>
      </c>
      <c r="B41" s="2743">
        <f>'预评函-2'!M5</f>
        <v>0</v>
      </c>
    </row>
    <row r="42" spans="1:2">
      <c r="A42" s="2742" t="s">
        <v>2667</v>
      </c>
      <c r="B42" s="2743" t="str">
        <f>'预评函-2'!N3</f>
        <v>（分摊）出让国有建设用地使用权面积/㎡</v>
      </c>
    </row>
    <row r="43" spans="1:2">
      <c r="A43" s="2742" t="s">
        <v>2649</v>
      </c>
      <c r="B43" s="2743">
        <f>'预评函-2'!N5</f>
        <v>33431.800000000003</v>
      </c>
    </row>
    <row r="44" spans="1:2">
      <c r="A44" s="2742" t="s">
        <v>2668</v>
      </c>
      <c r="B44" s="2743" t="str">
        <f>'预评函-2'!O3</f>
        <v>规划建筑面积/㎡</v>
      </c>
    </row>
    <row r="45" spans="1:2">
      <c r="A45" s="2742" t="s">
        <v>2650</v>
      </c>
      <c r="B45" s="2743">
        <f>'预评函-2'!O5</f>
        <v>78389</v>
      </c>
    </row>
    <row r="46" spans="1:2">
      <c r="A46" s="2742" t="s">
        <v>2651</v>
      </c>
      <c r="B46" s="2743">
        <f ca="1">'预评函-2'!P5</f>
        <v>14762</v>
      </c>
    </row>
    <row r="47" spans="1:2">
      <c r="A47" s="2742" t="s">
        <v>2652</v>
      </c>
      <c r="B47" s="2743">
        <f ca="1">'预评函-2'!Q5</f>
        <v>6296</v>
      </c>
    </row>
    <row r="48" spans="1:2">
      <c r="A48" s="2742" t="s">
        <v>2653</v>
      </c>
      <c r="B48" s="2743">
        <f ca="1">'预评函-2'!R5</f>
        <v>49353</v>
      </c>
    </row>
    <row r="49" spans="1:2">
      <c r="A49" s="2742" t="s">
        <v>2669</v>
      </c>
      <c r="B49" s="2743" t="str">
        <f>'预评函-2'!A6</f>
        <v>抵押价格</v>
      </c>
    </row>
    <row r="50" spans="1:2">
      <c r="A50" s="2742" t="s">
        <v>2654</v>
      </c>
      <c r="B50" s="2743">
        <f ca="1">'预评函-2'!R6</f>
        <v>43164</v>
      </c>
    </row>
    <row r="51" spans="1:2">
      <c r="A51" s="2742" t="s">
        <v>2670</v>
      </c>
      <c r="B51" s="2743" t="str">
        <f>'预评函-2'!A7</f>
        <v>——</v>
      </c>
    </row>
    <row r="52" spans="1:2">
      <c r="A52" s="2742" t="s">
        <v>2655</v>
      </c>
      <c r="B52" s="2743" t="str">
        <f>'预评函-2'!R7</f>
        <v>——</v>
      </c>
    </row>
    <row r="53" spans="1:2">
      <c r="A53" s="2742" t="s">
        <v>2671</v>
      </c>
      <c r="B53" s="2743">
        <f>'预评函-2'!A8</f>
        <v>0</v>
      </c>
    </row>
    <row r="54" spans="1:2" s="2757" customFormat="1" ht="15" thickBot="1">
      <c r="A54" s="2764" t="s">
        <v>2656</v>
      </c>
      <c r="B54" s="2765" t="str">
        <f>'预评函-2'!R8</f>
        <v>——</v>
      </c>
    </row>
    <row r="55" spans="1:2" ht="15" thickTop="1">
      <c r="A55" s="2753" t="s">
        <v>2606</v>
      </c>
      <c r="B55" s="2754" t="str">
        <f>'预评函-3'!A2</f>
        <v>1.权利限制：根据估价对象《不动产权证书》复印件、，截至估价期日，估价对象抵押权未见登记。未设定租赁等其他他项权利。</v>
      </c>
    </row>
    <row r="56" spans="1:2">
      <c r="A56" s="2742" t="s">
        <v>2607</v>
      </c>
      <c r="B56" s="2743" t="str">
        <f>'预评函-3'!A3</f>
        <v>2.基础设施条件：估价对象实际开发程度为红线外七通、宗地红线内场地平整；本次评估设定开发程度为红线外七通、宗地红线内场地平整。</v>
      </c>
    </row>
    <row r="57" spans="1:2">
      <c r="A57" s="2742" t="s">
        <v>2608</v>
      </c>
      <c r="B57" s="2743" t="str">
        <f>'预评函-3'!A4</f>
        <v>3.估价规划限制条件：详见《国有建设用地使用权出让合同》[电子监管号：3304212017B02671]、《建设用地规划许可证》[地字第33042120180009号]。</v>
      </c>
    </row>
    <row r="58" spans="1:2" s="2757" customFormat="1" ht="15" thickBot="1">
      <c r="A58" s="2764" t="s">
        <v>2657</v>
      </c>
      <c r="B58" s="2765" t="str">
        <f>'预评函-3'!A5</f>
        <v>4.影响价格的其他限定条件：无。</v>
      </c>
    </row>
    <row r="59" spans="1:2" ht="15" thickTop="1">
      <c r="A59" s="2753" t="s">
        <v>2609</v>
      </c>
      <c r="B59" s="2754" t="str">
        <f>'预评函-3'!A8</f>
        <v>2.本《评估意见函》仅供金融机构进行内部审核使用，不做其他目的之用。</v>
      </c>
    </row>
    <row r="60" spans="1:2">
      <c r="A60" s="2742" t="s">
        <v>2610</v>
      </c>
      <c r="B60" s="2743" t="str">
        <f>'预评函-3'!A9</f>
        <v>3.抵押双方在办理抵押登记手续时，应使用本公司出具的正式《土地估价报告》，特提请报告使用者注意。</v>
      </c>
    </row>
    <row r="61" spans="1:2">
      <c r="A61" s="2742" t="s">
        <v>2612</v>
      </c>
      <c r="B61" s="2743" t="str">
        <f>'预评函-3'!A10</f>
        <v>4.估价师所知悉的法定优先受偿款情况为：</v>
      </c>
    </row>
    <row r="62" spans="1:2">
      <c r="A62" s="2742" t="s">
        <v>2611</v>
      </c>
      <c r="B62" s="2743" t="str">
        <f>'预评函-3'!A11</f>
        <v>（1）根据估价对象《不动产权证书》复印件、，截至估价期日，估价对象抵押权未见登记。</v>
      </c>
    </row>
    <row r="63" spans="1:2">
      <c r="A63" s="2742" t="s">
        <v>2613</v>
      </c>
      <c r="B63" s="274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42" t="s">
        <v>2614</v>
      </c>
      <c r="B64" s="2748" t="str">
        <f>'预评函-3'!A13</f>
        <v>（3）。</v>
      </c>
    </row>
    <row r="65" spans="1:2">
      <c r="A65" s="2742" t="s">
        <v>2615</v>
      </c>
      <c r="B65" s="2749" t="str">
        <f>'预评函-3'!A14</f>
        <v>综上，本次评估估价师知悉的法定优先受偿款为人民币6189万元整。</v>
      </c>
    </row>
    <row r="66" spans="1:2">
      <c r="A66" s="2742" t="s">
        <v>2616</v>
      </c>
      <c r="B66" s="274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42" t="s">
        <v>2617</v>
      </c>
      <c r="B67" s="274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757" customFormat="1" ht="15" thickBot="1">
      <c r="A68" s="2764" t="s">
        <v>2620</v>
      </c>
      <c r="B68" s="2768">
        <f>'预评函-3'!D30</f>
        <v>42558</v>
      </c>
    </row>
    <row r="69" spans="1:2" ht="15" thickTop="1">
      <c r="A69" s="2753" t="s">
        <v>2618</v>
      </c>
      <c r="B69" s="2754" t="str">
        <f>'预评函-3'!A20</f>
        <v>王鹏</v>
      </c>
    </row>
    <row r="70" spans="1:2">
      <c r="A70" s="2742" t="s">
        <v>2618</v>
      </c>
      <c r="B70" s="2749">
        <f ca="1">'预评函-3'!B20</f>
        <v>2002110030</v>
      </c>
    </row>
    <row r="71" spans="1:2">
      <c r="A71" s="2742" t="s">
        <v>2619</v>
      </c>
      <c r="B71" s="2743" t="str">
        <f>'预评函-3'!A21</f>
        <v>郑燚</v>
      </c>
    </row>
    <row r="72" spans="1:2" s="2757" customFormat="1" ht="15" thickBot="1">
      <c r="A72" s="2764" t="s">
        <v>2619</v>
      </c>
      <c r="B72" s="2770">
        <f>'预评函-3'!B21</f>
        <v>2014110011</v>
      </c>
    </row>
    <row r="73" spans="1:2" ht="15" thickTop="1">
      <c r="A73" s="2753" t="s">
        <v>2678</v>
      </c>
      <c r="B73" s="276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42" t="s">
        <v>2679</v>
      </c>
      <c r="B74" s="2750" t="str">
        <f>'预评函-1 (储备)'!A18</f>
        <v>由于本次评估估价目的是评估储备国有建设用地使用权的“抵押价格”，因此本次评估设定土地开发程度为红线外市政基础设施达“七通”、宗地红线内场地平整。</v>
      </c>
    </row>
    <row r="75" spans="1:2" s="2757" customFormat="1" ht="15" thickBot="1">
      <c r="A75" s="2764" t="s">
        <v>2680</v>
      </c>
      <c r="B75" s="277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751" t="s">
        <v>2715</v>
      </c>
      <c r="B76" s="2752"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2" sqref="E22:I22"/>
    </sheetView>
  </sheetViews>
  <sheetFormatPr defaultColWidth="9" defaultRowHeight="13.5"/>
  <cols>
    <col min="1" max="1" width="3.5" style="1543" customWidth="1"/>
    <col min="2" max="2" width="10.75" style="1543" customWidth="1"/>
    <col min="3" max="4" width="11.625" style="1543" customWidth="1"/>
    <col min="5" max="5" width="6.625" style="1543" customWidth="1"/>
    <col min="6" max="16384" width="9" style="1543"/>
  </cols>
  <sheetData>
    <row r="36" spans="1:9">
      <c r="A36" s="1542" t="s">
        <v>1834</v>
      </c>
      <c r="B36" s="1542" t="s">
        <v>1835</v>
      </c>
    </row>
    <row r="37" spans="1:9" ht="28.5" customHeight="1">
      <c r="A37" s="1542"/>
      <c r="B37" s="3206" t="str">
        <f>项目基本情况!B1</f>
        <v>浙江省嘉兴市嘉善县大云镇云寺路北侧出让国有建设用地使用权抵押价格预评估</v>
      </c>
      <c r="C37" s="3206"/>
      <c r="D37" s="3206"/>
      <c r="E37" s="3206"/>
      <c r="F37" s="3206"/>
      <c r="G37" s="3206"/>
      <c r="H37" s="3206"/>
      <c r="I37" s="3206"/>
    </row>
    <row r="38" spans="1:9">
      <c r="A38" s="1544"/>
      <c r="B38" s="1544"/>
    </row>
    <row r="39" spans="1:9">
      <c r="A39" s="1542" t="s">
        <v>1834</v>
      </c>
      <c r="B39" s="1542" t="s">
        <v>1978</v>
      </c>
    </row>
    <row r="40" spans="1:9">
      <c r="A40" s="1542"/>
      <c r="B40" s="1542" t="str">
        <f>项目基本情况!B5</f>
        <v>大业信托有限责任公司</v>
      </c>
    </row>
    <row r="41" spans="1:9">
      <c r="A41" s="1542"/>
      <c r="B41" s="1542"/>
    </row>
    <row r="42" spans="1:9">
      <c r="A42" s="1542" t="s">
        <v>1834</v>
      </c>
      <c r="B42" s="1542" t="s">
        <v>1979</v>
      </c>
    </row>
    <row r="43" spans="1:9">
      <c r="A43" s="1542"/>
      <c r="B43" s="1542" t="s">
        <v>1836</v>
      </c>
    </row>
    <row r="44" spans="1:9">
      <c r="A44" s="1542"/>
      <c r="B44" s="1542"/>
    </row>
    <row r="45" spans="1:9">
      <c r="A45" s="1542" t="s">
        <v>1834</v>
      </c>
      <c r="B45" s="1542" t="s">
        <v>1977</v>
      </c>
    </row>
    <row r="46" spans="1:9" s="1542" customFormat="1" ht="12.75">
      <c r="B46" s="1542" t="str">
        <f>项目基本情况!K4</f>
        <v>王鹏、郑燚</v>
      </c>
    </row>
    <row r="47" spans="1:9">
      <c r="A47" s="1542"/>
      <c r="B47" s="1542"/>
    </row>
    <row r="48" spans="1:9">
      <c r="A48" s="1542" t="s">
        <v>1834</v>
      </c>
      <c r="B48" s="1542" t="s">
        <v>1980</v>
      </c>
    </row>
    <row r="49" spans="2:2">
      <c r="B49" s="154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1837</v>
      </c>
    </row>
    <row r="2" spans="1:4">
      <c r="A2" s="1665"/>
    </row>
    <row r="3" spans="1:4" ht="18.75">
      <c r="A3" s="1683" t="str">
        <f>项目基本情况!B5&amp;"："</f>
        <v>大业信托有限责任公司：</v>
      </c>
    </row>
    <row r="4" spans="1:4" ht="37.5">
      <c r="A4" s="1677" t="str">
        <f>"受贵公司委托，我公司对"&amp;项目基本情况!K2&amp;项目基本情况!B9&amp;"进行了预评估。"</f>
        <v>受贵公司委托，我公司对浙江省嘉兴市嘉善县大云镇云寺路北侧出让国有建设用地使用权抵押价格进行了预评估。</v>
      </c>
    </row>
    <row r="5" spans="1:4" ht="18.75">
      <c r="A5" s="1680" t="s">
        <v>1838</v>
      </c>
    </row>
    <row r="6" spans="1:4" ht="112.5">
      <c r="A6" s="16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嘉善裕景房地产开发有限公司使用的、位于浙江省嘉兴市嘉善县大云镇云寺路北侧出让国有建设用地使用权。根据《不动产权证书》[浙（2018）嘉善县不动产权第0017624号]，估价对象（分摊）出让国有建设用地使用权面积为33431.8平方米。根据《国有建设用地使用权出让合同》[电子监管号：3304212017B02671]、《建设用地规划许可证》[地字第33042120180009号]，估价对象规划建筑面积为78389平方米。</v>
      </c>
    </row>
    <row r="7" spans="1:4" ht="56.25">
      <c r="A7" s="1681" t="s">
        <v>2675</v>
      </c>
    </row>
    <row r="8" spans="1:4" ht="18.75">
      <c r="A8" s="1680" t="s">
        <v>1839</v>
      </c>
    </row>
    <row r="9" spans="1:4" ht="93.75">
      <c r="A9" s="1682" t="str">
        <f>IF(项目基本情况!B8="抵押",IF(项目基本情况!B5=项目基本情况!B6,定义!C51,定义!B51),定义!D51)</f>
        <v>——拟使用浙江省嘉兴市嘉善县大云镇云寺路北侧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row>
    <row r="10" spans="1:4" ht="18.75">
      <c r="A10" s="1683" t="s">
        <v>1958</v>
      </c>
    </row>
    <row r="11" spans="1:4" ht="18.75">
      <c r="A11" s="1666" t="str">
        <f>TEXT(项目基本情况!D3,"yyyy年m月d日;;")&amp;IF(项目基本情况!B3=项目基本情况!D3,"（评估专业人员勘察现场之日）","")</f>
        <v>2018年5月20日（评估专业人员勘察现场之日）</v>
      </c>
    </row>
    <row r="12" spans="1:4" ht="18.75">
      <c r="A12" s="1683" t="s">
        <v>1957</v>
      </c>
    </row>
    <row r="13" spans="1:4" ht="18.75">
      <c r="A13" s="1677" t="s">
        <v>2855</v>
      </c>
    </row>
    <row r="14" spans="1:4" ht="37.5">
      <c r="A14" s="1677" t="str">
        <f>"根据"&amp;项目基本情况!F12&amp;"，本次评估估价对象证载（地类）用途为"&amp;项目基本情况!B12&amp;"。"</f>
        <v>根据《不动产权证书》[浙（2018）嘉善县不动产权第0017624号]，本次评估估价对象证载（地类）用途为商住用地（住宅、商业）。</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667"/>
      <c r="D15" s="1668"/>
    </row>
    <row r="16" spans="1:4" ht="18.75">
      <c r="A16" s="1677" t="s">
        <v>2004</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6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7" t="s">
        <v>2005</v>
      </c>
    </row>
    <row r="20" spans="1:1" ht="93.75">
      <c r="A20" s="242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浙（2018）嘉善县不动产权第0017624号]，估价对象（分摊）出让国有建设用地使用权面积为33431.8平方米。根据《国有建设用地使用权出让合同》[电子监管号：3304212017B02671]、《建设用地规划许可证》[地字第33042120180009号]，估价对象规划建筑面积为78389平方米。</v>
      </c>
    </row>
    <row r="21" spans="1:1" ht="18.75">
      <c r="A21" s="1677" t="s">
        <v>2006</v>
      </c>
    </row>
    <row r="22" spans="1:1" ht="75">
      <c r="A22" s="16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浙（2018）嘉善县不动产权第0017624号]证载土地终止日期为住宅2088年4月24日、商业2058年4月24日地下车库2058年4月24日。截至估价期日，出让国有建设用地使用权剩余土地使用年限为。</v>
      </c>
    </row>
    <row r="23" spans="1:1" ht="18.75">
      <c r="A23" s="1677" t="str">
        <f>IF(项目基本情况!B16="出让","本次评估设定估价对象剩余土地使用年限为"&amp;项目基本情况!D20&amp;"。","")</f>
        <v>本次评估设定估价对象剩余土地使用年限为。</v>
      </c>
    </row>
    <row r="24" spans="1:1" ht="18.75">
      <c r="A24" s="1677" t="s">
        <v>2007</v>
      </c>
    </row>
    <row r="25" spans="1:1" ht="93.75">
      <c r="A25" s="1677" t="str">
        <f>定义!C53</f>
        <v>本次估价的“出让国有建设用地使用权价格”是指在估价对象土地所有权为国家所有，使用权性质为出让，在公开市场条件下、于估价期日2018年5月20日，在规划利用条件下、设定土地开发程度为红线外“七通”、宗地内场地平整，设定用途为住宅、商业，剩余土地使用年限为的出让国有建设用地使用权价格。</v>
      </c>
    </row>
    <row r="26" spans="1:1" ht="37.5">
      <c r="A26" s="16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1959</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1960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1837</v>
      </c>
    </row>
    <row r="2" spans="1:4">
      <c r="A2" s="1665"/>
    </row>
    <row r="3" spans="1:4" ht="18.75">
      <c r="A3" s="1683" t="str">
        <f>项目基本情况!B5&amp;"："</f>
        <v>大业信托有限责任公司：</v>
      </c>
    </row>
    <row r="4" spans="1:4" ht="37.5">
      <c r="A4" s="1677" t="str">
        <f>"受贵公司委托，我公司对"&amp;项目基本情况!K2&amp;项目基本情况!B9&amp;"进行了预评估。"</f>
        <v>受贵公司委托，我公司对浙江省嘉兴市嘉善县大云镇云寺路北侧出让国有建设用地使用权抵押价格进行了预评估。</v>
      </c>
    </row>
    <row r="5" spans="1:4" ht="18.75">
      <c r="A5" s="1680" t="s">
        <v>1838</v>
      </c>
    </row>
    <row r="6" spans="1:4" ht="112.5">
      <c r="A6" s="16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嘉善裕景房地产开发有限公司使用的、位于浙江省嘉兴市嘉善县大云镇云寺路北侧出让国有建设用地使用权。根据《不动产权证书》[浙（2018）嘉善县不动产权第0017624号]，估价对象（分摊）出让国有建设用地使用权面积为33431.8平方米。根据《国有建设用地使用权出让合同》[电子监管号：3304212017B02671]、《建设用地规划许可证》[地字第33042120180009号]，估价对象规划建筑面积为78389平方米。</v>
      </c>
    </row>
    <row r="7" spans="1:4" ht="93.75">
      <c r="A7" s="2738" t="s">
        <v>2676</v>
      </c>
    </row>
    <row r="8" spans="1:4" ht="18.75">
      <c r="A8" s="1680" t="s">
        <v>1839</v>
      </c>
    </row>
    <row r="9" spans="1:4" ht="93.75">
      <c r="A9" s="1682" t="str">
        <f>IF(项目基本情况!B8="抵押",IF(项目基本情况!B5=项目基本情况!B6,定义!C51,定义!B51),定义!D51)</f>
        <v>——拟使用浙江省嘉兴市嘉善县大云镇云寺路北侧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row>
    <row r="10" spans="1:4" ht="18.75">
      <c r="A10" s="1683" t="s">
        <v>1958</v>
      </c>
    </row>
    <row r="11" spans="1:4" ht="18.75">
      <c r="A11" s="1666" t="str">
        <f>TEXT(项目基本情况!D3,"yyyy年m月d日;;")&amp;IF(项目基本情况!B3=项目基本情况!D3,"（评估专业人员勘察现场之日）","")</f>
        <v>2018年5月20日（评估专业人员勘察现场之日）</v>
      </c>
    </row>
    <row r="12" spans="1:4" ht="18.75">
      <c r="A12" s="1683" t="s">
        <v>1957</v>
      </c>
    </row>
    <row r="13" spans="1:4" ht="18.75">
      <c r="A13" s="1677" t="s">
        <v>2003</v>
      </c>
    </row>
    <row r="14" spans="1:4" ht="37.5">
      <c r="A14" s="1677" t="str">
        <f>"根据"&amp;项目基本情况!F12&amp;"，本次评估估价对象证载（地类）用途为"&amp;项目基本情况!B12&amp;"。"</f>
        <v>根据《不动产权证书》[浙（2018）嘉善县不动产权第0017624号]，本次评估估价对象证载（地类）用途为商住用地（住宅、商业）。</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667"/>
      <c r="D15" s="1668"/>
    </row>
    <row r="16" spans="1:4" ht="18.75">
      <c r="A16" s="1677" t="s">
        <v>2004</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6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7" t="s">
        <v>2005</v>
      </c>
    </row>
    <row r="20" spans="1:1" ht="93.75">
      <c r="A20" s="242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浙（2018）嘉善县不动产权第0017624号]，估价对象（分摊）出让国有建设用地使用权面积为33431.8平方米。根据《国有建设用地使用权出让合同》[电子监管号：3304212017B02671]、《建设用地规划许可证》[地字第33042120180009号]，估价对象规划建筑面积为78389平方米。</v>
      </c>
    </row>
    <row r="21" spans="1:1" ht="93.75">
      <c r="A21" s="273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7" t="s">
        <v>2006</v>
      </c>
    </row>
    <row r="23" spans="1:1" ht="18.75">
      <c r="A23" s="2740" t="s">
        <v>2677</v>
      </c>
    </row>
    <row r="24" spans="1:1" ht="18.75">
      <c r="A24" s="1677" t="s">
        <v>2007</v>
      </c>
    </row>
    <row r="25" spans="1:1" ht="93.75">
      <c r="A25" s="1677" t="str">
        <f>定义!C53</f>
        <v>本次估价的“出让国有建设用地使用权价格”是指在估价对象土地所有权为国家所有，使用权性质为出让，在公开市场条件下、于估价期日2018年5月20日，在规划利用条件下、设定土地开发程度为红线外“七通”、宗地内场地平整，设定用途为住宅、商业，剩余土地使用年限为的出让国有建设用地使用权价格。</v>
      </c>
    </row>
    <row r="26" spans="1:1" ht="37.5">
      <c r="A26" s="16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1959</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1960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1" t="s">
        <v>1970</v>
      </c>
      <c r="B1" s="3211"/>
      <c r="C1" s="3211"/>
      <c r="D1" s="3211"/>
      <c r="E1" s="3211"/>
      <c r="F1" s="3211"/>
      <c r="G1" s="3211"/>
      <c r="H1" s="3211"/>
      <c r="I1" s="3211"/>
      <c r="J1" s="3211"/>
      <c r="K1" s="3211"/>
      <c r="L1" s="3211"/>
      <c r="M1" s="3211"/>
      <c r="N1" s="3211"/>
      <c r="O1" s="3211"/>
      <c r="P1" s="3211"/>
      <c r="Q1" s="3211"/>
      <c r="R1" s="3211"/>
    </row>
    <row r="2" spans="1:18">
      <c r="A2" s="1693" t="s">
        <v>1972</v>
      </c>
      <c r="B2" s="1693"/>
      <c r="C2" s="1693"/>
      <c r="D2" s="1693"/>
      <c r="E2" s="1693"/>
      <c r="F2" s="1693"/>
      <c r="G2" s="1693"/>
      <c r="H2" s="1693"/>
      <c r="I2" s="1694"/>
      <c r="J2" s="1694"/>
      <c r="K2" s="1695" t="str">
        <f>"估价期日："&amp;TEXT(项目基本情况!D3,"yyyy年m月d日;;")</f>
        <v>估价期日：2018年5月20日</v>
      </c>
      <c r="L2" s="1693"/>
      <c r="M2" s="1693"/>
      <c r="N2" s="1693"/>
      <c r="O2" s="1693"/>
      <c r="P2" s="1693"/>
      <c r="Q2" s="1693"/>
      <c r="R2" s="1695" t="str">
        <f>"估价期日的国有建设用地使用权性质："&amp;项目基本情况!B16</f>
        <v>估价期日的国有建设用地使用权性质：出让</v>
      </c>
    </row>
    <row r="3" spans="1:18" ht="23.25" customHeight="1">
      <c r="A3" s="3212" t="s">
        <v>1961</v>
      </c>
      <c r="B3" s="3212" t="s">
        <v>2659</v>
      </c>
      <c r="C3" s="3213" t="s">
        <v>1962</v>
      </c>
      <c r="D3" s="3212" t="s">
        <v>2663</v>
      </c>
      <c r="E3" s="3207" t="s">
        <v>1963</v>
      </c>
      <c r="F3" s="3207"/>
      <c r="G3" s="3207"/>
      <c r="H3" s="3207" t="s">
        <v>1964</v>
      </c>
      <c r="I3" s="3207"/>
      <c r="J3" s="3207"/>
      <c r="K3" s="3213" t="s">
        <v>1965</v>
      </c>
      <c r="L3" s="3213" t="s">
        <v>1966</v>
      </c>
      <c r="M3" s="3212" t="s">
        <v>2660</v>
      </c>
      <c r="N3" s="3214" t="str">
        <f>"（分摊）"&amp;项目基本情况!B16&amp;"国有建设用地使用权面积/㎡"</f>
        <v>（分摊）出让国有建设用地使用权面积/㎡</v>
      </c>
      <c r="O3" s="3212" t="s">
        <v>1995</v>
      </c>
      <c r="P3" s="3213" t="s">
        <v>1975</v>
      </c>
      <c r="Q3" s="3213" t="s">
        <v>1996</v>
      </c>
      <c r="R3" s="3213" t="s">
        <v>1967</v>
      </c>
    </row>
    <row r="4" spans="1:18" ht="36.75" customHeight="1">
      <c r="A4" s="3212"/>
      <c r="B4" s="3212"/>
      <c r="C4" s="3213"/>
      <c r="D4" s="3212"/>
      <c r="E4" s="2514" t="s">
        <v>1974</v>
      </c>
      <c r="F4" s="2514" t="s">
        <v>2672</v>
      </c>
      <c r="G4" s="2514" t="s">
        <v>1968</v>
      </c>
      <c r="H4" s="2514" t="s">
        <v>1969</v>
      </c>
      <c r="I4" s="2514" t="s">
        <v>2673</v>
      </c>
      <c r="J4" s="2514" t="s">
        <v>1968</v>
      </c>
      <c r="K4" s="3213"/>
      <c r="L4" s="3213"/>
      <c r="M4" s="3212"/>
      <c r="N4" s="3214"/>
      <c r="O4" s="3212"/>
      <c r="P4" s="3213"/>
      <c r="Q4" s="3213"/>
      <c r="R4" s="3213"/>
    </row>
    <row r="5" spans="1:18" ht="135" customHeight="1">
      <c r="A5" s="1825" t="s">
        <v>2583</v>
      </c>
      <c r="B5" s="2732" t="s">
        <v>2581</v>
      </c>
      <c r="C5" s="2513">
        <v>22</v>
      </c>
      <c r="D5" s="2512" t="s">
        <v>2582</v>
      </c>
      <c r="E5" s="1696" t="str">
        <f>项目基本情况!B12</f>
        <v>商住用地（住宅、商业）</v>
      </c>
      <c r="F5" s="2512">
        <v>258</v>
      </c>
      <c r="G5" s="1696" t="str">
        <f>项目基本情况!B13</f>
        <v>住宅、商业</v>
      </c>
      <c r="H5" s="2512">
        <v>1.5</v>
      </c>
      <c r="I5" s="2512">
        <v>1.5</v>
      </c>
      <c r="J5" s="2512">
        <v>1.5</v>
      </c>
      <c r="K5" s="1696" t="str">
        <f>"红线外"&amp;项目基本情况!T40&amp;"、宗地红线内"&amp;项目基本情况!B35</f>
        <v>红线外七通、宗地红线内场地平整</v>
      </c>
      <c r="L5" s="1696" t="str">
        <f>"红线外"&amp;项目基本情况!T40&amp;"、宗地红线内场地"&amp;项目基本情况!D36</f>
        <v>红线外七通、宗地红线内场地平整</v>
      </c>
      <c r="M5" s="1696">
        <f>IF(项目基本情况!B16="出让",项目基本情况!D20,"——")</f>
        <v>0</v>
      </c>
      <c r="N5" s="1696">
        <f>项目基本情况!C22</f>
        <v>33431.800000000003</v>
      </c>
      <c r="O5" s="1696">
        <f>项目基本情况!C21</f>
        <v>78389</v>
      </c>
      <c r="P5" s="1696">
        <f ca="1">结果表!E42</f>
        <v>14762</v>
      </c>
      <c r="Q5" s="1696">
        <f ca="1">结果表!D42</f>
        <v>6296</v>
      </c>
      <c r="R5" s="1697">
        <f ca="1">结果表!C42</f>
        <v>49353</v>
      </c>
    </row>
    <row r="6" spans="1:18">
      <c r="A6" s="3208" t="str">
        <f>IF(项目基本情况!B9="市场价格","——","抵押价格")</f>
        <v>抵押价格</v>
      </c>
      <c r="B6" s="3209"/>
      <c r="C6" s="3209"/>
      <c r="D6" s="3209"/>
      <c r="E6" s="3209"/>
      <c r="F6" s="3209"/>
      <c r="G6" s="3209"/>
      <c r="H6" s="3209"/>
      <c r="I6" s="3209"/>
      <c r="J6" s="3209"/>
      <c r="K6" s="3209"/>
      <c r="L6" s="3209"/>
      <c r="M6" s="3209"/>
      <c r="N6" s="3209"/>
      <c r="O6" s="3209"/>
      <c r="P6" s="3209"/>
      <c r="Q6" s="3210"/>
      <c r="R6" s="1698">
        <f ca="1">结果表!O39</f>
        <v>43164</v>
      </c>
    </row>
    <row r="7" spans="1:18">
      <c r="A7" s="3208" t="str">
        <f>IF(项目基本情况!B9="市场价格","——",IF(项目基本情况!E8="已注销及未注销","抵押担保权已注销时的抵押价格","——"))</f>
        <v>——</v>
      </c>
      <c r="B7" s="3209"/>
      <c r="C7" s="3209"/>
      <c r="D7" s="3209"/>
      <c r="E7" s="3209"/>
      <c r="F7" s="3209"/>
      <c r="G7" s="3209"/>
      <c r="H7" s="3209"/>
      <c r="I7" s="3209"/>
      <c r="J7" s="3209"/>
      <c r="K7" s="3209"/>
      <c r="L7" s="3209"/>
      <c r="M7" s="3209"/>
      <c r="N7" s="3209"/>
      <c r="O7" s="3209"/>
      <c r="P7" s="3209"/>
      <c r="Q7" s="3210"/>
      <c r="R7" s="1698" t="str">
        <f>结果表!O40</f>
        <v>——</v>
      </c>
    </row>
    <row r="8" spans="1:18">
      <c r="A8" s="3208">
        <f>IF(项目基本情况!B9="市场价格","——",项目基本情况!E9)</f>
        <v>0</v>
      </c>
      <c r="B8" s="3209"/>
      <c r="C8" s="3209"/>
      <c r="D8" s="3209"/>
      <c r="E8" s="3209"/>
      <c r="F8" s="3209"/>
      <c r="G8" s="3209"/>
      <c r="H8" s="3209"/>
      <c r="I8" s="3209"/>
      <c r="J8" s="3209"/>
      <c r="K8" s="3209"/>
      <c r="L8" s="3209"/>
      <c r="M8" s="3209"/>
      <c r="N8" s="3209"/>
      <c r="O8" s="3209"/>
      <c r="P8" s="3209"/>
      <c r="Q8" s="3210"/>
      <c r="R8" s="1698" t="str">
        <f>结果表!O41</f>
        <v>——</v>
      </c>
    </row>
    <row r="9" spans="1:18">
      <c r="A9" s="1699" t="s">
        <v>1973</v>
      </c>
      <c r="B9" s="1693"/>
      <c r="C9" s="1693"/>
      <c r="D9" s="1693"/>
      <c r="E9" s="1693"/>
      <c r="F9" s="1693"/>
      <c r="G9" s="1693"/>
      <c r="H9" s="1693"/>
      <c r="I9" s="1693"/>
      <c r="J9" s="1693"/>
      <c r="K9" s="1693"/>
      <c r="L9" s="1693"/>
      <c r="M9" s="1693"/>
      <c r="N9" s="1693"/>
      <c r="O9" s="1693"/>
      <c r="P9" s="1693"/>
      <c r="Q9" s="1693"/>
      <c r="R9" s="1693"/>
    </row>
    <row r="10" spans="1:18">
      <c r="A10" s="1700"/>
      <c r="B10" s="1693"/>
      <c r="C10" s="1693"/>
      <c r="D10" s="1693"/>
      <c r="E10" s="1693"/>
      <c r="F10" s="1693"/>
      <c r="G10" s="1693"/>
      <c r="H10" s="1693"/>
      <c r="I10" s="1693"/>
      <c r="J10" s="1693"/>
      <c r="K10" s="1693"/>
      <c r="L10" s="1693"/>
      <c r="M10" s="1693"/>
      <c r="N10" s="1693"/>
      <c r="O10" s="1693"/>
      <c r="P10" s="1693"/>
      <c r="Q10" s="1693"/>
      <c r="R10" s="1693"/>
    </row>
    <row r="11" spans="1:18">
      <c r="A11" s="1700" t="s">
        <v>1960</v>
      </c>
      <c r="B11" s="1701"/>
      <c r="C11" s="1701"/>
      <c r="D11" s="1701"/>
      <c r="E11" s="1701"/>
      <c r="F11" s="1701"/>
      <c r="G11" s="1701"/>
      <c r="H11" s="1701"/>
      <c r="I11" s="1701"/>
      <c r="J11" s="1701"/>
      <c r="K11" s="1701"/>
      <c r="L11" s="1701"/>
      <c r="M11" s="1701"/>
      <c r="N11" s="1701"/>
      <c r="O11" s="1701"/>
      <c r="P11" s="1701"/>
      <c r="Q11" s="1701"/>
      <c r="R11" s="1701"/>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687"/>
      <c r="B14" s="1"/>
      <c r="C14" s="1"/>
      <c r="D14" s="1"/>
      <c r="E14" s="1"/>
      <c r="F14" s="1"/>
      <c r="G14" s="1"/>
      <c r="H14" s="1"/>
      <c r="I14" s="1"/>
      <c r="J14" s="1"/>
      <c r="K14" s="1"/>
      <c r="L14" s="1"/>
      <c r="M14" s="1"/>
      <c r="N14" s="1"/>
      <c r="O14" s="1"/>
      <c r="P14" s="1"/>
      <c r="Q14" s="1"/>
      <c r="R14" s="1"/>
    </row>
    <row r="15" spans="1:18">
      <c r="A15" s="1679"/>
    </row>
    <row r="16" spans="1:18">
      <c r="A16" s="1679"/>
    </row>
    <row r="17" spans="1:1">
      <c r="A17" s="1679"/>
    </row>
    <row r="18" spans="1:1">
      <c r="A18" s="1679"/>
    </row>
    <row r="19" spans="1:1">
      <c r="A19" s="1679"/>
    </row>
    <row r="20" spans="1:1">
      <c r="A20" s="1678"/>
    </row>
    <row r="21" spans="1:1">
      <c r="A21" s="1678"/>
    </row>
    <row r="22" spans="1:1">
      <c r="A22" s="1679"/>
    </row>
    <row r="23" spans="1:1">
      <c r="A23" s="1679"/>
    </row>
    <row r="24" spans="1:1">
      <c r="A24" s="1679"/>
    </row>
    <row r="25" spans="1:1">
      <c r="A25" s="1679"/>
    </row>
    <row r="26" spans="1:1">
      <c r="A26" s="1679"/>
    </row>
    <row r="27" spans="1:1">
      <c r="A27" s="1679"/>
    </row>
    <row r="28" spans="1:1">
      <c r="A28" s="1679"/>
    </row>
    <row r="29" spans="1:1">
      <c r="A29" s="1679"/>
    </row>
    <row r="30" spans="1:1">
      <c r="A30" s="1679"/>
    </row>
    <row r="31" spans="1:1">
      <c r="A31" s="1679"/>
    </row>
    <row r="32" spans="1:1">
      <c r="A32" s="1679"/>
    </row>
    <row r="33" spans="1:1">
      <c r="A33" s="1679"/>
    </row>
    <row r="34" spans="1:1">
      <c r="A34" s="1679"/>
    </row>
    <row r="35" spans="1:1">
      <c r="A35" s="1679"/>
    </row>
    <row r="36" spans="1:1">
      <c r="A36" s="1679"/>
    </row>
    <row r="37" spans="1:1">
      <c r="A37" s="167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8" customWidth="1"/>
    <col min="2" max="3" width="21.375" style="1688" customWidth="1"/>
    <col min="4" max="4" width="19.875" style="1688" customWidth="1"/>
    <col min="5" max="16384" width="9" style="1688"/>
  </cols>
  <sheetData>
    <row r="1" spans="1:4">
      <c r="A1" s="3216" t="s">
        <v>1997</v>
      </c>
      <c r="B1" s="3216"/>
      <c r="C1" s="3216"/>
      <c r="D1" s="3216"/>
    </row>
    <row r="2" spans="1:4" ht="47.25" customHeight="1">
      <c r="A2" s="3217" t="str">
        <f>"1.权利限制："&amp;项目基本情况!L24&amp;"未设定租赁等其他他项权利。"</f>
        <v>1.权利限制：根据估价对象《不动产权证书》复印件、，截至估价期日，估价对象抵押权未见登记。未设定租赁等其他他项权利。</v>
      </c>
      <c r="B2" s="3217"/>
      <c r="C2" s="3217"/>
      <c r="D2" s="3217"/>
    </row>
    <row r="3" spans="1:4" ht="48" customHeight="1">
      <c r="A3" s="321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16"/>
      <c r="C3" s="3216"/>
      <c r="D3" s="3216"/>
    </row>
    <row r="4" spans="1:4" ht="36.75" customHeight="1">
      <c r="A4" s="3216" t="str">
        <f>"3.估价规划限制条件：详见"&amp;项目基本情况!E21&amp;"。"</f>
        <v>3.估价规划限制条件：详见《国有建设用地使用权出让合同》[电子监管号：3304212017B02671]、《建设用地规划许可证》[地字第33042120180009号]。</v>
      </c>
      <c r="B4" s="3216"/>
      <c r="C4" s="3216"/>
      <c r="D4" s="3216"/>
    </row>
    <row r="5" spans="1:4">
      <c r="A5" s="3215" t="s">
        <v>1998</v>
      </c>
      <c r="B5" s="3215"/>
      <c r="C5" s="3215"/>
      <c r="D5" s="3215"/>
    </row>
    <row r="6" spans="1:4">
      <c r="A6" s="3216" t="s">
        <v>1976</v>
      </c>
      <c r="B6" s="3216"/>
      <c r="C6" s="3216"/>
      <c r="D6" s="3216"/>
    </row>
    <row r="7" spans="1:4" ht="33" customHeight="1">
      <c r="A7" s="3216" t="s">
        <v>2503</v>
      </c>
      <c r="B7" s="3216"/>
      <c r="C7" s="3216"/>
      <c r="D7" s="3216"/>
    </row>
    <row r="8" spans="1:4" ht="32.25" customHeight="1">
      <c r="A8" s="321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6"/>
      <c r="C8" s="3216"/>
      <c r="D8" s="3216"/>
    </row>
    <row r="9" spans="1:4" ht="33.75" customHeight="1">
      <c r="A9" s="321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6"/>
      <c r="C9" s="3216"/>
      <c r="D9" s="3216"/>
    </row>
    <row r="10" spans="1:4">
      <c r="A10" s="3216" t="str">
        <f>IF(项目基本情况!B8="抵押","4.估价师所知悉的法定优先受偿款情况为：","——")</f>
        <v>4.估价师所知悉的法定优先受偿款情况为：</v>
      </c>
      <c r="B10" s="3216"/>
      <c r="C10" s="3216"/>
      <c r="D10" s="3216"/>
    </row>
    <row r="11" spans="1:4" ht="37.5" customHeight="1">
      <c r="A11" s="3218" t="str">
        <f>IF(项目基本情况!B8="抵押","（1）"&amp;CONCATENATE(项目基本情况!L24,项目基本情况!L25,项目基本情况!L26),"——")</f>
        <v>（1）根据估价对象《不动产权证书》复印件、，截至估价期日，估价对象抵押权未见登记。</v>
      </c>
      <c r="B11" s="3218"/>
      <c r="C11" s="3218"/>
      <c r="D11" s="3218"/>
    </row>
    <row r="12" spans="1:4" ht="168" customHeight="1">
      <c r="A12" s="3215" t="s">
        <v>2000</v>
      </c>
      <c r="B12" s="3215"/>
      <c r="C12" s="3215"/>
      <c r="D12" s="3215"/>
    </row>
    <row r="13" spans="1:4">
      <c r="A13" s="3219" t="s">
        <v>2674</v>
      </c>
      <c r="B13" s="3219"/>
      <c r="C13" s="3219"/>
      <c r="D13" s="3219"/>
    </row>
    <row r="14" spans="1:4">
      <c r="A14" s="3218" t="str">
        <f>IF(项目基本情况!B8="抵押","综上，"&amp;结果表!K47,"——")</f>
        <v>综上，本次评估估价师知悉的法定优先受偿款为人民币6189万元整。</v>
      </c>
      <c r="B14" s="3218"/>
      <c r="C14" s="3218"/>
      <c r="D14" s="3218"/>
    </row>
    <row r="15" spans="1:4" ht="58.5" customHeight="1">
      <c r="A15" s="321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6"/>
      <c r="C15" s="3216"/>
      <c r="D15" s="3216"/>
    </row>
    <row r="16" spans="1:4" ht="70.5" customHeight="1">
      <c r="A16" s="321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6"/>
      <c r="C16" s="3216"/>
      <c r="D16" s="3216"/>
    </row>
    <row r="17" spans="1:4">
      <c r="A17" s="3216" t="s">
        <v>2630</v>
      </c>
      <c r="B17" s="3216"/>
      <c r="C17" s="3216"/>
      <c r="D17" s="3216"/>
    </row>
    <row r="18" spans="1:4">
      <c r="A18" s="3216" t="s">
        <v>2622</v>
      </c>
      <c r="B18" s="3216"/>
      <c r="C18" s="3216"/>
      <c r="D18" s="3216"/>
    </row>
    <row r="19" spans="1:4">
      <c r="A19" s="2733" t="s">
        <v>2623</v>
      </c>
      <c r="B19" s="2733" t="s">
        <v>2624</v>
      </c>
      <c r="C19" s="2733" t="s">
        <v>2625</v>
      </c>
      <c r="D19" s="2733" t="s">
        <v>2626</v>
      </c>
    </row>
    <row r="20" spans="1:4">
      <c r="A20" s="2733" t="str">
        <f>项目基本情况!B4</f>
        <v>王鹏</v>
      </c>
      <c r="B20" s="2733">
        <f ca="1">项目基本情况!C4</f>
        <v>2002110030</v>
      </c>
      <c r="C20" s="2735"/>
      <c r="D20" s="1686" t="s">
        <v>2631</v>
      </c>
    </row>
    <row r="21" spans="1:4">
      <c r="A21" s="2733" t="str">
        <f>项目基本情况!D4</f>
        <v>郑燚</v>
      </c>
      <c r="B21" s="2733">
        <f>项目基本情况!E4</f>
        <v>2014110011</v>
      </c>
      <c r="C21" s="2735"/>
      <c r="D21" s="1686" t="s">
        <v>2632</v>
      </c>
    </row>
    <row r="23" spans="1:4">
      <c r="A23" s="3216" t="s">
        <v>2627</v>
      </c>
      <c r="B23" s="3216"/>
      <c r="C23" s="3216"/>
      <c r="D23" s="3216"/>
    </row>
    <row r="24" spans="1:4">
      <c r="A24" s="2733" t="s">
        <v>2623</v>
      </c>
      <c r="B24" s="2733" t="s">
        <v>2628</v>
      </c>
      <c r="C24" s="2733" t="s">
        <v>2625</v>
      </c>
      <c r="D24" s="2733" t="s">
        <v>2626</v>
      </c>
    </row>
    <row r="25" spans="1:4">
      <c r="A25" s="2736" t="s">
        <v>2629</v>
      </c>
      <c r="B25" s="2733" t="s">
        <v>884</v>
      </c>
      <c r="C25" s="2735"/>
      <c r="D25" s="1686" t="s">
        <v>2632</v>
      </c>
    </row>
    <row r="29" spans="1:4">
      <c r="D29" s="2734" t="s">
        <v>1971</v>
      </c>
    </row>
    <row r="30" spans="1:4">
      <c r="D30" s="273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2" sqref="E22:I22"/>
      <selection pane="bottomLeft" activeCell="E22" sqref="E22:I22"/>
    </sheetView>
  </sheetViews>
  <sheetFormatPr defaultColWidth="14.5" defaultRowHeight="15.75"/>
  <cols>
    <col min="1" max="1" width="14.5" style="1063" customWidth="1"/>
    <col min="2" max="16384" width="14.5" style="1061"/>
  </cols>
  <sheetData>
    <row r="1" spans="1:7" s="1059" customFormat="1" ht="18.75">
      <c r="A1" s="1058" t="s">
        <v>65</v>
      </c>
    </row>
    <row r="3" spans="1:7" ht="14.25">
      <c r="A3" s="1060" t="s">
        <v>66</v>
      </c>
      <c r="B3" s="1061" t="s">
        <v>67</v>
      </c>
      <c r="G3" s="1062"/>
    </row>
    <row r="4" spans="1:7">
      <c r="G4" s="1062"/>
    </row>
    <row r="5" spans="1:7" ht="14.25">
      <c r="A5" s="1064" t="s">
        <v>45</v>
      </c>
      <c r="B5" s="1061" t="s">
        <v>46</v>
      </c>
      <c r="G5" s="1062"/>
    </row>
    <row r="6" spans="1:7">
      <c r="G6" s="1062"/>
    </row>
    <row r="7" spans="1:7" ht="14.25">
      <c r="A7" s="1065" t="s">
        <v>47</v>
      </c>
      <c r="B7" s="1061" t="s">
        <v>48</v>
      </c>
      <c r="G7" s="1062"/>
    </row>
    <row r="8" spans="1:7">
      <c r="G8" s="1062"/>
    </row>
    <row r="9" spans="1:7">
      <c r="A9" s="1066" t="s">
        <v>49</v>
      </c>
      <c r="B9" s="1061" t="s">
        <v>50</v>
      </c>
    </row>
    <row r="11" spans="1:7">
      <c r="A11" s="1067" t="s">
        <v>51</v>
      </c>
      <c r="B11" s="1068" t="s">
        <v>804</v>
      </c>
    </row>
    <row r="13" spans="1:7">
      <c r="A13" s="1069" t="s">
        <v>52</v>
      </c>
    </row>
    <row r="15" spans="1:7" ht="14.25">
      <c r="A15" s="3227" t="s">
        <v>53</v>
      </c>
      <c r="B15" s="3228" t="s">
        <v>785</v>
      </c>
      <c r="C15" s="3224"/>
    </row>
    <row r="16" spans="1:7" ht="14.25">
      <c r="A16" s="3227"/>
      <c r="B16" s="3225" t="s">
        <v>54</v>
      </c>
      <c r="C16" s="1070" t="s">
        <v>53</v>
      </c>
    </row>
    <row r="17" spans="1:3" ht="14.25">
      <c r="A17" s="3227"/>
      <c r="B17" s="3225"/>
      <c r="C17" s="1070" t="s">
        <v>55</v>
      </c>
    </row>
    <row r="18" spans="1:3" ht="14.25">
      <c r="A18" s="3227"/>
      <c r="B18" s="3225"/>
      <c r="C18" s="1070" t="s">
        <v>56</v>
      </c>
    </row>
    <row r="19" spans="1:3" ht="14.25">
      <c r="A19" s="3227"/>
      <c r="B19" s="3223" t="s">
        <v>57</v>
      </c>
      <c r="C19" s="3224"/>
    </row>
    <row r="20" spans="1:3" ht="14.25">
      <c r="A20" s="1071" t="s">
        <v>58</v>
      </c>
      <c r="B20" s="1072"/>
      <c r="C20" s="1073"/>
    </row>
    <row r="21" spans="1:3" ht="14.25">
      <c r="A21" s="3226" t="s">
        <v>59</v>
      </c>
      <c r="B21" s="3223" t="s">
        <v>60</v>
      </c>
      <c r="C21" s="3224"/>
    </row>
    <row r="22" spans="1:3" ht="14.25">
      <c r="A22" s="3226"/>
      <c r="B22" s="3223" t="s">
        <v>61</v>
      </c>
      <c r="C22" s="3224"/>
    </row>
    <row r="23" spans="1:3" ht="14.25">
      <c r="A23" s="3226"/>
      <c r="B23" s="3223" t="s">
        <v>62</v>
      </c>
      <c r="C23" s="3224"/>
    </row>
    <row r="24" spans="1:3" ht="14.25">
      <c r="A24" s="3226"/>
      <c r="B24" s="3229" t="s">
        <v>63</v>
      </c>
      <c r="C24" s="1074" t="s">
        <v>776</v>
      </c>
    </row>
    <row r="25" spans="1:3" ht="14.25">
      <c r="A25" s="3226"/>
      <c r="B25" s="3230"/>
      <c r="C25" s="1074" t="s">
        <v>777</v>
      </c>
    </row>
    <row r="26" spans="1:3" ht="14.25">
      <c r="A26" s="3226"/>
      <c r="B26" s="3230"/>
      <c r="C26" s="1074" t="s">
        <v>778</v>
      </c>
    </row>
    <row r="27" spans="1:3" ht="14.25">
      <c r="A27" s="3226"/>
      <c r="B27" s="3230"/>
      <c r="C27" s="1074" t="s">
        <v>779</v>
      </c>
    </row>
    <row r="28" spans="1:3" ht="14.25">
      <c r="A28" s="3226"/>
      <c r="B28" s="3230"/>
      <c r="C28" s="1074" t="s">
        <v>780</v>
      </c>
    </row>
    <row r="29" spans="1:3" ht="14.25">
      <c r="A29" s="3226"/>
      <c r="B29" s="3230"/>
      <c r="C29" s="1074" t="s">
        <v>781</v>
      </c>
    </row>
    <row r="30" spans="1:3" ht="14.25">
      <c r="A30" s="3226"/>
      <c r="B30" s="3230"/>
      <c r="C30" s="1074" t="s">
        <v>782</v>
      </c>
    </row>
    <row r="31" spans="1:3" ht="14.25">
      <c r="A31" s="3226"/>
      <c r="B31" s="3230"/>
      <c r="C31" s="1074" t="s">
        <v>783</v>
      </c>
    </row>
    <row r="32" spans="1:3" ht="14.25">
      <c r="A32" s="3226"/>
      <c r="B32" s="3230"/>
      <c r="C32" s="1074" t="s">
        <v>1579</v>
      </c>
    </row>
    <row r="33" spans="1:3" ht="14.25">
      <c r="A33" s="3226"/>
      <c r="B33" s="3220" t="s">
        <v>1585</v>
      </c>
      <c r="C33" s="1074" t="s">
        <v>1580</v>
      </c>
    </row>
    <row r="34" spans="1:3" ht="14.25">
      <c r="A34" s="3226"/>
      <c r="B34" s="3221"/>
      <c r="C34" s="1079" t="s">
        <v>1581</v>
      </c>
    </row>
    <row r="35" spans="1:3" ht="14.25">
      <c r="A35" s="3226"/>
      <c r="B35" s="3221"/>
      <c r="C35" s="1080" t="s">
        <v>1582</v>
      </c>
    </row>
    <row r="36" spans="1:3" ht="14.25">
      <c r="A36" s="3226"/>
      <c r="B36" s="3221"/>
      <c r="C36" s="1080" t="s">
        <v>1583</v>
      </c>
    </row>
    <row r="37" spans="1:3" ht="14.25">
      <c r="A37" s="3226"/>
      <c r="B37" s="3222"/>
      <c r="C37" s="1081" t="s">
        <v>1584</v>
      </c>
    </row>
    <row r="38" spans="1:3">
      <c r="A38" s="1075" t="s">
        <v>784</v>
      </c>
    </row>
    <row r="41" spans="1:3">
      <c r="A41" s="1075" t="s">
        <v>68</v>
      </c>
    </row>
    <row r="42" spans="1:3" ht="14.25">
      <c r="A42" s="1076" t="s">
        <v>792</v>
      </c>
    </row>
    <row r="43" spans="1:3" ht="14.25">
      <c r="A43" s="1077" t="s">
        <v>69</v>
      </c>
    </row>
    <row r="44" spans="1:3" ht="14.25">
      <c r="A44" s="1076" t="s">
        <v>791</v>
      </c>
    </row>
    <row r="45" spans="1:3" ht="14.25">
      <c r="A45" s="1078" t="s">
        <v>793</v>
      </c>
    </row>
    <row r="46" spans="1:3" ht="14.25">
      <c r="A46" s="10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I22"/>
    </sheetView>
  </sheetViews>
  <sheetFormatPr defaultColWidth="22.625" defaultRowHeight="20.25" customHeight="1"/>
  <cols>
    <col min="1" max="1" width="24.75" style="2190" customWidth="1"/>
    <col min="2" max="5" width="22.625" style="2190"/>
    <col min="6" max="6" width="25.625" style="2190" customWidth="1"/>
    <col min="7" max="16384" width="22.625" style="2190"/>
  </cols>
  <sheetData>
    <row r="2" spans="1:6" ht="20.25" customHeight="1">
      <c r="A2" s="2187" t="s">
        <v>1840</v>
      </c>
      <c r="B2" s="1545">
        <f ca="1">TODAY()</f>
        <v>43242</v>
      </c>
      <c r="C2" s="2188" t="s">
        <v>1841</v>
      </c>
      <c r="D2" s="2189"/>
    </row>
    <row r="3" spans="1:6" ht="20.25" customHeight="1">
      <c r="A3" s="2191" t="s">
        <v>1842</v>
      </c>
      <c r="B3" s="2192" t="s">
        <v>1843</v>
      </c>
      <c r="C3" s="2192" t="s">
        <v>1844</v>
      </c>
      <c r="D3" s="2193" t="s">
        <v>1845</v>
      </c>
      <c r="E3" s="2192" t="s">
        <v>1846</v>
      </c>
      <c r="F3" s="2192" t="s">
        <v>1844</v>
      </c>
    </row>
    <row r="4" spans="1:6" ht="20.25" customHeight="1">
      <c r="A4" s="2192" t="s">
        <v>1847</v>
      </c>
      <c r="B4" s="2192">
        <f ca="1">IF(C4&lt;B2,"已过期",1119970066)</f>
        <v>1119970066</v>
      </c>
      <c r="C4" s="2871">
        <v>43849</v>
      </c>
      <c r="D4" s="2192" t="s">
        <v>1847</v>
      </c>
      <c r="E4" s="2192">
        <f ca="1">IF(F4&lt;B2,"已过期",96010014)</f>
        <v>96010014</v>
      </c>
      <c r="F4" s="2872">
        <v>47118</v>
      </c>
    </row>
    <row r="5" spans="1:6" ht="20.25" customHeight="1">
      <c r="A5" s="2192" t="s">
        <v>1848</v>
      </c>
      <c r="B5" s="2192">
        <f ca="1">IF(C5&lt;B2,"已过期",1119970074)</f>
        <v>1119970074</v>
      </c>
      <c r="C5" s="2871">
        <v>43849</v>
      </c>
      <c r="D5" s="2192" t="s">
        <v>1848</v>
      </c>
      <c r="E5" s="2192">
        <f ca="1">IF(F5&lt;B2,"已过期",2002110027)</f>
        <v>2002110027</v>
      </c>
      <c r="F5" s="2872">
        <v>46752</v>
      </c>
    </row>
    <row r="6" spans="1:6" ht="20.25" customHeight="1">
      <c r="A6" s="2192" t="s">
        <v>1849</v>
      </c>
      <c r="B6" s="2192">
        <f ca="1">IF(C6&lt;B2,"已过期",1119970111)</f>
        <v>1119970111</v>
      </c>
      <c r="C6" s="2871">
        <v>43849</v>
      </c>
      <c r="D6" s="2192" t="s">
        <v>1849</v>
      </c>
      <c r="E6" s="2192">
        <f ca="1">IF(F6&lt;B2,"已过期",94010078)</f>
        <v>94010078</v>
      </c>
      <c r="F6" s="2872">
        <v>46387</v>
      </c>
    </row>
    <row r="7" spans="1:6" ht="20.25" customHeight="1">
      <c r="A7" s="2192" t="s">
        <v>1850</v>
      </c>
      <c r="B7" s="2192">
        <f ca="1">IF(C7&lt;B2,"已过期",1120050019)</f>
        <v>1120050019</v>
      </c>
      <c r="C7" s="2871">
        <v>43359</v>
      </c>
      <c r="D7" s="2192" t="s">
        <v>1850</v>
      </c>
      <c r="E7" s="2192">
        <f ca="1">IF(F7&lt;B2,"已过期",2002110030)</f>
        <v>2002110030</v>
      </c>
      <c r="F7" s="2872">
        <v>46387</v>
      </c>
    </row>
    <row r="8" spans="1:6" ht="20.25" customHeight="1">
      <c r="A8" s="2192" t="s">
        <v>1851</v>
      </c>
      <c r="B8" s="2192">
        <f ca="1">IF(C8&lt;B2,"已过期",1120000080)</f>
        <v>1120000080</v>
      </c>
      <c r="C8" s="2871">
        <v>43849</v>
      </c>
      <c r="D8" s="2192" t="s">
        <v>1851</v>
      </c>
      <c r="E8" s="2192">
        <f ca="1">IF(F8&lt;B2,"已过期",2000110082)</f>
        <v>2000110082</v>
      </c>
      <c r="F8" s="2872">
        <v>46387</v>
      </c>
    </row>
    <row r="9" spans="1:6" ht="20.25" customHeight="1">
      <c r="A9" s="2192" t="s">
        <v>1852</v>
      </c>
      <c r="B9" s="2192">
        <f ca="1">IF(C9&lt;B2,"已过期",1419970001)</f>
        <v>1419970001</v>
      </c>
      <c r="C9" s="2871">
        <v>43867</v>
      </c>
      <c r="D9" s="2192" t="s">
        <v>1852</v>
      </c>
      <c r="E9" s="2192">
        <f ca="1">IF(F9&lt;B2,"已过期",2002110125)</f>
        <v>2002110125</v>
      </c>
      <c r="F9" s="2872">
        <v>47118</v>
      </c>
    </row>
    <row r="10" spans="1:6" ht="20.25" customHeight="1">
      <c r="A10" s="2192" t="s">
        <v>1853</v>
      </c>
      <c r="B10" s="2192">
        <f ca="1">IF(C10&lt;B2,"已过期",1120060040)</f>
        <v>1120060040</v>
      </c>
      <c r="C10" s="2871">
        <v>43483</v>
      </c>
      <c r="D10" s="2192" t="s">
        <v>1853</v>
      </c>
      <c r="E10" s="2192">
        <f ca="1">IF(F10&lt;B2,"已过期",2004110096)</f>
        <v>2004110096</v>
      </c>
      <c r="F10" s="2872">
        <v>47118</v>
      </c>
    </row>
    <row r="11" spans="1:6" ht="20.25" customHeight="1">
      <c r="A11" s="2192" t="s">
        <v>1854</v>
      </c>
      <c r="B11" s="2192">
        <f ca="1">IF(C11&lt;B2,"已过期",1120100036)</f>
        <v>1120100036</v>
      </c>
      <c r="C11" s="2871">
        <v>43622</v>
      </c>
      <c r="D11" s="2192" t="s">
        <v>1854</v>
      </c>
      <c r="E11" s="2192">
        <f ca="1">IF(F11&lt;B2,"已过期",2010110070)</f>
        <v>2010110070</v>
      </c>
      <c r="F11" s="2872">
        <v>47907</v>
      </c>
    </row>
    <row r="12" spans="1:6" ht="20.25" customHeight="1">
      <c r="A12" s="2192" t="s">
        <v>2892</v>
      </c>
      <c r="B12" s="2192">
        <v>1120110054</v>
      </c>
      <c r="C12" s="2871">
        <v>43937</v>
      </c>
      <c r="D12" s="2192" t="s">
        <v>2892</v>
      </c>
      <c r="E12" s="2192">
        <v>2008110060</v>
      </c>
      <c r="F12" s="2872">
        <v>47177</v>
      </c>
    </row>
    <row r="13" spans="1:6" ht="20.25" customHeight="1">
      <c r="A13" s="2192" t="s">
        <v>1855</v>
      </c>
      <c r="B13" s="2192">
        <f ca="1">IF(C13&lt;B2,"已过期",1120070131)</f>
        <v>1120070131</v>
      </c>
      <c r="C13" s="2871">
        <v>43814</v>
      </c>
      <c r="D13" s="2192" t="s">
        <v>1855</v>
      </c>
      <c r="E13" s="2192">
        <v>2014110011</v>
      </c>
      <c r="F13" s="2872">
        <v>49302</v>
      </c>
    </row>
    <row r="14" spans="1:6" ht="20.25" customHeight="1">
      <c r="A14" s="2192" t="s">
        <v>1856</v>
      </c>
      <c r="B14" s="2192">
        <f ca="1">IF(C14&lt;B2,"已过期",1120130020)</f>
        <v>1120130020</v>
      </c>
      <c r="C14" s="2871">
        <v>43622</v>
      </c>
      <c r="D14" s="2192"/>
      <c r="E14" s="2192"/>
      <c r="F14" s="2192"/>
    </row>
    <row r="15" spans="1:6" ht="20.25" customHeight="1">
      <c r="A15" s="2192" t="s">
        <v>2502</v>
      </c>
      <c r="B15" s="2192">
        <v>1120070085</v>
      </c>
      <c r="C15" s="2871">
        <v>43814</v>
      </c>
      <c r="D15" s="2192" t="s">
        <v>2502</v>
      </c>
      <c r="E15" s="2192">
        <v>2004110128</v>
      </c>
      <c r="F15" s="2872">
        <v>47118</v>
      </c>
    </row>
    <row r="16" spans="1:6" ht="20.25" customHeight="1">
      <c r="A16" s="2192" t="s">
        <v>1857</v>
      </c>
      <c r="B16" s="2192">
        <f ca="1">IF(C16&lt;B2,"已过期",1120140022)</f>
        <v>1120140022</v>
      </c>
      <c r="C16" s="2871">
        <v>44029</v>
      </c>
      <c r="D16" s="2192" t="s">
        <v>1857</v>
      </c>
      <c r="E16" s="2192">
        <f ca="1">IF(F16&lt;B2,"已过期",2008110059)</f>
        <v>2008110059</v>
      </c>
      <c r="F16" s="2872">
        <v>47177</v>
      </c>
    </row>
    <row r="17" spans="1:7" ht="20.25" customHeight="1">
      <c r="A17" s="2192"/>
      <c r="B17" s="2192"/>
      <c r="C17" s="2871"/>
      <c r="D17" s="2192"/>
      <c r="E17" s="2192"/>
      <c r="F17" s="2872"/>
    </row>
    <row r="18" spans="1:7" ht="20.25" customHeight="1">
      <c r="A18" s="2192"/>
      <c r="B18" s="2192"/>
      <c r="C18" s="2871"/>
      <c r="D18" s="2192"/>
      <c r="E18" s="2192"/>
      <c r="F18" s="2872"/>
    </row>
    <row r="19" spans="1:7" ht="20.25" customHeight="1">
      <c r="A19" s="2192"/>
      <c r="B19" s="2192"/>
      <c r="C19" s="2871"/>
      <c r="D19" s="2192"/>
      <c r="E19" s="2192"/>
      <c r="F19" s="2192"/>
    </row>
    <row r="20" spans="1:7" ht="20.25" customHeight="1">
      <c r="A20" s="2192"/>
      <c r="B20" s="2192"/>
      <c r="C20" s="2871"/>
      <c r="D20" s="2192"/>
      <c r="E20" s="2192"/>
      <c r="F20" s="2192"/>
    </row>
    <row r="21" spans="1:7" ht="20.25" customHeight="1">
      <c r="A21" s="2192"/>
      <c r="B21" s="2192"/>
      <c r="C21" s="2871"/>
      <c r="D21" s="2192" t="s">
        <v>1858</v>
      </c>
      <c r="E21" s="2192">
        <f ca="1">IF(F21&lt;B2,"已过期",2011110090)</f>
        <v>2011110090</v>
      </c>
      <c r="F21" s="2872">
        <v>48302</v>
      </c>
    </row>
    <row r="22" spans="1:7" ht="20.25" customHeight="1">
      <c r="A22" s="2192" t="s">
        <v>1859</v>
      </c>
      <c r="B22" s="2192">
        <f ca="1">IF(C22&lt;B2,"已过期",1120020033)</f>
        <v>1120020033</v>
      </c>
      <c r="C22" s="2871">
        <v>43304</v>
      </c>
      <c r="D22" s="2192" t="s">
        <v>1859</v>
      </c>
      <c r="E22" s="2192">
        <f ca="1">IF(F22&lt;B2,"已过期",2000110137)</f>
        <v>2000110137</v>
      </c>
      <c r="F22" s="2872">
        <v>46387</v>
      </c>
    </row>
    <row r="23" spans="1:7" ht="20.25" customHeight="1">
      <c r="A23" s="2192" t="s">
        <v>1860</v>
      </c>
      <c r="B23" s="2192">
        <f ca="1">IF(C23&lt;B2,"已过期",1120130048)</f>
        <v>1120130048</v>
      </c>
      <c r="C23" s="2871">
        <v>43686</v>
      </c>
      <c r="D23" s="2192"/>
      <c r="E23" s="2192"/>
      <c r="F23" s="2192"/>
    </row>
    <row r="24" spans="1:7" s="2196" customFormat="1" ht="20.25" customHeight="1">
      <c r="A24" s="2194" t="s">
        <v>1985</v>
      </c>
      <c r="B24" s="2194" t="s">
        <v>1985</v>
      </c>
      <c r="C24" s="2871"/>
      <c r="D24" s="2873" t="s">
        <v>1985</v>
      </c>
      <c r="E24" s="2194" t="s">
        <v>1985</v>
      </c>
      <c r="F24" s="2195"/>
    </row>
    <row r="25" spans="1:7" ht="20.25" customHeight="1">
      <c r="A25" s="3231" t="s">
        <v>1861</v>
      </c>
      <c r="B25" s="3231"/>
      <c r="C25" s="3231"/>
      <c r="D25" s="3231"/>
      <c r="E25" s="3231"/>
      <c r="F25" s="3231"/>
      <c r="G25" s="3231"/>
    </row>
    <row r="26" spans="1:7" ht="20.25" customHeight="1">
      <c r="A26" s="3232" t="s">
        <v>1862</v>
      </c>
      <c r="B26" s="3232"/>
      <c r="C26" s="3232"/>
      <c r="D26" s="3232" t="s">
        <v>1863</v>
      </c>
      <c r="E26" s="3232"/>
      <c r="F26" s="3232"/>
    </row>
    <row r="27" spans="1:7" s="2200" customFormat="1" ht="20.25" customHeight="1">
      <c r="A27" s="2197" t="s">
        <v>1864</v>
      </c>
      <c r="B27" s="2198" t="s">
        <v>1865</v>
      </c>
      <c r="C27" s="2198" t="s">
        <v>1866</v>
      </c>
      <c r="D27" s="2199" t="s">
        <v>1864</v>
      </c>
      <c r="E27" s="2198" t="s">
        <v>1865</v>
      </c>
      <c r="F27" s="2198" t="s">
        <v>1866</v>
      </c>
    </row>
    <row r="28" spans="1:7" s="2200" customFormat="1" ht="20.25" customHeight="1">
      <c r="A28" s="2201" t="s">
        <v>1867</v>
      </c>
      <c r="B28" s="2201" t="s">
        <v>1868</v>
      </c>
      <c r="C28" s="2202">
        <v>43725</v>
      </c>
      <c r="D28" s="2201" t="s">
        <v>1869</v>
      </c>
      <c r="E28" s="2201" t="s">
        <v>1870</v>
      </c>
      <c r="F28" s="2203">
        <v>44377</v>
      </c>
    </row>
    <row r="29" spans="1:7" s="2200" customFormat="1" ht="20.25" customHeight="1">
      <c r="A29" s="2201"/>
      <c r="B29" s="2201"/>
      <c r="C29" s="2204"/>
      <c r="D29" s="2201" t="s">
        <v>1871</v>
      </c>
      <c r="E29" s="2205" t="s">
        <v>2857</v>
      </c>
      <c r="F29" s="2206">
        <v>43281</v>
      </c>
    </row>
    <row r="30" spans="1:7" ht="20.25" customHeight="1">
      <c r="C30" s="2207"/>
      <c r="D30" s="2207"/>
    </row>
  </sheetData>
  <sheetProtection sheet="1" objects="1" scenarios="1"/>
  <mergeCells count="3">
    <mergeCell ref="A25:G25"/>
    <mergeCell ref="A26:C26"/>
    <mergeCell ref="D26:F26"/>
  </mergeCells>
  <phoneticPr fontId="3" type="noConversion"/>
  <conditionalFormatting sqref="C24:D24">
    <cfRule type="expression" dxfId="198" priority="82">
      <formula>AND($C24-TODAY()&lt;30,TODAY()&lt;$C24)</formula>
    </cfRule>
  </conditionalFormatting>
  <conditionalFormatting sqref="C28">
    <cfRule type="expression" dxfId="197" priority="81">
      <formula>AND($C28-TODAY()&lt;30,TODAY()&lt;$C28)</formula>
    </cfRule>
  </conditionalFormatting>
  <conditionalFormatting sqref="C28 F4">
    <cfRule type="cellIs" dxfId="196" priority="83" stopIfTrue="1" operator="lessThan">
      <formula>$B$2</formula>
    </cfRule>
  </conditionalFormatting>
  <conditionalFormatting sqref="F5">
    <cfRule type="cellIs" dxfId="195" priority="79" stopIfTrue="1" operator="lessThan">
      <formula>$B$2</formula>
    </cfRule>
  </conditionalFormatting>
  <conditionalFormatting sqref="F6 F8 F10">
    <cfRule type="cellIs" dxfId="194" priority="77" stopIfTrue="1" operator="lessThan">
      <formula>$B$2</formula>
    </cfRule>
  </conditionalFormatting>
  <conditionalFormatting sqref="C24:D24">
    <cfRule type="expression" dxfId="193" priority="75">
      <formula>AND($C24-TODAY()&lt;30,TODAY()&lt;$C24)</formula>
    </cfRule>
  </conditionalFormatting>
  <conditionalFormatting sqref="F7 F9 F11 C24:D24">
    <cfRule type="cellIs" dxfId="192" priority="76" stopIfTrue="1" operator="lessThan">
      <formula>$B$2</formula>
    </cfRule>
  </conditionalFormatting>
  <conditionalFormatting sqref="F16">
    <cfRule type="cellIs" dxfId="191" priority="49" stopIfTrue="1" operator="lessThan">
      <formula>$B$2</formula>
    </cfRule>
  </conditionalFormatting>
  <conditionalFormatting sqref="F18">
    <cfRule type="cellIs" dxfId="190" priority="48" stopIfTrue="1" operator="lessThan">
      <formula>$B$2</formula>
    </cfRule>
  </conditionalFormatting>
  <conditionalFormatting sqref="F22">
    <cfRule type="cellIs" dxfId="189" priority="47" stopIfTrue="1" operator="lessThan">
      <formula>$B$2</formula>
    </cfRule>
  </conditionalFormatting>
  <conditionalFormatting sqref="F21">
    <cfRule type="cellIs" dxfId="188" priority="46" stopIfTrue="1" operator="lessThan">
      <formula>$B$2</formula>
    </cfRule>
  </conditionalFormatting>
  <conditionalFormatting sqref="F17">
    <cfRule type="cellIs" dxfId="187" priority="45" stopIfTrue="1" operator="lessThan">
      <formula>$B$2</formula>
    </cfRule>
  </conditionalFormatting>
  <conditionalFormatting sqref="B4:B11 E4:E11 E16:E23 B16:B23 B13:B14 E13:E14">
    <cfRule type="cellIs" dxfId="186" priority="44" stopIfTrue="1" operator="equal">
      <formula>"已过期"</formula>
    </cfRule>
  </conditionalFormatting>
  <conditionalFormatting sqref="F28">
    <cfRule type="cellIs" dxfId="185" priority="41" stopIfTrue="1" operator="lessThan">
      <formula>$B$2</formula>
    </cfRule>
  </conditionalFormatting>
  <conditionalFormatting sqref="F29">
    <cfRule type="cellIs" dxfId="184" priority="39" stopIfTrue="1" operator="lessThan">
      <formula>$B$2</formula>
    </cfRule>
  </conditionalFormatting>
  <conditionalFormatting sqref="F28">
    <cfRule type="expression" dxfId="183" priority="85">
      <formula>AND($E28-TODAY()&lt;30,TODAY()&lt;$E28)</formula>
    </cfRule>
  </conditionalFormatting>
  <conditionalFormatting sqref="F29">
    <cfRule type="expression" dxfId="182" priority="86" stopIfTrue="1">
      <formula>AND($E29-TODAY()&lt;30,TODAY()&lt;$E29)</formula>
    </cfRule>
  </conditionalFormatting>
  <conditionalFormatting sqref="C5">
    <cfRule type="expression" dxfId="181" priority="36">
      <formula>AND($C5-TODAY()&lt;30,TODAY()&lt;$C5)</formula>
    </cfRule>
  </conditionalFormatting>
  <conditionalFormatting sqref="C5">
    <cfRule type="cellIs" dxfId="180" priority="37" stopIfTrue="1" operator="lessThan">
      <formula>$B$2</formula>
    </cfRule>
  </conditionalFormatting>
  <conditionalFormatting sqref="C4:C6">
    <cfRule type="expression" dxfId="179" priority="34">
      <formula>AND($C4-TODAY()&lt;30,TODAY()&lt;$C4)</formula>
    </cfRule>
  </conditionalFormatting>
  <conditionalFormatting sqref="C4:C6">
    <cfRule type="cellIs" dxfId="178" priority="35" stopIfTrue="1" operator="lessThan">
      <formula>$B$2</formula>
    </cfRule>
  </conditionalFormatting>
  <conditionalFormatting sqref="C8:C9">
    <cfRule type="expression" dxfId="177" priority="32">
      <formula>AND($C8-TODAY()&lt;30,TODAY()&lt;$C8)</formula>
    </cfRule>
  </conditionalFormatting>
  <conditionalFormatting sqref="C8:C9">
    <cfRule type="cellIs" dxfId="176" priority="33" stopIfTrue="1" operator="lessThan">
      <formula>$B$2</formula>
    </cfRule>
  </conditionalFormatting>
  <conditionalFormatting sqref="B15 E15">
    <cfRule type="cellIs" dxfId="175" priority="20" stopIfTrue="1" operator="equal">
      <formula>"已过期"</formula>
    </cfRule>
  </conditionalFormatting>
  <conditionalFormatting sqref="F15">
    <cfRule type="cellIs" dxfId="174" priority="17" stopIfTrue="1" operator="lessThan">
      <formula>$B$2</formula>
    </cfRule>
  </conditionalFormatting>
  <conditionalFormatting sqref="C7">
    <cfRule type="expression" dxfId="173" priority="15">
      <formula>AND($C7-TODAY()&lt;30,TODAY()&lt;$C7)</formula>
    </cfRule>
  </conditionalFormatting>
  <conditionalFormatting sqref="C7">
    <cfRule type="cellIs" dxfId="172" priority="16" stopIfTrue="1" operator="lessThan">
      <formula>$B$2</formula>
    </cfRule>
  </conditionalFormatting>
  <conditionalFormatting sqref="C10:C11 C13:C23">
    <cfRule type="expression" dxfId="171" priority="13">
      <formula>AND($C10-TODAY()&lt;30,TODAY()&lt;$C10)</formula>
    </cfRule>
  </conditionalFormatting>
  <conditionalFormatting sqref="C10:C11 C13:C23">
    <cfRule type="cellIs" dxfId="170" priority="14" stopIfTrue="1" operator="lessThan">
      <formula>$B$2</formula>
    </cfRule>
  </conditionalFormatting>
  <conditionalFormatting sqref="F13">
    <cfRule type="cellIs" dxfId="169" priority="12" stopIfTrue="1" operator="lessThan">
      <formula>$B$2</formula>
    </cfRule>
  </conditionalFormatting>
  <conditionalFormatting sqref="F12">
    <cfRule type="cellIs" dxfId="168" priority="4" stopIfTrue="1" operator="lessThan">
      <formula>$B$2</formula>
    </cfRule>
  </conditionalFormatting>
  <conditionalFormatting sqref="B12 E12">
    <cfRule type="cellIs" dxfId="167" priority="3" stopIfTrue="1" operator="equal">
      <formula>"已过期"</formula>
    </cfRule>
  </conditionalFormatting>
  <conditionalFormatting sqref="C12">
    <cfRule type="expression" dxfId="166" priority="1">
      <formula>AND($C12-TODAY()&lt;30,TODAY()&lt;$C12)</formula>
    </cfRule>
  </conditionalFormatting>
  <conditionalFormatting sqref="C12">
    <cfRule type="cellIs" dxfId="16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3" sqref="Y23"/>
    </sheetView>
  </sheetViews>
  <sheetFormatPr defaultColWidth="9" defaultRowHeight="14.25"/>
  <cols>
    <col min="1" max="1" width="10.375" style="1083" customWidth="1"/>
    <col min="2" max="2" width="18.875" style="1061" customWidth="1"/>
    <col min="3" max="3" width="18.875" style="10" hidden="1" customWidth="1"/>
    <col min="4" max="4" width="5.5" style="8" hidden="1" customWidth="1"/>
    <col min="5" max="5" width="7.125" style="8" hidden="1" customWidth="1"/>
    <col min="6" max="6" width="10.625" style="8" hidden="1" customWidth="1"/>
    <col min="7" max="7" width="7.5" style="8" hidden="1" customWidth="1"/>
    <col min="8" max="8" width="9" style="10" hidden="1" customWidth="1"/>
    <col min="9" max="9" width="11.625" style="10" hidden="1" customWidth="1"/>
    <col min="10" max="10" width="9" style="10" hidden="1" customWidth="1"/>
    <col min="11" max="19" width="9" style="8" hidden="1" customWidth="1"/>
    <col min="20" max="22" width="9" style="10" hidden="1" customWidth="1"/>
    <col min="23" max="23" width="9" style="10" customWidth="1"/>
    <col min="24" max="24" width="14.625" style="1061" customWidth="1"/>
    <col min="25" max="25" width="7.25" style="1061" customWidth="1"/>
    <col min="26" max="16384" width="9" style="1061"/>
  </cols>
  <sheetData>
    <row r="1" spans="1:23" s="1082" customFormat="1" ht="27">
      <c r="A1" s="867" t="s">
        <v>795</v>
      </c>
      <c r="B1" s="4" t="s">
        <v>132</v>
      </c>
      <c r="C1" s="1438" t="s">
        <v>1641</v>
      </c>
      <c r="D1" s="5" t="s">
        <v>133</v>
      </c>
      <c r="E1" s="5" t="s">
        <v>134</v>
      </c>
      <c r="F1" s="5" t="s">
        <v>135</v>
      </c>
      <c r="G1" s="5" t="s">
        <v>136</v>
      </c>
      <c r="H1" s="5" t="s">
        <v>137</v>
      </c>
      <c r="I1" s="5" t="s">
        <v>138</v>
      </c>
      <c r="J1" s="5" t="s">
        <v>139</v>
      </c>
      <c r="K1" s="5" t="s">
        <v>140</v>
      </c>
      <c r="L1" s="5" t="s">
        <v>141</v>
      </c>
      <c r="M1" s="5" t="s">
        <v>142</v>
      </c>
      <c r="N1" s="5" t="s">
        <v>143</v>
      </c>
      <c r="O1" s="5" t="s">
        <v>144</v>
      </c>
      <c r="P1" s="5" t="s">
        <v>145</v>
      </c>
      <c r="Q1" s="2449" t="s">
        <v>2473</v>
      </c>
      <c r="R1" s="2448" t="s">
        <v>2467</v>
      </c>
      <c r="S1" s="5" t="s">
        <v>146</v>
      </c>
      <c r="T1" s="6" t="s">
        <v>147</v>
      </c>
      <c r="U1" s="5" t="s">
        <v>148</v>
      </c>
      <c r="V1" s="5" t="s">
        <v>149</v>
      </c>
      <c r="W1" s="902" t="s">
        <v>806</v>
      </c>
    </row>
    <row r="2" spans="1:23">
      <c r="A2" s="7" t="s">
        <v>73</v>
      </c>
      <c r="B2" s="7" t="s">
        <v>150</v>
      </c>
      <c r="C2" s="1439" t="s">
        <v>1642</v>
      </c>
      <c r="D2" s="8" t="s">
        <v>74</v>
      </c>
      <c r="E2" s="8" t="s">
        <v>127</v>
      </c>
      <c r="F2" s="8" t="s">
        <v>128</v>
      </c>
      <c r="G2" s="8">
        <v>40</v>
      </c>
      <c r="H2" s="8" t="s">
        <v>129</v>
      </c>
      <c r="I2" s="8" t="s">
        <v>130</v>
      </c>
      <c r="J2" s="8" t="s">
        <v>131</v>
      </c>
      <c r="K2" s="8" t="s">
        <v>75</v>
      </c>
      <c r="L2" s="8" t="s">
        <v>75</v>
      </c>
      <c r="M2" s="8" t="s">
        <v>75</v>
      </c>
      <c r="N2" s="8" t="s">
        <v>75</v>
      </c>
      <c r="O2" s="8" t="s">
        <v>75</v>
      </c>
      <c r="P2" s="904" t="s">
        <v>812</v>
      </c>
      <c r="Q2" s="8" t="s">
        <v>75</v>
      </c>
      <c r="R2" s="904" t="s">
        <v>2468</v>
      </c>
      <c r="S2" s="8" t="s">
        <v>75</v>
      </c>
      <c r="T2" s="8" t="s">
        <v>76</v>
      </c>
      <c r="U2" s="8" t="s">
        <v>75</v>
      </c>
      <c r="V2" s="8" t="s">
        <v>77</v>
      </c>
      <c r="W2" s="8" t="s">
        <v>807</v>
      </c>
    </row>
    <row r="3" spans="1:23">
      <c r="A3" s="7" t="s">
        <v>78</v>
      </c>
      <c r="B3" s="9" t="s">
        <v>151</v>
      </c>
      <c r="C3" s="1440" t="s">
        <v>1643</v>
      </c>
      <c r="D3" s="8" t="s">
        <v>79</v>
      </c>
      <c r="E3" s="8" t="s">
        <v>6</v>
      </c>
      <c r="F3" s="8" t="s">
        <v>80</v>
      </c>
      <c r="G3" s="8">
        <v>50</v>
      </c>
      <c r="H3" s="8" t="s">
        <v>81</v>
      </c>
      <c r="I3" s="8" t="s">
        <v>82</v>
      </c>
      <c r="J3" s="8" t="s">
        <v>83</v>
      </c>
      <c r="K3" s="8" t="s">
        <v>84</v>
      </c>
      <c r="L3" s="8" t="s">
        <v>84</v>
      </c>
      <c r="M3" s="8" t="s">
        <v>84</v>
      </c>
      <c r="N3" s="8" t="s">
        <v>84</v>
      </c>
      <c r="O3" s="8" t="s">
        <v>84</v>
      </c>
      <c r="P3" s="904" t="s">
        <v>540</v>
      </c>
      <c r="Q3" s="8" t="s">
        <v>84</v>
      </c>
      <c r="R3" s="904" t="s">
        <v>2469</v>
      </c>
      <c r="S3" s="8" t="s">
        <v>84</v>
      </c>
      <c r="T3" s="8" t="s">
        <v>85</v>
      </c>
      <c r="U3" s="8" t="s">
        <v>84</v>
      </c>
      <c r="V3" s="8" t="s">
        <v>86</v>
      </c>
      <c r="W3" s="8" t="s">
        <v>808</v>
      </c>
    </row>
    <row r="4" spans="1:23">
      <c r="A4" s="7" t="s">
        <v>87</v>
      </c>
      <c r="B4" s="7" t="s">
        <v>152</v>
      </c>
      <c r="C4" s="1439" t="s">
        <v>1644</v>
      </c>
      <c r="D4" s="8" t="s">
        <v>1927</v>
      </c>
      <c r="E4" s="8" t="s">
        <v>88</v>
      </c>
      <c r="F4" s="8" t="s">
        <v>89</v>
      </c>
      <c r="G4" s="8">
        <v>70</v>
      </c>
      <c r="H4" s="8" t="s">
        <v>90</v>
      </c>
      <c r="I4" s="8" t="s">
        <v>91</v>
      </c>
      <c r="K4" s="8" t="s">
        <v>92</v>
      </c>
      <c r="L4" s="8" t="s">
        <v>92</v>
      </c>
      <c r="M4" s="8" t="s">
        <v>92</v>
      </c>
      <c r="N4" s="8" t="s">
        <v>92</v>
      </c>
      <c r="O4" s="8" t="s">
        <v>92</v>
      </c>
      <c r="P4" s="904" t="s">
        <v>699</v>
      </c>
      <c r="Q4" s="8" t="s">
        <v>92</v>
      </c>
      <c r="R4" s="904" t="s">
        <v>2470</v>
      </c>
      <c r="S4" s="8" t="s">
        <v>92</v>
      </c>
      <c r="T4" s="8" t="s">
        <v>93</v>
      </c>
      <c r="U4" s="8" t="s">
        <v>92</v>
      </c>
      <c r="W4" s="8" t="s">
        <v>809</v>
      </c>
    </row>
    <row r="5" spans="1:23">
      <c r="A5" s="7" t="s">
        <v>94</v>
      </c>
      <c r="B5" s="7" t="s">
        <v>153</v>
      </c>
      <c r="C5" s="1439" t="s">
        <v>1645</v>
      </c>
      <c r="F5" s="8" t="s">
        <v>95</v>
      </c>
      <c r="H5" s="8" t="s">
        <v>70</v>
      </c>
      <c r="I5" s="8" t="s">
        <v>96</v>
      </c>
      <c r="K5" s="8" t="s">
        <v>97</v>
      </c>
      <c r="L5" s="8" t="s">
        <v>97</v>
      </c>
      <c r="M5" s="8" t="s">
        <v>97</v>
      </c>
      <c r="N5" s="8" t="s">
        <v>97</v>
      </c>
      <c r="O5" s="8" t="s">
        <v>97</v>
      </c>
      <c r="P5" s="904" t="s">
        <v>486</v>
      </c>
      <c r="Q5" s="8" t="s">
        <v>97</v>
      </c>
      <c r="R5" s="904" t="s">
        <v>2471</v>
      </c>
      <c r="S5" s="8" t="s">
        <v>97</v>
      </c>
      <c r="T5" s="8" t="s">
        <v>98</v>
      </c>
      <c r="U5" s="8" t="s">
        <v>97</v>
      </c>
      <c r="W5" s="8" t="s">
        <v>810</v>
      </c>
    </row>
    <row r="6" spans="1:23">
      <c r="A6" s="7" t="s">
        <v>99</v>
      </c>
      <c r="B6" s="1047" t="s">
        <v>1573</v>
      </c>
      <c r="C6" s="1441" t="s">
        <v>1646</v>
      </c>
      <c r="F6" s="8" t="s">
        <v>71</v>
      </c>
      <c r="H6" s="8" t="s">
        <v>72</v>
      </c>
      <c r="I6" s="8" t="s">
        <v>100</v>
      </c>
      <c r="K6" s="8" t="s">
        <v>101</v>
      </c>
      <c r="L6" s="8" t="s">
        <v>101</v>
      </c>
      <c r="M6" s="8" t="s">
        <v>101</v>
      </c>
      <c r="N6" s="8" t="s">
        <v>101</v>
      </c>
      <c r="O6" s="8" t="s">
        <v>101</v>
      </c>
      <c r="P6" s="904" t="s">
        <v>813</v>
      </c>
      <c r="Q6" s="8" t="s">
        <v>101</v>
      </c>
      <c r="R6" s="904" t="s">
        <v>2472</v>
      </c>
      <c r="S6" s="8" t="s">
        <v>101</v>
      </c>
      <c r="T6" s="8"/>
      <c r="U6" s="8" t="s">
        <v>101</v>
      </c>
      <c r="W6" s="8" t="s">
        <v>811</v>
      </c>
    </row>
    <row r="7" spans="1:23">
      <c r="A7" s="7" t="s">
        <v>102</v>
      </c>
      <c r="B7" s="7" t="s">
        <v>103</v>
      </c>
      <c r="C7" s="1439" t="s">
        <v>1647</v>
      </c>
      <c r="F7" s="8" t="s">
        <v>154</v>
      </c>
      <c r="H7" s="8" t="s">
        <v>104</v>
      </c>
      <c r="I7" s="8" t="s">
        <v>105</v>
      </c>
    </row>
    <row r="8" spans="1:23">
      <c r="A8" s="7" t="s">
        <v>106</v>
      </c>
      <c r="B8" s="7" t="s">
        <v>107</v>
      </c>
      <c r="C8" s="1439" t="s">
        <v>1648</v>
      </c>
      <c r="F8" s="8" t="s">
        <v>155</v>
      </c>
      <c r="H8" s="8"/>
      <c r="I8" s="8" t="s">
        <v>108</v>
      </c>
    </row>
    <row r="9" spans="1:23">
      <c r="A9" s="7" t="s">
        <v>109</v>
      </c>
      <c r="B9" s="7" t="s">
        <v>156</v>
      </c>
      <c r="C9" s="1439" t="s">
        <v>1649</v>
      </c>
      <c r="F9" s="8" t="s">
        <v>110</v>
      </c>
      <c r="H9" s="8"/>
    </row>
    <row r="10" spans="1:23">
      <c r="A10" s="7" t="s">
        <v>111</v>
      </c>
      <c r="B10" s="7" t="s">
        <v>157</v>
      </c>
      <c r="C10" s="1439" t="s">
        <v>1650</v>
      </c>
      <c r="F10" s="8" t="s">
        <v>6</v>
      </c>
    </row>
    <row r="11" spans="1:23">
      <c r="A11" s="7" t="s">
        <v>112</v>
      </c>
      <c r="B11" s="7" t="s">
        <v>158</v>
      </c>
      <c r="C11" s="1439" t="s">
        <v>1651</v>
      </c>
    </row>
    <row r="12" spans="1:23">
      <c r="A12" s="7" t="s">
        <v>113</v>
      </c>
      <c r="B12" s="7" t="s">
        <v>159</v>
      </c>
      <c r="C12" s="1439" t="s">
        <v>1652</v>
      </c>
    </row>
    <row r="13" spans="1:23">
      <c r="A13" s="7" t="s">
        <v>114</v>
      </c>
      <c r="B13" s="7" t="s">
        <v>160</v>
      </c>
      <c r="C13" s="1439" t="s">
        <v>1653</v>
      </c>
    </row>
    <row r="14" spans="1:23">
      <c r="A14" s="7" t="s">
        <v>115</v>
      </c>
      <c r="B14" s="7" t="s">
        <v>161</v>
      </c>
      <c r="C14" s="1442" t="s">
        <v>1829</v>
      </c>
    </row>
    <row r="15" spans="1:23">
      <c r="A15" s="7" t="s">
        <v>116</v>
      </c>
      <c r="B15" s="7" t="s">
        <v>1614</v>
      </c>
      <c r="C15" s="1442"/>
    </row>
    <row r="16" spans="1:23">
      <c r="A16" s="7" t="s">
        <v>117</v>
      </c>
      <c r="B16" s="7" t="s">
        <v>1615</v>
      </c>
      <c r="C16" s="1442"/>
    </row>
    <row r="17" spans="1:3">
      <c r="A17" s="7" t="s">
        <v>118</v>
      </c>
      <c r="B17" s="7" t="s">
        <v>1616</v>
      </c>
      <c r="C17" s="1442"/>
    </row>
    <row r="18" spans="1:3">
      <c r="A18" s="7" t="s">
        <v>119</v>
      </c>
      <c r="B18" s="2970" t="s">
        <v>2869</v>
      </c>
      <c r="C18" s="1442"/>
    </row>
    <row r="19" spans="1:3">
      <c r="A19" s="7" t="s">
        <v>120</v>
      </c>
      <c r="B19" s="2970" t="s">
        <v>2877</v>
      </c>
      <c r="C19" s="1442"/>
    </row>
    <row r="20" spans="1:3">
      <c r="A20" s="7" t="s">
        <v>121</v>
      </c>
      <c r="B20" s="3186" t="s">
        <v>3266</v>
      </c>
      <c r="C20" s="1442"/>
    </row>
    <row r="21" spans="1:3">
      <c r="A21" s="7" t="s">
        <v>122</v>
      </c>
      <c r="B21" s="7" t="s">
        <v>1574</v>
      </c>
      <c r="C21" s="1442"/>
    </row>
    <row r="22" spans="1:3">
      <c r="A22" s="7" t="s">
        <v>123</v>
      </c>
      <c r="B22" s="7" t="s">
        <v>1574</v>
      </c>
      <c r="C22" s="1442"/>
    </row>
    <row r="23" spans="1:3">
      <c r="A23" s="7" t="s">
        <v>124</v>
      </c>
      <c r="B23" s="7" t="s">
        <v>1574</v>
      </c>
      <c r="C23" s="1442"/>
    </row>
    <row r="24" spans="1:3">
      <c r="A24" s="7" t="s">
        <v>12</v>
      </c>
      <c r="B24" s="7" t="s">
        <v>1574</v>
      </c>
      <c r="C24" s="1442"/>
    </row>
    <row r="25" spans="1:3">
      <c r="A25" s="7" t="s">
        <v>125</v>
      </c>
      <c r="B25" s="7" t="s">
        <v>1574</v>
      </c>
      <c r="C25" s="1442"/>
    </row>
    <row r="26" spans="1:3">
      <c r="A26" s="7" t="s">
        <v>126</v>
      </c>
      <c r="B26" s="7" t="s">
        <v>1574</v>
      </c>
      <c r="C26" s="1442"/>
    </row>
    <row r="27" spans="1:3">
      <c r="A27" s="7" t="s">
        <v>1574</v>
      </c>
      <c r="B27" s="7" t="s">
        <v>1574</v>
      </c>
      <c r="C27" s="1442"/>
    </row>
    <row r="28" spans="1:3">
      <c r="A28" s="7" t="s">
        <v>1574</v>
      </c>
      <c r="B28" s="7" t="s">
        <v>1574</v>
      </c>
      <c r="C28" s="1442"/>
    </row>
    <row r="29" spans="1:3">
      <c r="A29" s="7" t="s">
        <v>1574</v>
      </c>
      <c r="B29" s="7" t="s">
        <v>1574</v>
      </c>
      <c r="C29" s="1442"/>
    </row>
    <row r="30" spans="1:3">
      <c r="A30" s="7" t="s">
        <v>1574</v>
      </c>
      <c r="B30" s="7" t="s">
        <v>1574</v>
      </c>
      <c r="C30" s="1442"/>
    </row>
    <row r="31" spans="1:3">
      <c r="A31" s="7" t="s">
        <v>1574</v>
      </c>
      <c r="B31" s="7" t="s">
        <v>1574</v>
      </c>
      <c r="C31" s="1442"/>
    </row>
    <row r="32" spans="1:3">
      <c r="A32" s="7" t="s">
        <v>1574</v>
      </c>
      <c r="B32" s="7" t="s">
        <v>1574</v>
      </c>
      <c r="C32" s="1442"/>
    </row>
    <row r="33" spans="1:3">
      <c r="A33" s="7" t="s">
        <v>1574</v>
      </c>
      <c r="B33" s="7" t="s">
        <v>1574</v>
      </c>
      <c r="C33" s="1442"/>
    </row>
    <row r="34" spans="1:3">
      <c r="A34" s="7" t="s">
        <v>1574</v>
      </c>
      <c r="B34" s="7" t="s">
        <v>1574</v>
      </c>
      <c r="C34" s="1442"/>
    </row>
    <row r="35" spans="1:3">
      <c r="A35" s="7" t="s">
        <v>1574</v>
      </c>
      <c r="B35" s="7" t="s">
        <v>1574</v>
      </c>
      <c r="C35" s="1442"/>
    </row>
    <row r="36" spans="1:3">
      <c r="A36" s="7" t="s">
        <v>1574</v>
      </c>
      <c r="B36" s="7" t="s">
        <v>1574</v>
      </c>
      <c r="C36" s="1442"/>
    </row>
    <row r="37" spans="1:3">
      <c r="A37" s="7" t="s">
        <v>1574</v>
      </c>
      <c r="B37" s="7" t="s">
        <v>1574</v>
      </c>
      <c r="C37" s="1442"/>
    </row>
    <row r="38" spans="1:3">
      <c r="A38" s="7" t="s">
        <v>1574</v>
      </c>
      <c r="B38" s="7" t="s">
        <v>1574</v>
      </c>
      <c r="C38" s="1442"/>
    </row>
    <row r="39" spans="1:3">
      <c r="A39" s="7" t="s">
        <v>1574</v>
      </c>
      <c r="B39" s="7" t="s">
        <v>1574</v>
      </c>
      <c r="C39" s="1442"/>
    </row>
    <row r="40" spans="1:3">
      <c r="A40" s="7" t="s">
        <v>1574</v>
      </c>
      <c r="B40" s="7" t="s">
        <v>1574</v>
      </c>
      <c r="C40" s="1442"/>
    </row>
    <row r="41" spans="1:3">
      <c r="A41" s="7" t="s">
        <v>1574</v>
      </c>
      <c r="B41" s="7" t="s">
        <v>1574</v>
      </c>
      <c r="C41" s="1442"/>
    </row>
    <row r="42" spans="1:3">
      <c r="A42" s="7" t="s">
        <v>1574</v>
      </c>
      <c r="B42" s="7" t="s">
        <v>1574</v>
      </c>
      <c r="C42" s="1442"/>
    </row>
    <row r="43" spans="1:3">
      <c r="A43" s="7" t="s">
        <v>1574</v>
      </c>
      <c r="B43" s="7" t="s">
        <v>1574</v>
      </c>
      <c r="C43" s="1442"/>
    </row>
    <row r="44" spans="1:3">
      <c r="A44" s="7" t="s">
        <v>1574</v>
      </c>
      <c r="B44" s="7" t="s">
        <v>1574</v>
      </c>
      <c r="C44" s="1442"/>
    </row>
    <row r="45" spans="1:3">
      <c r="A45" s="7" t="s">
        <v>1574</v>
      </c>
      <c r="B45" s="7" t="s">
        <v>1574</v>
      </c>
      <c r="C45" s="1442"/>
    </row>
    <row r="46" spans="1:3">
      <c r="A46" s="7" t="s">
        <v>1574</v>
      </c>
      <c r="B46" s="7" t="s">
        <v>1574</v>
      </c>
      <c r="C46" s="1442"/>
    </row>
    <row r="47" spans="1:3">
      <c r="A47" s="7" t="s">
        <v>1574</v>
      </c>
      <c r="B47" s="7" t="s">
        <v>1574</v>
      </c>
      <c r="C47" s="1442"/>
    </row>
    <row r="48" spans="1:3">
      <c r="A48" s="7" t="s">
        <v>1574</v>
      </c>
      <c r="B48" s="7" t="s">
        <v>1574</v>
      </c>
      <c r="C48" s="1442"/>
    </row>
    <row r="49" spans="1:5">
      <c r="A49" s="7" t="s">
        <v>1574</v>
      </c>
      <c r="B49" s="7" t="s">
        <v>1574</v>
      </c>
      <c r="C49" s="1442"/>
    </row>
    <row r="50" spans="1:5">
      <c r="A50" s="7" t="s">
        <v>1574</v>
      </c>
      <c r="B50" s="7" t="s">
        <v>1574</v>
      </c>
      <c r="C50" s="1442"/>
    </row>
    <row r="51" spans="1:5">
      <c r="A51" s="1651" t="s">
        <v>1877</v>
      </c>
      <c r="B51" s="16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大业信托有限责任公司）办理贷款手续过程中，特委托北京康正宏基房地产评估有限公司对估价对象进行评估。本次评估为确定标的物之抵押贷款额度提供参考依据而评估出让国有建设用地使用权抵押价格。</v>
      </c>
      <c r="C51" s="16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浙江省嘉兴市嘉善县大云镇云寺路北侧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c r="D51" s="16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3"/>
    </row>
    <row r="52" spans="1:5">
      <c r="A52" s="1651" t="s">
        <v>1919</v>
      </c>
      <c r="B52" s="1654" t="s">
        <v>1920</v>
      </c>
      <c r="C52" s="1652" t="s">
        <v>1921</v>
      </c>
      <c r="D52" s="1652" t="s">
        <v>1922</v>
      </c>
      <c r="E52" s="1653"/>
    </row>
    <row r="53" spans="1:5">
      <c r="A53" s="3233" t="s">
        <v>1923</v>
      </c>
      <c r="B53" s="1652" t="s">
        <v>1929</v>
      </c>
      <c r="C53" s="16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20日，在规划利用条件下、设定土地开发程度为红线外“七通”、宗地内场地平整，设定用途为住宅、商业，剩余土地使用年限为的出让国有建设用地使用权价格。</v>
      </c>
      <c r="D53" s="1653"/>
      <c r="E53" s="1653"/>
    </row>
    <row r="54" spans="1:5">
      <c r="A54" s="3233"/>
      <c r="B54" s="1652" t="s">
        <v>1930</v>
      </c>
      <c r="C54" s="16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3"/>
      <c r="E54" s="1653"/>
    </row>
    <row r="55" spans="1:5">
      <c r="A55" s="3233"/>
      <c r="B55" s="1652" t="s">
        <v>1924</v>
      </c>
      <c r="C55" s="16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3"/>
      <c r="E55" s="1653"/>
    </row>
    <row r="56" spans="1:5">
      <c r="A56" s="3233"/>
      <c r="B56" s="1652" t="s">
        <v>1925</v>
      </c>
      <c r="C56" s="16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3"/>
      <c r="E56" s="1653"/>
    </row>
    <row r="57" spans="1:5">
      <c r="A57" s="3233"/>
      <c r="B57" s="1652" t="s">
        <v>1926</v>
      </c>
      <c r="C57" s="16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3"/>
      <c r="E57" s="1653"/>
    </row>
    <row r="58" spans="1:5">
      <c r="A58" s="1655" t="s">
        <v>1981</v>
      </c>
      <c r="B58" s="1652" t="s">
        <v>1982</v>
      </c>
      <c r="C58" s="10" t="s">
        <v>1983</v>
      </c>
      <c r="D58" s="1207" t="s">
        <v>1984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85" zoomScaleNormal="100" zoomScaleSheetLayoutView="85" workbookViewId="0">
      <selection activeCell="E36" sqref="E36:F36"/>
    </sheetView>
  </sheetViews>
  <sheetFormatPr defaultColWidth="20.25" defaultRowHeight="14.25"/>
  <cols>
    <col min="1" max="3" width="20.25" style="1576"/>
    <col min="4" max="4" width="28.375" style="1576" customWidth="1"/>
    <col min="5" max="8" width="20.25" style="1576"/>
    <col min="9" max="9" width="20.25" style="1578"/>
    <col min="10" max="10" width="20.25" style="1576"/>
    <col min="11" max="11" width="20.25" style="1657"/>
    <col min="12" max="13" width="20.25" style="1577"/>
    <col min="14" max="14" width="20.25" style="1576"/>
    <col min="15" max="15" width="20.25" style="1578"/>
    <col min="16" max="16384" width="20.25" style="1576"/>
  </cols>
  <sheetData>
    <row r="1" spans="1:21" ht="15" thickBot="1">
      <c r="A1" s="1546" t="s">
        <v>1872</v>
      </c>
      <c r="B1" s="3249" t="str">
        <f>IF(B10="北京市","北京市",C10)&amp;F10&amp;B16&amp;"国有建设用地使用权"&amp;B9&amp;"预评估"</f>
        <v>浙江省嘉兴市嘉善县大云镇云寺路北侧出让国有建设用地使用权抵押价格预评估</v>
      </c>
      <c r="C1" s="3250"/>
      <c r="D1" s="3250"/>
      <c r="E1" s="3250"/>
      <c r="F1" s="3250"/>
      <c r="G1" s="3250"/>
      <c r="H1" s="3250"/>
      <c r="I1" s="3251"/>
      <c r="J1" s="1579"/>
      <c r="K1" s="2321" t="str">
        <f>IF(B10="北京市","北京市",C10)&amp;F10&amp;B16&amp;"国有建设用地使用权"&amp;B9</f>
        <v>浙江省嘉兴市嘉善县大云镇云寺路北侧出让国有建设用地使用权抵押价格</v>
      </c>
      <c r="L1" s="1607"/>
      <c r="M1" s="1607"/>
      <c r="N1" s="1579"/>
      <c r="O1" s="1580"/>
      <c r="P1" s="1579"/>
      <c r="Q1" s="1579"/>
      <c r="R1" s="1579"/>
      <c r="S1" s="1579"/>
      <c r="T1" s="1579"/>
      <c r="U1" s="1579"/>
    </row>
    <row r="2" spans="1:21">
      <c r="A2" s="1547" t="s">
        <v>1873</v>
      </c>
      <c r="B2" s="1673"/>
      <c r="D2" s="1579"/>
      <c r="E2" s="1579"/>
      <c r="F2" s="1579"/>
      <c r="G2" s="1579"/>
      <c r="H2" s="1547"/>
      <c r="I2" s="1580"/>
      <c r="J2" s="1579"/>
      <c r="K2" s="2321" t="str">
        <f>IF(B10="北京市","北京市",C10)&amp;F10&amp;B16&amp;"国有建设用地使用权"</f>
        <v>浙江省嘉兴市嘉善县大云镇云寺路北侧出让国有建设用地使用权</v>
      </c>
      <c r="L2" s="1607"/>
      <c r="M2" s="1607"/>
      <c r="N2" s="1579"/>
      <c r="O2" s="1580"/>
      <c r="P2" s="1579"/>
      <c r="Q2" s="1579"/>
      <c r="R2" s="1579"/>
      <c r="S2" s="1579"/>
      <c r="T2" s="1579"/>
      <c r="U2" s="1579"/>
    </row>
    <row r="3" spans="1:21">
      <c r="A3" s="1548" t="s">
        <v>1874</v>
      </c>
      <c r="B3" s="1549">
        <v>43240</v>
      </c>
      <c r="C3" s="1550" t="s">
        <v>1928</v>
      </c>
      <c r="D3" s="1549">
        <v>43240</v>
      </c>
      <c r="E3" s="1579"/>
      <c r="F3" s="1579"/>
      <c r="G3" s="1579"/>
      <c r="H3" s="1547"/>
      <c r="I3" s="1580"/>
      <c r="J3" s="1579"/>
      <c r="K3" s="1658"/>
      <c r="L3" s="1607"/>
      <c r="M3" s="1607"/>
      <c r="N3" s="1579"/>
      <c r="O3" s="1580"/>
      <c r="P3" s="1579"/>
      <c r="Q3" s="1579"/>
      <c r="R3" s="1579"/>
      <c r="S3" s="1579"/>
      <c r="T3" s="1579"/>
      <c r="U3" s="1579"/>
    </row>
    <row r="4" spans="1:21" ht="15" thickBot="1">
      <c r="A4" s="1551" t="s">
        <v>1875</v>
      </c>
      <c r="B4" s="1723" t="s">
        <v>2894</v>
      </c>
      <c r="C4" s="1726">
        <f ca="1">SUMIF(土地估价师,B4,估价师及机构信息!E3:E24)</f>
        <v>2002110030</v>
      </c>
      <c r="D4" s="1723" t="s">
        <v>2895</v>
      </c>
      <c r="E4" s="1726">
        <f>SUMIF(土地估价师,D4,估价师及机构信息!E3:E24)</f>
        <v>2014110011</v>
      </c>
      <c r="F4" s="1723" t="s">
        <v>884</v>
      </c>
      <c r="G4" s="1726">
        <f>SUMIF(土地估价师,F4,估价师及机构信息!E3:E24)</f>
        <v>0</v>
      </c>
      <c r="H4" s="1723" t="s">
        <v>884</v>
      </c>
      <c r="I4" s="1726">
        <f>SUMIF(土地估价师,H4,估价师及机构信息!E3:E24)</f>
        <v>0</v>
      </c>
      <c r="J4" s="1579"/>
      <c r="K4" s="2321" t="str">
        <f>IF(AND(F4="——",H4="——"),B4&amp;"、"&amp;D4,IF(AND(F4&lt;&gt;"——",H4="——"),B4&amp;"、"&amp;D4&amp;"、"&amp;F4,B4&amp;"、"&amp;D4&amp;"、"&amp;F4&amp;"、"&amp;H4))</f>
        <v>王鹏、郑燚</v>
      </c>
      <c r="L4" s="1607"/>
      <c r="M4" s="1607"/>
      <c r="N4" s="1579"/>
      <c r="O4" s="1580"/>
      <c r="P4" s="1579"/>
      <c r="Q4" s="1579"/>
      <c r="R4" s="1579"/>
      <c r="S4" s="1579"/>
      <c r="T4" s="1579"/>
      <c r="U4" s="1579"/>
    </row>
    <row r="5" spans="1:21" ht="15" thickTop="1">
      <c r="A5" s="1552" t="s">
        <v>1876</v>
      </c>
      <c r="B5" s="1673" t="s">
        <v>2896</v>
      </c>
      <c r="C5" s="1553"/>
      <c r="D5" s="1554"/>
      <c r="E5" s="1579"/>
      <c r="F5" s="1579"/>
      <c r="G5" s="1579"/>
      <c r="H5" s="1547"/>
      <c r="I5" s="1580"/>
      <c r="J5" s="1579"/>
      <c r="K5" s="1658"/>
      <c r="L5" s="1607"/>
      <c r="M5" s="1607"/>
      <c r="N5" s="1579"/>
      <c r="O5" s="1580"/>
      <c r="P5" s="1579"/>
      <c r="Q5" s="1579"/>
      <c r="R5" s="1579"/>
      <c r="S5" s="1579"/>
      <c r="T5" s="1579"/>
      <c r="U5" s="1579"/>
    </row>
    <row r="6" spans="1:21">
      <c r="A6" s="1550" t="s">
        <v>2634</v>
      </c>
      <c r="B6" s="1673" t="s">
        <v>2896</v>
      </c>
      <c r="C6" s="1645"/>
      <c r="D6" s="1555"/>
      <c r="E6" s="1579"/>
      <c r="F6" s="1579"/>
      <c r="G6" s="1579"/>
      <c r="H6" s="1547"/>
      <c r="I6" s="1580"/>
      <c r="J6" s="1579"/>
      <c r="K6" s="2919" t="str">
        <f>IF(COUNTIF(B6,"*上海银行*"),"上海银行","")</f>
        <v/>
      </c>
      <c r="L6" s="1607"/>
      <c r="M6" s="1607"/>
      <c r="N6" s="1579"/>
      <c r="O6" s="1580"/>
      <c r="P6" s="1579"/>
      <c r="Q6" s="1579"/>
      <c r="R6" s="1579"/>
      <c r="S6" s="1579"/>
      <c r="T6" s="1579"/>
      <c r="U6" s="1579"/>
    </row>
    <row r="7" spans="1:21">
      <c r="A7" s="1556" t="s">
        <v>2635</v>
      </c>
      <c r="B7" s="1673" t="s">
        <v>2897</v>
      </c>
      <c r="C7" s="1645"/>
      <c r="D7" s="1555"/>
      <c r="E7" s="1579"/>
      <c r="F7" s="1579"/>
      <c r="G7" s="1579"/>
      <c r="H7" s="1547"/>
      <c r="I7" s="1580"/>
      <c r="J7" s="1579"/>
      <c r="K7" s="1658"/>
      <c r="L7" s="1607"/>
      <c r="M7" s="1607"/>
      <c r="N7" s="1579"/>
      <c r="O7" s="1580"/>
      <c r="P7" s="1579"/>
      <c r="Q7" s="1579"/>
      <c r="R7" s="1579"/>
      <c r="S7" s="1579"/>
      <c r="T7" s="1579"/>
      <c r="U7" s="1579"/>
    </row>
    <row r="8" spans="1:21">
      <c r="A8" s="1556" t="s">
        <v>1877</v>
      </c>
      <c r="B8" s="1557" t="s">
        <v>2898</v>
      </c>
      <c r="C8" s="1558"/>
      <c r="D8" s="3255" t="s">
        <v>1879</v>
      </c>
      <c r="E8" s="1724" t="s">
        <v>2899</v>
      </c>
      <c r="F8" s="1559"/>
      <c r="G8" s="1547"/>
      <c r="H8" s="1547"/>
      <c r="I8" s="1591"/>
      <c r="J8" s="1579"/>
      <c r="K8" s="1658"/>
      <c r="L8" s="1607"/>
      <c r="M8" s="1607"/>
      <c r="N8" s="1579"/>
      <c r="O8" s="1580"/>
      <c r="P8" s="1579"/>
      <c r="Q8" s="1579"/>
      <c r="R8" s="1579"/>
      <c r="S8" s="1579"/>
      <c r="T8" s="1579"/>
      <c r="U8" s="1579"/>
    </row>
    <row r="9" spans="1:21" ht="15" thickBot="1">
      <c r="A9" s="1560" t="s">
        <v>1878</v>
      </c>
      <c r="B9" s="1561" t="s">
        <v>2899</v>
      </c>
      <c r="C9" s="1562"/>
      <c r="D9" s="3256"/>
      <c r="E9" s="1561"/>
      <c r="F9" s="1631"/>
      <c r="G9" s="1626"/>
      <c r="H9" s="1626"/>
      <c r="I9" s="1627"/>
      <c r="J9" s="1579"/>
      <c r="K9" s="1658"/>
      <c r="L9" s="1607"/>
      <c r="M9" s="1607"/>
      <c r="N9" s="1579"/>
      <c r="O9" s="1580"/>
      <c r="P9" s="1579"/>
      <c r="Q9" s="1579"/>
      <c r="R9" s="1579"/>
      <c r="S9" s="1579"/>
      <c r="T9" s="1579"/>
      <c r="U9" s="1579"/>
    </row>
    <row r="10" spans="1:21" ht="15" thickTop="1">
      <c r="A10" s="1628" t="s">
        <v>1931</v>
      </c>
      <c r="B10" s="1557" t="s">
        <v>2900</v>
      </c>
      <c r="C10" s="3185" t="s">
        <v>2901</v>
      </c>
      <c r="D10" s="1554"/>
      <c r="E10" s="1563" t="s">
        <v>1881</v>
      </c>
      <c r="F10" s="1564" t="s">
        <v>2903</v>
      </c>
      <c r="G10" s="1629"/>
      <c r="H10" s="1630"/>
      <c r="I10" s="1554"/>
      <c r="J10" s="1579"/>
      <c r="K10" s="1658"/>
      <c r="L10" s="1607"/>
      <c r="M10" s="1607"/>
      <c r="N10" s="1579"/>
      <c r="O10" s="1580"/>
      <c r="P10" s="1579"/>
      <c r="Q10" s="1579"/>
      <c r="R10" s="1579"/>
      <c r="S10" s="1579"/>
      <c r="T10" s="1579"/>
      <c r="U10" s="1579"/>
    </row>
    <row r="11" spans="1:21">
      <c r="A11" s="1582" t="s">
        <v>1932</v>
      </c>
      <c r="B11" s="1557" t="s">
        <v>2904</v>
      </c>
      <c r="C11" s="3011" t="s">
        <v>2905</v>
      </c>
      <c r="D11" s="1646"/>
      <c r="E11" s="1547"/>
      <c r="F11" s="1547"/>
      <c r="G11" s="1547"/>
      <c r="H11" s="1547"/>
      <c r="I11" s="1547"/>
      <c r="J11" s="1579"/>
      <c r="K11" s="1658"/>
      <c r="L11" s="1607"/>
      <c r="M11" s="1607"/>
      <c r="N11" s="1579"/>
      <c r="O11" s="1580"/>
      <c r="P11" s="1579"/>
      <c r="Q11" s="1579"/>
      <c r="R11" s="1579"/>
      <c r="S11" s="1579"/>
      <c r="T11" s="1579"/>
      <c r="U11" s="1579"/>
    </row>
    <row r="12" spans="1:21">
      <c r="A12" s="1669" t="s">
        <v>1990</v>
      </c>
      <c r="B12" s="3252" t="s">
        <v>2909</v>
      </c>
      <c r="C12" s="3253"/>
      <c r="D12" s="3254"/>
      <c r="E12" s="1583" t="s">
        <v>1993</v>
      </c>
      <c r="F12" s="3270" t="s">
        <v>3281</v>
      </c>
      <c r="G12" s="3271"/>
      <c r="H12" s="3271"/>
      <c r="I12" s="3272"/>
      <c r="J12" s="1579"/>
      <c r="K12" s="1658"/>
      <c r="L12" s="1607"/>
      <c r="M12" s="1607"/>
      <c r="N12" s="1579"/>
      <c r="O12" s="1580"/>
      <c r="P12" s="1579"/>
      <c r="Q12" s="1579"/>
      <c r="R12" s="1579"/>
      <c r="S12" s="1579"/>
      <c r="T12" s="1579"/>
      <c r="U12" s="1579"/>
    </row>
    <row r="13" spans="1:21">
      <c r="A13" s="1572" t="s">
        <v>1991</v>
      </c>
      <c r="B13" s="3252" t="s">
        <v>2908</v>
      </c>
      <c r="C13" s="3253"/>
      <c r="D13" s="3254"/>
      <c r="E13" s="1583" t="s">
        <v>1993</v>
      </c>
      <c r="F13" s="3270" t="s">
        <v>2907</v>
      </c>
      <c r="G13" s="3271"/>
      <c r="H13" s="3271"/>
      <c r="I13" s="3272"/>
      <c r="J13" s="1579"/>
      <c r="K13" s="1658"/>
      <c r="L13" s="1607"/>
      <c r="M13" s="1607"/>
      <c r="N13" s="1579"/>
      <c r="O13" s="1580"/>
      <c r="P13" s="1579"/>
      <c r="Q13" s="1579"/>
      <c r="R13" s="1579"/>
      <c r="S13" s="1579"/>
      <c r="T13" s="1579"/>
      <c r="U13" s="1579"/>
    </row>
    <row r="14" spans="1:21">
      <c r="A14" s="1548" t="s">
        <v>1994</v>
      </c>
      <c r="B14" s="1583"/>
      <c r="C14" s="1725" t="s">
        <v>2910</v>
      </c>
      <c r="D14" s="1617" t="str">
        <f>IF(C14="不一致","是否符合证载地类范围","")</f>
        <v/>
      </c>
      <c r="E14" s="1583"/>
      <c r="F14" s="1674" t="s">
        <v>884</v>
      </c>
      <c r="G14" s="1612"/>
      <c r="H14" s="1612"/>
      <c r="I14" s="1718"/>
      <c r="J14" s="1579"/>
      <c r="K14" s="1658"/>
      <c r="L14" s="1607"/>
      <c r="M14" s="1607"/>
      <c r="N14" s="1579"/>
      <c r="O14" s="1580"/>
      <c r="P14" s="1579"/>
      <c r="Q14" s="1579"/>
      <c r="R14" s="1579"/>
      <c r="S14" s="1579"/>
      <c r="T14" s="1579"/>
      <c r="U14" s="1579"/>
    </row>
    <row r="15" spans="1:21">
      <c r="A15" s="2509"/>
      <c r="B15" s="1550"/>
      <c r="C15" s="1550"/>
      <c r="D15" s="1650" t="s">
        <v>1884</v>
      </c>
      <c r="E15" s="1650" t="s">
        <v>1885</v>
      </c>
      <c r="F15" s="1650" t="s">
        <v>1886</v>
      </c>
      <c r="G15" s="1571" t="s">
        <v>1887</v>
      </c>
      <c r="H15" s="1571" t="s">
        <v>1888</v>
      </c>
      <c r="I15" s="1571" t="s">
        <v>1889</v>
      </c>
      <c r="J15" s="1579"/>
      <c r="K15" s="1658"/>
      <c r="L15" s="1607"/>
      <c r="M15" s="1607"/>
      <c r="N15" s="1579"/>
      <c r="O15" s="1580"/>
      <c r="P15" s="1579"/>
      <c r="Q15" s="1579"/>
      <c r="R15" s="1579"/>
      <c r="S15" s="1579"/>
      <c r="T15" s="1579"/>
      <c r="U15" s="1579"/>
    </row>
    <row r="16" spans="1:21" ht="28.5">
      <c r="A16" s="1565" t="s">
        <v>1882</v>
      </c>
      <c r="B16" s="1566" t="s">
        <v>2911</v>
      </c>
      <c r="C16" s="1583" t="s">
        <v>1883</v>
      </c>
      <c r="D16" s="2510" t="s">
        <v>1884</v>
      </c>
      <c r="E16" s="1606" t="s">
        <v>2912</v>
      </c>
      <c r="F16" s="1606"/>
      <c r="G16" s="1606" t="s">
        <v>35</v>
      </c>
      <c r="H16" s="1606"/>
      <c r="I16" s="1571" t="s">
        <v>1889</v>
      </c>
      <c r="J16" s="1579"/>
      <c r="K16" s="2322" t="str">
        <f>IF(D17="","",D16&amp;TEXT(D17,"yyyy年m月d日;;"))</f>
        <v>住宅2088年4月24日</v>
      </c>
      <c r="L16" s="1583" t="str">
        <f>IF(OR(K16="",M16=""),"","、")</f>
        <v>、</v>
      </c>
      <c r="M16" s="2322" t="str">
        <f>IF(E17="","",E16&amp;TEXT(E17,"yyyy年m月d日;;"))</f>
        <v>商业2058年4月24日</v>
      </c>
      <c r="N16" s="1583" t="str">
        <f>IF(OR(M16="",O16=""),"","、")</f>
        <v/>
      </c>
      <c r="O16" s="2322" t="str">
        <f>IF(F17="","",F16&amp;TEXT(F17,"yyyy年m月d日;;"))</f>
        <v/>
      </c>
      <c r="P16" s="1583" t="str">
        <f>IF(OR(O16="",Q16=""),"","、")</f>
        <v/>
      </c>
      <c r="Q16" s="2322" t="str">
        <f>IF(G17="","",G16&amp;TEXT(G17,"yyyy年m月d日;;"))</f>
        <v>地下车库2058年4月24日</v>
      </c>
      <c r="R16" s="1583" t="str">
        <f>IF(OR(Q16="",S16=""),"","、")</f>
        <v/>
      </c>
      <c r="S16" s="2322" t="str">
        <f>IF(H17="","",H16&amp;TEXT(H17,"yyyy年m月d日;;"))</f>
        <v/>
      </c>
      <c r="T16" s="1583" t="str">
        <f>IF(OR(S16="",U16=""),"","、")</f>
        <v/>
      </c>
      <c r="U16" s="2322" t="str">
        <f>IF(I17="","",I16&amp;TEXT(I17,"yyyy年m月d日;;"))</f>
        <v/>
      </c>
    </row>
    <row r="17" spans="1:21">
      <c r="A17" s="1647"/>
      <c r="B17" s="1567"/>
      <c r="C17" s="1568" t="s">
        <v>1890</v>
      </c>
      <c r="D17" s="1584">
        <v>68782</v>
      </c>
      <c r="E17" s="1584">
        <v>57824</v>
      </c>
      <c r="F17" s="1584"/>
      <c r="G17" s="1584">
        <v>57824</v>
      </c>
      <c r="H17" s="1584"/>
      <c r="I17" s="1584"/>
      <c r="J17" s="1579"/>
      <c r="K17" s="2321" t="str">
        <f>CONCATENATE(K16,L16,M16,N16,O16,P16,Q16,R16,S16,T16,,U16)</f>
        <v>住宅2088年4月24日、商业2058年4月24日地下车库2058年4月24日</v>
      </c>
      <c r="L17" s="1607"/>
      <c r="M17" s="1607"/>
      <c r="N17" s="1579"/>
      <c r="O17" s="1580"/>
      <c r="P17" s="1579"/>
      <c r="Q17" s="1579"/>
      <c r="R17" s="1579"/>
      <c r="S17" s="1579"/>
      <c r="T17" s="1579"/>
      <c r="U17" s="1579"/>
    </row>
    <row r="18" spans="1:21">
      <c r="A18" s="1647"/>
      <c r="B18" s="1567"/>
      <c r="C18" s="1568" t="s">
        <v>1891</v>
      </c>
      <c r="D18" s="1569">
        <v>70</v>
      </c>
      <c r="E18" s="1569">
        <v>40</v>
      </c>
      <c r="F18" s="1569"/>
      <c r="G18" s="1569">
        <v>40</v>
      </c>
      <c r="H18" s="1569"/>
      <c r="I18" s="1569"/>
      <c r="J18" s="1579"/>
      <c r="K18" s="1658"/>
      <c r="L18" s="1607"/>
      <c r="M18" s="1607"/>
      <c r="N18" s="1579"/>
      <c r="O18" s="1580"/>
      <c r="P18" s="1579"/>
      <c r="Q18" s="1579"/>
      <c r="R18" s="1579"/>
      <c r="S18" s="1579"/>
      <c r="T18" s="1579"/>
      <c r="U18" s="1579"/>
    </row>
    <row r="19" spans="1:21">
      <c r="A19" s="1647"/>
      <c r="B19" s="1567"/>
      <c r="C19" s="1547" t="s">
        <v>1892</v>
      </c>
      <c r="D19" s="1642">
        <f>IF(B16="出让",IF(D17="","",ROUNDDOWN(MIN((D17-$D$3)/365,D18),2)),D18)</f>
        <v>69.97</v>
      </c>
      <c r="E19" s="1570">
        <f>IF(B16="出让",IF(E17="","",ROUNDDOWN(MIN((E17-$D$3)/365,E18),2)),E18)</f>
        <v>39.950000000000003</v>
      </c>
      <c r="F19" s="1570" t="str">
        <f>IF(B16="出让",IF(F17="","",ROUNDDOWN(MIN((F17-$D$3)/365,F18),2)),F18)</f>
        <v/>
      </c>
      <c r="G19" s="1570">
        <f>IF(B16="出让",IF(G17="","",ROUNDDOWN(MIN((G17-$D$3)/365,G18),2)),G18)</f>
        <v>39.950000000000003</v>
      </c>
      <c r="H19" s="1570" t="str">
        <f>IF(B16="出让",IF(H17="","",ROUNDDOWN(MIN((H17-$D$3)/365,H18),2)),H18)</f>
        <v/>
      </c>
      <c r="I19" s="1570" t="str">
        <f>IF(B16="出让",IF(I17="","",ROUNDDOWN(MIN((I17-$D$3)/365,I18),2)),I18)</f>
        <v/>
      </c>
      <c r="J19" s="1579"/>
      <c r="K19" s="1658"/>
      <c r="L19" s="1607"/>
      <c r="M19" s="1607"/>
      <c r="N19" s="1579"/>
      <c r="O19" s="1580"/>
      <c r="P19" s="1579"/>
      <c r="Q19" s="1579"/>
      <c r="R19" s="1579"/>
      <c r="S19" s="1579"/>
      <c r="T19" s="1579"/>
      <c r="U19" s="1579"/>
    </row>
    <row r="20" spans="1:21">
      <c r="A20" s="1670"/>
      <c r="B20" s="1671"/>
      <c r="C20" s="1672" t="s">
        <v>1992</v>
      </c>
      <c r="D20" s="3267"/>
      <c r="E20" s="3268"/>
      <c r="F20" s="3268"/>
      <c r="G20" s="3268"/>
      <c r="H20" s="3268"/>
      <c r="I20" s="3269"/>
      <c r="J20" s="1579"/>
      <c r="K20" s="1658"/>
      <c r="L20" s="1607"/>
      <c r="M20" s="1607"/>
      <c r="N20" s="1579"/>
      <c r="O20" s="1580"/>
      <c r="P20" s="1579"/>
      <c r="Q20" s="1579"/>
      <c r="R20" s="1579"/>
      <c r="S20" s="1579"/>
      <c r="T20" s="1579"/>
      <c r="U20" s="1579"/>
    </row>
    <row r="21" spans="1:21">
      <c r="A21" s="1647" t="s">
        <v>1893</v>
      </c>
      <c r="B21" s="1648" t="s">
        <v>1894</v>
      </c>
      <c r="C21" s="1643">
        <f>'数据-汇总表'!E3</f>
        <v>78389</v>
      </c>
      <c r="D21" s="1644" t="s">
        <v>1895</v>
      </c>
      <c r="E21" s="3257" t="s">
        <v>3280</v>
      </c>
      <c r="F21" s="3258"/>
      <c r="G21" s="3258"/>
      <c r="H21" s="3258"/>
      <c r="I21" s="3259"/>
      <c r="J21" s="1579"/>
      <c r="K21" s="1658"/>
      <c r="L21" s="1607"/>
      <c r="M21" s="1607"/>
      <c r="N21" s="1579"/>
      <c r="O21" s="1580"/>
      <c r="P21" s="1579"/>
      <c r="Q21" s="1579"/>
      <c r="R21" s="1579"/>
      <c r="S21" s="1579"/>
      <c r="T21" s="1579"/>
      <c r="U21" s="1579"/>
    </row>
    <row r="22" spans="1:21">
      <c r="A22" s="3007" t="s">
        <v>884</v>
      </c>
      <c r="B22" s="1548" t="s">
        <v>1896</v>
      </c>
      <c r="C22" s="1571">
        <f>'数据-汇总表'!D3</f>
        <v>33431.800000000003</v>
      </c>
      <c r="D22" s="1572" t="s">
        <v>1895</v>
      </c>
      <c r="E22" s="3257" t="s">
        <v>2906</v>
      </c>
      <c r="F22" s="3258"/>
      <c r="G22" s="3258"/>
      <c r="H22" s="3258"/>
      <c r="I22" s="3259"/>
      <c r="J22" s="1579"/>
      <c r="K22" s="1658"/>
      <c r="L22" s="1607"/>
      <c r="M22" s="1607"/>
      <c r="N22" s="1579"/>
      <c r="O22" s="1580"/>
      <c r="P22" s="1579"/>
      <c r="Q22" s="1579"/>
      <c r="R22" s="1579"/>
      <c r="S22" s="1579"/>
      <c r="T22" s="1579"/>
      <c r="U22" s="1579"/>
    </row>
    <row r="23" spans="1:21" ht="15" thickBot="1">
      <c r="A23" s="1649" t="s">
        <v>1897</v>
      </c>
      <c r="B23" s="1585" t="s">
        <v>1898</v>
      </c>
      <c r="C23" s="1586" t="s">
        <v>2913</v>
      </c>
      <c r="D23" s="1587" t="s">
        <v>1899</v>
      </c>
      <c r="E23" s="1588" t="s">
        <v>2913</v>
      </c>
      <c r="F23" s="1589" t="str">
        <f>IF(AND(C23="是",E23="否"),"是否提供他项权证或相关说明","")</f>
        <v/>
      </c>
      <c r="G23" s="1590"/>
      <c r="H23" s="1579"/>
      <c r="I23" s="1591"/>
      <c r="J23" s="1579"/>
      <c r="K23" s="1658"/>
      <c r="L23" s="1607"/>
      <c r="M23" s="1607"/>
      <c r="N23" s="1579"/>
      <c r="O23" s="1580"/>
      <c r="P23" s="1579"/>
      <c r="Q23" s="1579"/>
      <c r="R23" s="1579"/>
      <c r="S23" s="1579"/>
      <c r="T23" s="1579"/>
      <c r="U23" s="1579"/>
    </row>
    <row r="24" spans="1:21">
      <c r="A24" s="1634" t="s">
        <v>1900</v>
      </c>
      <c r="B24" s="3260" t="s">
        <v>1901</v>
      </c>
      <c r="C24" s="3261"/>
      <c r="D24" s="3262" t="s">
        <v>1902</v>
      </c>
      <c r="E24" s="3263"/>
      <c r="F24" s="1592" t="s">
        <v>1903</v>
      </c>
      <c r="G24" s="1579"/>
      <c r="H24" s="1579"/>
      <c r="I24" s="1591"/>
      <c r="J24" s="1579"/>
      <c r="K24" s="3248" t="s">
        <v>1904</v>
      </c>
      <c r="L24" s="2323"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607"/>
      <c r="N24" s="1579"/>
      <c r="O24" s="1580"/>
      <c r="P24" s="1579"/>
      <c r="Q24" s="1579"/>
      <c r="R24" s="1579"/>
      <c r="S24" s="1579"/>
      <c r="T24" s="1579"/>
      <c r="U24" s="1579"/>
    </row>
    <row r="25" spans="1:21">
      <c r="A25" s="1635"/>
      <c r="B25" s="1632" t="s">
        <v>2256</v>
      </c>
      <c r="C25" s="1593" t="s">
        <v>2257</v>
      </c>
      <c r="D25" s="1594"/>
      <c r="E25" s="1595"/>
      <c r="F25" s="1596"/>
      <c r="G25" s="1579"/>
      <c r="H25" s="1579"/>
      <c r="I25" s="1591"/>
      <c r="J25" s="1579"/>
      <c r="K25" s="3248"/>
      <c r="L25" s="232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07"/>
      <c r="N25" s="1579"/>
      <c r="O25" s="1580"/>
      <c r="P25" s="1579"/>
      <c r="Q25" s="1579"/>
      <c r="R25" s="1579"/>
      <c r="S25" s="1579"/>
      <c r="T25" s="1579"/>
      <c r="U25" s="1579"/>
    </row>
    <row r="26" spans="1:21" hidden="1">
      <c r="A26" s="1636"/>
      <c r="B26" s="1633"/>
      <c r="C26" s="1593"/>
      <c r="D26" s="1547"/>
      <c r="E26" s="1547"/>
      <c r="F26" s="1573"/>
      <c r="G26" s="1579"/>
      <c r="H26" s="1579"/>
      <c r="I26" s="1591"/>
      <c r="J26" s="1579"/>
      <c r="K26" s="3248"/>
      <c r="L26" s="232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07"/>
      <c r="N26" s="1579"/>
      <c r="O26" s="1580"/>
      <c r="P26" s="1579"/>
      <c r="Q26" s="1579"/>
      <c r="R26" s="1579"/>
      <c r="S26" s="1579"/>
      <c r="T26" s="1579"/>
      <c r="U26" s="1579"/>
    </row>
    <row r="27" spans="1:21" hidden="1">
      <c r="A27" s="1639" t="s">
        <v>1905</v>
      </c>
      <c r="B27" s="1637" t="s">
        <v>1906</v>
      </c>
      <c r="C27" s="1597"/>
      <c r="D27" s="2515" t="s">
        <v>1906</v>
      </c>
      <c r="E27" s="1598"/>
      <c r="F27" s="1573"/>
      <c r="G27" s="1579"/>
      <c r="H27" s="1579"/>
      <c r="I27" s="1591"/>
      <c r="J27" s="1579"/>
      <c r="K27" s="1658"/>
      <c r="L27" s="1607"/>
      <c r="M27" s="1607"/>
      <c r="N27" s="1579"/>
      <c r="O27" s="1580"/>
      <c r="P27" s="1579"/>
      <c r="Q27" s="1579"/>
      <c r="R27" s="1579"/>
      <c r="S27" s="1579"/>
      <c r="T27" s="1579"/>
      <c r="U27" s="1579"/>
    </row>
    <row r="28" spans="1:21" hidden="1">
      <c r="A28" s="1640"/>
      <c r="B28" s="1637" t="s">
        <v>1907</v>
      </c>
      <c r="C28" s="1599"/>
      <c r="D28" s="2516" t="s">
        <v>1907</v>
      </c>
      <c r="E28" s="1600"/>
      <c r="F28" s="1573"/>
      <c r="G28" s="1579"/>
      <c r="H28" s="1579"/>
      <c r="I28" s="1591"/>
      <c r="J28" s="1579"/>
      <c r="K28" s="1658"/>
      <c r="L28" s="1607"/>
      <c r="M28" s="1607"/>
      <c r="N28" s="1579"/>
      <c r="O28" s="1580"/>
      <c r="P28" s="1579"/>
      <c r="Q28" s="1579"/>
      <c r="R28" s="1579"/>
      <c r="S28" s="1579"/>
      <c r="T28" s="1579"/>
      <c r="U28" s="1579"/>
    </row>
    <row r="29" spans="1:21" hidden="1">
      <c r="A29" s="1640"/>
      <c r="B29" s="1637" t="s">
        <v>1908</v>
      </c>
      <c r="C29" s="1599"/>
      <c r="D29" s="2516" t="s">
        <v>1908</v>
      </c>
      <c r="E29" s="1600"/>
      <c r="F29" s="1573"/>
      <c r="G29" s="1579"/>
      <c r="H29" s="1579"/>
      <c r="I29" s="1591"/>
      <c r="J29" s="1579"/>
      <c r="K29" s="1658"/>
      <c r="L29" s="1607"/>
      <c r="M29" s="1607"/>
      <c r="N29" s="1579"/>
      <c r="O29" s="1580"/>
      <c r="P29" s="1579"/>
      <c r="Q29" s="1579"/>
      <c r="R29" s="1579"/>
      <c r="S29" s="1579"/>
      <c r="T29" s="1579"/>
      <c r="U29" s="1579"/>
    </row>
    <row r="30" spans="1:21" ht="15" hidden="1" thickBot="1">
      <c r="A30" s="1641"/>
      <c r="B30" s="1638" t="s">
        <v>1909</v>
      </c>
      <c r="C30" s="1601"/>
      <c r="D30" s="2517" t="s">
        <v>1909</v>
      </c>
      <c r="E30" s="1602"/>
      <c r="F30" s="1574"/>
      <c r="G30" s="1626"/>
      <c r="H30" s="1626"/>
      <c r="I30" s="1627"/>
      <c r="J30" s="1579"/>
      <c r="K30" s="1658"/>
      <c r="L30" s="1607"/>
      <c r="M30" s="1607"/>
      <c r="N30" s="1579"/>
      <c r="O30" s="1580"/>
      <c r="P30" s="1579"/>
      <c r="Q30" s="1579"/>
      <c r="R30" s="1579"/>
      <c r="S30" s="1579"/>
      <c r="T30" s="1579"/>
      <c r="U30" s="1579"/>
    </row>
    <row r="31" spans="1:21">
      <c r="A31" s="3234" t="s">
        <v>1933</v>
      </c>
      <c r="B31" s="1648" t="s">
        <v>1934</v>
      </c>
      <c r="C31" s="3273" t="s">
        <v>2914</v>
      </c>
      <c r="D31" s="3274"/>
      <c r="E31" s="1579"/>
      <c r="F31" s="1579"/>
      <c r="G31" s="1579"/>
      <c r="H31" s="1579"/>
      <c r="I31" s="1591"/>
      <c r="J31" s="1579"/>
      <c r="K31" s="2324"/>
      <c r="L31" s="1579"/>
      <c r="M31" s="1579"/>
      <c r="N31" s="1579"/>
      <c r="O31" s="1579"/>
      <c r="P31" s="1579"/>
      <c r="Q31" s="1579"/>
      <c r="R31" s="1579"/>
      <c r="S31" s="1579"/>
      <c r="T31" s="1579"/>
      <c r="U31" s="1579"/>
    </row>
    <row r="32" spans="1:21">
      <c r="A32" s="3234"/>
      <c r="B32" s="1548" t="s">
        <v>1935</v>
      </c>
      <c r="C32" s="1603" t="s">
        <v>2915</v>
      </c>
      <c r="D32" s="1604"/>
      <c r="E32" s="1579"/>
      <c r="F32" s="1579"/>
      <c r="G32" s="1579"/>
      <c r="H32" s="1579"/>
      <c r="I32" s="1591"/>
      <c r="J32" s="1579"/>
      <c r="K32" s="2324"/>
      <c r="L32" s="1579"/>
      <c r="M32" s="1579"/>
      <c r="N32" s="1579"/>
      <c r="O32" s="1579"/>
      <c r="P32" s="1579"/>
      <c r="Q32" s="1579"/>
      <c r="R32" s="1579"/>
      <c r="S32" s="1579"/>
      <c r="T32" s="1579"/>
      <c r="U32" s="1579"/>
    </row>
    <row r="33" spans="1:21">
      <c r="A33" s="3234"/>
      <c r="B33" s="1548" t="s">
        <v>1936</v>
      </c>
      <c r="C33" s="1605" t="s">
        <v>2913</v>
      </c>
      <c r="D33" s="1719"/>
      <c r="E33" s="1579"/>
      <c r="F33" s="1579"/>
      <c r="G33" s="1579"/>
      <c r="H33" s="1579"/>
      <c r="I33" s="1591"/>
      <c r="J33" s="1579"/>
      <c r="K33" s="2324"/>
      <c r="L33" s="1579"/>
      <c r="M33" s="1579"/>
      <c r="N33" s="1579"/>
      <c r="O33" s="1579"/>
      <c r="P33" s="1579"/>
      <c r="Q33" s="1579"/>
      <c r="R33" s="1579"/>
      <c r="S33" s="1579"/>
      <c r="T33" s="1579"/>
      <c r="U33" s="1579"/>
    </row>
    <row r="34" spans="1:21">
      <c r="A34" s="3235"/>
      <c r="B34" s="1548" t="s">
        <v>1937</v>
      </c>
      <c r="C34" s="3236"/>
      <c r="D34" s="3237"/>
      <c r="E34" s="1579"/>
      <c r="F34" s="1579"/>
      <c r="G34" s="1579"/>
      <c r="H34" s="1579"/>
      <c r="I34" s="1591"/>
      <c r="J34" s="1579"/>
      <c r="K34" s="2324"/>
      <c r="L34" s="1579"/>
      <c r="M34" s="1579"/>
      <c r="N34" s="1579"/>
      <c r="O34" s="1579"/>
      <c r="P34" s="1579"/>
      <c r="Q34" s="1579"/>
      <c r="R34" s="1579"/>
      <c r="S34" s="1579"/>
      <c r="T34" s="1579"/>
      <c r="U34" s="1579"/>
    </row>
    <row r="35" spans="1:21">
      <c r="A35" s="3238" t="s">
        <v>786</v>
      </c>
      <c r="B35" s="1606" t="s">
        <v>2916</v>
      </c>
      <c r="C35" s="1660" t="str">
        <f>IF(B35="场地平整","——","具体情况：")</f>
        <v>——</v>
      </c>
      <c r="D35" s="3240"/>
      <c r="E35" s="3241"/>
      <c r="F35" s="3241"/>
      <c r="G35" s="3241"/>
      <c r="H35" s="3241"/>
      <c r="I35" s="3242"/>
      <c r="J35" s="1579"/>
      <c r="K35" s="1659"/>
      <c r="L35" s="1607"/>
      <c r="M35" s="1607"/>
      <c r="N35" s="1579"/>
      <c r="O35" s="1580"/>
      <c r="P35" s="1579"/>
      <c r="Q35" s="1579"/>
      <c r="R35" s="1579"/>
      <c r="S35" s="1579"/>
      <c r="T35" s="1579"/>
      <c r="U35" s="1579"/>
    </row>
    <row r="36" spans="1:21">
      <c r="A36" s="3234"/>
      <c r="B36" s="3243" t="s">
        <v>1986</v>
      </c>
      <c r="C36" s="3244"/>
      <c r="D36" s="1676" t="s">
        <v>2917</v>
      </c>
      <c r="E36" s="3245"/>
      <c r="F36" s="3245"/>
      <c r="G36" s="1572" t="str">
        <f>IF(B35="场地未平整","估价结果处理","")</f>
        <v/>
      </c>
      <c r="H36" s="3246"/>
      <c r="I36" s="3246"/>
      <c r="J36" s="1579"/>
      <c r="K36" s="1659"/>
      <c r="L36" s="1607"/>
      <c r="M36" s="1607"/>
      <c r="N36" s="1579"/>
      <c r="O36" s="1580"/>
      <c r="P36" s="1579"/>
      <c r="Q36" s="1579"/>
      <c r="R36" s="1579"/>
      <c r="S36" s="1579"/>
      <c r="T36" s="1579"/>
      <c r="U36" s="1579"/>
    </row>
    <row r="37" spans="1:21">
      <c r="A37" s="3234"/>
      <c r="B37" s="3264" t="s">
        <v>787</v>
      </c>
      <c r="C37" s="1608" t="s">
        <v>788</v>
      </c>
      <c r="D37" s="1609">
        <v>43587</v>
      </c>
      <c r="E37" s="1610"/>
      <c r="F37" s="1579"/>
      <c r="G37" s="1579"/>
      <c r="H37" s="1579"/>
      <c r="I37" s="1591"/>
      <c r="J37" s="1579"/>
      <c r="K37" s="1659"/>
      <c r="L37" s="1579"/>
      <c r="M37" s="1579"/>
      <c r="N37" s="1579"/>
      <c r="O37" s="1579"/>
      <c r="P37" s="1579"/>
      <c r="Q37" s="1579"/>
      <c r="R37" s="1579"/>
      <c r="S37" s="1579"/>
      <c r="T37" s="1579"/>
      <c r="U37" s="1579"/>
    </row>
    <row r="38" spans="1:21">
      <c r="A38" s="3234"/>
      <c r="B38" s="3265"/>
      <c r="C38" s="1556" t="s">
        <v>789</v>
      </c>
      <c r="D38" s="1675">
        <f>ROUNDDOWN(MIN(('数据-取费表'!$B$2-D37)/365,D34),1)</f>
        <v>-0.9</v>
      </c>
      <c r="E38" s="1611" t="s">
        <v>790</v>
      </c>
      <c r="F38" s="1579"/>
      <c r="G38" s="1579"/>
      <c r="H38" s="1579"/>
      <c r="I38" s="1591"/>
      <c r="J38" s="1579"/>
      <c r="K38" s="1659"/>
      <c r="L38" s="1579"/>
      <c r="M38" s="1579"/>
      <c r="N38" s="1579"/>
      <c r="O38" s="1579"/>
      <c r="P38" s="1579"/>
      <c r="Q38" s="1579"/>
      <c r="R38" s="1579"/>
      <c r="S38" s="1579"/>
      <c r="T38" s="1579"/>
      <c r="U38" s="1579"/>
    </row>
    <row r="39" spans="1:21">
      <c r="A39" s="3235"/>
      <c r="B39" s="3266"/>
      <c r="C39" s="1582" t="str">
        <f>IF(D38&lt;1,"不存在土地闲置",IF(B35="宗地内已开工建设","已开工，不存在土地闲置","估价对象已涉嫌土地闲置"))</f>
        <v>不存在土地闲置</v>
      </c>
      <c r="D39" s="1612"/>
      <c r="E39" s="1613"/>
      <c r="F39" s="1579"/>
      <c r="G39" s="1579"/>
      <c r="H39" s="1579"/>
      <c r="I39" s="1591"/>
      <c r="J39" s="1579"/>
      <c r="K39" s="1658"/>
      <c r="L39" s="1607"/>
      <c r="M39" s="1607"/>
      <c r="N39" s="1579"/>
      <c r="O39" s="1580"/>
      <c r="P39" s="1579"/>
      <c r="Q39" s="1579"/>
      <c r="R39" s="1579"/>
      <c r="S39" s="1579"/>
      <c r="T39" s="1579"/>
      <c r="U39" s="1579"/>
    </row>
    <row r="40" spans="1:21">
      <c r="A40" s="1572" t="s">
        <v>1910</v>
      </c>
      <c r="B40" s="1575" t="s">
        <v>2918</v>
      </c>
      <c r="C40" s="1575" t="s">
        <v>2919</v>
      </c>
      <c r="D40" s="1575" t="s">
        <v>2920</v>
      </c>
      <c r="E40" s="1575"/>
      <c r="F40" s="1575"/>
      <c r="G40" s="1575"/>
      <c r="H40" s="1575"/>
      <c r="I40" s="1591"/>
      <c r="J40" s="1579"/>
      <c r="K40" s="1614">
        <f>COUNTIF(B40:H40,"——")</f>
        <v>0</v>
      </c>
      <c r="L40" s="1583" t="s">
        <v>1911</v>
      </c>
      <c r="M40" s="1581" t="s">
        <v>1912</v>
      </c>
      <c r="N40" s="1581" t="s">
        <v>1913</v>
      </c>
      <c r="O40" s="1581" t="s">
        <v>1914</v>
      </c>
      <c r="P40" s="1581" t="s">
        <v>1915</v>
      </c>
      <c r="Q40" s="1581" t="s">
        <v>1916</v>
      </c>
      <c r="R40" s="1581" t="s">
        <v>1917</v>
      </c>
      <c r="S40" s="3247" t="s">
        <v>1918</v>
      </c>
      <c r="T40" s="1615" t="str">
        <f>NUMBERSTRING(7-K40,1)&amp;"通"</f>
        <v>七通</v>
      </c>
      <c r="U40" s="1579"/>
    </row>
    <row r="41" spans="1:21">
      <c r="A41" s="1550"/>
      <c r="B41" s="3239" t="s">
        <v>1654</v>
      </c>
      <c r="C41" s="3239"/>
      <c r="D41" s="3239"/>
      <c r="E41" s="3239"/>
      <c r="F41" s="1616" t="str">
        <f>C10</f>
        <v>浙江省嘉兴市嘉善县</v>
      </c>
      <c r="G41" s="1579"/>
      <c r="H41" s="1579"/>
      <c r="I41" s="1591"/>
      <c r="J41" s="1579"/>
      <c r="K41" s="1583"/>
      <c r="L41" s="1581" t="str">
        <f>B40</f>
        <v>通路</v>
      </c>
      <c r="M41" s="1617" t="str">
        <f>B40&amp;"、"&amp;C40</f>
        <v>通路、通电</v>
      </c>
      <c r="N41" s="1618" t="str">
        <f>B40&amp;"、"&amp;C40&amp;"、"&amp;D40</f>
        <v>通路、通电、通上水</v>
      </c>
      <c r="O41" s="1618" t="str">
        <f>B40&amp;"、"&amp;C40&amp;"、"&amp;D40&amp;"、"&amp;E40</f>
        <v>通路、通电、通上水、</v>
      </c>
      <c r="P41" s="1618" t="str">
        <f>B40&amp;"、"&amp;C40&amp;"、"&amp;D40&amp;"、"&amp;E40&amp;"、"&amp;F40</f>
        <v>通路、通电、通上水、、</v>
      </c>
      <c r="Q41" s="1618" t="str">
        <f>B40&amp;"、"&amp;C40&amp;"、"&amp;D40&amp;"、"&amp;E40&amp;"、"&amp;F40&amp;"、"&amp;G40</f>
        <v>通路、通电、通上水、、、</v>
      </c>
      <c r="R41" s="1618" t="str">
        <f>B40&amp;"、"&amp;C40&amp;"、"&amp;D40&amp;"、"&amp;E40&amp;"、"&amp;F40&amp;"、"&amp;G40&amp;"、"&amp;H40</f>
        <v>通路、通电、通上水、、、、</v>
      </c>
      <c r="S41" s="3247"/>
      <c r="T41" s="1617" t="str">
        <f>IF(T40="一通",L41,IF(T40="二通",M41,IF(T40="三通",N41,IF(T40="四通",O41,IF(T40="五通",P41,IF(T40="六通",Q41,R41))))))</f>
        <v>通路、通电、通上水、、、、</v>
      </c>
      <c r="U41" s="1579"/>
    </row>
    <row r="42" spans="1:21">
      <c r="A42" s="1619"/>
      <c r="B42" s="1650" t="s">
        <v>1830</v>
      </c>
      <c r="C42" s="1650" t="s">
        <v>1831</v>
      </c>
      <c r="D42" s="1650" t="s">
        <v>1832</v>
      </c>
      <c r="E42" s="1583" t="s">
        <v>1833</v>
      </c>
      <c r="F42" s="1620"/>
      <c r="G42" s="1579"/>
      <c r="H42" s="1579"/>
      <c r="I42" s="1591"/>
      <c r="J42" s="1579"/>
      <c r="K42" s="1658"/>
      <c r="L42" s="1607"/>
      <c r="M42" s="1607"/>
      <c r="N42" s="1579"/>
      <c r="O42" s="1580"/>
      <c r="P42" s="1579"/>
      <c r="Q42" s="1579"/>
      <c r="R42" s="1579"/>
      <c r="S42" s="1579"/>
      <c r="T42" s="1579"/>
      <c r="U42" s="1579"/>
    </row>
    <row r="43" spans="1:21">
      <c r="A43" s="1621" t="s">
        <v>1639</v>
      </c>
      <c r="B43" s="1622"/>
      <c r="C43" s="1622"/>
      <c r="D43" s="1622"/>
      <c r="E43" s="1622"/>
      <c r="F43" s="1623"/>
      <c r="G43" s="1579"/>
      <c r="H43" s="1579"/>
      <c r="I43" s="1591"/>
      <c r="J43" s="1579"/>
      <c r="K43" s="1658"/>
      <c r="L43" s="1607"/>
      <c r="M43" s="1607"/>
      <c r="N43" s="1579"/>
      <c r="O43" s="1580"/>
      <c r="P43" s="1579"/>
      <c r="Q43" s="1579"/>
      <c r="R43" s="1579"/>
      <c r="S43" s="1579"/>
      <c r="T43" s="1579"/>
      <c r="U43" s="1579"/>
    </row>
    <row r="44" spans="1:21">
      <c r="A44" s="1621" t="s">
        <v>1640</v>
      </c>
      <c r="B44" s="1622"/>
      <c r="C44" s="1622"/>
      <c r="D44" s="1622"/>
      <c r="E44" s="1676"/>
      <c r="F44" s="1623"/>
      <c r="G44" s="1579"/>
      <c r="H44" s="1579"/>
      <c r="I44" s="1591"/>
      <c r="J44" s="1579"/>
      <c r="K44" s="1658"/>
      <c r="L44" s="1607"/>
      <c r="M44" s="1607"/>
      <c r="N44" s="1579"/>
      <c r="O44" s="1580"/>
      <c r="P44" s="1579"/>
      <c r="Q44" s="1579"/>
      <c r="R44" s="1579"/>
      <c r="S44" s="1579"/>
      <c r="T44" s="1579"/>
      <c r="U44" s="1579"/>
    </row>
    <row r="45" spans="1:21" s="2936" customFormat="1" ht="21" thickBot="1">
      <c r="A45" s="2937" t="s">
        <v>2817</v>
      </c>
      <c r="B45" s="2932"/>
      <c r="C45" s="2932"/>
      <c r="D45" s="2932"/>
      <c r="E45" s="2932"/>
      <c r="F45" s="2932"/>
      <c r="G45" s="2932"/>
      <c r="H45" s="2932"/>
      <c r="I45" s="2933"/>
      <c r="J45" s="2932"/>
      <c r="K45" s="2934"/>
      <c r="L45" s="2935"/>
      <c r="M45" s="2935"/>
      <c r="N45" s="2932"/>
      <c r="O45" s="2933"/>
      <c r="P45" s="2932"/>
      <c r="Q45" s="2932"/>
      <c r="R45" s="2932"/>
      <c r="S45" s="2932"/>
      <c r="T45" s="2932"/>
      <c r="U45" s="2932"/>
    </row>
    <row r="46" spans="1:21">
      <c r="A46" s="1579"/>
      <c r="B46" s="1579"/>
      <c r="C46" s="1579"/>
      <c r="D46" s="1579"/>
      <c r="E46" s="1579"/>
      <c r="F46" s="1579"/>
      <c r="G46" s="1579"/>
      <c r="H46" s="1579"/>
      <c r="I46" s="1591"/>
      <c r="J46" s="1579"/>
      <c r="K46" s="1658"/>
      <c r="L46" s="1607"/>
      <c r="M46" s="1607"/>
      <c r="N46" s="1579"/>
      <c r="O46" s="1580"/>
      <c r="P46" s="1579"/>
      <c r="Q46" s="1579"/>
      <c r="R46" s="1579"/>
      <c r="S46" s="1579"/>
      <c r="T46" s="1579"/>
      <c r="U46" s="1579"/>
    </row>
    <row r="47" spans="1:21">
      <c r="A47" s="1624" t="s">
        <v>1938</v>
      </c>
      <c r="B47" s="1625"/>
      <c r="C47" s="1613"/>
      <c r="D47" s="1579"/>
      <c r="E47" s="1579"/>
      <c r="F47" s="1579"/>
      <c r="G47" s="1579"/>
      <c r="H47" s="1579"/>
      <c r="I47" s="1580"/>
      <c r="J47" s="1579"/>
      <c r="K47" s="1658"/>
      <c r="L47" s="1607"/>
      <c r="M47" s="1607"/>
      <c r="N47" s="1579"/>
      <c r="O47" s="1580"/>
      <c r="P47" s="1579"/>
      <c r="Q47" s="1579"/>
      <c r="R47" s="1579"/>
      <c r="S47" s="1579"/>
      <c r="T47" s="1579"/>
      <c r="U47" s="1579"/>
    </row>
    <row r="48" spans="1:21">
      <c r="A48" s="1583" t="s">
        <v>1939</v>
      </c>
      <c r="B48" s="1571" t="s">
        <v>1940</v>
      </c>
      <c r="C48" s="1571" t="s">
        <v>1941</v>
      </c>
      <c r="D48" s="1571" t="s">
        <v>1942</v>
      </c>
      <c r="E48" s="1571" t="s">
        <v>1943</v>
      </c>
      <c r="F48" s="1571" t="s">
        <v>1944</v>
      </c>
      <c r="G48" s="1571" t="s">
        <v>1945</v>
      </c>
      <c r="H48" s="1571" t="s">
        <v>1946</v>
      </c>
      <c r="I48" s="1571" t="s">
        <v>1947</v>
      </c>
      <c r="J48" s="1656" t="s">
        <v>1948</v>
      </c>
      <c r="K48" s="1650" t="s">
        <v>1949</v>
      </c>
      <c r="L48" s="1650" t="s">
        <v>1950</v>
      </c>
      <c r="M48" s="1650" t="s">
        <v>1951</v>
      </c>
      <c r="N48" s="1571" t="s">
        <v>1952</v>
      </c>
      <c r="O48" s="1571" t="s">
        <v>1953</v>
      </c>
      <c r="P48" s="1571" t="s">
        <v>1954</v>
      </c>
      <c r="Q48" s="1583" t="s">
        <v>1955</v>
      </c>
      <c r="R48" s="1583" t="s">
        <v>1956</v>
      </c>
      <c r="S48" s="1579"/>
      <c r="T48" s="1579"/>
      <c r="U48" s="1579"/>
    </row>
    <row r="49" spans="1:21">
      <c r="A49" s="1581"/>
      <c r="B49" s="1614"/>
      <c r="C49" s="1614"/>
      <c r="D49" s="1614"/>
      <c r="E49" s="1614"/>
      <c r="F49" s="1614"/>
      <c r="G49" s="1614"/>
      <c r="H49" s="1614"/>
      <c r="I49" s="1614"/>
      <c r="J49" s="1720"/>
      <c r="K49" s="1721"/>
      <c r="L49" s="1721"/>
      <c r="M49" s="1614"/>
      <c r="N49" s="1614"/>
      <c r="O49" s="1614"/>
      <c r="P49" s="1614"/>
      <c r="Q49" s="1614"/>
      <c r="R49" s="1614"/>
      <c r="S49" s="1579"/>
      <c r="T49" s="1579"/>
      <c r="U49" s="1579"/>
    </row>
    <row r="50" spans="1:21">
      <c r="A50" s="1581"/>
      <c r="B50" s="1581"/>
      <c r="C50" s="1614"/>
      <c r="D50" s="1614"/>
      <c r="E50" s="1614"/>
      <c r="F50" s="1614"/>
      <c r="G50" s="1614"/>
      <c r="H50" s="1614"/>
      <c r="I50" s="1614"/>
      <c r="J50" s="1720"/>
      <c r="K50" s="1721"/>
      <c r="L50" s="1721"/>
      <c r="M50" s="1614"/>
      <c r="N50" s="1614"/>
      <c r="O50" s="1614"/>
      <c r="P50" s="1614"/>
      <c r="Q50" s="1614"/>
      <c r="R50" s="1614"/>
      <c r="S50" s="1579"/>
      <c r="T50" s="1579"/>
      <c r="U50" s="1579"/>
    </row>
    <row r="51" spans="1:21">
      <c r="A51" s="1581"/>
      <c r="B51" s="1581"/>
      <c r="C51" s="1614"/>
      <c r="D51" s="1614"/>
      <c r="E51" s="1614"/>
      <c r="F51" s="1614"/>
      <c r="G51" s="1614"/>
      <c r="H51" s="1614"/>
      <c r="I51" s="1614"/>
      <c r="J51" s="1720"/>
      <c r="K51" s="1721"/>
      <c r="L51" s="1721"/>
      <c r="M51" s="1614"/>
      <c r="N51" s="1614"/>
      <c r="O51" s="1614"/>
      <c r="P51" s="1614"/>
      <c r="Q51" s="1614"/>
      <c r="R51" s="1614"/>
      <c r="S51" s="1579"/>
      <c r="T51" s="1579"/>
      <c r="U51" s="1579"/>
    </row>
    <row r="52" spans="1:21">
      <c r="A52" s="1581"/>
      <c r="B52" s="1581"/>
      <c r="C52" s="1614"/>
      <c r="D52" s="1614"/>
      <c r="E52" s="1614"/>
      <c r="F52" s="1614"/>
      <c r="G52" s="1614"/>
      <c r="H52" s="1614"/>
      <c r="I52" s="1614"/>
      <c r="J52" s="1720"/>
      <c r="K52" s="1721"/>
      <c r="L52" s="1721"/>
      <c r="M52" s="1614"/>
      <c r="N52" s="1614"/>
      <c r="O52" s="1614"/>
      <c r="P52" s="1614"/>
      <c r="Q52" s="1614"/>
      <c r="R52" s="1614"/>
      <c r="S52" s="1579"/>
      <c r="T52" s="1579"/>
      <c r="U52" s="1579"/>
    </row>
    <row r="53" spans="1:21">
      <c r="A53" s="1581"/>
      <c r="B53" s="1581"/>
      <c r="C53" s="1614"/>
      <c r="D53" s="1614"/>
      <c r="E53" s="1614"/>
      <c r="F53" s="1614"/>
      <c r="G53" s="1614"/>
      <c r="H53" s="1614"/>
      <c r="I53" s="1614"/>
      <c r="J53" s="1720"/>
      <c r="K53" s="1721"/>
      <c r="L53" s="1721"/>
      <c r="M53" s="1614"/>
      <c r="N53" s="1614"/>
      <c r="O53" s="1614"/>
      <c r="P53" s="1614"/>
      <c r="Q53" s="1614"/>
      <c r="R53" s="1614"/>
      <c r="S53" s="1579"/>
      <c r="T53" s="1579"/>
      <c r="U53" s="1579"/>
    </row>
    <row r="54" spans="1:21">
      <c r="A54" s="1581"/>
      <c r="B54" s="1581"/>
      <c r="C54" s="1581"/>
      <c r="D54" s="1581"/>
      <c r="E54" s="1581"/>
      <c r="F54" s="1614"/>
      <c r="G54" s="1581"/>
      <c r="H54" s="1581"/>
      <c r="I54" s="1581"/>
      <c r="J54" s="1722"/>
      <c r="K54" s="1721"/>
      <c r="L54" s="1721"/>
      <c r="M54" s="1721"/>
      <c r="N54" s="1581"/>
      <c r="O54" s="1581"/>
      <c r="P54" s="1581"/>
      <c r="Q54" s="1581"/>
      <c r="R54" s="1581"/>
      <c r="S54" s="1579"/>
      <c r="T54" s="1579"/>
      <c r="U54" s="1579"/>
    </row>
    <row r="55" spans="1:21">
      <c r="A55" s="1581"/>
      <c r="B55" s="1581"/>
      <c r="C55" s="1581"/>
      <c r="D55" s="1581"/>
      <c r="E55" s="1581"/>
      <c r="F55" s="1614"/>
      <c r="G55" s="1581"/>
      <c r="H55" s="1581"/>
      <c r="I55" s="1581"/>
      <c r="J55" s="1722"/>
      <c r="K55" s="1721"/>
      <c r="L55" s="1721"/>
      <c r="M55" s="1721"/>
      <c r="N55" s="1581"/>
      <c r="O55" s="1581"/>
      <c r="P55" s="1581"/>
      <c r="Q55" s="1581"/>
      <c r="R55" s="1581"/>
      <c r="S55" s="1579"/>
      <c r="T55" s="1579"/>
      <c r="U55" s="1579"/>
    </row>
    <row r="56" spans="1:21">
      <c r="A56" s="1581"/>
      <c r="B56" s="1581"/>
      <c r="C56" s="1581"/>
      <c r="D56" s="1581"/>
      <c r="E56" s="1581"/>
      <c r="F56" s="1614"/>
      <c r="G56" s="1581"/>
      <c r="H56" s="1581"/>
      <c r="I56" s="1581"/>
      <c r="J56" s="1722"/>
      <c r="K56" s="1721"/>
      <c r="L56" s="1721"/>
      <c r="M56" s="1721"/>
      <c r="N56" s="1581"/>
      <c r="O56" s="1581"/>
      <c r="P56" s="1581"/>
      <c r="Q56" s="1581"/>
      <c r="R56" s="1581"/>
      <c r="S56" s="1579"/>
      <c r="T56" s="1579"/>
      <c r="U56" s="1579"/>
    </row>
    <row r="57" spans="1:21">
      <c r="A57" s="1581"/>
      <c r="B57" s="1581"/>
      <c r="C57" s="1581"/>
      <c r="D57" s="1581"/>
      <c r="E57" s="1581"/>
      <c r="F57" s="1614"/>
      <c r="G57" s="1581"/>
      <c r="H57" s="1581"/>
      <c r="I57" s="1581"/>
      <c r="J57" s="1722"/>
      <c r="K57" s="1721"/>
      <c r="L57" s="1721"/>
      <c r="M57" s="1721"/>
      <c r="N57" s="1581"/>
      <c r="O57" s="1581"/>
      <c r="P57" s="1581"/>
      <c r="Q57" s="1581"/>
      <c r="R57" s="1581"/>
      <c r="S57" s="1579"/>
      <c r="T57" s="1579"/>
      <c r="U57" s="1579"/>
    </row>
    <row r="58" spans="1:21">
      <c r="A58" s="1581"/>
      <c r="B58" s="1581"/>
      <c r="C58" s="1581"/>
      <c r="D58" s="1581"/>
      <c r="E58" s="1581"/>
      <c r="F58" s="1614"/>
      <c r="G58" s="1581"/>
      <c r="H58" s="1581"/>
      <c r="I58" s="1581"/>
      <c r="J58" s="1722"/>
      <c r="K58" s="1721"/>
      <c r="L58" s="1721"/>
      <c r="M58" s="1721"/>
      <c r="N58" s="1581"/>
      <c r="O58" s="1581"/>
      <c r="P58" s="1581"/>
      <c r="Q58" s="1581"/>
      <c r="R58" s="1581"/>
      <c r="S58" s="1579"/>
      <c r="T58" s="1579"/>
      <c r="U58" s="1579"/>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5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J13" activePane="bottomRight" state="frozen"/>
      <selection pane="topRight" activeCell="E1" sqref="E1"/>
      <selection pane="bottomLeft" activeCell="A12" sqref="A12"/>
      <selection pane="bottomRight" activeCell="D39" sqref="D39"/>
    </sheetView>
  </sheetViews>
  <sheetFormatPr defaultColWidth="8.875" defaultRowHeight="14.25"/>
  <cols>
    <col min="1" max="1" width="10.625" style="14" customWidth="1"/>
    <col min="2" max="2" width="11" style="14" customWidth="1"/>
    <col min="3" max="3" width="10.375" style="14" customWidth="1"/>
    <col min="4" max="4" width="9.125" style="14" customWidth="1"/>
    <col min="5" max="6" width="10" style="15" customWidth="1"/>
    <col min="7" max="8" width="10" style="14" customWidth="1"/>
    <col min="9" max="9" width="10.625" style="14" customWidth="1"/>
    <col min="10" max="10" width="9.5" style="14" customWidth="1"/>
    <col min="11" max="11" width="11" style="14" customWidth="1"/>
    <col min="12" max="14" width="9.5" style="14" customWidth="1"/>
    <col min="15" max="15" width="9.875" style="14" hidden="1" customWidth="1"/>
    <col min="16" max="16" width="9.75" style="14" hidden="1" customWidth="1"/>
    <col min="17" max="17" width="9.375" style="14" hidden="1" customWidth="1"/>
    <col min="18" max="18" width="9.25" style="14" hidden="1" customWidth="1"/>
    <col min="19" max="19" width="10.875" style="14" hidden="1" customWidth="1"/>
    <col min="20" max="21" width="10.75" style="14" hidden="1" customWidth="1"/>
    <col min="22" max="22" width="10.875" style="14" hidden="1" customWidth="1"/>
    <col min="23" max="27" width="10.75" style="14" hidden="1" customWidth="1"/>
    <col min="28" max="28" width="10.875" style="14" hidden="1" customWidth="1"/>
    <col min="29" max="29" width="11" style="14" bestFit="1" customWidth="1"/>
    <col min="30" max="30" width="10" style="14" bestFit="1" customWidth="1"/>
    <col min="31" max="31" width="9.75" style="14" customWidth="1"/>
    <col min="32" max="37" width="9.5" style="14" hidden="1" customWidth="1"/>
    <col min="38" max="46" width="9.5" style="14" customWidth="1"/>
    <col min="47" max="47" width="18.125" style="14" customWidth="1"/>
    <col min="48" max="50" width="9.75" style="14" customWidth="1"/>
    <col min="51" max="54" width="10.5" style="14" bestFit="1" customWidth="1"/>
    <col min="55" max="55" width="10.375" style="14" customWidth="1"/>
    <col min="56" max="56" width="9.5" style="14" customWidth="1"/>
    <col min="57" max="63" width="9.125" style="14" hidden="1" customWidth="1"/>
    <col min="64" max="64" width="9.5" style="14" bestFit="1" customWidth="1"/>
    <col min="65" max="65" width="9.125" style="14" customWidth="1"/>
    <col min="66" max="66" width="9.5" style="14" hidden="1" customWidth="1"/>
    <col min="67" max="68" width="9.125" style="14" hidden="1" customWidth="1"/>
    <col min="69" max="69" width="9.125" style="14" customWidth="1"/>
    <col min="70" max="70" width="9.5" style="14" customWidth="1"/>
    <col min="71" max="71" width="9" style="14" hidden="1" customWidth="1"/>
    <col min="72" max="72" width="9.125" style="14" hidden="1" customWidth="1"/>
    <col min="73" max="16384" width="8.875" style="14"/>
  </cols>
  <sheetData>
    <row r="1" spans="1:72" ht="20.25">
      <c r="A1" s="12" t="s">
        <v>162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166</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163</v>
      </c>
      <c r="B2" s="16" t="s">
        <v>164</v>
      </c>
      <c r="C2" s="16" t="s">
        <v>165</v>
      </c>
      <c r="D2" s="1091"/>
      <c r="E2" s="901"/>
      <c r="F2" s="4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9" t="s">
        <v>167</v>
      </c>
      <c r="AZ2" s="2208" t="s">
        <v>2264</v>
      </c>
      <c r="BA2" s="2209" t="s">
        <v>2263</v>
      </c>
      <c r="BB2" s="1091"/>
      <c r="BC2" s="1091"/>
      <c r="BD2" s="1091"/>
      <c r="BE2" s="1091"/>
      <c r="BF2" s="1091"/>
      <c r="BG2" s="1091"/>
      <c r="BH2" s="1091"/>
      <c r="BI2" s="1091"/>
      <c r="BJ2" s="1091"/>
      <c r="BK2" s="1091"/>
      <c r="BL2" s="1091"/>
      <c r="BM2" s="1091"/>
      <c r="BN2" s="1091"/>
      <c r="BO2" s="1091"/>
      <c r="BP2" s="1091"/>
      <c r="BQ2" s="1091"/>
      <c r="BR2" s="1091"/>
      <c r="BS2" s="1091"/>
      <c r="BT2" s="1091"/>
    </row>
    <row r="3" spans="1:72" s="17" customFormat="1" ht="12.75">
      <c r="A3" s="20">
        <v>33431.800000000003</v>
      </c>
      <c r="B3" s="21">
        <f>IF(C3="否",G5-AT5,G5)</f>
        <v>78389</v>
      </c>
      <c r="C3" s="22" t="s">
        <v>2913</v>
      </c>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3"/>
      <c r="AZ3" s="11"/>
      <c r="BA3" s="2210"/>
      <c r="BB3" s="1091"/>
      <c r="BC3" s="1091"/>
      <c r="BD3" s="1091"/>
      <c r="BE3" s="1091"/>
      <c r="BF3" s="1091"/>
      <c r="BG3" s="1091"/>
      <c r="BH3" s="1091"/>
      <c r="BI3" s="1091"/>
      <c r="BJ3" s="1091"/>
      <c r="BK3" s="1091"/>
      <c r="BL3" s="1091"/>
      <c r="BM3" s="1091"/>
      <c r="BN3" s="1091"/>
      <c r="BO3" s="1091"/>
      <c r="BP3" s="1091"/>
      <c r="BQ3" s="1091"/>
      <c r="BR3" s="1091"/>
      <c r="BS3" s="1091"/>
      <c r="BT3" s="1091"/>
    </row>
    <row r="4" spans="1:72" s="24"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7" customFormat="1" ht="12.75">
      <c r="A5" s="25" t="s">
        <v>168</v>
      </c>
      <c r="B5" s="887"/>
      <c r="C5" s="887"/>
      <c r="D5" s="894"/>
      <c r="E5" s="26" t="s">
        <v>1</v>
      </c>
      <c r="F5" s="26">
        <f>SUM(F13:F572)</f>
        <v>0</v>
      </c>
      <c r="G5" s="26">
        <f>SUM(G13:G572)</f>
        <v>78389</v>
      </c>
      <c r="H5" s="26">
        <f t="shared" ref="H5:AT5" si="0">SUM(H13:H641)</f>
        <v>72525</v>
      </c>
      <c r="I5" s="26">
        <f t="shared" si="0"/>
        <v>57637</v>
      </c>
      <c r="J5" s="26">
        <f t="shared" si="0"/>
        <v>0</v>
      </c>
      <c r="K5" s="26">
        <f t="shared" si="0"/>
        <v>421</v>
      </c>
      <c r="L5" s="26">
        <f t="shared" si="0"/>
        <v>0</v>
      </c>
      <c r="M5" s="26">
        <f t="shared" si="0"/>
        <v>14467</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5864</v>
      </c>
      <c r="AD5" s="26">
        <f t="shared" si="0"/>
        <v>1304</v>
      </c>
      <c r="AE5" s="26">
        <f t="shared" si="0"/>
        <v>0</v>
      </c>
      <c r="AF5" s="26">
        <f t="shared" si="0"/>
        <v>0</v>
      </c>
      <c r="AG5" s="26">
        <f t="shared" si="0"/>
        <v>0</v>
      </c>
      <c r="AH5" s="26">
        <f t="shared" si="0"/>
        <v>0</v>
      </c>
      <c r="AI5" s="26">
        <f t="shared" si="0"/>
        <v>0</v>
      </c>
      <c r="AJ5" s="26">
        <f t="shared" si="0"/>
        <v>0</v>
      </c>
      <c r="AK5" s="26">
        <f t="shared" si="0"/>
        <v>0</v>
      </c>
      <c r="AL5" s="26">
        <f t="shared" si="0"/>
        <v>816</v>
      </c>
      <c r="AM5" s="26">
        <f t="shared" si="0"/>
        <v>0</v>
      </c>
      <c r="AN5" s="26">
        <f t="shared" si="0"/>
        <v>3744</v>
      </c>
      <c r="AO5" s="26">
        <f t="shared" si="0"/>
        <v>0</v>
      </c>
      <c r="AP5" s="26">
        <f t="shared" si="0"/>
        <v>0</v>
      </c>
      <c r="AQ5" s="26">
        <f t="shared" si="0"/>
        <v>0</v>
      </c>
      <c r="AR5" s="26">
        <f t="shared" si="0"/>
        <v>0</v>
      </c>
      <c r="AS5" s="26">
        <f t="shared" si="0"/>
        <v>0</v>
      </c>
      <c r="AT5" s="26">
        <f t="shared" si="0"/>
        <v>0</v>
      </c>
      <c r="AU5" s="886"/>
      <c r="AV5" s="25" t="s">
        <v>168</v>
      </c>
      <c r="AW5" s="887"/>
      <c r="AX5" s="887"/>
      <c r="AY5" s="27" t="s">
        <v>3</v>
      </c>
      <c r="AZ5" s="28">
        <f t="shared" ref="AZ5:BT5" si="1">SUM(AZ13:AZ641)</f>
        <v>78389</v>
      </c>
      <c r="BA5" s="28">
        <f t="shared" si="1"/>
        <v>72525</v>
      </c>
      <c r="BB5" s="28">
        <f t="shared" si="1"/>
        <v>57637</v>
      </c>
      <c r="BC5" s="28">
        <f t="shared" si="1"/>
        <v>421</v>
      </c>
      <c r="BD5" s="28">
        <f t="shared" si="1"/>
        <v>14467</v>
      </c>
      <c r="BE5" s="28">
        <f t="shared" si="1"/>
        <v>0</v>
      </c>
      <c r="BF5" s="28">
        <f t="shared" si="1"/>
        <v>0</v>
      </c>
      <c r="BG5" s="28">
        <f t="shared" si="1"/>
        <v>0</v>
      </c>
      <c r="BH5" s="28">
        <f t="shared" si="1"/>
        <v>0</v>
      </c>
      <c r="BI5" s="28">
        <f t="shared" si="1"/>
        <v>0</v>
      </c>
      <c r="BJ5" s="28">
        <f t="shared" si="1"/>
        <v>0</v>
      </c>
      <c r="BK5" s="28">
        <f t="shared" si="1"/>
        <v>0</v>
      </c>
      <c r="BL5" s="28">
        <f t="shared" si="1"/>
        <v>5864</v>
      </c>
      <c r="BM5" s="28">
        <f t="shared" si="1"/>
        <v>1304</v>
      </c>
      <c r="BN5" s="28">
        <f t="shared" si="1"/>
        <v>0</v>
      </c>
      <c r="BO5" s="28">
        <f t="shared" si="1"/>
        <v>0</v>
      </c>
      <c r="BP5" s="28">
        <f t="shared" si="1"/>
        <v>0</v>
      </c>
      <c r="BQ5" s="28">
        <f t="shared" si="1"/>
        <v>816</v>
      </c>
      <c r="BR5" s="28">
        <f t="shared" si="1"/>
        <v>3744</v>
      </c>
      <c r="BS5" s="28">
        <f t="shared" si="1"/>
        <v>0</v>
      </c>
      <c r="BT5" s="29">
        <f t="shared" si="1"/>
        <v>0</v>
      </c>
    </row>
    <row r="6" spans="1:72" s="36" customFormat="1" ht="12.75">
      <c r="A6" s="25" t="s">
        <v>169</v>
      </c>
      <c r="B6" s="30"/>
      <c r="C6" s="30"/>
      <c r="D6" s="31"/>
      <c r="E6" s="26">
        <f>H6+AC6+AT6</f>
        <v>33431.800000000003</v>
      </c>
      <c r="F6" s="26" t="s">
        <v>1</v>
      </c>
      <c r="G6" s="26" t="s">
        <v>2</v>
      </c>
      <c r="H6" s="32">
        <f>SUMIF(I$12:AB$12,"总值",I6:AB6)</f>
        <v>30930.89</v>
      </c>
      <c r="I6" s="26">
        <f t="shared" ref="I6:AB6" si="2">ROUND($A$3*I5/$B$3,2)</f>
        <v>24581.37</v>
      </c>
      <c r="J6" s="26">
        <f t="shared" si="2"/>
        <v>0</v>
      </c>
      <c r="K6" s="26">
        <f t="shared" si="2"/>
        <v>179.55</v>
      </c>
      <c r="L6" s="26">
        <f t="shared" si="2"/>
        <v>0</v>
      </c>
      <c r="M6" s="26">
        <f t="shared" si="2"/>
        <v>6169.97</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2500.91</v>
      </c>
      <c r="AD6" s="26">
        <f t="shared" ref="AD6:AS6" si="3">ROUND($A$3*AD5/$B$3,2)</f>
        <v>556.14</v>
      </c>
      <c r="AE6" s="26">
        <f t="shared" si="3"/>
        <v>0</v>
      </c>
      <c r="AF6" s="26">
        <f t="shared" si="3"/>
        <v>0</v>
      </c>
      <c r="AG6" s="26">
        <f t="shared" si="3"/>
        <v>0</v>
      </c>
      <c r="AH6" s="26">
        <f t="shared" si="3"/>
        <v>0</v>
      </c>
      <c r="AI6" s="26">
        <f t="shared" si="3"/>
        <v>0</v>
      </c>
      <c r="AJ6" s="26">
        <f t="shared" si="3"/>
        <v>0</v>
      </c>
      <c r="AK6" s="26">
        <f t="shared" si="3"/>
        <v>0</v>
      </c>
      <c r="AL6" s="26">
        <f t="shared" si="3"/>
        <v>348.01</v>
      </c>
      <c r="AM6" s="26">
        <f t="shared" si="3"/>
        <v>0</v>
      </c>
      <c r="AN6" s="26">
        <f t="shared" si="3"/>
        <v>1596.76</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33431.800000000003</v>
      </c>
      <c r="AZ6" s="26" t="s">
        <v>3</v>
      </c>
      <c r="BA6" s="26">
        <f>ROUND($AY$6*BA5/$AZ$5,2)</f>
        <v>30930.89</v>
      </c>
      <c r="BB6" s="26">
        <f>ROUND($AY$6*BB5/$AZ$5,2)</f>
        <v>24581.37</v>
      </c>
      <c r="BC6" s="26">
        <f t="shared" ref="BC6:BH6" si="4">ROUND($AY$6*BC5/$AZ$5,2)</f>
        <v>179.55</v>
      </c>
      <c r="BD6" s="26">
        <f t="shared" si="4"/>
        <v>6169.97</v>
      </c>
      <c r="BE6" s="26">
        <f t="shared" si="4"/>
        <v>0</v>
      </c>
      <c r="BF6" s="26">
        <f t="shared" si="4"/>
        <v>0</v>
      </c>
      <c r="BG6" s="26">
        <f t="shared" si="4"/>
        <v>0</v>
      </c>
      <c r="BH6" s="26">
        <f t="shared" si="4"/>
        <v>0</v>
      </c>
      <c r="BI6" s="26">
        <f t="shared" ref="BI6:BT6" si="5">ROUND($AY$6*BI5/$AZ$5,2)</f>
        <v>0</v>
      </c>
      <c r="BJ6" s="26">
        <f t="shared" si="5"/>
        <v>0</v>
      </c>
      <c r="BK6" s="26">
        <f t="shared" si="5"/>
        <v>0</v>
      </c>
      <c r="BL6" s="26">
        <f t="shared" si="5"/>
        <v>2500.91</v>
      </c>
      <c r="BM6" s="26">
        <f t="shared" si="5"/>
        <v>556.14</v>
      </c>
      <c r="BN6" s="26">
        <f t="shared" si="5"/>
        <v>0</v>
      </c>
      <c r="BO6" s="26">
        <f t="shared" si="5"/>
        <v>0</v>
      </c>
      <c r="BP6" s="26">
        <f t="shared" si="5"/>
        <v>0</v>
      </c>
      <c r="BQ6" s="26">
        <f t="shared" si="5"/>
        <v>348.01</v>
      </c>
      <c r="BR6" s="26">
        <f t="shared" si="5"/>
        <v>1596.76</v>
      </c>
      <c r="BS6" s="26">
        <f t="shared" si="5"/>
        <v>0</v>
      </c>
      <c r="BT6" s="35">
        <f t="shared" si="5"/>
        <v>0</v>
      </c>
    </row>
    <row r="7" spans="1:72" s="17"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866"/>
      <c r="AU7" s="39" t="s">
        <v>177</v>
      </c>
      <c r="AV7" s="40" t="s">
        <v>178</v>
      </c>
      <c r="AW7" s="41" t="s">
        <v>179</v>
      </c>
      <c r="AX7" s="40" t="s">
        <v>180</v>
      </c>
      <c r="AY7" s="887"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899"/>
      <c r="K8" s="899"/>
      <c r="L8" s="899"/>
      <c r="M8" s="899"/>
      <c r="N8" s="899"/>
      <c r="O8" s="899"/>
      <c r="P8" s="899"/>
      <c r="Q8" s="899"/>
      <c r="R8" s="899"/>
      <c r="S8" s="899"/>
      <c r="T8" s="899"/>
      <c r="U8" s="899"/>
      <c r="V8" s="48"/>
      <c r="W8" s="899"/>
      <c r="X8" s="899"/>
      <c r="Y8" s="899"/>
      <c r="Z8" s="899"/>
      <c r="AA8" s="48"/>
      <c r="AB8" s="49"/>
      <c r="AC8" s="50" t="s">
        <v>184</v>
      </c>
      <c r="AD8" s="51"/>
      <c r="AE8" s="42"/>
      <c r="AF8" s="899"/>
      <c r="AG8" s="899"/>
      <c r="AH8" s="899"/>
      <c r="AI8" s="899"/>
      <c r="AJ8" s="899"/>
      <c r="AK8" s="899"/>
      <c r="AL8" s="899"/>
      <c r="AM8" s="899"/>
      <c r="AN8" s="899"/>
      <c r="AO8" s="899"/>
      <c r="AP8" s="899"/>
      <c r="AQ8" s="899"/>
      <c r="AR8" s="899"/>
      <c r="AS8" s="2169"/>
      <c r="AT8" s="2178" t="s">
        <v>794</v>
      </c>
      <c r="AU8" s="44" t="s">
        <v>185</v>
      </c>
      <c r="AV8" s="54"/>
      <c r="AW8" s="901"/>
      <c r="AX8" s="54"/>
      <c r="AY8" s="41" t="s">
        <v>186</v>
      </c>
      <c r="AZ8" s="898" t="s">
        <v>187</v>
      </c>
      <c r="BA8" s="899"/>
      <c r="BB8" s="899"/>
      <c r="BC8" s="899"/>
      <c r="BD8" s="899"/>
      <c r="BE8" s="899"/>
      <c r="BF8" s="899"/>
      <c r="BG8" s="899"/>
      <c r="BH8" s="899"/>
      <c r="BI8" s="899"/>
      <c r="BJ8" s="899"/>
      <c r="BK8" s="899"/>
      <c r="BL8" s="899"/>
      <c r="BM8" s="899"/>
      <c r="BN8" s="899"/>
      <c r="BO8" s="899"/>
      <c r="BP8" s="899"/>
      <c r="BQ8" s="899"/>
      <c r="BR8" s="899"/>
      <c r="BS8" s="899"/>
      <c r="BT8" s="55"/>
    </row>
    <row r="9" spans="1:72" s="56" customFormat="1" ht="12.75">
      <c r="A9" s="44"/>
      <c r="B9" s="44"/>
      <c r="C9" s="44"/>
      <c r="D9" s="44"/>
      <c r="E9" s="44"/>
      <c r="F9" s="44"/>
      <c r="G9" s="54"/>
      <c r="H9" s="57" t="s">
        <v>188</v>
      </c>
      <c r="I9" s="2883" t="s">
        <v>2921</v>
      </c>
      <c r="J9" s="50"/>
      <c r="K9" s="2883" t="s">
        <v>2921</v>
      </c>
      <c r="L9" s="50"/>
      <c r="M9" s="2883" t="s">
        <v>2926</v>
      </c>
      <c r="N9" s="50"/>
      <c r="O9" s="58"/>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085" t="s">
        <v>191</v>
      </c>
      <c r="AQ9" s="1087"/>
      <c r="AR9" s="1085" t="s">
        <v>192</v>
      </c>
      <c r="AS9" s="2179"/>
      <c r="AT9" s="44"/>
      <c r="AU9" s="44" t="s">
        <v>194</v>
      </c>
      <c r="AV9" s="54"/>
      <c r="AW9" s="901"/>
      <c r="AX9" s="54"/>
      <c r="AY9" s="61"/>
      <c r="AZ9" s="61" t="s">
        <v>195</v>
      </c>
      <c r="BA9" s="62" t="s">
        <v>196</v>
      </c>
      <c r="BB9" s="63"/>
      <c r="BC9" s="893"/>
      <c r="BD9" s="893"/>
      <c r="BE9" s="893"/>
      <c r="BF9" s="893"/>
      <c r="BG9" s="893"/>
      <c r="BH9" s="893"/>
      <c r="BI9" s="893"/>
      <c r="BJ9" s="893"/>
      <c r="BK9" s="64"/>
      <c r="BL9" s="25" t="s">
        <v>197</v>
      </c>
      <c r="BM9" s="899"/>
      <c r="BN9" s="47"/>
      <c r="BO9" s="899"/>
      <c r="BP9" s="899"/>
      <c r="BQ9" s="899"/>
      <c r="BR9" s="899"/>
      <c r="BS9" s="899"/>
      <c r="BT9" s="55"/>
    </row>
    <row r="10" spans="1:72" s="56" customFormat="1" ht="12.75">
      <c r="A10" s="44"/>
      <c r="B10" s="44"/>
      <c r="C10" s="44"/>
      <c r="D10" s="44"/>
      <c r="E10" s="44"/>
      <c r="F10" s="44"/>
      <c r="G10" s="54"/>
      <c r="H10" s="61"/>
      <c r="I10" s="2883" t="s">
        <v>855</v>
      </c>
      <c r="J10" s="50"/>
      <c r="K10" s="2885" t="s">
        <v>2912</v>
      </c>
      <c r="L10" s="50"/>
      <c r="M10" s="2885" t="s">
        <v>2927</v>
      </c>
      <c r="N10" s="50"/>
      <c r="O10" s="65"/>
      <c r="P10" s="50"/>
      <c r="Q10" s="65"/>
      <c r="R10" s="50"/>
      <c r="S10" s="65"/>
      <c r="T10" s="50"/>
      <c r="U10" s="65"/>
      <c r="V10" s="50"/>
      <c r="W10" s="65"/>
      <c r="X10" s="50"/>
      <c r="Y10" s="65"/>
      <c r="Z10" s="50"/>
      <c r="AA10" s="65"/>
      <c r="AB10" s="50"/>
      <c r="AC10" s="54"/>
      <c r="AD10" s="2176" t="s">
        <v>2248</v>
      </c>
      <c r="AE10" s="2186"/>
      <c r="AF10" s="2176" t="s">
        <v>2248</v>
      </c>
      <c r="AG10" s="2186"/>
      <c r="AH10" s="2176" t="s">
        <v>2249</v>
      </c>
      <c r="AI10" s="2186"/>
      <c r="AJ10" s="25" t="s">
        <v>2262</v>
      </c>
      <c r="AK10" s="2183"/>
      <c r="AL10" s="2176" t="s">
        <v>2250</v>
      </c>
      <c r="AM10" s="2177"/>
      <c r="AN10" s="25" t="s">
        <v>198</v>
      </c>
      <c r="AO10" s="60"/>
      <c r="AP10" s="1085" t="s">
        <v>199</v>
      </c>
      <c r="AQ10" s="1087"/>
      <c r="AR10" s="1085" t="s">
        <v>199</v>
      </c>
      <c r="AS10" s="1087"/>
      <c r="AT10" s="44"/>
      <c r="AU10" s="44"/>
      <c r="AV10" s="54"/>
      <c r="AW10" s="901"/>
      <c r="AX10" s="54"/>
      <c r="AY10" s="61"/>
      <c r="AZ10" s="61"/>
      <c r="BA10" s="66" t="s">
        <v>193</v>
      </c>
      <c r="BB10" s="67" t="str">
        <f>I9</f>
        <v>地上</v>
      </c>
      <c r="BC10" s="68" t="str">
        <f>K9</f>
        <v>地上</v>
      </c>
      <c r="BD10" s="68" t="str">
        <f>M9</f>
        <v>地下</v>
      </c>
      <c r="BE10" s="68">
        <f>O9</f>
        <v>0</v>
      </c>
      <c r="BF10" s="68">
        <f>Q9</f>
        <v>0</v>
      </c>
      <c r="BG10" s="68">
        <f>S9</f>
        <v>0</v>
      </c>
      <c r="BH10" s="68">
        <f>U9</f>
        <v>0</v>
      </c>
      <c r="BI10" s="68">
        <f>W9</f>
        <v>0</v>
      </c>
      <c r="BJ10" s="68">
        <f>Y9</f>
        <v>0</v>
      </c>
      <c r="BK10" s="68">
        <f>AA9</f>
        <v>0</v>
      </c>
      <c r="BL10" s="53" t="s">
        <v>193</v>
      </c>
      <c r="BM10" s="898" t="str">
        <f>AD9</f>
        <v>地上</v>
      </c>
      <c r="BN10" s="68" t="str">
        <f>AF9</f>
        <v>地下</v>
      </c>
      <c r="BO10" s="898" t="str">
        <f>AH9</f>
        <v>地上</v>
      </c>
      <c r="BP10" s="68" t="str">
        <f>AJ9</f>
        <v>地下</v>
      </c>
      <c r="BQ10" s="898" t="str">
        <f>AL9</f>
        <v>地上</v>
      </c>
      <c r="BR10" s="68" t="str">
        <f>AN9</f>
        <v>地下</v>
      </c>
      <c r="BS10" s="898" t="str">
        <f>AP9</f>
        <v>地上</v>
      </c>
      <c r="BT10" s="896" t="str">
        <f>AR9</f>
        <v>地下</v>
      </c>
    </row>
    <row r="11" spans="1:72" s="56" customFormat="1" ht="12.75">
      <c r="A11" s="44"/>
      <c r="B11" s="44"/>
      <c r="C11" s="44"/>
      <c r="D11" s="44"/>
      <c r="E11" s="44"/>
      <c r="F11" s="44"/>
      <c r="G11" s="54"/>
      <c r="H11" s="66"/>
      <c r="I11" s="2884" t="s">
        <v>2922</v>
      </c>
      <c r="J11" s="70"/>
      <c r="K11" s="2884" t="s">
        <v>2923</v>
      </c>
      <c r="L11" s="70"/>
      <c r="M11" s="69" t="s">
        <v>2927</v>
      </c>
      <c r="N11" s="70"/>
      <c r="O11" s="69"/>
      <c r="P11" s="70"/>
      <c r="Q11" s="69"/>
      <c r="R11" s="70"/>
      <c r="S11" s="69"/>
      <c r="T11" s="70"/>
      <c r="U11" s="69"/>
      <c r="V11" s="70"/>
      <c r="W11" s="69"/>
      <c r="X11" s="70"/>
      <c r="Y11" s="69"/>
      <c r="Z11" s="70"/>
      <c r="AA11" s="69"/>
      <c r="AB11" s="70"/>
      <c r="AC11" s="54"/>
      <c r="AD11" s="2184" t="s">
        <v>2261</v>
      </c>
      <c r="AE11" s="900"/>
      <c r="AF11" s="2184" t="s">
        <v>2261</v>
      </c>
      <c r="AG11" s="900"/>
      <c r="AH11" s="2184" t="s">
        <v>2260</v>
      </c>
      <c r="AI11" s="2185"/>
      <c r="AJ11" s="2184" t="s">
        <v>2260</v>
      </c>
      <c r="AK11" s="2183"/>
      <c r="AL11" s="898"/>
      <c r="AM11" s="900"/>
      <c r="AN11" s="898"/>
      <c r="AO11" s="900"/>
      <c r="AP11" s="1086"/>
      <c r="AQ11" s="1088"/>
      <c r="AR11" s="1086"/>
      <c r="AS11" s="1088"/>
      <c r="AT11" s="901"/>
      <c r="AU11" s="44"/>
      <c r="AV11" s="54"/>
      <c r="AW11" s="901"/>
      <c r="AX11" s="54"/>
      <c r="AY11" s="61"/>
      <c r="AZ11" s="61"/>
      <c r="BA11" s="61"/>
      <c r="BB11" s="49" t="str">
        <f>I10</f>
        <v>住宅</v>
      </c>
      <c r="BC11" s="49" t="str">
        <f>K10</f>
        <v>商业</v>
      </c>
      <c r="BD11" s="49" t="str">
        <f>M10</f>
        <v>车库</v>
      </c>
      <c r="BE11" s="49">
        <f>O10</f>
        <v>0</v>
      </c>
      <c r="BF11" s="49">
        <f>Q10</f>
        <v>0</v>
      </c>
      <c r="BG11" s="49">
        <f>S10</f>
        <v>0</v>
      </c>
      <c r="BH11" s="49">
        <f>U10</f>
        <v>0</v>
      </c>
      <c r="BI11" s="49">
        <f>W10</f>
        <v>0</v>
      </c>
      <c r="BJ11" s="49">
        <f>Y10</f>
        <v>0</v>
      </c>
      <c r="BK11" s="49">
        <f>AA10</f>
        <v>0</v>
      </c>
      <c r="BL11" s="54"/>
      <c r="BM11" s="898" t="str">
        <f>AD10</f>
        <v>公共配套设施</v>
      </c>
      <c r="BN11" s="898" t="str">
        <f>AF10</f>
        <v>公共配套设施</v>
      </c>
      <c r="BO11" s="52" t="str">
        <f>AH10</f>
        <v>物业管理用房</v>
      </c>
      <c r="BP11" s="52" t="str">
        <f>AJ10</f>
        <v>物业管理用房</v>
      </c>
      <c r="BQ11" s="52" t="str">
        <f>AL10</f>
        <v>设备及其他</v>
      </c>
      <c r="BR11" s="52" t="str">
        <f>AN10</f>
        <v>设备及其他</v>
      </c>
      <c r="BS11" s="53" t="str">
        <f>AP10</f>
        <v>未注明</v>
      </c>
      <c r="BT11" s="895" t="str">
        <f>AR10</f>
        <v>未注明</v>
      </c>
    </row>
    <row r="12" spans="1:72" s="17" customFormat="1" ht="12.75">
      <c r="A12" s="71"/>
      <c r="B12" s="71"/>
      <c r="C12" s="71"/>
      <c r="D12" s="71"/>
      <c r="E12" s="71"/>
      <c r="F12" s="71"/>
      <c r="G12" s="72"/>
      <c r="H12" s="73"/>
      <c r="I12" s="894" t="s">
        <v>200</v>
      </c>
      <c r="J12" s="16" t="s">
        <v>201</v>
      </c>
      <c r="K12" s="16" t="s">
        <v>200</v>
      </c>
      <c r="L12" s="16" t="s">
        <v>201</v>
      </c>
      <c r="M12" s="16" t="s">
        <v>200</v>
      </c>
      <c r="N12" s="16" t="s">
        <v>201</v>
      </c>
      <c r="O12" s="16" t="s">
        <v>200</v>
      </c>
      <c r="P12" s="16" t="s">
        <v>201</v>
      </c>
      <c r="Q12" s="16" t="s">
        <v>200</v>
      </c>
      <c r="R12" s="16" t="s">
        <v>201</v>
      </c>
      <c r="S12" s="16" t="s">
        <v>200</v>
      </c>
      <c r="T12" s="16" t="s">
        <v>201</v>
      </c>
      <c r="U12" s="16" t="s">
        <v>200</v>
      </c>
      <c r="V12" s="886" t="s">
        <v>201</v>
      </c>
      <c r="W12" s="16" t="s">
        <v>200</v>
      </c>
      <c r="X12" s="16" t="s">
        <v>201</v>
      </c>
      <c r="Y12" s="16" t="s">
        <v>200</v>
      </c>
      <c r="Z12" s="16" t="s">
        <v>201</v>
      </c>
      <c r="AA12" s="16" t="s">
        <v>200</v>
      </c>
      <c r="AB12" s="16" t="s">
        <v>201</v>
      </c>
      <c r="AC12" s="74"/>
      <c r="AD12" s="894" t="s">
        <v>200</v>
      </c>
      <c r="AE12" s="16" t="s">
        <v>201</v>
      </c>
      <c r="AF12" s="16" t="s">
        <v>200</v>
      </c>
      <c r="AG12" s="16" t="s">
        <v>201</v>
      </c>
      <c r="AH12" s="16" t="s">
        <v>200</v>
      </c>
      <c r="AI12" s="16" t="s">
        <v>201</v>
      </c>
      <c r="AJ12" s="16" t="s">
        <v>200</v>
      </c>
      <c r="AK12" s="16" t="s">
        <v>201</v>
      </c>
      <c r="AL12" s="16" t="s">
        <v>200</v>
      </c>
      <c r="AM12" s="16" t="s">
        <v>201</v>
      </c>
      <c r="AN12" s="16" t="s">
        <v>200</v>
      </c>
      <c r="AO12" s="16" t="s">
        <v>201</v>
      </c>
      <c r="AP12" s="1084" t="s">
        <v>200</v>
      </c>
      <c r="AQ12" s="1084" t="s">
        <v>201</v>
      </c>
      <c r="AR12" s="1090" t="s">
        <v>200</v>
      </c>
      <c r="AS12" s="1089" t="s">
        <v>201</v>
      </c>
      <c r="AT12" s="75"/>
      <c r="AU12" s="71"/>
      <c r="AV12" s="76"/>
      <c r="AW12" s="41"/>
      <c r="AX12" s="76"/>
      <c r="AY12" s="77"/>
      <c r="AZ12" s="61"/>
      <c r="BA12" s="66"/>
      <c r="BB12" s="52" t="str">
        <f>I11</f>
        <v>平层住宅</v>
      </c>
      <c r="BC12" s="78" t="str">
        <f>K11</f>
        <v>底商</v>
      </c>
      <c r="BD12" s="78" t="str">
        <f>M11</f>
        <v>车库</v>
      </c>
      <c r="BE12" s="49">
        <f>O11</f>
        <v>0</v>
      </c>
      <c r="BF12" s="49">
        <f>Q11</f>
        <v>0</v>
      </c>
      <c r="BG12" s="49">
        <f>S11</f>
        <v>0</v>
      </c>
      <c r="BH12" s="49">
        <f>U11</f>
        <v>0</v>
      </c>
      <c r="BI12" s="49">
        <f>W11</f>
        <v>0</v>
      </c>
      <c r="BJ12" s="49">
        <f>Y11</f>
        <v>0</v>
      </c>
      <c r="BK12" s="49">
        <f>AA11</f>
        <v>0</v>
      </c>
      <c r="BL12" s="54"/>
      <c r="BM12" s="898" t="str">
        <f>AD11</f>
        <v>（住宅）</v>
      </c>
      <c r="BN12" s="898" t="str">
        <f>AF11</f>
        <v>（住宅）</v>
      </c>
      <c r="BO12" s="52" t="str">
        <f>AH11</f>
        <v>（住宅、计出让金）</v>
      </c>
      <c r="BP12" s="52" t="str">
        <f>AJ11</f>
        <v>（住宅、计出让金）</v>
      </c>
      <c r="BQ12" s="52">
        <f>AL11</f>
        <v>0</v>
      </c>
      <c r="BR12" s="52">
        <f>AN11</f>
        <v>0</v>
      </c>
      <c r="BS12" s="53">
        <f>AP11</f>
        <v>0</v>
      </c>
      <c r="BT12" s="895">
        <f>AR11</f>
        <v>0</v>
      </c>
    </row>
    <row r="13" spans="1:72" s="17" customFormat="1" ht="12.75">
      <c r="A13" s="2878"/>
      <c r="B13" s="2878"/>
      <c r="C13" s="2878"/>
      <c r="D13" s="2879" t="s">
        <v>1611</v>
      </c>
      <c r="E13" s="26">
        <f t="shared" ref="E13:E20" si="6">IF($C$3="是",ROUND($A$3*G13/$B$3,2),ROUND($A$3*(G13-AT13)/$B$3,2))</f>
        <v>33431.800000000003</v>
      </c>
      <c r="F13" s="80"/>
      <c r="G13" s="81">
        <f t="shared" ref="G13:G20" si="7">H13+AC13+AT13</f>
        <v>78389</v>
      </c>
      <c r="H13" s="32">
        <f t="shared" ref="H13:H20" si="8">SUMIF(I$12:AB$12,"总值",I13:AB13)</f>
        <v>72525</v>
      </c>
      <c r="I13" s="2882">
        <v>57637</v>
      </c>
      <c r="J13" s="2882">
        <v>0</v>
      </c>
      <c r="K13" s="2882">
        <v>421</v>
      </c>
      <c r="L13" s="2882">
        <v>0</v>
      </c>
      <c r="M13" s="2882">
        <v>14467</v>
      </c>
      <c r="N13" s="82">
        <v>0</v>
      </c>
      <c r="O13" s="82"/>
      <c r="P13" s="82"/>
      <c r="Q13" s="82"/>
      <c r="R13" s="82"/>
      <c r="S13" s="82"/>
      <c r="T13" s="82"/>
      <c r="U13" s="82"/>
      <c r="V13" s="82"/>
      <c r="W13" s="82"/>
      <c r="X13" s="82"/>
      <c r="Y13" s="82"/>
      <c r="Z13" s="82"/>
      <c r="AA13" s="82"/>
      <c r="AB13" s="82"/>
      <c r="AC13" s="26">
        <f t="shared" ref="AC13:AC20" si="9">SUMIF(AD$12:AS$12,"总值",AD13:AS13)</f>
        <v>5864</v>
      </c>
      <c r="AD13" s="2886">
        <f>241+181+53+264+309+116+45+15+60+20</f>
        <v>1304</v>
      </c>
      <c r="AE13" s="2886">
        <v>0</v>
      </c>
      <c r="AF13" s="2886"/>
      <c r="AG13" s="2886"/>
      <c r="AH13" s="2886"/>
      <c r="AI13" s="2886"/>
      <c r="AJ13" s="2886"/>
      <c r="AK13" s="2886"/>
      <c r="AL13" s="2886">
        <v>816</v>
      </c>
      <c r="AM13" s="2886">
        <v>0</v>
      </c>
      <c r="AN13" s="2886">
        <f>276+3468</f>
        <v>3744</v>
      </c>
      <c r="AO13" s="2886">
        <v>0</v>
      </c>
      <c r="AP13" s="2886"/>
      <c r="AQ13" s="2886"/>
      <c r="AR13" s="2886"/>
      <c r="AS13" s="2886"/>
      <c r="AT13" s="2887"/>
      <c r="AU13" s="2888"/>
      <c r="AV13" s="16">
        <f t="shared" ref="AV13:AX20" si="10">A13</f>
        <v>0</v>
      </c>
      <c r="AW13" s="16">
        <f t="shared" si="10"/>
        <v>0</v>
      </c>
      <c r="AX13" s="16">
        <f t="shared" si="10"/>
        <v>0</v>
      </c>
      <c r="AY13" s="894">
        <f t="shared" ref="AY13:AY20" si="11">ROUND($AY$6*AZ13/$AZ$5,2)</f>
        <v>33431.800000000003</v>
      </c>
      <c r="AZ13" s="26">
        <f t="shared" ref="AZ13:AZ20" si="12">BA13+BL13</f>
        <v>78389</v>
      </c>
      <c r="BA13" s="26">
        <f t="shared" ref="BA13:BA20" si="13">SUM(BB13:BK13)</f>
        <v>72525</v>
      </c>
      <c r="BB13" s="26">
        <f t="shared" ref="BB13:BB20" si="14">IF($D13="是",I13-J13,0)</f>
        <v>57637</v>
      </c>
      <c r="BC13" s="26">
        <f t="shared" ref="BC13:BC20" si="15">IF($D13="是",K13-L13,0)</f>
        <v>421</v>
      </c>
      <c r="BD13" s="26">
        <f t="shared" ref="BD13:BD20" si="16">IF($D13="是",M13-N13,0)</f>
        <v>14467</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5864</v>
      </c>
      <c r="BM13" s="26">
        <f t="shared" ref="BM13:BM20" si="25">IF($D13="是",AD13-AE13,0)</f>
        <v>1304</v>
      </c>
      <c r="BN13" s="26">
        <f t="shared" ref="BN13:BN20" si="26">IF($D13="是",AF13-AG13,0)</f>
        <v>0</v>
      </c>
      <c r="BO13" s="26">
        <f t="shared" ref="BO13:BO20" si="27">IF($D13="是",AH13-AI13,0)</f>
        <v>0</v>
      </c>
      <c r="BP13" s="26">
        <f t="shared" ref="BP13:BP20" si="28">IF($D13="是",AJ13-AK13,0)</f>
        <v>0</v>
      </c>
      <c r="BQ13" s="26">
        <f t="shared" ref="BQ13:BQ20" si="29">IF($D13="是",AL13-AM13,0)</f>
        <v>816</v>
      </c>
      <c r="BR13" s="26">
        <f t="shared" ref="BR13:BR20" si="30">IF($D13="是",AN13-AO13,0)</f>
        <v>3744</v>
      </c>
      <c r="BS13" s="26">
        <f t="shared" ref="BS13:BS20" si="31">IF($D13="是",AP13-AQ13,0)</f>
        <v>0</v>
      </c>
      <c r="BT13" s="35">
        <f t="shared" ref="BT13:BT20" si="32">IF($D13="是",AR13-AS13,0)</f>
        <v>0</v>
      </c>
    </row>
    <row r="14" spans="1:72" s="17" customFormat="1" ht="12.75">
      <c r="A14" s="2878"/>
      <c r="B14" s="2878"/>
      <c r="C14" s="2880"/>
      <c r="D14" s="2879"/>
      <c r="E14" s="26">
        <f t="shared" si="6"/>
        <v>0</v>
      </c>
      <c r="F14" s="80"/>
      <c r="G14" s="81">
        <f t="shared" si="7"/>
        <v>0</v>
      </c>
      <c r="H14" s="32">
        <f t="shared" si="8"/>
        <v>0</v>
      </c>
      <c r="I14" s="2882"/>
      <c r="J14" s="2882"/>
      <c r="K14" s="2882"/>
      <c r="L14" s="2882"/>
      <c r="M14" s="2882"/>
      <c r="N14" s="82"/>
      <c r="O14" s="82"/>
      <c r="P14" s="82"/>
      <c r="Q14" s="82"/>
      <c r="R14" s="82"/>
      <c r="S14" s="82"/>
      <c r="T14" s="82"/>
      <c r="U14" s="82"/>
      <c r="V14" s="82"/>
      <c r="W14" s="82"/>
      <c r="X14" s="82"/>
      <c r="Y14" s="82"/>
      <c r="Z14" s="82"/>
      <c r="AA14" s="82"/>
      <c r="AB14" s="82"/>
      <c r="AC14" s="26">
        <f t="shared" si="9"/>
        <v>0</v>
      </c>
      <c r="AD14" s="2886"/>
      <c r="AE14" s="2886"/>
      <c r="AF14" s="2886"/>
      <c r="AG14" s="2886"/>
      <c r="AH14" s="2886"/>
      <c r="AI14" s="2886"/>
      <c r="AJ14" s="2886"/>
      <c r="AK14" s="2886"/>
      <c r="AL14" s="2886"/>
      <c r="AM14" s="2886"/>
      <c r="AN14" s="2886"/>
      <c r="AO14" s="2886"/>
      <c r="AP14" s="2886"/>
      <c r="AQ14" s="2886"/>
      <c r="AR14" s="2886"/>
      <c r="AS14" s="2886"/>
      <c r="AT14" s="2887"/>
      <c r="AU14" s="2888"/>
      <c r="AV14" s="16">
        <f t="shared" si="10"/>
        <v>0</v>
      </c>
      <c r="AW14" s="16">
        <f t="shared" si="10"/>
        <v>0</v>
      </c>
      <c r="AX14" s="16">
        <f t="shared" si="10"/>
        <v>0</v>
      </c>
      <c r="AY14" s="894">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2.75">
      <c r="A15" s="2878"/>
      <c r="B15" s="2878"/>
      <c r="C15" s="2880"/>
      <c r="D15" s="2879"/>
      <c r="E15" s="26">
        <f t="shared" si="6"/>
        <v>0</v>
      </c>
      <c r="F15" s="80"/>
      <c r="G15" s="81">
        <f t="shared" si="7"/>
        <v>0</v>
      </c>
      <c r="H15" s="32">
        <f t="shared" si="8"/>
        <v>0</v>
      </c>
      <c r="I15" s="2882"/>
      <c r="J15" s="2882"/>
      <c r="K15" s="2882"/>
      <c r="L15" s="2882"/>
      <c r="M15" s="2882"/>
      <c r="N15" s="82"/>
      <c r="O15" s="82"/>
      <c r="P15" s="82"/>
      <c r="Q15" s="82"/>
      <c r="R15" s="82"/>
      <c r="S15" s="82"/>
      <c r="T15" s="82"/>
      <c r="U15" s="82"/>
      <c r="V15" s="82"/>
      <c r="W15" s="82"/>
      <c r="X15" s="82"/>
      <c r="Y15" s="82"/>
      <c r="Z15" s="82"/>
      <c r="AA15" s="82"/>
      <c r="AB15" s="82"/>
      <c r="AC15" s="26">
        <f t="shared" si="9"/>
        <v>0</v>
      </c>
      <c r="AD15" s="2886"/>
      <c r="AE15" s="2886"/>
      <c r="AF15" s="2886"/>
      <c r="AG15" s="2886"/>
      <c r="AH15" s="2886"/>
      <c r="AI15" s="2886"/>
      <c r="AJ15" s="2886"/>
      <c r="AK15" s="2886"/>
      <c r="AL15" s="2886"/>
      <c r="AM15" s="2886"/>
      <c r="AN15" s="2886"/>
      <c r="AO15" s="2886"/>
      <c r="AP15" s="2886"/>
      <c r="AQ15" s="2886"/>
      <c r="AR15" s="2886"/>
      <c r="AS15" s="2886"/>
      <c r="AT15" s="2887"/>
      <c r="AU15" s="2888"/>
      <c r="AV15" s="16">
        <f t="shared" si="10"/>
        <v>0</v>
      </c>
      <c r="AW15" s="16">
        <f t="shared" si="10"/>
        <v>0</v>
      </c>
      <c r="AX15" s="16">
        <f t="shared" si="10"/>
        <v>0</v>
      </c>
      <c r="AY15" s="894">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2.75">
      <c r="A16" s="2878"/>
      <c r="B16" s="2878"/>
      <c r="C16" s="2880"/>
      <c r="D16" s="2879"/>
      <c r="E16" s="26">
        <f t="shared" si="6"/>
        <v>0</v>
      </c>
      <c r="F16" s="80"/>
      <c r="G16" s="81">
        <f t="shared" si="7"/>
        <v>0</v>
      </c>
      <c r="H16" s="32">
        <f t="shared" si="8"/>
        <v>0</v>
      </c>
      <c r="I16" s="2882"/>
      <c r="J16" s="2882"/>
      <c r="K16" s="2882"/>
      <c r="L16" s="2882"/>
      <c r="M16" s="2882"/>
      <c r="N16" s="82"/>
      <c r="O16" s="82"/>
      <c r="P16" s="82"/>
      <c r="Q16" s="82"/>
      <c r="R16" s="82"/>
      <c r="S16" s="82"/>
      <c r="T16" s="82"/>
      <c r="U16" s="82"/>
      <c r="V16" s="82"/>
      <c r="W16" s="82"/>
      <c r="X16" s="82"/>
      <c r="Y16" s="82"/>
      <c r="Z16" s="82"/>
      <c r="AA16" s="82"/>
      <c r="AB16" s="82"/>
      <c r="AC16" s="26">
        <f t="shared" si="9"/>
        <v>0</v>
      </c>
      <c r="AD16" s="2886"/>
      <c r="AE16" s="2886"/>
      <c r="AF16" s="2886"/>
      <c r="AG16" s="2886"/>
      <c r="AH16" s="2886"/>
      <c r="AI16" s="2886"/>
      <c r="AJ16" s="2886"/>
      <c r="AK16" s="2886"/>
      <c r="AL16" s="2886"/>
      <c r="AM16" s="2886"/>
      <c r="AN16" s="2886"/>
      <c r="AO16" s="2886"/>
      <c r="AP16" s="2886"/>
      <c r="AQ16" s="2886"/>
      <c r="AR16" s="2886"/>
      <c r="AS16" s="2886"/>
      <c r="AT16" s="2887"/>
      <c r="AU16" s="2888"/>
      <c r="AV16" s="16">
        <f t="shared" si="10"/>
        <v>0</v>
      </c>
      <c r="AW16" s="16">
        <f t="shared" si="10"/>
        <v>0</v>
      </c>
      <c r="AX16" s="16">
        <f t="shared" si="10"/>
        <v>0</v>
      </c>
      <c r="AY16" s="894">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7" customFormat="1" ht="12.75">
      <c r="A17" s="2878"/>
      <c r="B17" s="2878"/>
      <c r="C17" s="2880"/>
      <c r="D17" s="2879"/>
      <c r="E17" s="26">
        <f t="shared" si="6"/>
        <v>0</v>
      </c>
      <c r="F17" s="80"/>
      <c r="G17" s="81">
        <f t="shared" si="7"/>
        <v>0</v>
      </c>
      <c r="H17" s="32">
        <f t="shared" si="8"/>
        <v>0</v>
      </c>
      <c r="I17" s="2882"/>
      <c r="J17" s="2882"/>
      <c r="K17" s="2882"/>
      <c r="L17" s="2882"/>
      <c r="M17" s="2882"/>
      <c r="N17" s="82"/>
      <c r="O17" s="82"/>
      <c r="P17" s="82"/>
      <c r="Q17" s="82"/>
      <c r="R17" s="82"/>
      <c r="S17" s="82"/>
      <c r="T17" s="82"/>
      <c r="U17" s="82"/>
      <c r="V17" s="82"/>
      <c r="W17" s="82"/>
      <c r="X17" s="82"/>
      <c r="Y17" s="82"/>
      <c r="Z17" s="82"/>
      <c r="AA17" s="82"/>
      <c r="AB17" s="82"/>
      <c r="AC17" s="26">
        <f t="shared" si="9"/>
        <v>0</v>
      </c>
      <c r="AD17" s="2886"/>
      <c r="AE17" s="2886"/>
      <c r="AF17" s="2886"/>
      <c r="AG17" s="2886"/>
      <c r="AH17" s="2886"/>
      <c r="AI17" s="2886"/>
      <c r="AJ17" s="2886"/>
      <c r="AK17" s="2886"/>
      <c r="AL17" s="2886"/>
      <c r="AM17" s="2886"/>
      <c r="AN17" s="2886"/>
      <c r="AO17" s="2886"/>
      <c r="AP17" s="2886"/>
      <c r="AQ17" s="2886"/>
      <c r="AR17" s="2886"/>
      <c r="AS17" s="2886"/>
      <c r="AT17" s="2887"/>
      <c r="AU17" s="2888"/>
      <c r="AV17" s="16">
        <f t="shared" si="10"/>
        <v>0</v>
      </c>
      <c r="AW17" s="16">
        <f t="shared" si="10"/>
        <v>0</v>
      </c>
      <c r="AX17" s="16">
        <f t="shared" si="10"/>
        <v>0</v>
      </c>
      <c r="AY17" s="894">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881"/>
      <c r="E18" s="86">
        <f t="shared" si="6"/>
        <v>0</v>
      </c>
      <c r="F18" s="87"/>
      <c r="G18" s="88">
        <f t="shared" si="7"/>
        <v>0</v>
      </c>
      <c r="H18" s="89">
        <f t="shared" si="8"/>
        <v>0</v>
      </c>
      <c r="I18" s="1282"/>
      <c r="J18" s="90"/>
      <c r="K18" s="1282"/>
      <c r="L18" s="90"/>
      <c r="M18" s="90"/>
      <c r="N18" s="90"/>
      <c r="O18" s="90"/>
      <c r="P18" s="90"/>
      <c r="Q18" s="90"/>
      <c r="R18" s="90"/>
      <c r="S18" s="90"/>
      <c r="T18" s="90"/>
      <c r="U18" s="90"/>
      <c r="V18" s="90"/>
      <c r="W18" s="90"/>
      <c r="X18" s="90"/>
      <c r="Y18" s="90"/>
      <c r="Z18" s="90"/>
      <c r="AA18" s="90"/>
      <c r="AB18" s="90"/>
      <c r="AC18" s="86">
        <f t="shared" si="9"/>
        <v>0</v>
      </c>
      <c r="AD18" s="91"/>
      <c r="AE18" s="91"/>
      <c r="AF18" s="1282"/>
      <c r="AG18" s="91"/>
      <c r="AH18" s="91"/>
      <c r="AI18" s="91"/>
      <c r="AJ18" s="91"/>
      <c r="AK18" s="91"/>
      <c r="AL18" s="1252"/>
      <c r="AM18" s="91"/>
      <c r="AN18" s="1282"/>
      <c r="AO18" s="91"/>
      <c r="AP18" s="91"/>
      <c r="AQ18" s="91"/>
      <c r="AR18" s="91"/>
      <c r="AS18" s="91"/>
      <c r="AT18" s="92"/>
      <c r="AU18" s="93"/>
      <c r="AV18" s="890">
        <f t="shared" si="10"/>
        <v>0</v>
      </c>
      <c r="AW18" s="890">
        <f t="shared" si="10"/>
        <v>0</v>
      </c>
      <c r="AX18" s="890">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286"/>
      <c r="C19" s="1282"/>
      <c r="D19" s="79"/>
      <c r="E19" s="86">
        <f t="shared" si="6"/>
        <v>0</v>
      </c>
      <c r="F19" s="87"/>
      <c r="G19" s="88">
        <f t="shared" si="7"/>
        <v>0</v>
      </c>
      <c r="H19" s="89">
        <f t="shared" si="8"/>
        <v>0</v>
      </c>
      <c r="I19" s="1282"/>
      <c r="J19" s="90"/>
      <c r="K19" s="1282"/>
      <c r="L19" s="90"/>
      <c r="M19" s="90"/>
      <c r="N19" s="90"/>
      <c r="O19" s="90"/>
      <c r="P19" s="90"/>
      <c r="Q19" s="90"/>
      <c r="R19" s="90"/>
      <c r="S19" s="90"/>
      <c r="T19" s="90"/>
      <c r="U19" s="90"/>
      <c r="V19" s="90"/>
      <c r="W19" s="90"/>
      <c r="X19" s="90"/>
      <c r="Y19" s="90"/>
      <c r="Z19" s="90"/>
      <c r="AA19" s="90"/>
      <c r="AB19" s="90"/>
      <c r="AC19" s="86">
        <f t="shared" si="9"/>
        <v>0</v>
      </c>
      <c r="AD19" s="91"/>
      <c r="AE19" s="91"/>
      <c r="AF19" s="1282"/>
      <c r="AG19" s="91"/>
      <c r="AH19" s="91"/>
      <c r="AI19" s="91"/>
      <c r="AJ19" s="91"/>
      <c r="AK19" s="91"/>
      <c r="AL19" s="91"/>
      <c r="AM19" s="91"/>
      <c r="AN19" s="1282"/>
      <c r="AO19" s="91"/>
      <c r="AP19" s="91"/>
      <c r="AQ19" s="91"/>
      <c r="AR19" s="91"/>
      <c r="AS19" s="91"/>
      <c r="AT19" s="92"/>
      <c r="AU19" s="93"/>
      <c r="AV19" s="890">
        <f t="shared" si="10"/>
        <v>0</v>
      </c>
      <c r="AW19" s="890">
        <f t="shared" si="10"/>
        <v>0</v>
      </c>
      <c r="AX19" s="890">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286"/>
      <c r="C20" s="1282"/>
      <c r="D20" s="79"/>
      <c r="E20" s="86">
        <f t="shared" si="6"/>
        <v>0</v>
      </c>
      <c r="F20" s="87"/>
      <c r="G20" s="88">
        <f t="shared" si="7"/>
        <v>0</v>
      </c>
      <c r="H20" s="89">
        <f t="shared" si="8"/>
        <v>0</v>
      </c>
      <c r="I20" s="1282"/>
      <c r="J20" s="90"/>
      <c r="K20" s="1282"/>
      <c r="L20" s="90"/>
      <c r="M20" s="90"/>
      <c r="N20" s="90"/>
      <c r="O20" s="90"/>
      <c r="P20" s="90"/>
      <c r="Q20" s="90"/>
      <c r="R20" s="90"/>
      <c r="S20" s="90"/>
      <c r="T20" s="90"/>
      <c r="U20" s="90"/>
      <c r="V20" s="90"/>
      <c r="W20" s="90"/>
      <c r="X20" s="90"/>
      <c r="Y20" s="90"/>
      <c r="Z20" s="90"/>
      <c r="AA20" s="90"/>
      <c r="AB20" s="90"/>
      <c r="AC20" s="86">
        <f t="shared" si="9"/>
        <v>0</v>
      </c>
      <c r="AD20" s="91"/>
      <c r="AE20" s="91"/>
      <c r="AF20" s="1282"/>
      <c r="AG20" s="91"/>
      <c r="AH20" s="91"/>
      <c r="AI20" s="91"/>
      <c r="AJ20" s="91"/>
      <c r="AK20" s="91"/>
      <c r="AL20" s="91"/>
      <c r="AM20" s="91"/>
      <c r="AN20" s="1282"/>
      <c r="AO20" s="91"/>
      <c r="AP20" s="91"/>
      <c r="AQ20" s="91"/>
      <c r="AR20" s="91"/>
      <c r="AS20" s="91"/>
      <c r="AT20" s="92"/>
      <c r="AU20" s="93"/>
      <c r="AV20" s="890">
        <f t="shared" si="10"/>
        <v>0</v>
      </c>
      <c r="AW20" s="890">
        <f t="shared" si="10"/>
        <v>0</v>
      </c>
      <c r="AX20" s="890">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281"/>
      <c r="C21" s="1282"/>
      <c r="D21" s="79"/>
      <c r="E21" s="86">
        <f t="shared" ref="E21:E112" si="33">IF($C$3="是",ROUND($A$3*G21/$B$3,2),ROUND($A$3*(G21-AT21)/$B$3,2))</f>
        <v>0</v>
      </c>
      <c r="F21" s="87"/>
      <c r="G21" s="88">
        <f t="shared" ref="G21:G109" si="34">H21+AC21+AT21</f>
        <v>0</v>
      </c>
      <c r="H21" s="89">
        <f t="shared" ref="H21:H109" si="35">SUMIF(I$12:AB$12,"总值",I21:AB21)</f>
        <v>0</v>
      </c>
      <c r="I21" s="1284"/>
      <c r="J21" s="90"/>
      <c r="K21" s="1284"/>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285"/>
      <c r="AG21" s="91"/>
      <c r="AH21" s="91"/>
      <c r="AI21" s="91"/>
      <c r="AJ21" s="91"/>
      <c r="AK21" s="91"/>
      <c r="AL21" s="91"/>
      <c r="AM21" s="91"/>
      <c r="AN21" s="1252"/>
      <c r="AO21" s="91"/>
      <c r="AP21" s="91"/>
      <c r="AQ21" s="91"/>
      <c r="AR21" s="91"/>
      <c r="AS21" s="91"/>
      <c r="AT21" s="92"/>
      <c r="AU21" s="93"/>
      <c r="AV21" s="1860">
        <f t="shared" ref="AV21:AV112" si="37">A21</f>
        <v>0</v>
      </c>
      <c r="AW21" s="1860">
        <f t="shared" ref="AW21:AW112" si="38">B21</f>
        <v>0</v>
      </c>
      <c r="AX21" s="1860">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281"/>
      <c r="C22" s="1282"/>
      <c r="D22" s="79"/>
      <c r="E22" s="86">
        <f t="shared" si="33"/>
        <v>0</v>
      </c>
      <c r="F22" s="87"/>
      <c r="G22" s="88">
        <f t="shared" si="34"/>
        <v>0</v>
      </c>
      <c r="H22" s="89">
        <f t="shared" si="35"/>
        <v>0</v>
      </c>
      <c r="I22" s="1284"/>
      <c r="J22" s="90"/>
      <c r="K22" s="1284"/>
      <c r="L22" s="90"/>
      <c r="M22" s="1252"/>
      <c r="N22" s="90"/>
      <c r="O22" s="90"/>
      <c r="P22" s="90"/>
      <c r="Q22" s="90"/>
      <c r="R22" s="90"/>
      <c r="S22" s="90"/>
      <c r="T22" s="90"/>
      <c r="U22" s="90"/>
      <c r="V22" s="90"/>
      <c r="W22" s="90"/>
      <c r="X22" s="90"/>
      <c r="Y22" s="90"/>
      <c r="Z22" s="90"/>
      <c r="AA22" s="90"/>
      <c r="AB22" s="90"/>
      <c r="AC22" s="86">
        <f t="shared" si="36"/>
        <v>0</v>
      </c>
      <c r="AD22" s="1252"/>
      <c r="AE22" s="91"/>
      <c r="AF22" s="1285"/>
      <c r="AG22" s="91"/>
      <c r="AH22" s="91"/>
      <c r="AI22" s="91"/>
      <c r="AJ22" s="91"/>
      <c r="AK22" s="91"/>
      <c r="AL22" s="1252"/>
      <c r="AM22" s="91"/>
      <c r="AN22" s="1252"/>
      <c r="AO22" s="91"/>
      <c r="AP22" s="91"/>
      <c r="AQ22" s="91"/>
      <c r="AR22" s="91"/>
      <c r="AS22" s="91"/>
      <c r="AT22" s="92"/>
      <c r="AU22" s="93"/>
      <c r="AV22" s="1860">
        <f t="shared" si="37"/>
        <v>0</v>
      </c>
      <c r="AW22" s="1860">
        <f t="shared" si="38"/>
        <v>0</v>
      </c>
      <c r="AX22" s="1860">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281"/>
      <c r="C23" s="1282"/>
      <c r="D23" s="79"/>
      <c r="E23" s="86">
        <f t="shared" si="33"/>
        <v>0</v>
      </c>
      <c r="F23" s="87"/>
      <c r="G23" s="88">
        <f t="shared" si="34"/>
        <v>0</v>
      </c>
      <c r="H23" s="89">
        <f t="shared" si="35"/>
        <v>0</v>
      </c>
      <c r="I23" s="1284"/>
      <c r="J23" s="90"/>
      <c r="K23" s="1284"/>
      <c r="L23" s="90"/>
      <c r="M23" s="1252"/>
      <c r="N23" s="90"/>
      <c r="O23" s="90"/>
      <c r="P23" s="90"/>
      <c r="Q23" s="90"/>
      <c r="R23" s="90"/>
      <c r="S23" s="90"/>
      <c r="T23" s="90"/>
      <c r="U23" s="90"/>
      <c r="V23" s="90"/>
      <c r="W23" s="90"/>
      <c r="X23" s="90"/>
      <c r="Y23" s="90"/>
      <c r="Z23" s="90"/>
      <c r="AA23" s="90"/>
      <c r="AB23" s="90"/>
      <c r="AC23" s="86">
        <f t="shared" si="36"/>
        <v>0</v>
      </c>
      <c r="AD23" s="91"/>
      <c r="AE23" s="91"/>
      <c r="AF23" s="1285"/>
      <c r="AG23" s="91"/>
      <c r="AH23" s="91"/>
      <c r="AI23" s="91"/>
      <c r="AJ23" s="91"/>
      <c r="AK23" s="91"/>
      <c r="AL23" s="1252"/>
      <c r="AM23" s="91"/>
      <c r="AN23" s="1252"/>
      <c r="AO23" s="91"/>
      <c r="AP23" s="91"/>
      <c r="AQ23" s="91"/>
      <c r="AR23" s="91"/>
      <c r="AS23" s="91"/>
      <c r="AT23" s="92"/>
      <c r="AU23" s="93"/>
      <c r="AV23" s="1860">
        <f t="shared" si="37"/>
        <v>0</v>
      </c>
      <c r="AW23" s="1860">
        <f t="shared" si="38"/>
        <v>0</v>
      </c>
      <c r="AX23" s="1860">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281"/>
      <c r="C24" s="1282"/>
      <c r="D24" s="79"/>
      <c r="E24" s="86">
        <f t="shared" si="33"/>
        <v>0</v>
      </c>
      <c r="F24" s="87"/>
      <c r="G24" s="88">
        <f t="shared" si="34"/>
        <v>0</v>
      </c>
      <c r="H24" s="89">
        <f t="shared" si="35"/>
        <v>0</v>
      </c>
      <c r="I24" s="1284"/>
      <c r="J24" s="90"/>
      <c r="K24" s="1284"/>
      <c r="L24" s="90"/>
      <c r="M24" s="90"/>
      <c r="N24" s="90"/>
      <c r="O24" s="1252"/>
      <c r="P24" s="90"/>
      <c r="Q24" s="90"/>
      <c r="R24" s="90"/>
      <c r="S24" s="90"/>
      <c r="T24" s="90"/>
      <c r="U24" s="90"/>
      <c r="V24" s="90"/>
      <c r="W24" s="90"/>
      <c r="X24" s="90"/>
      <c r="Y24" s="90"/>
      <c r="Z24" s="90"/>
      <c r="AA24" s="90"/>
      <c r="AB24" s="90"/>
      <c r="AC24" s="86">
        <f t="shared" si="36"/>
        <v>0</v>
      </c>
      <c r="AD24" s="91"/>
      <c r="AE24" s="91"/>
      <c r="AF24" s="1285"/>
      <c r="AG24" s="91"/>
      <c r="AH24" s="91"/>
      <c r="AI24" s="91"/>
      <c r="AJ24" s="91"/>
      <c r="AK24" s="91"/>
      <c r="AL24" s="91"/>
      <c r="AM24" s="91"/>
      <c r="AN24" s="1252"/>
      <c r="AO24" s="91"/>
      <c r="AP24" s="91"/>
      <c r="AQ24" s="91"/>
      <c r="AR24" s="91"/>
      <c r="AS24" s="91"/>
      <c r="AT24" s="92"/>
      <c r="AU24" s="93"/>
      <c r="AV24" s="1860">
        <f t="shared" si="37"/>
        <v>0</v>
      </c>
      <c r="AW24" s="1860">
        <f t="shared" si="38"/>
        <v>0</v>
      </c>
      <c r="AX24" s="1860">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281"/>
      <c r="C25" s="1282"/>
      <c r="D25" s="79"/>
      <c r="E25" s="86">
        <f t="shared" si="33"/>
        <v>0</v>
      </c>
      <c r="F25" s="87"/>
      <c r="G25" s="88">
        <f t="shared" si="34"/>
        <v>0</v>
      </c>
      <c r="H25" s="89">
        <f t="shared" si="35"/>
        <v>0</v>
      </c>
      <c r="I25" s="1284"/>
      <c r="J25" s="90"/>
      <c r="K25" s="1284"/>
      <c r="L25" s="90"/>
      <c r="M25" s="90"/>
      <c r="N25" s="90"/>
      <c r="O25" s="90"/>
      <c r="P25" s="90"/>
      <c r="Q25" s="90"/>
      <c r="R25" s="90"/>
      <c r="S25" s="90"/>
      <c r="T25" s="90"/>
      <c r="U25" s="90"/>
      <c r="V25" s="90"/>
      <c r="W25" s="90"/>
      <c r="X25" s="90"/>
      <c r="Y25" s="90"/>
      <c r="Z25" s="90"/>
      <c r="AA25" s="90"/>
      <c r="AB25" s="90"/>
      <c r="AC25" s="86">
        <f t="shared" si="36"/>
        <v>0</v>
      </c>
      <c r="AD25" s="91"/>
      <c r="AE25" s="91"/>
      <c r="AF25" s="1285"/>
      <c r="AG25" s="91"/>
      <c r="AH25" s="91"/>
      <c r="AI25" s="91"/>
      <c r="AJ25" s="91"/>
      <c r="AK25" s="91"/>
      <c r="AL25" s="91"/>
      <c r="AM25" s="91"/>
      <c r="AN25" s="91"/>
      <c r="AO25" s="91"/>
      <c r="AP25" s="91"/>
      <c r="AQ25" s="91"/>
      <c r="AR25" s="91"/>
      <c r="AS25" s="91"/>
      <c r="AT25" s="92"/>
      <c r="AU25" s="93"/>
      <c r="AV25" s="1860">
        <f t="shared" si="37"/>
        <v>0</v>
      </c>
      <c r="AW25" s="1860">
        <f t="shared" si="38"/>
        <v>0</v>
      </c>
      <c r="AX25" s="1860">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281"/>
      <c r="C26" s="1282"/>
      <c r="D26" s="79"/>
      <c r="E26" s="86">
        <f t="shared" si="33"/>
        <v>0</v>
      </c>
      <c r="F26" s="87"/>
      <c r="G26" s="88">
        <f t="shared" si="34"/>
        <v>0</v>
      </c>
      <c r="H26" s="89">
        <f t="shared" si="35"/>
        <v>0</v>
      </c>
      <c r="I26" s="1284"/>
      <c r="J26" s="90"/>
      <c r="K26" s="1284"/>
      <c r="L26" s="90"/>
      <c r="M26" s="90"/>
      <c r="N26" s="90"/>
      <c r="O26" s="90"/>
      <c r="P26" s="90"/>
      <c r="Q26" s="90"/>
      <c r="R26" s="90"/>
      <c r="S26" s="90"/>
      <c r="T26" s="90"/>
      <c r="U26" s="90"/>
      <c r="V26" s="90"/>
      <c r="W26" s="90"/>
      <c r="X26" s="90"/>
      <c r="Y26" s="90"/>
      <c r="Z26" s="90"/>
      <c r="AA26" s="90"/>
      <c r="AB26" s="90"/>
      <c r="AC26" s="86">
        <f t="shared" si="36"/>
        <v>0</v>
      </c>
      <c r="AD26" s="91"/>
      <c r="AE26" s="91"/>
      <c r="AF26" s="1285"/>
      <c r="AG26" s="91"/>
      <c r="AH26" s="91"/>
      <c r="AI26" s="91"/>
      <c r="AJ26" s="91"/>
      <c r="AK26" s="91"/>
      <c r="AL26" s="91"/>
      <c r="AM26" s="91"/>
      <c r="AN26" s="91"/>
      <c r="AO26" s="91"/>
      <c r="AP26" s="91"/>
      <c r="AQ26" s="91"/>
      <c r="AR26" s="91"/>
      <c r="AS26" s="91"/>
      <c r="AT26" s="92"/>
      <c r="AU26" s="93"/>
      <c r="AV26" s="1860">
        <f t="shared" si="37"/>
        <v>0</v>
      </c>
      <c r="AW26" s="1860">
        <f t="shared" si="38"/>
        <v>0</v>
      </c>
      <c r="AX26" s="1860">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281"/>
      <c r="C27" s="1282"/>
      <c r="D27" s="79"/>
      <c r="E27" s="86">
        <f t="shared" si="33"/>
        <v>0</v>
      </c>
      <c r="F27" s="87"/>
      <c r="G27" s="88">
        <f t="shared" si="34"/>
        <v>0</v>
      </c>
      <c r="H27" s="89">
        <f t="shared" si="35"/>
        <v>0</v>
      </c>
      <c r="I27" s="1284"/>
      <c r="J27" s="90"/>
      <c r="K27" s="1284"/>
      <c r="L27" s="90"/>
      <c r="M27" s="90"/>
      <c r="N27" s="90"/>
      <c r="O27" s="90"/>
      <c r="P27" s="90"/>
      <c r="Q27" s="90"/>
      <c r="R27" s="90"/>
      <c r="S27" s="90"/>
      <c r="T27" s="90"/>
      <c r="U27" s="90"/>
      <c r="V27" s="90"/>
      <c r="W27" s="90"/>
      <c r="X27" s="90"/>
      <c r="Y27" s="90"/>
      <c r="Z27" s="90"/>
      <c r="AA27" s="90"/>
      <c r="AB27" s="90"/>
      <c r="AC27" s="86">
        <f t="shared" si="36"/>
        <v>0</v>
      </c>
      <c r="AD27" s="91"/>
      <c r="AE27" s="91"/>
      <c r="AF27" s="1285"/>
      <c r="AG27" s="91"/>
      <c r="AH27" s="91"/>
      <c r="AI27" s="91"/>
      <c r="AJ27" s="91"/>
      <c r="AK27" s="91"/>
      <c r="AL27" s="91"/>
      <c r="AM27" s="91"/>
      <c r="AN27" s="91"/>
      <c r="AO27" s="91"/>
      <c r="AP27" s="91"/>
      <c r="AQ27" s="91"/>
      <c r="AR27" s="91"/>
      <c r="AS27" s="91"/>
      <c r="AT27" s="92"/>
      <c r="AU27" s="93"/>
      <c r="AV27" s="1860">
        <f t="shared" si="37"/>
        <v>0</v>
      </c>
      <c r="AW27" s="1860">
        <f t="shared" si="38"/>
        <v>0</v>
      </c>
      <c r="AX27" s="1860">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281"/>
      <c r="C28" s="1282"/>
      <c r="D28" s="79"/>
      <c r="E28" s="86">
        <f t="shared" si="33"/>
        <v>0</v>
      </c>
      <c r="F28" s="87"/>
      <c r="G28" s="88">
        <f t="shared" si="34"/>
        <v>0</v>
      </c>
      <c r="H28" s="89">
        <f t="shared" si="35"/>
        <v>0</v>
      </c>
      <c r="I28" s="1284"/>
      <c r="J28" s="90"/>
      <c r="K28" s="1284"/>
      <c r="L28" s="90"/>
      <c r="M28" s="90"/>
      <c r="N28" s="90"/>
      <c r="O28" s="90"/>
      <c r="P28" s="90"/>
      <c r="Q28" s="90"/>
      <c r="R28" s="90"/>
      <c r="S28" s="90"/>
      <c r="T28" s="90"/>
      <c r="U28" s="90"/>
      <c r="V28" s="90"/>
      <c r="W28" s="90"/>
      <c r="X28" s="90"/>
      <c r="Y28" s="90"/>
      <c r="Z28" s="90"/>
      <c r="AA28" s="90"/>
      <c r="AB28" s="90"/>
      <c r="AC28" s="86">
        <f t="shared" si="36"/>
        <v>0</v>
      </c>
      <c r="AD28" s="91"/>
      <c r="AE28" s="91"/>
      <c r="AF28" s="1284"/>
      <c r="AG28" s="91"/>
      <c r="AH28" s="91"/>
      <c r="AI28" s="91"/>
      <c r="AJ28" s="91"/>
      <c r="AK28" s="91"/>
      <c r="AL28" s="91"/>
      <c r="AM28" s="91"/>
      <c r="AN28" s="91"/>
      <c r="AO28" s="91"/>
      <c r="AP28" s="91"/>
      <c r="AQ28" s="91"/>
      <c r="AR28" s="91"/>
      <c r="AS28" s="91"/>
      <c r="AT28" s="92"/>
      <c r="AU28" s="93"/>
      <c r="AV28" s="1860">
        <f t="shared" si="37"/>
        <v>0</v>
      </c>
      <c r="AW28" s="1860">
        <f t="shared" si="38"/>
        <v>0</v>
      </c>
      <c r="AX28" s="1860">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283"/>
      <c r="C29" s="1284"/>
      <c r="D29" s="79"/>
      <c r="E29" s="86">
        <f t="shared" si="33"/>
        <v>0</v>
      </c>
      <c r="F29" s="87"/>
      <c r="G29" s="88">
        <f t="shared" si="34"/>
        <v>0</v>
      </c>
      <c r="H29" s="89">
        <f t="shared" si="35"/>
        <v>0</v>
      </c>
      <c r="I29" s="1284"/>
      <c r="J29" s="90"/>
      <c r="K29" s="1284"/>
      <c r="L29" s="90"/>
      <c r="M29" s="90"/>
      <c r="N29" s="90"/>
      <c r="O29" s="90"/>
      <c r="P29" s="90"/>
      <c r="Q29" s="90"/>
      <c r="R29" s="90"/>
      <c r="S29" s="90"/>
      <c r="T29" s="90"/>
      <c r="U29" s="90"/>
      <c r="V29" s="90"/>
      <c r="W29" s="90"/>
      <c r="X29" s="90"/>
      <c r="Y29" s="90"/>
      <c r="Z29" s="90"/>
      <c r="AA29" s="90"/>
      <c r="AB29" s="90"/>
      <c r="AC29" s="86">
        <f t="shared" si="36"/>
        <v>0</v>
      </c>
      <c r="AD29" s="91"/>
      <c r="AE29" s="91"/>
      <c r="AF29" s="1284"/>
      <c r="AG29" s="91"/>
      <c r="AH29" s="91"/>
      <c r="AI29" s="91"/>
      <c r="AJ29" s="91"/>
      <c r="AK29" s="91"/>
      <c r="AL29" s="91"/>
      <c r="AM29" s="91"/>
      <c r="AN29" s="91"/>
      <c r="AO29" s="91"/>
      <c r="AP29" s="91"/>
      <c r="AQ29" s="91"/>
      <c r="AR29" s="91"/>
      <c r="AS29" s="91"/>
      <c r="AT29" s="92"/>
      <c r="AU29" s="93"/>
      <c r="AV29" s="1860">
        <f t="shared" si="37"/>
        <v>0</v>
      </c>
      <c r="AW29" s="1860">
        <f t="shared" si="38"/>
        <v>0</v>
      </c>
      <c r="AX29" s="1860">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281"/>
      <c r="C30" s="1282"/>
      <c r="D30" s="79"/>
      <c r="E30" s="86">
        <f t="shared" si="33"/>
        <v>0</v>
      </c>
      <c r="F30" s="87"/>
      <c r="G30" s="88">
        <f t="shared" si="34"/>
        <v>0</v>
      </c>
      <c r="H30" s="89">
        <f t="shared" si="35"/>
        <v>0</v>
      </c>
      <c r="I30" s="1284"/>
      <c r="J30" s="90"/>
      <c r="K30" s="1284"/>
      <c r="L30" s="90"/>
      <c r="M30" s="90"/>
      <c r="N30" s="90"/>
      <c r="O30" s="90"/>
      <c r="P30" s="90"/>
      <c r="Q30" s="90"/>
      <c r="R30" s="90"/>
      <c r="S30" s="90"/>
      <c r="T30" s="90"/>
      <c r="U30" s="90"/>
      <c r="V30" s="90"/>
      <c r="W30" s="90"/>
      <c r="X30" s="90"/>
      <c r="Y30" s="90"/>
      <c r="Z30" s="90"/>
      <c r="AA30" s="90"/>
      <c r="AB30" s="90"/>
      <c r="AC30" s="86">
        <f t="shared" si="36"/>
        <v>0</v>
      </c>
      <c r="AD30" s="91"/>
      <c r="AE30" s="91"/>
      <c r="AF30" s="1284"/>
      <c r="AG30" s="91"/>
      <c r="AH30" s="91"/>
      <c r="AI30" s="91"/>
      <c r="AJ30" s="91"/>
      <c r="AK30" s="91"/>
      <c r="AL30" s="91"/>
      <c r="AM30" s="91"/>
      <c r="AN30" s="91"/>
      <c r="AO30" s="91"/>
      <c r="AP30" s="91"/>
      <c r="AQ30" s="91"/>
      <c r="AR30" s="91"/>
      <c r="AS30" s="91"/>
      <c r="AT30" s="92"/>
      <c r="AU30" s="93"/>
      <c r="AV30" s="1860">
        <f t="shared" si="37"/>
        <v>0</v>
      </c>
      <c r="AW30" s="1860">
        <f t="shared" si="38"/>
        <v>0</v>
      </c>
      <c r="AX30" s="1860">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281"/>
      <c r="C31" s="1282"/>
      <c r="D31" s="79"/>
      <c r="E31" s="86">
        <f t="shared" si="33"/>
        <v>0</v>
      </c>
      <c r="F31" s="87"/>
      <c r="G31" s="88">
        <f t="shared" si="34"/>
        <v>0</v>
      </c>
      <c r="H31" s="89">
        <f t="shared" si="35"/>
        <v>0</v>
      </c>
      <c r="I31" s="1284"/>
      <c r="J31" s="90"/>
      <c r="K31" s="1284"/>
      <c r="L31" s="90"/>
      <c r="M31" s="90"/>
      <c r="N31" s="90"/>
      <c r="O31" s="90"/>
      <c r="P31" s="90"/>
      <c r="Q31" s="90"/>
      <c r="R31" s="90"/>
      <c r="S31" s="90"/>
      <c r="T31" s="90"/>
      <c r="U31" s="90"/>
      <c r="V31" s="90"/>
      <c r="W31" s="90"/>
      <c r="X31" s="90"/>
      <c r="Y31" s="90"/>
      <c r="Z31" s="90"/>
      <c r="AA31" s="90"/>
      <c r="AB31" s="90"/>
      <c r="AC31" s="86">
        <f t="shared" si="36"/>
        <v>0</v>
      </c>
      <c r="AD31" s="91"/>
      <c r="AE31" s="91"/>
      <c r="AF31" s="1284"/>
      <c r="AG31" s="91"/>
      <c r="AH31" s="91"/>
      <c r="AI31" s="91"/>
      <c r="AJ31" s="91"/>
      <c r="AK31" s="91"/>
      <c r="AL31" s="91"/>
      <c r="AM31" s="91"/>
      <c r="AN31" s="91"/>
      <c r="AO31" s="91"/>
      <c r="AP31" s="91"/>
      <c r="AQ31" s="91"/>
      <c r="AR31" s="91"/>
      <c r="AS31" s="91"/>
      <c r="AT31" s="92"/>
      <c r="AU31" s="93"/>
      <c r="AV31" s="1860">
        <f t="shared" si="37"/>
        <v>0</v>
      </c>
      <c r="AW31" s="1860">
        <f t="shared" si="38"/>
        <v>0</v>
      </c>
      <c r="AX31" s="1860">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281"/>
      <c r="C32" s="1282"/>
      <c r="D32" s="79"/>
      <c r="E32" s="86">
        <f t="shared" si="33"/>
        <v>0</v>
      </c>
      <c r="F32" s="87"/>
      <c r="G32" s="88">
        <f t="shared" si="34"/>
        <v>0</v>
      </c>
      <c r="H32" s="89">
        <f t="shared" si="35"/>
        <v>0</v>
      </c>
      <c r="I32" s="1284"/>
      <c r="J32" s="90"/>
      <c r="K32" s="1284"/>
      <c r="L32" s="90"/>
      <c r="M32" s="90"/>
      <c r="N32" s="90"/>
      <c r="O32" s="90"/>
      <c r="P32" s="90"/>
      <c r="Q32" s="90"/>
      <c r="R32" s="90"/>
      <c r="S32" s="90"/>
      <c r="T32" s="90"/>
      <c r="U32" s="90"/>
      <c r="V32" s="90"/>
      <c r="W32" s="90"/>
      <c r="X32" s="90"/>
      <c r="Y32" s="90"/>
      <c r="Z32" s="90"/>
      <c r="AA32" s="90"/>
      <c r="AB32" s="90"/>
      <c r="AC32" s="86">
        <f t="shared" si="36"/>
        <v>0</v>
      </c>
      <c r="AD32" s="91"/>
      <c r="AE32" s="91"/>
      <c r="AF32" s="1284"/>
      <c r="AG32" s="91"/>
      <c r="AH32" s="91"/>
      <c r="AI32" s="91"/>
      <c r="AJ32" s="91"/>
      <c r="AK32" s="91"/>
      <c r="AL32" s="91"/>
      <c r="AM32" s="91"/>
      <c r="AN32" s="91"/>
      <c r="AO32" s="91"/>
      <c r="AP32" s="91"/>
      <c r="AQ32" s="91"/>
      <c r="AR32" s="91"/>
      <c r="AS32" s="91"/>
      <c r="AT32" s="92"/>
      <c r="AU32" s="93"/>
      <c r="AV32" s="1860">
        <f t="shared" si="37"/>
        <v>0</v>
      </c>
      <c r="AW32" s="1860">
        <f t="shared" si="38"/>
        <v>0</v>
      </c>
      <c r="AX32" s="1860">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281"/>
      <c r="C33" s="1282"/>
      <c r="D33" s="79"/>
      <c r="E33" s="86">
        <f t="shared" si="33"/>
        <v>0</v>
      </c>
      <c r="F33" s="87"/>
      <c r="G33" s="88">
        <f t="shared" si="34"/>
        <v>0</v>
      </c>
      <c r="H33" s="89">
        <f t="shared" si="35"/>
        <v>0</v>
      </c>
      <c r="I33" s="1284"/>
      <c r="J33" s="90"/>
      <c r="K33" s="1284"/>
      <c r="L33" s="90"/>
      <c r="M33" s="90"/>
      <c r="N33" s="90"/>
      <c r="O33" s="90"/>
      <c r="P33" s="90"/>
      <c r="Q33" s="90"/>
      <c r="R33" s="90"/>
      <c r="S33" s="90"/>
      <c r="T33" s="90"/>
      <c r="U33" s="90"/>
      <c r="V33" s="90"/>
      <c r="W33" s="90"/>
      <c r="X33" s="90"/>
      <c r="Y33" s="90"/>
      <c r="Z33" s="90"/>
      <c r="AA33" s="90"/>
      <c r="AB33" s="90"/>
      <c r="AC33" s="86">
        <f t="shared" si="36"/>
        <v>0</v>
      </c>
      <c r="AD33" s="91"/>
      <c r="AE33" s="91"/>
      <c r="AF33" s="1284"/>
      <c r="AG33" s="91"/>
      <c r="AH33" s="91"/>
      <c r="AI33" s="91"/>
      <c r="AJ33" s="91"/>
      <c r="AK33" s="91"/>
      <c r="AL33" s="91"/>
      <c r="AM33" s="91"/>
      <c r="AN33" s="91"/>
      <c r="AO33" s="91"/>
      <c r="AP33" s="91"/>
      <c r="AQ33" s="91"/>
      <c r="AR33" s="91"/>
      <c r="AS33" s="91"/>
      <c r="AT33" s="92"/>
      <c r="AU33" s="93"/>
      <c r="AV33" s="1860">
        <f t="shared" si="37"/>
        <v>0</v>
      </c>
      <c r="AW33" s="1860">
        <f t="shared" si="38"/>
        <v>0</v>
      </c>
      <c r="AX33" s="1860">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281"/>
      <c r="C34" s="1282"/>
      <c r="D34" s="79"/>
      <c r="E34" s="86">
        <f t="shared" si="33"/>
        <v>0</v>
      </c>
      <c r="F34" s="87"/>
      <c r="G34" s="88">
        <f t="shared" si="34"/>
        <v>0</v>
      </c>
      <c r="H34" s="89">
        <f t="shared" si="35"/>
        <v>0</v>
      </c>
      <c r="I34" s="1284"/>
      <c r="J34" s="90"/>
      <c r="K34" s="1284"/>
      <c r="L34" s="90"/>
      <c r="M34" s="90"/>
      <c r="N34" s="90"/>
      <c r="O34" s="90"/>
      <c r="P34" s="90"/>
      <c r="Q34" s="90"/>
      <c r="R34" s="90"/>
      <c r="S34" s="90"/>
      <c r="T34" s="90"/>
      <c r="U34" s="90"/>
      <c r="V34" s="90"/>
      <c r="W34" s="90"/>
      <c r="X34" s="90"/>
      <c r="Y34" s="90"/>
      <c r="Z34" s="90"/>
      <c r="AA34" s="90"/>
      <c r="AB34" s="90"/>
      <c r="AC34" s="86">
        <f t="shared" si="36"/>
        <v>0</v>
      </c>
      <c r="AD34" s="91"/>
      <c r="AE34" s="91"/>
      <c r="AF34" s="1284"/>
      <c r="AG34" s="91"/>
      <c r="AH34" s="91"/>
      <c r="AI34" s="91"/>
      <c r="AJ34" s="91"/>
      <c r="AK34" s="91"/>
      <c r="AL34" s="91"/>
      <c r="AM34" s="91"/>
      <c r="AN34" s="91"/>
      <c r="AO34" s="91"/>
      <c r="AP34" s="91"/>
      <c r="AQ34" s="91"/>
      <c r="AR34" s="91"/>
      <c r="AS34" s="91"/>
      <c r="AT34" s="92"/>
      <c r="AU34" s="93"/>
      <c r="AV34" s="1860">
        <f t="shared" si="37"/>
        <v>0</v>
      </c>
      <c r="AW34" s="1860">
        <f t="shared" si="38"/>
        <v>0</v>
      </c>
      <c r="AX34" s="1860">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281"/>
      <c r="C35" s="1282"/>
      <c r="D35" s="79"/>
      <c r="E35" s="86">
        <f t="shared" si="33"/>
        <v>0</v>
      </c>
      <c r="F35" s="87"/>
      <c r="G35" s="88">
        <f t="shared" si="34"/>
        <v>0</v>
      </c>
      <c r="H35" s="89">
        <f t="shared" si="35"/>
        <v>0</v>
      </c>
      <c r="I35" s="1284"/>
      <c r="J35" s="90"/>
      <c r="K35" s="1284"/>
      <c r="L35" s="90"/>
      <c r="M35" s="90"/>
      <c r="N35" s="90"/>
      <c r="O35" s="90"/>
      <c r="P35" s="90"/>
      <c r="Q35" s="90"/>
      <c r="R35" s="90"/>
      <c r="S35" s="90"/>
      <c r="T35" s="90"/>
      <c r="U35" s="90"/>
      <c r="V35" s="90"/>
      <c r="W35" s="90"/>
      <c r="X35" s="90"/>
      <c r="Y35" s="90"/>
      <c r="Z35" s="90"/>
      <c r="AA35" s="90"/>
      <c r="AB35" s="90"/>
      <c r="AC35" s="86">
        <f t="shared" si="36"/>
        <v>0</v>
      </c>
      <c r="AD35" s="91"/>
      <c r="AE35" s="91"/>
      <c r="AF35" s="1284"/>
      <c r="AG35" s="91"/>
      <c r="AH35" s="91"/>
      <c r="AI35" s="91"/>
      <c r="AJ35" s="91"/>
      <c r="AK35" s="91"/>
      <c r="AL35" s="91"/>
      <c r="AM35" s="91"/>
      <c r="AN35" s="91"/>
      <c r="AO35" s="91"/>
      <c r="AP35" s="91"/>
      <c r="AQ35" s="91"/>
      <c r="AR35" s="91"/>
      <c r="AS35" s="91"/>
      <c r="AT35" s="92"/>
      <c r="AU35" s="93"/>
      <c r="AV35" s="1860">
        <f t="shared" si="37"/>
        <v>0</v>
      </c>
      <c r="AW35" s="1860">
        <f t="shared" si="38"/>
        <v>0</v>
      </c>
      <c r="AX35" s="1860">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281"/>
      <c r="C36" s="1282"/>
      <c r="D36" s="79"/>
      <c r="E36" s="86">
        <f t="shared" si="33"/>
        <v>0</v>
      </c>
      <c r="F36" s="87"/>
      <c r="G36" s="88">
        <f t="shared" si="34"/>
        <v>0</v>
      </c>
      <c r="H36" s="89">
        <f t="shared" si="35"/>
        <v>0</v>
      </c>
      <c r="I36" s="1284"/>
      <c r="J36" s="90"/>
      <c r="K36" s="1284"/>
      <c r="L36" s="90"/>
      <c r="M36" s="90"/>
      <c r="N36" s="90"/>
      <c r="O36" s="90"/>
      <c r="P36" s="90"/>
      <c r="Q36" s="90"/>
      <c r="R36" s="90"/>
      <c r="S36" s="90"/>
      <c r="T36" s="90"/>
      <c r="U36" s="90"/>
      <c r="V36" s="90"/>
      <c r="W36" s="90"/>
      <c r="X36" s="90"/>
      <c r="Y36" s="90"/>
      <c r="Z36" s="90"/>
      <c r="AA36" s="90"/>
      <c r="AB36" s="90"/>
      <c r="AC36" s="86">
        <f t="shared" si="36"/>
        <v>0</v>
      </c>
      <c r="AD36" s="91"/>
      <c r="AE36" s="91"/>
      <c r="AF36" s="1284"/>
      <c r="AG36" s="91"/>
      <c r="AH36" s="91"/>
      <c r="AI36" s="91"/>
      <c r="AJ36" s="91"/>
      <c r="AK36" s="91"/>
      <c r="AL36" s="91"/>
      <c r="AM36" s="91"/>
      <c r="AN36" s="91"/>
      <c r="AO36" s="91"/>
      <c r="AP36" s="91"/>
      <c r="AQ36" s="91"/>
      <c r="AR36" s="91"/>
      <c r="AS36" s="91"/>
      <c r="AT36" s="92"/>
      <c r="AU36" s="93"/>
      <c r="AV36" s="1860">
        <f t="shared" si="37"/>
        <v>0</v>
      </c>
      <c r="AW36" s="1860">
        <f t="shared" si="38"/>
        <v>0</v>
      </c>
      <c r="AX36" s="1860">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281"/>
      <c r="C37" s="1282"/>
      <c r="D37" s="79"/>
      <c r="E37" s="86">
        <f t="shared" si="33"/>
        <v>0</v>
      </c>
      <c r="F37" s="87"/>
      <c r="G37" s="88">
        <f t="shared" si="34"/>
        <v>0</v>
      </c>
      <c r="H37" s="89">
        <f t="shared" si="35"/>
        <v>0</v>
      </c>
      <c r="I37" s="1284"/>
      <c r="J37" s="90"/>
      <c r="K37" s="1284"/>
      <c r="L37" s="90"/>
      <c r="M37" s="90"/>
      <c r="N37" s="90"/>
      <c r="O37" s="90"/>
      <c r="P37" s="90"/>
      <c r="Q37" s="90"/>
      <c r="R37" s="90"/>
      <c r="S37" s="90"/>
      <c r="T37" s="90"/>
      <c r="U37" s="90"/>
      <c r="V37" s="90"/>
      <c r="W37" s="90"/>
      <c r="X37" s="90"/>
      <c r="Y37" s="90"/>
      <c r="Z37" s="90"/>
      <c r="AA37" s="90"/>
      <c r="AB37" s="90"/>
      <c r="AC37" s="86">
        <f t="shared" si="36"/>
        <v>0</v>
      </c>
      <c r="AD37" s="91"/>
      <c r="AE37" s="91"/>
      <c r="AF37" s="1284"/>
      <c r="AG37" s="91"/>
      <c r="AH37" s="91"/>
      <c r="AI37" s="91"/>
      <c r="AJ37" s="91"/>
      <c r="AK37" s="91"/>
      <c r="AL37" s="91"/>
      <c r="AM37" s="91"/>
      <c r="AN37" s="91"/>
      <c r="AO37" s="91"/>
      <c r="AP37" s="91"/>
      <c r="AQ37" s="91"/>
      <c r="AR37" s="91"/>
      <c r="AS37" s="91"/>
      <c r="AT37" s="92"/>
      <c r="AU37" s="93"/>
      <c r="AV37" s="1860">
        <f t="shared" si="37"/>
        <v>0</v>
      </c>
      <c r="AW37" s="1860">
        <f t="shared" si="38"/>
        <v>0</v>
      </c>
      <c r="AX37" s="1860">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281"/>
      <c r="C38" s="1282"/>
      <c r="D38" s="79"/>
      <c r="E38" s="86">
        <f t="shared" si="33"/>
        <v>0</v>
      </c>
      <c r="F38" s="87"/>
      <c r="G38" s="88">
        <f t="shared" si="34"/>
        <v>0</v>
      </c>
      <c r="H38" s="89">
        <f t="shared" si="35"/>
        <v>0</v>
      </c>
      <c r="I38" s="1284"/>
      <c r="J38" s="90"/>
      <c r="K38" s="1284"/>
      <c r="L38" s="90"/>
      <c r="M38" s="90"/>
      <c r="N38" s="90"/>
      <c r="O38" s="90"/>
      <c r="P38" s="90"/>
      <c r="Q38" s="90"/>
      <c r="R38" s="90"/>
      <c r="S38" s="90"/>
      <c r="T38" s="90"/>
      <c r="U38" s="90"/>
      <c r="V38" s="90"/>
      <c r="W38" s="90"/>
      <c r="X38" s="90"/>
      <c r="Y38" s="90"/>
      <c r="Z38" s="90"/>
      <c r="AA38" s="90"/>
      <c r="AB38" s="90"/>
      <c r="AC38" s="86">
        <f t="shared" si="36"/>
        <v>0</v>
      </c>
      <c r="AD38" s="91"/>
      <c r="AE38" s="91"/>
      <c r="AF38" s="1284"/>
      <c r="AG38" s="91"/>
      <c r="AH38" s="91"/>
      <c r="AI38" s="91"/>
      <c r="AJ38" s="91"/>
      <c r="AK38" s="91"/>
      <c r="AL38" s="91"/>
      <c r="AM38" s="91"/>
      <c r="AN38" s="91"/>
      <c r="AO38" s="91"/>
      <c r="AP38" s="91"/>
      <c r="AQ38" s="91"/>
      <c r="AR38" s="91"/>
      <c r="AS38" s="91"/>
      <c r="AT38" s="92"/>
      <c r="AU38" s="93"/>
      <c r="AV38" s="1860">
        <f t="shared" si="37"/>
        <v>0</v>
      </c>
      <c r="AW38" s="1860">
        <f t="shared" si="38"/>
        <v>0</v>
      </c>
      <c r="AX38" s="1860">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281"/>
      <c r="C39" s="1282"/>
      <c r="D39" s="79"/>
      <c r="E39" s="86">
        <f t="shared" si="33"/>
        <v>0</v>
      </c>
      <c r="F39" s="87"/>
      <c r="G39" s="88">
        <f t="shared" si="34"/>
        <v>0</v>
      </c>
      <c r="H39" s="89">
        <f t="shared" si="35"/>
        <v>0</v>
      </c>
      <c r="I39" s="1284"/>
      <c r="J39" s="90"/>
      <c r="K39" s="1284"/>
      <c r="L39" s="90"/>
      <c r="M39" s="90"/>
      <c r="N39" s="90"/>
      <c r="O39" s="90"/>
      <c r="P39" s="90"/>
      <c r="Q39" s="90"/>
      <c r="R39" s="90"/>
      <c r="S39" s="90"/>
      <c r="T39" s="90"/>
      <c r="U39" s="90"/>
      <c r="V39" s="90"/>
      <c r="W39" s="90"/>
      <c r="X39" s="90"/>
      <c r="Y39" s="90"/>
      <c r="Z39" s="90"/>
      <c r="AA39" s="90"/>
      <c r="AB39" s="90"/>
      <c r="AC39" s="86">
        <f t="shared" si="36"/>
        <v>0</v>
      </c>
      <c r="AD39" s="91"/>
      <c r="AE39" s="91"/>
      <c r="AF39" s="1284"/>
      <c r="AG39" s="91"/>
      <c r="AH39" s="91"/>
      <c r="AI39" s="91"/>
      <c r="AJ39" s="91"/>
      <c r="AK39" s="91"/>
      <c r="AL39" s="91"/>
      <c r="AM39" s="91"/>
      <c r="AN39" s="91"/>
      <c r="AO39" s="91"/>
      <c r="AP39" s="91"/>
      <c r="AQ39" s="91"/>
      <c r="AR39" s="91"/>
      <c r="AS39" s="91"/>
      <c r="AT39" s="92"/>
      <c r="AU39" s="93"/>
      <c r="AV39" s="1860">
        <f t="shared" si="37"/>
        <v>0</v>
      </c>
      <c r="AW39" s="1860">
        <f t="shared" si="38"/>
        <v>0</v>
      </c>
      <c r="AX39" s="1860">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281"/>
      <c r="C40" s="1282"/>
      <c r="D40" s="79"/>
      <c r="E40" s="86">
        <f t="shared" si="33"/>
        <v>0</v>
      </c>
      <c r="F40" s="87"/>
      <c r="G40" s="88">
        <f t="shared" si="34"/>
        <v>0</v>
      </c>
      <c r="H40" s="89">
        <f t="shared" si="35"/>
        <v>0</v>
      </c>
      <c r="I40" s="1284"/>
      <c r="J40" s="90"/>
      <c r="K40" s="1284"/>
      <c r="L40" s="90"/>
      <c r="M40" s="90"/>
      <c r="N40" s="90"/>
      <c r="O40" s="90"/>
      <c r="P40" s="90"/>
      <c r="Q40" s="90"/>
      <c r="R40" s="90"/>
      <c r="S40" s="90"/>
      <c r="T40" s="90"/>
      <c r="U40" s="90"/>
      <c r="V40" s="90"/>
      <c r="W40" s="90"/>
      <c r="X40" s="90"/>
      <c r="Y40" s="90"/>
      <c r="Z40" s="90"/>
      <c r="AA40" s="90"/>
      <c r="AB40" s="90"/>
      <c r="AC40" s="86">
        <f t="shared" si="36"/>
        <v>0</v>
      </c>
      <c r="AD40" s="91"/>
      <c r="AE40" s="91"/>
      <c r="AF40" s="1284"/>
      <c r="AG40" s="91"/>
      <c r="AH40" s="91"/>
      <c r="AI40" s="91"/>
      <c r="AJ40" s="91"/>
      <c r="AK40" s="91"/>
      <c r="AL40" s="91"/>
      <c r="AM40" s="91"/>
      <c r="AN40" s="91"/>
      <c r="AO40" s="91"/>
      <c r="AP40" s="91"/>
      <c r="AQ40" s="91"/>
      <c r="AR40" s="91"/>
      <c r="AS40" s="91"/>
      <c r="AT40" s="92"/>
      <c r="AU40" s="93"/>
      <c r="AV40" s="1860">
        <f t="shared" si="37"/>
        <v>0</v>
      </c>
      <c r="AW40" s="1860">
        <f t="shared" si="38"/>
        <v>0</v>
      </c>
      <c r="AX40" s="1860">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281"/>
      <c r="C41" s="1282"/>
      <c r="D41" s="79"/>
      <c r="E41" s="86">
        <f t="shared" si="33"/>
        <v>0</v>
      </c>
      <c r="F41" s="87"/>
      <c r="G41" s="88">
        <f t="shared" si="34"/>
        <v>0</v>
      </c>
      <c r="H41" s="89">
        <f t="shared" si="35"/>
        <v>0</v>
      </c>
      <c r="I41" s="1284"/>
      <c r="J41" s="90"/>
      <c r="K41" s="1284"/>
      <c r="L41" s="90"/>
      <c r="M41" s="90"/>
      <c r="N41" s="90"/>
      <c r="O41" s="90"/>
      <c r="P41" s="90"/>
      <c r="Q41" s="90"/>
      <c r="R41" s="90"/>
      <c r="S41" s="90"/>
      <c r="T41" s="90"/>
      <c r="U41" s="90"/>
      <c r="V41" s="90"/>
      <c r="W41" s="90"/>
      <c r="X41" s="90"/>
      <c r="Y41" s="90"/>
      <c r="Z41" s="90"/>
      <c r="AA41" s="90"/>
      <c r="AB41" s="90"/>
      <c r="AC41" s="86">
        <f t="shared" si="36"/>
        <v>0</v>
      </c>
      <c r="AD41" s="91"/>
      <c r="AE41" s="91"/>
      <c r="AF41" s="1284"/>
      <c r="AG41" s="91"/>
      <c r="AH41" s="91"/>
      <c r="AI41" s="91"/>
      <c r="AJ41" s="91"/>
      <c r="AK41" s="91"/>
      <c r="AL41" s="91"/>
      <c r="AM41" s="91"/>
      <c r="AN41" s="91"/>
      <c r="AO41" s="91"/>
      <c r="AP41" s="91"/>
      <c r="AQ41" s="91"/>
      <c r="AR41" s="91"/>
      <c r="AS41" s="91"/>
      <c r="AT41" s="92"/>
      <c r="AU41" s="93"/>
      <c r="AV41" s="1860">
        <f t="shared" si="37"/>
        <v>0</v>
      </c>
      <c r="AW41" s="1860">
        <f t="shared" si="38"/>
        <v>0</v>
      </c>
      <c r="AX41" s="1860">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281"/>
      <c r="C42" s="1282"/>
      <c r="D42" s="79"/>
      <c r="E42" s="86">
        <f t="shared" si="33"/>
        <v>0</v>
      </c>
      <c r="F42" s="87"/>
      <c r="G42" s="88">
        <f t="shared" si="34"/>
        <v>0</v>
      </c>
      <c r="H42" s="89">
        <f t="shared" si="35"/>
        <v>0</v>
      </c>
      <c r="I42" s="1284"/>
      <c r="J42" s="90"/>
      <c r="K42" s="1284"/>
      <c r="L42" s="90"/>
      <c r="M42" s="90"/>
      <c r="N42" s="90"/>
      <c r="O42" s="90"/>
      <c r="P42" s="90"/>
      <c r="Q42" s="90"/>
      <c r="R42" s="90"/>
      <c r="S42" s="90"/>
      <c r="T42" s="90"/>
      <c r="U42" s="90"/>
      <c r="V42" s="90"/>
      <c r="W42" s="90"/>
      <c r="X42" s="90"/>
      <c r="Y42" s="90"/>
      <c r="Z42" s="90"/>
      <c r="AA42" s="90"/>
      <c r="AB42" s="90"/>
      <c r="AC42" s="86">
        <f t="shared" si="36"/>
        <v>0</v>
      </c>
      <c r="AD42" s="91"/>
      <c r="AE42" s="91"/>
      <c r="AF42" s="1284"/>
      <c r="AG42" s="91"/>
      <c r="AH42" s="91"/>
      <c r="AI42" s="91"/>
      <c r="AJ42" s="91"/>
      <c r="AK42" s="91"/>
      <c r="AL42" s="91"/>
      <c r="AM42" s="91"/>
      <c r="AN42" s="91"/>
      <c r="AO42" s="91"/>
      <c r="AP42" s="91"/>
      <c r="AQ42" s="91"/>
      <c r="AR42" s="91"/>
      <c r="AS42" s="91"/>
      <c r="AT42" s="92"/>
      <c r="AU42" s="93"/>
      <c r="AV42" s="1860">
        <f t="shared" si="37"/>
        <v>0</v>
      </c>
      <c r="AW42" s="1860">
        <f t="shared" si="38"/>
        <v>0</v>
      </c>
      <c r="AX42" s="1860">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281"/>
      <c r="C43" s="1282"/>
      <c r="D43" s="79"/>
      <c r="E43" s="86">
        <f t="shared" si="33"/>
        <v>0</v>
      </c>
      <c r="F43" s="87"/>
      <c r="G43" s="88">
        <f t="shared" si="34"/>
        <v>0</v>
      </c>
      <c r="H43" s="89">
        <f t="shared" si="35"/>
        <v>0</v>
      </c>
      <c r="I43" s="1284"/>
      <c r="J43" s="90"/>
      <c r="K43" s="1284"/>
      <c r="L43" s="90"/>
      <c r="M43" s="90"/>
      <c r="N43" s="90"/>
      <c r="O43" s="90"/>
      <c r="P43" s="90"/>
      <c r="Q43" s="90"/>
      <c r="R43" s="90"/>
      <c r="S43" s="90"/>
      <c r="T43" s="90"/>
      <c r="U43" s="90"/>
      <c r="V43" s="90"/>
      <c r="W43" s="90"/>
      <c r="X43" s="90"/>
      <c r="Y43" s="90"/>
      <c r="Z43" s="90"/>
      <c r="AA43" s="90"/>
      <c r="AB43" s="90"/>
      <c r="AC43" s="86">
        <f t="shared" si="36"/>
        <v>0</v>
      </c>
      <c r="AD43" s="91"/>
      <c r="AE43" s="91"/>
      <c r="AF43" s="1284"/>
      <c r="AG43" s="91"/>
      <c r="AH43" s="91"/>
      <c r="AI43" s="91"/>
      <c r="AJ43" s="91"/>
      <c r="AK43" s="91"/>
      <c r="AL43" s="91"/>
      <c r="AM43" s="91"/>
      <c r="AN43" s="91"/>
      <c r="AO43" s="91"/>
      <c r="AP43" s="91"/>
      <c r="AQ43" s="91"/>
      <c r="AR43" s="91"/>
      <c r="AS43" s="91"/>
      <c r="AT43" s="92"/>
      <c r="AU43" s="93"/>
      <c r="AV43" s="1860">
        <f t="shared" si="37"/>
        <v>0</v>
      </c>
      <c r="AW43" s="1860">
        <f t="shared" si="38"/>
        <v>0</v>
      </c>
      <c r="AX43" s="1860">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281"/>
      <c r="C44" s="1282"/>
      <c r="D44" s="79"/>
      <c r="E44" s="86">
        <f t="shared" si="33"/>
        <v>0</v>
      </c>
      <c r="F44" s="87"/>
      <c r="G44" s="88">
        <f t="shared" si="34"/>
        <v>0</v>
      </c>
      <c r="H44" s="89">
        <f t="shared" si="35"/>
        <v>0</v>
      </c>
      <c r="I44" s="1284"/>
      <c r="J44" s="90"/>
      <c r="K44" s="1284"/>
      <c r="L44" s="90"/>
      <c r="M44" s="90"/>
      <c r="N44" s="90"/>
      <c r="O44" s="90"/>
      <c r="P44" s="90"/>
      <c r="Q44" s="90"/>
      <c r="R44" s="90"/>
      <c r="S44" s="90"/>
      <c r="T44" s="90"/>
      <c r="U44" s="90"/>
      <c r="V44" s="90"/>
      <c r="W44" s="90"/>
      <c r="X44" s="90"/>
      <c r="Y44" s="90"/>
      <c r="Z44" s="90"/>
      <c r="AA44" s="90"/>
      <c r="AB44" s="90"/>
      <c r="AC44" s="86">
        <f t="shared" si="36"/>
        <v>0</v>
      </c>
      <c r="AD44" s="91"/>
      <c r="AE44" s="91"/>
      <c r="AF44" s="1284"/>
      <c r="AG44" s="91"/>
      <c r="AH44" s="91"/>
      <c r="AI44" s="91"/>
      <c r="AJ44" s="91"/>
      <c r="AK44" s="91"/>
      <c r="AL44" s="91"/>
      <c r="AM44" s="91"/>
      <c r="AN44" s="91"/>
      <c r="AO44" s="91"/>
      <c r="AP44" s="91"/>
      <c r="AQ44" s="91"/>
      <c r="AR44" s="91"/>
      <c r="AS44" s="91"/>
      <c r="AT44" s="92"/>
      <c r="AU44" s="93"/>
      <c r="AV44" s="1860">
        <f t="shared" si="37"/>
        <v>0</v>
      </c>
      <c r="AW44" s="1860">
        <f t="shared" si="38"/>
        <v>0</v>
      </c>
      <c r="AX44" s="1860">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281"/>
      <c r="C45" s="1282"/>
      <c r="D45" s="79"/>
      <c r="E45" s="86">
        <f t="shared" si="33"/>
        <v>0</v>
      </c>
      <c r="F45" s="87"/>
      <c r="G45" s="88">
        <f t="shared" si="34"/>
        <v>0</v>
      </c>
      <c r="H45" s="89">
        <f t="shared" si="35"/>
        <v>0</v>
      </c>
      <c r="I45" s="1284"/>
      <c r="J45" s="90"/>
      <c r="K45" s="1284"/>
      <c r="L45" s="90"/>
      <c r="M45" s="90"/>
      <c r="N45" s="90"/>
      <c r="O45" s="90"/>
      <c r="P45" s="90"/>
      <c r="Q45" s="90"/>
      <c r="R45" s="90"/>
      <c r="S45" s="90"/>
      <c r="T45" s="90"/>
      <c r="U45" s="90"/>
      <c r="V45" s="90"/>
      <c r="W45" s="90"/>
      <c r="X45" s="90"/>
      <c r="Y45" s="90"/>
      <c r="Z45" s="90"/>
      <c r="AA45" s="90"/>
      <c r="AB45" s="90"/>
      <c r="AC45" s="86">
        <f t="shared" si="36"/>
        <v>0</v>
      </c>
      <c r="AD45" s="91"/>
      <c r="AE45" s="91"/>
      <c r="AF45" s="1284"/>
      <c r="AG45" s="91"/>
      <c r="AH45" s="91"/>
      <c r="AI45" s="91"/>
      <c r="AJ45" s="91"/>
      <c r="AK45" s="91"/>
      <c r="AL45" s="91"/>
      <c r="AM45" s="91"/>
      <c r="AN45" s="91"/>
      <c r="AO45" s="91"/>
      <c r="AP45" s="91"/>
      <c r="AQ45" s="91"/>
      <c r="AR45" s="91"/>
      <c r="AS45" s="91"/>
      <c r="AT45" s="92"/>
      <c r="AU45" s="93"/>
      <c r="AV45" s="1860">
        <f t="shared" si="37"/>
        <v>0</v>
      </c>
      <c r="AW45" s="1860">
        <f t="shared" si="38"/>
        <v>0</v>
      </c>
      <c r="AX45" s="1860">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281"/>
      <c r="C46" s="1282"/>
      <c r="D46" s="79"/>
      <c r="E46" s="86">
        <f t="shared" si="33"/>
        <v>0</v>
      </c>
      <c r="F46" s="87"/>
      <c r="G46" s="88">
        <f t="shared" si="34"/>
        <v>0</v>
      </c>
      <c r="H46" s="89">
        <f t="shared" si="35"/>
        <v>0</v>
      </c>
      <c r="I46" s="1284"/>
      <c r="J46" s="90"/>
      <c r="K46" s="1284"/>
      <c r="L46" s="90"/>
      <c r="M46" s="90"/>
      <c r="N46" s="90"/>
      <c r="O46" s="90"/>
      <c r="P46" s="90"/>
      <c r="Q46" s="90"/>
      <c r="R46" s="90"/>
      <c r="S46" s="90"/>
      <c r="T46" s="90"/>
      <c r="U46" s="90"/>
      <c r="V46" s="90"/>
      <c r="W46" s="90"/>
      <c r="X46" s="90"/>
      <c r="Y46" s="90"/>
      <c r="Z46" s="90"/>
      <c r="AA46" s="90"/>
      <c r="AB46" s="90"/>
      <c r="AC46" s="86">
        <f t="shared" si="36"/>
        <v>0</v>
      </c>
      <c r="AD46" s="91"/>
      <c r="AE46" s="91"/>
      <c r="AF46" s="1284"/>
      <c r="AG46" s="91"/>
      <c r="AH46" s="91"/>
      <c r="AI46" s="91"/>
      <c r="AJ46" s="91"/>
      <c r="AK46" s="91"/>
      <c r="AL46" s="91"/>
      <c r="AM46" s="91"/>
      <c r="AN46" s="91"/>
      <c r="AO46" s="91"/>
      <c r="AP46" s="91"/>
      <c r="AQ46" s="91"/>
      <c r="AR46" s="91"/>
      <c r="AS46" s="91"/>
      <c r="AT46" s="92"/>
      <c r="AU46" s="93"/>
      <c r="AV46" s="1860">
        <f t="shared" si="37"/>
        <v>0</v>
      </c>
      <c r="AW46" s="1860">
        <f t="shared" si="38"/>
        <v>0</v>
      </c>
      <c r="AX46" s="1860">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281"/>
      <c r="C47" s="1282"/>
      <c r="D47" s="79"/>
      <c r="E47" s="86">
        <f t="shared" si="33"/>
        <v>0</v>
      </c>
      <c r="F47" s="87"/>
      <c r="G47" s="88">
        <f t="shared" si="34"/>
        <v>0</v>
      </c>
      <c r="H47" s="89">
        <f t="shared" si="35"/>
        <v>0</v>
      </c>
      <c r="I47" s="1284"/>
      <c r="J47" s="90"/>
      <c r="K47" s="1284"/>
      <c r="L47" s="90"/>
      <c r="M47" s="90"/>
      <c r="N47" s="90"/>
      <c r="O47" s="90"/>
      <c r="P47" s="90"/>
      <c r="Q47" s="90"/>
      <c r="R47" s="90"/>
      <c r="S47" s="90"/>
      <c r="T47" s="90"/>
      <c r="U47" s="90"/>
      <c r="V47" s="90"/>
      <c r="W47" s="90"/>
      <c r="X47" s="90"/>
      <c r="Y47" s="90"/>
      <c r="Z47" s="90"/>
      <c r="AA47" s="90"/>
      <c r="AB47" s="90"/>
      <c r="AC47" s="86">
        <f t="shared" si="36"/>
        <v>0</v>
      </c>
      <c r="AD47" s="91"/>
      <c r="AE47" s="91"/>
      <c r="AF47" s="1282"/>
      <c r="AG47" s="91"/>
      <c r="AH47" s="91"/>
      <c r="AI47" s="91"/>
      <c r="AJ47" s="91"/>
      <c r="AK47" s="91"/>
      <c r="AL47" s="91"/>
      <c r="AM47" s="91"/>
      <c r="AN47" s="91"/>
      <c r="AO47" s="91"/>
      <c r="AP47" s="91"/>
      <c r="AQ47" s="91"/>
      <c r="AR47" s="91"/>
      <c r="AS47" s="91"/>
      <c r="AT47" s="92"/>
      <c r="AU47" s="93"/>
      <c r="AV47" s="1860">
        <f t="shared" si="37"/>
        <v>0</v>
      </c>
      <c r="AW47" s="1860">
        <f t="shared" si="38"/>
        <v>0</v>
      </c>
      <c r="AX47" s="1860">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281"/>
      <c r="C48" s="1282"/>
      <c r="D48" s="79"/>
      <c r="E48" s="86">
        <f t="shared" si="33"/>
        <v>0</v>
      </c>
      <c r="F48" s="87"/>
      <c r="G48" s="88">
        <f t="shared" si="34"/>
        <v>0</v>
      </c>
      <c r="H48" s="89">
        <f t="shared" si="35"/>
        <v>0</v>
      </c>
      <c r="I48" s="1282"/>
      <c r="J48" s="90"/>
      <c r="K48" s="1282"/>
      <c r="L48" s="90"/>
      <c r="M48" s="90"/>
      <c r="N48" s="90"/>
      <c r="O48" s="90"/>
      <c r="P48" s="90"/>
      <c r="Q48" s="90"/>
      <c r="R48" s="90"/>
      <c r="S48" s="90"/>
      <c r="T48" s="90"/>
      <c r="U48" s="90"/>
      <c r="V48" s="90"/>
      <c r="W48" s="90"/>
      <c r="X48" s="90"/>
      <c r="Y48" s="90"/>
      <c r="Z48" s="90"/>
      <c r="AA48" s="90"/>
      <c r="AB48" s="90"/>
      <c r="AC48" s="86">
        <f t="shared" si="36"/>
        <v>0</v>
      </c>
      <c r="AD48" s="91"/>
      <c r="AE48" s="91"/>
      <c r="AF48" s="1282"/>
      <c r="AG48" s="91"/>
      <c r="AH48" s="91"/>
      <c r="AI48" s="91"/>
      <c r="AJ48" s="91"/>
      <c r="AK48" s="91"/>
      <c r="AL48" s="91"/>
      <c r="AM48" s="91"/>
      <c r="AN48" s="91"/>
      <c r="AO48" s="91"/>
      <c r="AP48" s="91"/>
      <c r="AQ48" s="91"/>
      <c r="AR48" s="91"/>
      <c r="AS48" s="91"/>
      <c r="AT48" s="92"/>
      <c r="AU48" s="93"/>
      <c r="AV48" s="1860">
        <f t="shared" si="37"/>
        <v>0</v>
      </c>
      <c r="AW48" s="1860">
        <f t="shared" si="38"/>
        <v>0</v>
      </c>
      <c r="AX48" s="1860">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281"/>
      <c r="C49" s="1282"/>
      <c r="D49" s="79"/>
      <c r="E49" s="86">
        <f t="shared" si="33"/>
        <v>0</v>
      </c>
      <c r="F49" s="87"/>
      <c r="G49" s="88">
        <f t="shared" si="34"/>
        <v>0</v>
      </c>
      <c r="H49" s="89">
        <f t="shared" si="35"/>
        <v>0</v>
      </c>
      <c r="I49" s="1282"/>
      <c r="J49" s="90"/>
      <c r="K49" s="1282"/>
      <c r="L49" s="90"/>
      <c r="M49" s="90"/>
      <c r="N49" s="90"/>
      <c r="O49" s="90"/>
      <c r="P49" s="90"/>
      <c r="Q49" s="90"/>
      <c r="R49" s="90"/>
      <c r="S49" s="90"/>
      <c r="T49" s="90"/>
      <c r="U49" s="90"/>
      <c r="V49" s="90"/>
      <c r="W49" s="90"/>
      <c r="X49" s="90"/>
      <c r="Y49" s="90"/>
      <c r="Z49" s="90"/>
      <c r="AA49" s="90"/>
      <c r="AB49" s="90"/>
      <c r="AC49" s="86">
        <f t="shared" si="36"/>
        <v>0</v>
      </c>
      <c r="AD49" s="91"/>
      <c r="AE49" s="91"/>
      <c r="AF49" s="1282"/>
      <c r="AG49" s="91"/>
      <c r="AH49" s="91"/>
      <c r="AI49" s="91"/>
      <c r="AJ49" s="91"/>
      <c r="AK49" s="91"/>
      <c r="AL49" s="91"/>
      <c r="AM49" s="91"/>
      <c r="AN49" s="91"/>
      <c r="AO49" s="91"/>
      <c r="AP49" s="91"/>
      <c r="AQ49" s="91"/>
      <c r="AR49" s="91"/>
      <c r="AS49" s="91"/>
      <c r="AT49" s="92"/>
      <c r="AU49" s="93"/>
      <c r="AV49" s="1860">
        <f t="shared" si="37"/>
        <v>0</v>
      </c>
      <c r="AW49" s="1860">
        <f t="shared" si="38"/>
        <v>0</v>
      </c>
      <c r="AX49" s="1860">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281"/>
      <c r="C50" s="1282"/>
      <c r="D50" s="79"/>
      <c r="E50" s="86">
        <f t="shared" si="33"/>
        <v>0</v>
      </c>
      <c r="F50" s="87"/>
      <c r="G50" s="88">
        <f t="shared" si="34"/>
        <v>0</v>
      </c>
      <c r="H50" s="89">
        <f t="shared" si="35"/>
        <v>0</v>
      </c>
      <c r="I50" s="1282"/>
      <c r="J50" s="90"/>
      <c r="K50" s="1282"/>
      <c r="L50" s="90"/>
      <c r="M50" s="90"/>
      <c r="N50" s="90"/>
      <c r="O50" s="90"/>
      <c r="P50" s="90"/>
      <c r="Q50" s="90"/>
      <c r="R50" s="90"/>
      <c r="S50" s="90"/>
      <c r="T50" s="90"/>
      <c r="U50" s="90"/>
      <c r="V50" s="90"/>
      <c r="W50" s="90"/>
      <c r="X50" s="90"/>
      <c r="Y50" s="90"/>
      <c r="Z50" s="90"/>
      <c r="AA50" s="90"/>
      <c r="AB50" s="90"/>
      <c r="AC50" s="86">
        <f t="shared" si="36"/>
        <v>0</v>
      </c>
      <c r="AD50" s="91"/>
      <c r="AE50" s="91"/>
      <c r="AF50" s="1282"/>
      <c r="AG50" s="91"/>
      <c r="AH50" s="91"/>
      <c r="AI50" s="91"/>
      <c r="AJ50" s="91"/>
      <c r="AK50" s="91"/>
      <c r="AL50" s="91"/>
      <c r="AM50" s="91"/>
      <c r="AN50" s="91"/>
      <c r="AO50" s="91"/>
      <c r="AP50" s="91"/>
      <c r="AQ50" s="91"/>
      <c r="AR50" s="91"/>
      <c r="AS50" s="91"/>
      <c r="AT50" s="92"/>
      <c r="AU50" s="93"/>
      <c r="AV50" s="1860">
        <f t="shared" si="37"/>
        <v>0</v>
      </c>
      <c r="AW50" s="1860">
        <f t="shared" si="38"/>
        <v>0</v>
      </c>
      <c r="AX50" s="1860">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281"/>
      <c r="C51" s="1282"/>
      <c r="D51" s="79"/>
      <c r="E51" s="86">
        <f t="shared" si="33"/>
        <v>0</v>
      </c>
      <c r="F51" s="87"/>
      <c r="G51" s="88">
        <f t="shared" si="34"/>
        <v>0</v>
      </c>
      <c r="H51" s="89">
        <f t="shared" si="35"/>
        <v>0</v>
      </c>
      <c r="I51" s="1282"/>
      <c r="J51" s="90"/>
      <c r="K51" s="1282"/>
      <c r="L51" s="90"/>
      <c r="M51" s="90"/>
      <c r="N51" s="90"/>
      <c r="O51" s="90"/>
      <c r="P51" s="90"/>
      <c r="Q51" s="90"/>
      <c r="R51" s="90"/>
      <c r="S51" s="90"/>
      <c r="T51" s="90"/>
      <c r="U51" s="90"/>
      <c r="V51" s="90"/>
      <c r="W51" s="90"/>
      <c r="X51" s="90"/>
      <c r="Y51" s="90"/>
      <c r="Z51" s="90"/>
      <c r="AA51" s="90"/>
      <c r="AB51" s="90"/>
      <c r="AC51" s="86">
        <f t="shared" si="36"/>
        <v>0</v>
      </c>
      <c r="AD51" s="91"/>
      <c r="AE51" s="91"/>
      <c r="AF51" s="1282"/>
      <c r="AG51" s="91"/>
      <c r="AH51" s="91"/>
      <c r="AI51" s="91"/>
      <c r="AJ51" s="91"/>
      <c r="AK51" s="91"/>
      <c r="AL51" s="91"/>
      <c r="AM51" s="91"/>
      <c r="AN51" s="91"/>
      <c r="AO51" s="91"/>
      <c r="AP51" s="91"/>
      <c r="AQ51" s="91"/>
      <c r="AR51" s="91"/>
      <c r="AS51" s="91"/>
      <c r="AT51" s="92"/>
      <c r="AU51" s="93"/>
      <c r="AV51" s="1860">
        <f t="shared" si="37"/>
        <v>0</v>
      </c>
      <c r="AW51" s="1860">
        <f t="shared" si="38"/>
        <v>0</v>
      </c>
      <c r="AX51" s="1860">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281"/>
      <c r="C52" s="1282"/>
      <c r="D52" s="79"/>
      <c r="E52" s="86">
        <f t="shared" si="33"/>
        <v>0</v>
      </c>
      <c r="F52" s="87"/>
      <c r="G52" s="88">
        <f t="shared" si="34"/>
        <v>0</v>
      </c>
      <c r="H52" s="89">
        <f t="shared" si="35"/>
        <v>0</v>
      </c>
      <c r="I52" s="1282"/>
      <c r="J52" s="90"/>
      <c r="K52" s="1282"/>
      <c r="L52" s="90"/>
      <c r="M52" s="90"/>
      <c r="N52" s="90"/>
      <c r="O52" s="90"/>
      <c r="P52" s="90"/>
      <c r="Q52" s="90"/>
      <c r="R52" s="90"/>
      <c r="S52" s="90"/>
      <c r="T52" s="90"/>
      <c r="U52" s="90"/>
      <c r="V52" s="90"/>
      <c r="W52" s="90"/>
      <c r="X52" s="90"/>
      <c r="Y52" s="90"/>
      <c r="Z52" s="90"/>
      <c r="AA52" s="90"/>
      <c r="AB52" s="90"/>
      <c r="AC52" s="86">
        <f t="shared" si="36"/>
        <v>0</v>
      </c>
      <c r="AD52" s="91"/>
      <c r="AE52" s="91"/>
      <c r="AF52" s="1282"/>
      <c r="AG52" s="91"/>
      <c r="AH52" s="91"/>
      <c r="AI52" s="91"/>
      <c r="AJ52" s="91"/>
      <c r="AK52" s="91"/>
      <c r="AL52" s="91"/>
      <c r="AM52" s="91"/>
      <c r="AN52" s="91"/>
      <c r="AO52" s="91"/>
      <c r="AP52" s="91"/>
      <c r="AQ52" s="91"/>
      <c r="AR52" s="91"/>
      <c r="AS52" s="91"/>
      <c r="AT52" s="92"/>
      <c r="AU52" s="93"/>
      <c r="AV52" s="1860">
        <f t="shared" si="37"/>
        <v>0</v>
      </c>
      <c r="AW52" s="1860">
        <f t="shared" si="38"/>
        <v>0</v>
      </c>
      <c r="AX52" s="1860">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281"/>
      <c r="C53" s="1282"/>
      <c r="D53" s="79"/>
      <c r="E53" s="86">
        <f t="shared" si="33"/>
        <v>0</v>
      </c>
      <c r="F53" s="87"/>
      <c r="G53" s="88">
        <f t="shared" si="34"/>
        <v>0</v>
      </c>
      <c r="H53" s="89">
        <f t="shared" si="35"/>
        <v>0</v>
      </c>
      <c r="I53" s="1282"/>
      <c r="J53" s="90"/>
      <c r="K53" s="1282"/>
      <c r="L53" s="90"/>
      <c r="M53" s="90"/>
      <c r="N53" s="90"/>
      <c r="O53" s="90"/>
      <c r="P53" s="90"/>
      <c r="Q53" s="90"/>
      <c r="R53" s="90"/>
      <c r="S53" s="90"/>
      <c r="T53" s="90"/>
      <c r="U53" s="90"/>
      <c r="V53" s="90"/>
      <c r="W53" s="90"/>
      <c r="X53" s="90"/>
      <c r="Y53" s="90"/>
      <c r="Z53" s="90"/>
      <c r="AA53" s="90"/>
      <c r="AB53" s="90"/>
      <c r="AC53" s="86">
        <f t="shared" si="36"/>
        <v>0</v>
      </c>
      <c r="AD53" s="91"/>
      <c r="AE53" s="91"/>
      <c r="AF53" s="1282"/>
      <c r="AG53" s="91"/>
      <c r="AH53" s="91"/>
      <c r="AI53" s="91"/>
      <c r="AJ53" s="91"/>
      <c r="AK53" s="91"/>
      <c r="AL53" s="91"/>
      <c r="AM53" s="91"/>
      <c r="AN53" s="91"/>
      <c r="AO53" s="91"/>
      <c r="AP53" s="91"/>
      <c r="AQ53" s="91"/>
      <c r="AR53" s="91"/>
      <c r="AS53" s="91"/>
      <c r="AT53" s="92"/>
      <c r="AU53" s="93"/>
      <c r="AV53" s="1860">
        <f t="shared" si="37"/>
        <v>0</v>
      </c>
      <c r="AW53" s="1860">
        <f t="shared" si="38"/>
        <v>0</v>
      </c>
      <c r="AX53" s="1860">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281"/>
      <c r="C54" s="1282"/>
      <c r="D54" s="79"/>
      <c r="E54" s="86">
        <f t="shared" si="33"/>
        <v>0</v>
      </c>
      <c r="F54" s="87"/>
      <c r="G54" s="88">
        <f t="shared" si="34"/>
        <v>0</v>
      </c>
      <c r="H54" s="89">
        <f t="shared" si="35"/>
        <v>0</v>
      </c>
      <c r="I54" s="1282"/>
      <c r="J54" s="90"/>
      <c r="K54" s="1282"/>
      <c r="L54" s="90"/>
      <c r="M54" s="90"/>
      <c r="N54" s="90"/>
      <c r="O54" s="90"/>
      <c r="P54" s="90"/>
      <c r="Q54" s="90"/>
      <c r="R54" s="90"/>
      <c r="S54" s="90"/>
      <c r="T54" s="90"/>
      <c r="U54" s="90"/>
      <c r="V54" s="90"/>
      <c r="W54" s="90"/>
      <c r="X54" s="90"/>
      <c r="Y54" s="90"/>
      <c r="Z54" s="90"/>
      <c r="AA54" s="90"/>
      <c r="AB54" s="90"/>
      <c r="AC54" s="86">
        <f t="shared" si="36"/>
        <v>0</v>
      </c>
      <c r="AD54" s="91"/>
      <c r="AE54" s="91"/>
      <c r="AF54" s="1282"/>
      <c r="AG54" s="91"/>
      <c r="AH54" s="91"/>
      <c r="AI54" s="91"/>
      <c r="AJ54" s="91"/>
      <c r="AK54" s="91"/>
      <c r="AL54" s="91"/>
      <c r="AM54" s="91"/>
      <c r="AN54" s="91"/>
      <c r="AO54" s="91"/>
      <c r="AP54" s="91"/>
      <c r="AQ54" s="91"/>
      <c r="AR54" s="91"/>
      <c r="AS54" s="91"/>
      <c r="AT54" s="92"/>
      <c r="AU54" s="93"/>
      <c r="AV54" s="1860">
        <f t="shared" si="37"/>
        <v>0</v>
      </c>
      <c r="AW54" s="1860">
        <f t="shared" si="38"/>
        <v>0</v>
      </c>
      <c r="AX54" s="1860">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283"/>
      <c r="C55" s="1284"/>
      <c r="D55" s="79"/>
      <c r="E55" s="86">
        <f t="shared" si="33"/>
        <v>0</v>
      </c>
      <c r="F55" s="87"/>
      <c r="G55" s="88">
        <f t="shared" si="34"/>
        <v>0</v>
      </c>
      <c r="H55" s="89">
        <f t="shared" si="35"/>
        <v>0</v>
      </c>
      <c r="I55" s="1282"/>
      <c r="J55" s="90"/>
      <c r="K55" s="1282"/>
      <c r="L55" s="90"/>
      <c r="M55" s="1282"/>
      <c r="N55" s="90"/>
      <c r="O55" s="90"/>
      <c r="P55" s="90"/>
      <c r="Q55" s="90"/>
      <c r="R55" s="90"/>
      <c r="S55" s="90"/>
      <c r="T55" s="90"/>
      <c r="U55" s="90"/>
      <c r="V55" s="90"/>
      <c r="W55" s="90"/>
      <c r="X55" s="90"/>
      <c r="Y55" s="90"/>
      <c r="Z55" s="90"/>
      <c r="AA55" s="90"/>
      <c r="AB55" s="90"/>
      <c r="AC55" s="86">
        <f t="shared" si="36"/>
        <v>0</v>
      </c>
      <c r="AD55" s="91"/>
      <c r="AE55" s="91"/>
      <c r="AF55" s="1282"/>
      <c r="AG55" s="91"/>
      <c r="AH55" s="91"/>
      <c r="AI55" s="91"/>
      <c r="AJ55" s="91"/>
      <c r="AK55" s="91"/>
      <c r="AL55" s="91"/>
      <c r="AM55" s="91"/>
      <c r="AN55" s="91"/>
      <c r="AO55" s="91"/>
      <c r="AP55" s="91"/>
      <c r="AQ55" s="91"/>
      <c r="AR55" s="91"/>
      <c r="AS55" s="91"/>
      <c r="AT55" s="92"/>
      <c r="AU55" s="93"/>
      <c r="AV55" s="1860">
        <f t="shared" si="37"/>
        <v>0</v>
      </c>
      <c r="AW55" s="1860">
        <f t="shared" si="38"/>
        <v>0</v>
      </c>
      <c r="AX55" s="1860">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60">
        <f t="shared" si="37"/>
        <v>0</v>
      </c>
      <c r="AW56" s="1860">
        <f t="shared" si="38"/>
        <v>0</v>
      </c>
      <c r="AX56" s="1860">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60">
        <f t="shared" si="37"/>
        <v>0</v>
      </c>
      <c r="AW57" s="1860">
        <f t="shared" si="38"/>
        <v>0</v>
      </c>
      <c r="AX57" s="1860">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60">
        <f t="shared" si="37"/>
        <v>0</v>
      </c>
      <c r="AW58" s="1860">
        <f t="shared" si="38"/>
        <v>0</v>
      </c>
      <c r="AX58" s="1860">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60">
        <f t="shared" si="37"/>
        <v>0</v>
      </c>
      <c r="AW59" s="1860">
        <f t="shared" si="38"/>
        <v>0</v>
      </c>
      <c r="AX59" s="1860">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60">
        <f t="shared" si="37"/>
        <v>0</v>
      </c>
      <c r="AW60" s="1860">
        <f t="shared" si="38"/>
        <v>0</v>
      </c>
      <c r="AX60" s="1860">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60">
        <f t="shared" si="37"/>
        <v>0</v>
      </c>
      <c r="AW61" s="1860">
        <f t="shared" si="38"/>
        <v>0</v>
      </c>
      <c r="AX61" s="1860">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60">
        <f t="shared" si="37"/>
        <v>0</v>
      </c>
      <c r="AW62" s="1860">
        <f t="shared" si="38"/>
        <v>0</v>
      </c>
      <c r="AX62" s="1860">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60">
        <f t="shared" si="37"/>
        <v>0</v>
      </c>
      <c r="AW63" s="1860">
        <f t="shared" si="38"/>
        <v>0</v>
      </c>
      <c r="AX63" s="1860">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60">
        <f t="shared" si="37"/>
        <v>0</v>
      </c>
      <c r="AW64" s="1860">
        <f t="shared" si="38"/>
        <v>0</v>
      </c>
      <c r="AX64" s="1860">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60">
        <f t="shared" si="37"/>
        <v>0</v>
      </c>
      <c r="AW65" s="1860">
        <f t="shared" si="38"/>
        <v>0</v>
      </c>
      <c r="AX65" s="1860">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60">
        <f t="shared" si="37"/>
        <v>0</v>
      </c>
      <c r="AW66" s="1860">
        <f t="shared" si="38"/>
        <v>0</v>
      </c>
      <c r="AX66" s="1860">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60">
        <f t="shared" si="37"/>
        <v>0</v>
      </c>
      <c r="AW67" s="1860">
        <f t="shared" si="38"/>
        <v>0</v>
      </c>
      <c r="AX67" s="1860">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60">
        <f t="shared" si="37"/>
        <v>0</v>
      </c>
      <c r="AW68" s="1860">
        <f t="shared" si="38"/>
        <v>0</v>
      </c>
      <c r="AX68" s="1860">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60">
        <f t="shared" si="37"/>
        <v>0</v>
      </c>
      <c r="AW69" s="1860">
        <f t="shared" si="38"/>
        <v>0</v>
      </c>
      <c r="AX69" s="1860">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60">
        <f t="shared" si="37"/>
        <v>0</v>
      </c>
      <c r="AW70" s="1860">
        <f t="shared" si="38"/>
        <v>0</v>
      </c>
      <c r="AX70" s="1860">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60">
        <f t="shared" si="37"/>
        <v>0</v>
      </c>
      <c r="AW71" s="1860">
        <f t="shared" si="38"/>
        <v>0</v>
      </c>
      <c r="AX71" s="1860">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60">
        <f t="shared" si="37"/>
        <v>0</v>
      </c>
      <c r="AW72" s="1860">
        <f t="shared" si="38"/>
        <v>0</v>
      </c>
      <c r="AX72" s="1860">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60">
        <f t="shared" si="37"/>
        <v>0</v>
      </c>
      <c r="AW73" s="1860">
        <f t="shared" si="38"/>
        <v>0</v>
      </c>
      <c r="AX73" s="1860">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60">
        <f t="shared" si="37"/>
        <v>0</v>
      </c>
      <c r="AW74" s="1860">
        <f t="shared" si="38"/>
        <v>0</v>
      </c>
      <c r="AX74" s="1860">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60">
        <f t="shared" si="37"/>
        <v>0</v>
      </c>
      <c r="AW75" s="1860">
        <f t="shared" si="38"/>
        <v>0</v>
      </c>
      <c r="AX75" s="1860">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60">
        <f t="shared" si="37"/>
        <v>0</v>
      </c>
      <c r="AW76" s="1860">
        <f t="shared" si="38"/>
        <v>0</v>
      </c>
      <c r="AX76" s="1860">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60">
        <f t="shared" si="37"/>
        <v>0</v>
      </c>
      <c r="AW77" s="1860">
        <f t="shared" si="38"/>
        <v>0</v>
      </c>
      <c r="AX77" s="1860">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60">
        <f t="shared" si="37"/>
        <v>0</v>
      </c>
      <c r="AW78" s="1860">
        <f t="shared" si="38"/>
        <v>0</v>
      </c>
      <c r="AX78" s="1860">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60">
        <f t="shared" si="37"/>
        <v>0</v>
      </c>
      <c r="AW79" s="1860">
        <f t="shared" si="38"/>
        <v>0</v>
      </c>
      <c r="AX79" s="1860">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60">
        <f t="shared" si="37"/>
        <v>0</v>
      </c>
      <c r="AW80" s="1860">
        <f t="shared" si="38"/>
        <v>0</v>
      </c>
      <c r="AX80" s="1860">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60">
        <f t="shared" si="37"/>
        <v>0</v>
      </c>
      <c r="AW81" s="1860">
        <f t="shared" si="38"/>
        <v>0</v>
      </c>
      <c r="AX81" s="1860">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60">
        <f t="shared" si="37"/>
        <v>0</v>
      </c>
      <c r="AW82" s="1860">
        <f t="shared" si="38"/>
        <v>0</v>
      </c>
      <c r="AX82" s="1860">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60">
        <f t="shared" si="37"/>
        <v>0</v>
      </c>
      <c r="AW83" s="1860">
        <f t="shared" si="38"/>
        <v>0</v>
      </c>
      <c r="AX83" s="1860">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60">
        <f t="shared" si="37"/>
        <v>0</v>
      </c>
      <c r="AW84" s="1860">
        <f t="shared" si="38"/>
        <v>0</v>
      </c>
      <c r="AX84" s="1860">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60">
        <f t="shared" si="37"/>
        <v>0</v>
      </c>
      <c r="AW85" s="1860">
        <f t="shared" si="38"/>
        <v>0</v>
      </c>
      <c r="AX85" s="1860">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60">
        <f t="shared" si="37"/>
        <v>0</v>
      </c>
      <c r="AW86" s="1860">
        <f t="shared" si="38"/>
        <v>0</v>
      </c>
      <c r="AX86" s="1860">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60">
        <f t="shared" si="37"/>
        <v>0</v>
      </c>
      <c r="AW87" s="1860">
        <f t="shared" si="38"/>
        <v>0</v>
      </c>
      <c r="AX87" s="1860">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60">
        <f t="shared" si="37"/>
        <v>0</v>
      </c>
      <c r="AW88" s="1860">
        <f t="shared" si="38"/>
        <v>0</v>
      </c>
      <c r="AX88" s="1860">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60">
        <f t="shared" si="37"/>
        <v>0</v>
      </c>
      <c r="AW89" s="1860">
        <f t="shared" si="38"/>
        <v>0</v>
      </c>
      <c r="AX89" s="1860">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60">
        <f t="shared" si="37"/>
        <v>0</v>
      </c>
      <c r="AW90" s="1860">
        <f t="shared" si="38"/>
        <v>0</v>
      </c>
      <c r="AX90" s="1860">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60">
        <f t="shared" si="37"/>
        <v>0</v>
      </c>
      <c r="AW91" s="1860">
        <f t="shared" si="38"/>
        <v>0</v>
      </c>
      <c r="AX91" s="1860">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60">
        <f t="shared" si="37"/>
        <v>0</v>
      </c>
      <c r="AW92" s="1860">
        <f t="shared" si="38"/>
        <v>0</v>
      </c>
      <c r="AX92" s="1860">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60">
        <f t="shared" si="37"/>
        <v>0</v>
      </c>
      <c r="AW93" s="1860">
        <f t="shared" si="38"/>
        <v>0</v>
      </c>
      <c r="AX93" s="1860">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60">
        <f t="shared" si="37"/>
        <v>0</v>
      </c>
      <c r="AW94" s="1860">
        <f t="shared" si="38"/>
        <v>0</v>
      </c>
      <c r="AX94" s="1860">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60">
        <f t="shared" si="37"/>
        <v>0</v>
      </c>
      <c r="AW95" s="1860">
        <f t="shared" si="38"/>
        <v>0</v>
      </c>
      <c r="AX95" s="1860">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60">
        <f t="shared" si="37"/>
        <v>0</v>
      </c>
      <c r="AW96" s="1860">
        <f t="shared" si="38"/>
        <v>0</v>
      </c>
      <c r="AX96" s="1860">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60">
        <f t="shared" si="37"/>
        <v>0</v>
      </c>
      <c r="AW97" s="1860">
        <f t="shared" si="38"/>
        <v>0</v>
      </c>
      <c r="AX97" s="1860">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60">
        <f t="shared" si="37"/>
        <v>0</v>
      </c>
      <c r="AW98" s="1860">
        <f t="shared" si="38"/>
        <v>0</v>
      </c>
      <c r="AX98" s="1860">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60">
        <f t="shared" si="37"/>
        <v>0</v>
      </c>
      <c r="AW99" s="1860">
        <f t="shared" si="38"/>
        <v>0</v>
      </c>
      <c r="AX99" s="1860">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60">
        <f t="shared" si="37"/>
        <v>0</v>
      </c>
      <c r="AW100" s="1860">
        <f t="shared" si="38"/>
        <v>0</v>
      </c>
      <c r="AX100" s="1860">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60">
        <f t="shared" si="37"/>
        <v>0</v>
      </c>
      <c r="AW101" s="1860">
        <f t="shared" si="38"/>
        <v>0</v>
      </c>
      <c r="AX101" s="1860">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60">
        <f t="shared" si="37"/>
        <v>0</v>
      </c>
      <c r="AW102" s="1860">
        <f t="shared" si="38"/>
        <v>0</v>
      </c>
      <c r="AX102" s="1860">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60">
        <f t="shared" si="37"/>
        <v>0</v>
      </c>
      <c r="AW103" s="1860">
        <f t="shared" si="38"/>
        <v>0</v>
      </c>
      <c r="AX103" s="1860">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60">
        <f t="shared" si="37"/>
        <v>0</v>
      </c>
      <c r="AW104" s="1860">
        <f t="shared" si="38"/>
        <v>0</v>
      </c>
      <c r="AX104" s="1860">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60">
        <f t="shared" si="37"/>
        <v>0</v>
      </c>
      <c r="AW105" s="1860">
        <f t="shared" si="38"/>
        <v>0</v>
      </c>
      <c r="AX105" s="1860">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60">
        <f t="shared" si="37"/>
        <v>0</v>
      </c>
      <c r="AW106" s="1860">
        <f t="shared" si="38"/>
        <v>0</v>
      </c>
      <c r="AX106" s="1860">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60">
        <f t="shared" si="37"/>
        <v>0</v>
      </c>
      <c r="AW107" s="1860">
        <f t="shared" si="38"/>
        <v>0</v>
      </c>
      <c r="AX107" s="1860">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60">
        <f t="shared" si="37"/>
        <v>0</v>
      </c>
      <c r="AW108" s="1860">
        <f t="shared" si="38"/>
        <v>0</v>
      </c>
      <c r="AX108" s="1860">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60">
        <f t="shared" si="37"/>
        <v>0</v>
      </c>
      <c r="AW109" s="1860">
        <f t="shared" si="38"/>
        <v>0</v>
      </c>
      <c r="AX109" s="1860">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60">
        <f t="shared" si="37"/>
        <v>0</v>
      </c>
      <c r="AW110" s="1860">
        <f t="shared" si="38"/>
        <v>0</v>
      </c>
      <c r="AX110" s="1860">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60">
        <f t="shared" si="37"/>
        <v>0</v>
      </c>
      <c r="AW111" s="1860">
        <f t="shared" si="38"/>
        <v>0</v>
      </c>
      <c r="AX111" s="1860">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60">
        <f t="shared" si="37"/>
        <v>0</v>
      </c>
      <c r="AW112" s="1860">
        <f t="shared" si="38"/>
        <v>0</v>
      </c>
      <c r="AX112" s="1860">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281"/>
      <c r="C113" s="1282"/>
      <c r="D113" s="79"/>
      <c r="E113" s="86">
        <f t="shared" ref="E113:E144" si="87">IF($C$3="是",ROUND($A$3*G113/$B$3,2),ROUND($A$3*(G113-AT113)/$B$3,2))</f>
        <v>0</v>
      </c>
      <c r="F113" s="87"/>
      <c r="G113" s="88">
        <f t="shared" si="62"/>
        <v>0</v>
      </c>
      <c r="H113" s="89">
        <f t="shared" si="63"/>
        <v>0</v>
      </c>
      <c r="I113" s="1284"/>
      <c r="J113" s="90"/>
      <c r="K113" s="1284"/>
      <c r="L113" s="90"/>
      <c r="M113" s="90"/>
      <c r="N113" s="90"/>
      <c r="O113" s="90"/>
      <c r="P113" s="90"/>
      <c r="Q113" s="90"/>
      <c r="R113" s="90"/>
      <c r="S113" s="90"/>
      <c r="T113" s="90"/>
      <c r="U113" s="90"/>
      <c r="V113" s="90"/>
      <c r="W113" s="90"/>
      <c r="X113" s="90"/>
      <c r="Y113" s="90"/>
      <c r="Z113" s="90"/>
      <c r="AA113" s="90"/>
      <c r="AB113" s="90"/>
      <c r="AC113" s="86">
        <f t="shared" si="64"/>
        <v>0</v>
      </c>
      <c r="AD113" s="91"/>
      <c r="AE113" s="91"/>
      <c r="AF113" s="1285"/>
      <c r="AG113" s="91"/>
      <c r="AH113" s="91"/>
      <c r="AI113" s="91"/>
      <c r="AJ113" s="91"/>
      <c r="AK113" s="91"/>
      <c r="AL113" s="91"/>
      <c r="AM113" s="91"/>
      <c r="AN113" s="1252"/>
      <c r="AO113" s="91"/>
      <c r="AP113" s="91"/>
      <c r="AQ113" s="91"/>
      <c r="AR113" s="91"/>
      <c r="AS113" s="91"/>
      <c r="AT113" s="92"/>
      <c r="AU113" s="93"/>
      <c r="AV113" s="1860">
        <f t="shared" ref="AV113:AV144" si="88">A113</f>
        <v>0</v>
      </c>
      <c r="AW113" s="1860">
        <f t="shared" ref="AW113:AW144" si="89">B113</f>
        <v>0</v>
      </c>
      <c r="AX113" s="1860">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281"/>
      <c r="C114" s="1282"/>
      <c r="D114" s="79"/>
      <c r="E114" s="86">
        <f t="shared" si="87"/>
        <v>0</v>
      </c>
      <c r="F114" s="87"/>
      <c r="G114" s="88">
        <f t="shared" si="62"/>
        <v>0</v>
      </c>
      <c r="H114" s="89">
        <f t="shared" si="63"/>
        <v>0</v>
      </c>
      <c r="I114" s="1284"/>
      <c r="J114" s="90"/>
      <c r="K114" s="1284"/>
      <c r="L114" s="90"/>
      <c r="M114" s="1252"/>
      <c r="N114" s="90"/>
      <c r="O114" s="90"/>
      <c r="P114" s="90"/>
      <c r="Q114" s="90"/>
      <c r="R114" s="90"/>
      <c r="S114" s="90"/>
      <c r="T114" s="90"/>
      <c r="U114" s="90"/>
      <c r="V114" s="90"/>
      <c r="W114" s="90"/>
      <c r="X114" s="90"/>
      <c r="Y114" s="90"/>
      <c r="Z114" s="90"/>
      <c r="AA114" s="90"/>
      <c r="AB114" s="90"/>
      <c r="AC114" s="86">
        <f t="shared" si="64"/>
        <v>0</v>
      </c>
      <c r="AD114" s="1252"/>
      <c r="AE114" s="91"/>
      <c r="AF114" s="1285"/>
      <c r="AG114" s="91"/>
      <c r="AH114" s="91"/>
      <c r="AI114" s="91"/>
      <c r="AJ114" s="91"/>
      <c r="AK114" s="91"/>
      <c r="AL114" s="1252"/>
      <c r="AM114" s="91"/>
      <c r="AN114" s="1252"/>
      <c r="AO114" s="91"/>
      <c r="AP114" s="91"/>
      <c r="AQ114" s="91"/>
      <c r="AR114" s="91"/>
      <c r="AS114" s="91"/>
      <c r="AT114" s="92"/>
      <c r="AU114" s="93"/>
      <c r="AV114" s="1860">
        <f t="shared" si="88"/>
        <v>0</v>
      </c>
      <c r="AW114" s="1860">
        <f t="shared" si="89"/>
        <v>0</v>
      </c>
      <c r="AX114" s="1860">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281"/>
      <c r="C115" s="1282"/>
      <c r="D115" s="79"/>
      <c r="E115" s="86">
        <f t="shared" si="87"/>
        <v>0</v>
      </c>
      <c r="F115" s="87"/>
      <c r="G115" s="88">
        <f t="shared" si="62"/>
        <v>0</v>
      </c>
      <c r="H115" s="89">
        <f t="shared" si="63"/>
        <v>0</v>
      </c>
      <c r="I115" s="1284"/>
      <c r="J115" s="90"/>
      <c r="K115" s="1284"/>
      <c r="L115" s="90"/>
      <c r="M115" s="1252"/>
      <c r="N115" s="90"/>
      <c r="O115" s="90"/>
      <c r="P115" s="90"/>
      <c r="Q115" s="90"/>
      <c r="R115" s="90"/>
      <c r="S115" s="90"/>
      <c r="T115" s="90"/>
      <c r="U115" s="90"/>
      <c r="V115" s="90"/>
      <c r="W115" s="90"/>
      <c r="X115" s="90"/>
      <c r="Y115" s="90"/>
      <c r="Z115" s="90"/>
      <c r="AA115" s="90"/>
      <c r="AB115" s="90"/>
      <c r="AC115" s="86">
        <f t="shared" si="64"/>
        <v>0</v>
      </c>
      <c r="AD115" s="91"/>
      <c r="AE115" s="91"/>
      <c r="AF115" s="1285"/>
      <c r="AG115" s="91"/>
      <c r="AH115" s="91"/>
      <c r="AI115" s="91"/>
      <c r="AJ115" s="91"/>
      <c r="AK115" s="91"/>
      <c r="AL115" s="1252"/>
      <c r="AM115" s="91"/>
      <c r="AN115" s="1252"/>
      <c r="AO115" s="91"/>
      <c r="AP115" s="91"/>
      <c r="AQ115" s="91"/>
      <c r="AR115" s="91"/>
      <c r="AS115" s="91"/>
      <c r="AT115" s="92"/>
      <c r="AU115" s="93"/>
      <c r="AV115" s="1860">
        <f t="shared" si="88"/>
        <v>0</v>
      </c>
      <c r="AW115" s="1860">
        <f t="shared" si="89"/>
        <v>0</v>
      </c>
      <c r="AX115" s="1860">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281"/>
      <c r="C116" s="1282"/>
      <c r="D116" s="79"/>
      <c r="E116" s="86">
        <f t="shared" si="87"/>
        <v>0</v>
      </c>
      <c r="F116" s="87"/>
      <c r="G116" s="88">
        <f t="shared" si="62"/>
        <v>0</v>
      </c>
      <c r="H116" s="89">
        <f t="shared" si="63"/>
        <v>0</v>
      </c>
      <c r="I116" s="1284"/>
      <c r="J116" s="90"/>
      <c r="K116" s="1284"/>
      <c r="L116" s="90"/>
      <c r="M116" s="90"/>
      <c r="N116" s="90"/>
      <c r="O116" s="1252"/>
      <c r="P116" s="90"/>
      <c r="Q116" s="90"/>
      <c r="R116" s="90"/>
      <c r="S116" s="90"/>
      <c r="T116" s="90"/>
      <c r="U116" s="90"/>
      <c r="V116" s="90"/>
      <c r="W116" s="90"/>
      <c r="X116" s="90"/>
      <c r="Y116" s="90"/>
      <c r="Z116" s="90"/>
      <c r="AA116" s="90"/>
      <c r="AB116" s="90"/>
      <c r="AC116" s="86">
        <f t="shared" si="64"/>
        <v>0</v>
      </c>
      <c r="AD116" s="91"/>
      <c r="AE116" s="91"/>
      <c r="AF116" s="1285"/>
      <c r="AG116" s="91"/>
      <c r="AH116" s="91"/>
      <c r="AI116" s="91"/>
      <c r="AJ116" s="91"/>
      <c r="AK116" s="91"/>
      <c r="AL116" s="91"/>
      <c r="AM116" s="91"/>
      <c r="AN116" s="1252"/>
      <c r="AO116" s="91"/>
      <c r="AP116" s="91"/>
      <c r="AQ116" s="91"/>
      <c r="AR116" s="91"/>
      <c r="AS116" s="91"/>
      <c r="AT116" s="92"/>
      <c r="AU116" s="93"/>
      <c r="AV116" s="1860">
        <f t="shared" si="88"/>
        <v>0</v>
      </c>
      <c r="AW116" s="1860">
        <f t="shared" si="89"/>
        <v>0</v>
      </c>
      <c r="AX116" s="1860">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281"/>
      <c r="C117" s="1282"/>
      <c r="D117" s="79"/>
      <c r="E117" s="86">
        <f t="shared" si="87"/>
        <v>0</v>
      </c>
      <c r="F117" s="87"/>
      <c r="G117" s="88">
        <f t="shared" si="62"/>
        <v>0</v>
      </c>
      <c r="H117" s="89">
        <f t="shared" si="63"/>
        <v>0</v>
      </c>
      <c r="I117" s="1284"/>
      <c r="J117" s="90"/>
      <c r="K117" s="1284"/>
      <c r="L117" s="90"/>
      <c r="M117" s="90"/>
      <c r="N117" s="90"/>
      <c r="O117" s="90"/>
      <c r="P117" s="90"/>
      <c r="Q117" s="90"/>
      <c r="R117" s="90"/>
      <c r="S117" s="90"/>
      <c r="T117" s="90"/>
      <c r="U117" s="90"/>
      <c r="V117" s="90"/>
      <c r="W117" s="90"/>
      <c r="X117" s="90"/>
      <c r="Y117" s="90"/>
      <c r="Z117" s="90"/>
      <c r="AA117" s="90"/>
      <c r="AB117" s="90"/>
      <c r="AC117" s="86">
        <f t="shared" si="64"/>
        <v>0</v>
      </c>
      <c r="AD117" s="91"/>
      <c r="AE117" s="91"/>
      <c r="AF117" s="1285"/>
      <c r="AG117" s="91"/>
      <c r="AH117" s="91"/>
      <c r="AI117" s="91"/>
      <c r="AJ117" s="91"/>
      <c r="AK117" s="91"/>
      <c r="AL117" s="91"/>
      <c r="AM117" s="91"/>
      <c r="AN117" s="91"/>
      <c r="AO117" s="91"/>
      <c r="AP117" s="91"/>
      <c r="AQ117" s="91"/>
      <c r="AR117" s="91"/>
      <c r="AS117" s="91"/>
      <c r="AT117" s="92"/>
      <c r="AU117" s="93"/>
      <c r="AV117" s="1860">
        <f t="shared" si="88"/>
        <v>0</v>
      </c>
      <c r="AW117" s="1860">
        <f t="shared" si="89"/>
        <v>0</v>
      </c>
      <c r="AX117" s="1860">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281"/>
      <c r="C118" s="1282"/>
      <c r="D118" s="79"/>
      <c r="E118" s="86">
        <f t="shared" si="87"/>
        <v>0</v>
      </c>
      <c r="F118" s="87"/>
      <c r="G118" s="88">
        <f t="shared" si="62"/>
        <v>0</v>
      </c>
      <c r="H118" s="89">
        <f t="shared" si="63"/>
        <v>0</v>
      </c>
      <c r="I118" s="1284"/>
      <c r="J118" s="90"/>
      <c r="K118" s="1284"/>
      <c r="L118" s="90"/>
      <c r="M118" s="90"/>
      <c r="N118" s="90"/>
      <c r="O118" s="90"/>
      <c r="P118" s="90"/>
      <c r="Q118" s="90"/>
      <c r="R118" s="90"/>
      <c r="S118" s="90"/>
      <c r="T118" s="90"/>
      <c r="U118" s="90"/>
      <c r="V118" s="90"/>
      <c r="W118" s="90"/>
      <c r="X118" s="90"/>
      <c r="Y118" s="90"/>
      <c r="Z118" s="90"/>
      <c r="AA118" s="90"/>
      <c r="AB118" s="90"/>
      <c r="AC118" s="86">
        <f t="shared" si="64"/>
        <v>0</v>
      </c>
      <c r="AD118" s="91"/>
      <c r="AE118" s="91"/>
      <c r="AF118" s="1285"/>
      <c r="AG118" s="91"/>
      <c r="AH118" s="91"/>
      <c r="AI118" s="91"/>
      <c r="AJ118" s="91"/>
      <c r="AK118" s="91"/>
      <c r="AL118" s="91"/>
      <c r="AM118" s="91"/>
      <c r="AN118" s="91"/>
      <c r="AO118" s="91"/>
      <c r="AP118" s="91"/>
      <c r="AQ118" s="91"/>
      <c r="AR118" s="91"/>
      <c r="AS118" s="91"/>
      <c r="AT118" s="92"/>
      <c r="AU118" s="93"/>
      <c r="AV118" s="1860">
        <f t="shared" si="88"/>
        <v>0</v>
      </c>
      <c r="AW118" s="1860">
        <f t="shared" si="89"/>
        <v>0</v>
      </c>
      <c r="AX118" s="1860">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281"/>
      <c r="C119" s="1282"/>
      <c r="D119" s="79"/>
      <c r="E119" s="86">
        <f t="shared" si="87"/>
        <v>0</v>
      </c>
      <c r="F119" s="87"/>
      <c r="G119" s="88">
        <f t="shared" si="62"/>
        <v>0</v>
      </c>
      <c r="H119" s="89">
        <f t="shared" si="63"/>
        <v>0</v>
      </c>
      <c r="I119" s="1284"/>
      <c r="J119" s="90"/>
      <c r="K119" s="1284"/>
      <c r="L119" s="90"/>
      <c r="M119" s="90"/>
      <c r="N119" s="90"/>
      <c r="O119" s="90"/>
      <c r="P119" s="90"/>
      <c r="Q119" s="90"/>
      <c r="R119" s="90"/>
      <c r="S119" s="90"/>
      <c r="T119" s="90"/>
      <c r="U119" s="90"/>
      <c r="V119" s="90"/>
      <c r="W119" s="90"/>
      <c r="X119" s="90"/>
      <c r="Y119" s="90"/>
      <c r="Z119" s="90"/>
      <c r="AA119" s="90"/>
      <c r="AB119" s="90"/>
      <c r="AC119" s="86">
        <f t="shared" si="64"/>
        <v>0</v>
      </c>
      <c r="AD119" s="91"/>
      <c r="AE119" s="91"/>
      <c r="AF119" s="1285"/>
      <c r="AG119" s="91"/>
      <c r="AH119" s="91"/>
      <c r="AI119" s="91"/>
      <c r="AJ119" s="91"/>
      <c r="AK119" s="91"/>
      <c r="AL119" s="91"/>
      <c r="AM119" s="91"/>
      <c r="AN119" s="91"/>
      <c r="AO119" s="91"/>
      <c r="AP119" s="91"/>
      <c r="AQ119" s="91"/>
      <c r="AR119" s="91"/>
      <c r="AS119" s="91"/>
      <c r="AT119" s="92"/>
      <c r="AU119" s="93"/>
      <c r="AV119" s="1860">
        <f t="shared" si="88"/>
        <v>0</v>
      </c>
      <c r="AW119" s="1860">
        <f t="shared" si="89"/>
        <v>0</v>
      </c>
      <c r="AX119" s="1860">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281"/>
      <c r="C120" s="1282"/>
      <c r="D120" s="79"/>
      <c r="E120" s="86">
        <f t="shared" si="87"/>
        <v>0</v>
      </c>
      <c r="F120" s="87"/>
      <c r="G120" s="88">
        <f t="shared" si="62"/>
        <v>0</v>
      </c>
      <c r="H120" s="89">
        <f t="shared" si="63"/>
        <v>0</v>
      </c>
      <c r="I120" s="1284"/>
      <c r="J120" s="90"/>
      <c r="K120" s="1284"/>
      <c r="L120" s="90"/>
      <c r="M120" s="90"/>
      <c r="N120" s="90"/>
      <c r="O120" s="90"/>
      <c r="P120" s="90"/>
      <c r="Q120" s="90"/>
      <c r="R120" s="90"/>
      <c r="S120" s="90"/>
      <c r="T120" s="90"/>
      <c r="U120" s="90"/>
      <c r="V120" s="90"/>
      <c r="W120" s="90"/>
      <c r="X120" s="90"/>
      <c r="Y120" s="90"/>
      <c r="Z120" s="90"/>
      <c r="AA120" s="90"/>
      <c r="AB120" s="90"/>
      <c r="AC120" s="86">
        <f t="shared" si="64"/>
        <v>0</v>
      </c>
      <c r="AD120" s="91"/>
      <c r="AE120" s="91"/>
      <c r="AF120" s="1284"/>
      <c r="AG120" s="91"/>
      <c r="AH120" s="91"/>
      <c r="AI120" s="91"/>
      <c r="AJ120" s="91"/>
      <c r="AK120" s="91"/>
      <c r="AL120" s="91"/>
      <c r="AM120" s="91"/>
      <c r="AN120" s="91"/>
      <c r="AO120" s="91"/>
      <c r="AP120" s="91"/>
      <c r="AQ120" s="91"/>
      <c r="AR120" s="91"/>
      <c r="AS120" s="91"/>
      <c r="AT120" s="92"/>
      <c r="AU120" s="93"/>
      <c r="AV120" s="1860">
        <f t="shared" si="88"/>
        <v>0</v>
      </c>
      <c r="AW120" s="1860">
        <f t="shared" si="89"/>
        <v>0</v>
      </c>
      <c r="AX120" s="1860">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283"/>
      <c r="C121" s="1284"/>
      <c r="D121" s="79"/>
      <c r="E121" s="86">
        <f t="shared" si="87"/>
        <v>0</v>
      </c>
      <c r="F121" s="87"/>
      <c r="G121" s="88">
        <f t="shared" si="62"/>
        <v>0</v>
      </c>
      <c r="H121" s="89">
        <f t="shared" si="63"/>
        <v>0</v>
      </c>
      <c r="I121" s="1284"/>
      <c r="J121" s="90"/>
      <c r="K121" s="1284"/>
      <c r="L121" s="90"/>
      <c r="M121" s="90"/>
      <c r="N121" s="90"/>
      <c r="O121" s="90"/>
      <c r="P121" s="90"/>
      <c r="Q121" s="90"/>
      <c r="R121" s="90"/>
      <c r="S121" s="90"/>
      <c r="T121" s="90"/>
      <c r="U121" s="90"/>
      <c r="V121" s="90"/>
      <c r="W121" s="90"/>
      <c r="X121" s="90"/>
      <c r="Y121" s="90"/>
      <c r="Z121" s="90"/>
      <c r="AA121" s="90"/>
      <c r="AB121" s="90"/>
      <c r="AC121" s="86">
        <f t="shared" si="64"/>
        <v>0</v>
      </c>
      <c r="AD121" s="91"/>
      <c r="AE121" s="91"/>
      <c r="AF121" s="1284"/>
      <c r="AG121" s="91"/>
      <c r="AH121" s="91"/>
      <c r="AI121" s="91"/>
      <c r="AJ121" s="91"/>
      <c r="AK121" s="91"/>
      <c r="AL121" s="91"/>
      <c r="AM121" s="91"/>
      <c r="AN121" s="91"/>
      <c r="AO121" s="91"/>
      <c r="AP121" s="91"/>
      <c r="AQ121" s="91"/>
      <c r="AR121" s="91"/>
      <c r="AS121" s="91"/>
      <c r="AT121" s="92"/>
      <c r="AU121" s="93"/>
      <c r="AV121" s="1860">
        <f t="shared" si="88"/>
        <v>0</v>
      </c>
      <c r="AW121" s="1860">
        <f t="shared" si="89"/>
        <v>0</v>
      </c>
      <c r="AX121" s="1860">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281"/>
      <c r="C122" s="1282"/>
      <c r="D122" s="79"/>
      <c r="E122" s="86">
        <f t="shared" si="87"/>
        <v>0</v>
      </c>
      <c r="F122" s="87"/>
      <c r="G122" s="88">
        <f t="shared" si="62"/>
        <v>0</v>
      </c>
      <c r="H122" s="89">
        <f t="shared" si="63"/>
        <v>0</v>
      </c>
      <c r="I122" s="1284"/>
      <c r="J122" s="90"/>
      <c r="K122" s="1284"/>
      <c r="L122" s="90"/>
      <c r="M122" s="90"/>
      <c r="N122" s="90"/>
      <c r="O122" s="90"/>
      <c r="P122" s="90"/>
      <c r="Q122" s="90"/>
      <c r="R122" s="90"/>
      <c r="S122" s="90"/>
      <c r="T122" s="90"/>
      <c r="U122" s="90"/>
      <c r="V122" s="90"/>
      <c r="W122" s="90"/>
      <c r="X122" s="90"/>
      <c r="Y122" s="90"/>
      <c r="Z122" s="90"/>
      <c r="AA122" s="90"/>
      <c r="AB122" s="90"/>
      <c r="AC122" s="86">
        <f t="shared" si="64"/>
        <v>0</v>
      </c>
      <c r="AD122" s="91"/>
      <c r="AE122" s="91"/>
      <c r="AF122" s="1284"/>
      <c r="AG122" s="91"/>
      <c r="AH122" s="91"/>
      <c r="AI122" s="91"/>
      <c r="AJ122" s="91"/>
      <c r="AK122" s="91"/>
      <c r="AL122" s="91"/>
      <c r="AM122" s="91"/>
      <c r="AN122" s="91"/>
      <c r="AO122" s="91"/>
      <c r="AP122" s="91"/>
      <c r="AQ122" s="91"/>
      <c r="AR122" s="91"/>
      <c r="AS122" s="91"/>
      <c r="AT122" s="92"/>
      <c r="AU122" s="93"/>
      <c r="AV122" s="1860">
        <f t="shared" si="88"/>
        <v>0</v>
      </c>
      <c r="AW122" s="1860">
        <f t="shared" si="89"/>
        <v>0</v>
      </c>
      <c r="AX122" s="1860">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281"/>
      <c r="C123" s="1282"/>
      <c r="D123" s="79"/>
      <c r="E123" s="86">
        <f t="shared" si="87"/>
        <v>0</v>
      </c>
      <c r="F123" s="87"/>
      <c r="G123" s="88">
        <f t="shared" si="62"/>
        <v>0</v>
      </c>
      <c r="H123" s="89">
        <f t="shared" si="63"/>
        <v>0</v>
      </c>
      <c r="I123" s="1284"/>
      <c r="J123" s="90"/>
      <c r="K123" s="1284"/>
      <c r="L123" s="90"/>
      <c r="M123" s="90"/>
      <c r="N123" s="90"/>
      <c r="O123" s="90"/>
      <c r="P123" s="90"/>
      <c r="Q123" s="90"/>
      <c r="R123" s="90"/>
      <c r="S123" s="90"/>
      <c r="T123" s="90"/>
      <c r="U123" s="90"/>
      <c r="V123" s="90"/>
      <c r="W123" s="90"/>
      <c r="X123" s="90"/>
      <c r="Y123" s="90"/>
      <c r="Z123" s="90"/>
      <c r="AA123" s="90"/>
      <c r="AB123" s="90"/>
      <c r="AC123" s="86">
        <f t="shared" si="64"/>
        <v>0</v>
      </c>
      <c r="AD123" s="91"/>
      <c r="AE123" s="91"/>
      <c r="AF123" s="1284"/>
      <c r="AG123" s="91"/>
      <c r="AH123" s="91"/>
      <c r="AI123" s="91"/>
      <c r="AJ123" s="91"/>
      <c r="AK123" s="91"/>
      <c r="AL123" s="91"/>
      <c r="AM123" s="91"/>
      <c r="AN123" s="91"/>
      <c r="AO123" s="91"/>
      <c r="AP123" s="91"/>
      <c r="AQ123" s="91"/>
      <c r="AR123" s="91"/>
      <c r="AS123" s="91"/>
      <c r="AT123" s="92"/>
      <c r="AU123" s="93"/>
      <c r="AV123" s="1860">
        <f t="shared" si="88"/>
        <v>0</v>
      </c>
      <c r="AW123" s="1860">
        <f t="shared" si="89"/>
        <v>0</v>
      </c>
      <c r="AX123" s="1860">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281"/>
      <c r="C124" s="1282"/>
      <c r="D124" s="79"/>
      <c r="E124" s="86">
        <f t="shared" si="87"/>
        <v>0</v>
      </c>
      <c r="F124" s="87"/>
      <c r="G124" s="88">
        <f t="shared" si="62"/>
        <v>0</v>
      </c>
      <c r="H124" s="89">
        <f t="shared" si="63"/>
        <v>0</v>
      </c>
      <c r="I124" s="1284"/>
      <c r="J124" s="90"/>
      <c r="K124" s="1284"/>
      <c r="L124" s="90"/>
      <c r="M124" s="90"/>
      <c r="N124" s="90"/>
      <c r="O124" s="90"/>
      <c r="P124" s="90"/>
      <c r="Q124" s="90"/>
      <c r="R124" s="90"/>
      <c r="S124" s="90"/>
      <c r="T124" s="90"/>
      <c r="U124" s="90"/>
      <c r="V124" s="90"/>
      <c r="W124" s="90"/>
      <c r="X124" s="90"/>
      <c r="Y124" s="90"/>
      <c r="Z124" s="90"/>
      <c r="AA124" s="90"/>
      <c r="AB124" s="90"/>
      <c r="AC124" s="86">
        <f t="shared" si="64"/>
        <v>0</v>
      </c>
      <c r="AD124" s="91"/>
      <c r="AE124" s="91"/>
      <c r="AF124" s="1284"/>
      <c r="AG124" s="91"/>
      <c r="AH124" s="91"/>
      <c r="AI124" s="91"/>
      <c r="AJ124" s="91"/>
      <c r="AK124" s="91"/>
      <c r="AL124" s="91"/>
      <c r="AM124" s="91"/>
      <c r="AN124" s="91"/>
      <c r="AO124" s="91"/>
      <c r="AP124" s="91"/>
      <c r="AQ124" s="91"/>
      <c r="AR124" s="91"/>
      <c r="AS124" s="91"/>
      <c r="AT124" s="92"/>
      <c r="AU124" s="93"/>
      <c r="AV124" s="1860">
        <f t="shared" si="88"/>
        <v>0</v>
      </c>
      <c r="AW124" s="1860">
        <f t="shared" si="89"/>
        <v>0</v>
      </c>
      <c r="AX124" s="1860">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281"/>
      <c r="C125" s="1282"/>
      <c r="D125" s="79"/>
      <c r="E125" s="86">
        <f t="shared" si="87"/>
        <v>0</v>
      </c>
      <c r="F125" s="87"/>
      <c r="G125" s="88">
        <f t="shared" si="62"/>
        <v>0</v>
      </c>
      <c r="H125" s="89">
        <f t="shared" si="63"/>
        <v>0</v>
      </c>
      <c r="I125" s="1284"/>
      <c r="J125" s="90"/>
      <c r="K125" s="1284"/>
      <c r="L125" s="90"/>
      <c r="M125" s="90"/>
      <c r="N125" s="90"/>
      <c r="O125" s="90"/>
      <c r="P125" s="90"/>
      <c r="Q125" s="90"/>
      <c r="R125" s="90"/>
      <c r="S125" s="90"/>
      <c r="T125" s="90"/>
      <c r="U125" s="90"/>
      <c r="V125" s="90"/>
      <c r="W125" s="90"/>
      <c r="X125" s="90"/>
      <c r="Y125" s="90"/>
      <c r="Z125" s="90"/>
      <c r="AA125" s="90"/>
      <c r="AB125" s="90"/>
      <c r="AC125" s="86">
        <f t="shared" si="64"/>
        <v>0</v>
      </c>
      <c r="AD125" s="91"/>
      <c r="AE125" s="91"/>
      <c r="AF125" s="1284"/>
      <c r="AG125" s="91"/>
      <c r="AH125" s="91"/>
      <c r="AI125" s="91"/>
      <c r="AJ125" s="91"/>
      <c r="AK125" s="91"/>
      <c r="AL125" s="91"/>
      <c r="AM125" s="91"/>
      <c r="AN125" s="91"/>
      <c r="AO125" s="91"/>
      <c r="AP125" s="91"/>
      <c r="AQ125" s="91"/>
      <c r="AR125" s="91"/>
      <c r="AS125" s="91"/>
      <c r="AT125" s="92"/>
      <c r="AU125" s="93"/>
      <c r="AV125" s="1860">
        <f t="shared" si="88"/>
        <v>0</v>
      </c>
      <c r="AW125" s="1860">
        <f t="shared" si="89"/>
        <v>0</v>
      </c>
      <c r="AX125" s="1860">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281"/>
      <c r="C126" s="1282"/>
      <c r="D126" s="79"/>
      <c r="E126" s="86">
        <f t="shared" si="87"/>
        <v>0</v>
      </c>
      <c r="F126" s="87"/>
      <c r="G126" s="88">
        <f t="shared" si="62"/>
        <v>0</v>
      </c>
      <c r="H126" s="89">
        <f t="shared" si="63"/>
        <v>0</v>
      </c>
      <c r="I126" s="1284"/>
      <c r="J126" s="90"/>
      <c r="K126" s="1284"/>
      <c r="L126" s="90"/>
      <c r="M126" s="90"/>
      <c r="N126" s="90"/>
      <c r="O126" s="90"/>
      <c r="P126" s="90"/>
      <c r="Q126" s="90"/>
      <c r="R126" s="90"/>
      <c r="S126" s="90"/>
      <c r="T126" s="90"/>
      <c r="U126" s="90"/>
      <c r="V126" s="90"/>
      <c r="W126" s="90"/>
      <c r="X126" s="90"/>
      <c r="Y126" s="90"/>
      <c r="Z126" s="90"/>
      <c r="AA126" s="90"/>
      <c r="AB126" s="90"/>
      <c r="AC126" s="86">
        <f t="shared" si="64"/>
        <v>0</v>
      </c>
      <c r="AD126" s="91"/>
      <c r="AE126" s="91"/>
      <c r="AF126" s="1284"/>
      <c r="AG126" s="91"/>
      <c r="AH126" s="91"/>
      <c r="AI126" s="91"/>
      <c r="AJ126" s="91"/>
      <c r="AK126" s="91"/>
      <c r="AL126" s="91"/>
      <c r="AM126" s="91"/>
      <c r="AN126" s="91"/>
      <c r="AO126" s="91"/>
      <c r="AP126" s="91"/>
      <c r="AQ126" s="91"/>
      <c r="AR126" s="91"/>
      <c r="AS126" s="91"/>
      <c r="AT126" s="92"/>
      <c r="AU126" s="93"/>
      <c r="AV126" s="1860">
        <f t="shared" si="88"/>
        <v>0</v>
      </c>
      <c r="AW126" s="1860">
        <f t="shared" si="89"/>
        <v>0</v>
      </c>
      <c r="AX126" s="1860">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281"/>
      <c r="C127" s="1282"/>
      <c r="D127" s="79"/>
      <c r="E127" s="86">
        <f t="shared" si="87"/>
        <v>0</v>
      </c>
      <c r="F127" s="87"/>
      <c r="G127" s="88">
        <f t="shared" si="62"/>
        <v>0</v>
      </c>
      <c r="H127" s="89">
        <f t="shared" si="63"/>
        <v>0</v>
      </c>
      <c r="I127" s="1284"/>
      <c r="J127" s="90"/>
      <c r="K127" s="1284"/>
      <c r="L127" s="90"/>
      <c r="M127" s="90"/>
      <c r="N127" s="90"/>
      <c r="O127" s="90"/>
      <c r="P127" s="90"/>
      <c r="Q127" s="90"/>
      <c r="R127" s="90"/>
      <c r="S127" s="90"/>
      <c r="T127" s="90"/>
      <c r="U127" s="90"/>
      <c r="V127" s="90"/>
      <c r="W127" s="90"/>
      <c r="X127" s="90"/>
      <c r="Y127" s="90"/>
      <c r="Z127" s="90"/>
      <c r="AA127" s="90"/>
      <c r="AB127" s="90"/>
      <c r="AC127" s="86">
        <f t="shared" si="64"/>
        <v>0</v>
      </c>
      <c r="AD127" s="91"/>
      <c r="AE127" s="91"/>
      <c r="AF127" s="1284"/>
      <c r="AG127" s="91"/>
      <c r="AH127" s="91"/>
      <c r="AI127" s="91"/>
      <c r="AJ127" s="91"/>
      <c r="AK127" s="91"/>
      <c r="AL127" s="91"/>
      <c r="AM127" s="91"/>
      <c r="AN127" s="91"/>
      <c r="AO127" s="91"/>
      <c r="AP127" s="91"/>
      <c r="AQ127" s="91"/>
      <c r="AR127" s="91"/>
      <c r="AS127" s="91"/>
      <c r="AT127" s="92"/>
      <c r="AU127" s="93"/>
      <c r="AV127" s="1860">
        <f t="shared" si="88"/>
        <v>0</v>
      </c>
      <c r="AW127" s="1860">
        <f t="shared" si="89"/>
        <v>0</v>
      </c>
      <c r="AX127" s="1860">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281"/>
      <c r="C128" s="1282"/>
      <c r="D128" s="79"/>
      <c r="E128" s="86">
        <f t="shared" si="87"/>
        <v>0</v>
      </c>
      <c r="F128" s="87"/>
      <c r="G128" s="88">
        <f t="shared" si="62"/>
        <v>0</v>
      </c>
      <c r="H128" s="89">
        <f t="shared" si="63"/>
        <v>0</v>
      </c>
      <c r="I128" s="1284"/>
      <c r="J128" s="90"/>
      <c r="K128" s="1284"/>
      <c r="L128" s="90"/>
      <c r="M128" s="90"/>
      <c r="N128" s="90"/>
      <c r="O128" s="90"/>
      <c r="P128" s="90"/>
      <c r="Q128" s="90"/>
      <c r="R128" s="90"/>
      <c r="S128" s="90"/>
      <c r="T128" s="90"/>
      <c r="U128" s="90"/>
      <c r="V128" s="90"/>
      <c r="W128" s="90"/>
      <c r="X128" s="90"/>
      <c r="Y128" s="90"/>
      <c r="Z128" s="90"/>
      <c r="AA128" s="90"/>
      <c r="AB128" s="90"/>
      <c r="AC128" s="86">
        <f t="shared" si="64"/>
        <v>0</v>
      </c>
      <c r="AD128" s="91"/>
      <c r="AE128" s="91"/>
      <c r="AF128" s="1284"/>
      <c r="AG128" s="91"/>
      <c r="AH128" s="91"/>
      <c r="AI128" s="91"/>
      <c r="AJ128" s="91"/>
      <c r="AK128" s="91"/>
      <c r="AL128" s="91"/>
      <c r="AM128" s="91"/>
      <c r="AN128" s="91"/>
      <c r="AO128" s="91"/>
      <c r="AP128" s="91"/>
      <c r="AQ128" s="91"/>
      <c r="AR128" s="91"/>
      <c r="AS128" s="91"/>
      <c r="AT128" s="92"/>
      <c r="AU128" s="93"/>
      <c r="AV128" s="1860">
        <f t="shared" si="88"/>
        <v>0</v>
      </c>
      <c r="AW128" s="1860">
        <f t="shared" si="89"/>
        <v>0</v>
      </c>
      <c r="AX128" s="1860">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281"/>
      <c r="C129" s="1282"/>
      <c r="D129" s="79"/>
      <c r="E129" s="86">
        <f t="shared" si="87"/>
        <v>0</v>
      </c>
      <c r="F129" s="87"/>
      <c r="G129" s="88">
        <f t="shared" si="62"/>
        <v>0</v>
      </c>
      <c r="H129" s="89">
        <f t="shared" si="63"/>
        <v>0</v>
      </c>
      <c r="I129" s="1284"/>
      <c r="J129" s="90"/>
      <c r="K129" s="1284"/>
      <c r="L129" s="90"/>
      <c r="M129" s="90"/>
      <c r="N129" s="90"/>
      <c r="O129" s="90"/>
      <c r="P129" s="90"/>
      <c r="Q129" s="90"/>
      <c r="R129" s="90"/>
      <c r="S129" s="90"/>
      <c r="T129" s="90"/>
      <c r="U129" s="90"/>
      <c r="V129" s="90"/>
      <c r="W129" s="90"/>
      <c r="X129" s="90"/>
      <c r="Y129" s="90"/>
      <c r="Z129" s="90"/>
      <c r="AA129" s="90"/>
      <c r="AB129" s="90"/>
      <c r="AC129" s="86">
        <f t="shared" si="64"/>
        <v>0</v>
      </c>
      <c r="AD129" s="91"/>
      <c r="AE129" s="91"/>
      <c r="AF129" s="1284"/>
      <c r="AG129" s="91"/>
      <c r="AH129" s="91"/>
      <c r="AI129" s="91"/>
      <c r="AJ129" s="91"/>
      <c r="AK129" s="91"/>
      <c r="AL129" s="91"/>
      <c r="AM129" s="91"/>
      <c r="AN129" s="91"/>
      <c r="AO129" s="91"/>
      <c r="AP129" s="91"/>
      <c r="AQ129" s="91"/>
      <c r="AR129" s="91"/>
      <c r="AS129" s="91"/>
      <c r="AT129" s="92"/>
      <c r="AU129" s="93"/>
      <c r="AV129" s="1860">
        <f t="shared" si="88"/>
        <v>0</v>
      </c>
      <c r="AW129" s="1860">
        <f t="shared" si="89"/>
        <v>0</v>
      </c>
      <c r="AX129" s="1860">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281"/>
      <c r="C130" s="1282"/>
      <c r="D130" s="79"/>
      <c r="E130" s="86">
        <f t="shared" si="87"/>
        <v>0</v>
      </c>
      <c r="F130" s="87"/>
      <c r="G130" s="88">
        <f t="shared" si="62"/>
        <v>0</v>
      </c>
      <c r="H130" s="89">
        <f t="shared" si="63"/>
        <v>0</v>
      </c>
      <c r="I130" s="1284"/>
      <c r="J130" s="90"/>
      <c r="K130" s="1284"/>
      <c r="L130" s="90"/>
      <c r="M130" s="90"/>
      <c r="N130" s="90"/>
      <c r="O130" s="90"/>
      <c r="P130" s="90"/>
      <c r="Q130" s="90"/>
      <c r="R130" s="90"/>
      <c r="S130" s="90"/>
      <c r="T130" s="90"/>
      <c r="U130" s="90"/>
      <c r="V130" s="90"/>
      <c r="W130" s="90"/>
      <c r="X130" s="90"/>
      <c r="Y130" s="90"/>
      <c r="Z130" s="90"/>
      <c r="AA130" s="90"/>
      <c r="AB130" s="90"/>
      <c r="AC130" s="86">
        <f t="shared" si="64"/>
        <v>0</v>
      </c>
      <c r="AD130" s="91"/>
      <c r="AE130" s="91"/>
      <c r="AF130" s="1284"/>
      <c r="AG130" s="91"/>
      <c r="AH130" s="91"/>
      <c r="AI130" s="91"/>
      <c r="AJ130" s="91"/>
      <c r="AK130" s="91"/>
      <c r="AL130" s="91"/>
      <c r="AM130" s="91"/>
      <c r="AN130" s="91"/>
      <c r="AO130" s="91"/>
      <c r="AP130" s="91"/>
      <c r="AQ130" s="91"/>
      <c r="AR130" s="91"/>
      <c r="AS130" s="91"/>
      <c r="AT130" s="92"/>
      <c r="AU130" s="93"/>
      <c r="AV130" s="1860">
        <f t="shared" si="88"/>
        <v>0</v>
      </c>
      <c r="AW130" s="1860">
        <f t="shared" si="89"/>
        <v>0</v>
      </c>
      <c r="AX130" s="1860">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281"/>
      <c r="C131" s="1282"/>
      <c r="D131" s="79"/>
      <c r="E131" s="86">
        <f t="shared" si="87"/>
        <v>0</v>
      </c>
      <c r="F131" s="87"/>
      <c r="G131" s="88">
        <f t="shared" si="62"/>
        <v>0</v>
      </c>
      <c r="H131" s="89">
        <f t="shared" si="63"/>
        <v>0</v>
      </c>
      <c r="I131" s="1284"/>
      <c r="J131" s="90"/>
      <c r="K131" s="1284"/>
      <c r="L131" s="90"/>
      <c r="M131" s="90"/>
      <c r="N131" s="90"/>
      <c r="O131" s="90"/>
      <c r="P131" s="90"/>
      <c r="Q131" s="90"/>
      <c r="R131" s="90"/>
      <c r="S131" s="90"/>
      <c r="T131" s="90"/>
      <c r="U131" s="90"/>
      <c r="V131" s="90"/>
      <c r="W131" s="90"/>
      <c r="X131" s="90"/>
      <c r="Y131" s="90"/>
      <c r="Z131" s="90"/>
      <c r="AA131" s="90"/>
      <c r="AB131" s="90"/>
      <c r="AC131" s="86">
        <f t="shared" si="64"/>
        <v>0</v>
      </c>
      <c r="AD131" s="91"/>
      <c r="AE131" s="91"/>
      <c r="AF131" s="1284"/>
      <c r="AG131" s="91"/>
      <c r="AH131" s="91"/>
      <c r="AI131" s="91"/>
      <c r="AJ131" s="91"/>
      <c r="AK131" s="91"/>
      <c r="AL131" s="91"/>
      <c r="AM131" s="91"/>
      <c r="AN131" s="91"/>
      <c r="AO131" s="91"/>
      <c r="AP131" s="91"/>
      <c r="AQ131" s="91"/>
      <c r="AR131" s="91"/>
      <c r="AS131" s="91"/>
      <c r="AT131" s="92"/>
      <c r="AU131" s="93"/>
      <c r="AV131" s="1860">
        <f t="shared" si="88"/>
        <v>0</v>
      </c>
      <c r="AW131" s="1860">
        <f t="shared" si="89"/>
        <v>0</v>
      </c>
      <c r="AX131" s="1860">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281"/>
      <c r="C132" s="1282"/>
      <c r="D132" s="79"/>
      <c r="E132" s="86">
        <f t="shared" si="87"/>
        <v>0</v>
      </c>
      <c r="F132" s="87"/>
      <c r="G132" s="88">
        <f t="shared" si="62"/>
        <v>0</v>
      </c>
      <c r="H132" s="89">
        <f t="shared" si="63"/>
        <v>0</v>
      </c>
      <c r="I132" s="1284"/>
      <c r="J132" s="90"/>
      <c r="K132" s="1284"/>
      <c r="L132" s="90"/>
      <c r="M132" s="90"/>
      <c r="N132" s="90"/>
      <c r="O132" s="90"/>
      <c r="P132" s="90"/>
      <c r="Q132" s="90"/>
      <c r="R132" s="90"/>
      <c r="S132" s="90"/>
      <c r="T132" s="90"/>
      <c r="U132" s="90"/>
      <c r="V132" s="90"/>
      <c r="W132" s="90"/>
      <c r="X132" s="90"/>
      <c r="Y132" s="90"/>
      <c r="Z132" s="90"/>
      <c r="AA132" s="90"/>
      <c r="AB132" s="90"/>
      <c r="AC132" s="86">
        <f t="shared" si="64"/>
        <v>0</v>
      </c>
      <c r="AD132" s="91"/>
      <c r="AE132" s="91"/>
      <c r="AF132" s="1284"/>
      <c r="AG132" s="91"/>
      <c r="AH132" s="91"/>
      <c r="AI132" s="91"/>
      <c r="AJ132" s="91"/>
      <c r="AK132" s="91"/>
      <c r="AL132" s="91"/>
      <c r="AM132" s="91"/>
      <c r="AN132" s="91"/>
      <c r="AO132" s="91"/>
      <c r="AP132" s="91"/>
      <c r="AQ132" s="91"/>
      <c r="AR132" s="91"/>
      <c r="AS132" s="91"/>
      <c r="AT132" s="92"/>
      <c r="AU132" s="93"/>
      <c r="AV132" s="1860">
        <f t="shared" si="88"/>
        <v>0</v>
      </c>
      <c r="AW132" s="1860">
        <f t="shared" si="89"/>
        <v>0</v>
      </c>
      <c r="AX132" s="1860">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281"/>
      <c r="C133" s="1282"/>
      <c r="D133" s="79"/>
      <c r="E133" s="86">
        <f t="shared" si="87"/>
        <v>0</v>
      </c>
      <c r="F133" s="87"/>
      <c r="G133" s="88">
        <f t="shared" si="62"/>
        <v>0</v>
      </c>
      <c r="H133" s="89">
        <f t="shared" si="63"/>
        <v>0</v>
      </c>
      <c r="I133" s="1284"/>
      <c r="J133" s="90"/>
      <c r="K133" s="1284"/>
      <c r="L133" s="90"/>
      <c r="M133" s="90"/>
      <c r="N133" s="90"/>
      <c r="O133" s="90"/>
      <c r="P133" s="90"/>
      <c r="Q133" s="90"/>
      <c r="R133" s="90"/>
      <c r="S133" s="90"/>
      <c r="T133" s="90"/>
      <c r="U133" s="90"/>
      <c r="V133" s="90"/>
      <c r="W133" s="90"/>
      <c r="X133" s="90"/>
      <c r="Y133" s="90"/>
      <c r="Z133" s="90"/>
      <c r="AA133" s="90"/>
      <c r="AB133" s="90"/>
      <c r="AC133" s="86">
        <f t="shared" si="64"/>
        <v>0</v>
      </c>
      <c r="AD133" s="91"/>
      <c r="AE133" s="91"/>
      <c r="AF133" s="1284"/>
      <c r="AG133" s="91"/>
      <c r="AH133" s="91"/>
      <c r="AI133" s="91"/>
      <c r="AJ133" s="91"/>
      <c r="AK133" s="91"/>
      <c r="AL133" s="91"/>
      <c r="AM133" s="91"/>
      <c r="AN133" s="91"/>
      <c r="AO133" s="91"/>
      <c r="AP133" s="91"/>
      <c r="AQ133" s="91"/>
      <c r="AR133" s="91"/>
      <c r="AS133" s="91"/>
      <c r="AT133" s="92"/>
      <c r="AU133" s="93"/>
      <c r="AV133" s="1860">
        <f t="shared" si="88"/>
        <v>0</v>
      </c>
      <c r="AW133" s="1860">
        <f t="shared" si="89"/>
        <v>0</v>
      </c>
      <c r="AX133" s="1860">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281"/>
      <c r="C134" s="1282"/>
      <c r="D134" s="79"/>
      <c r="E134" s="86">
        <f t="shared" si="87"/>
        <v>0</v>
      </c>
      <c r="F134" s="87"/>
      <c r="G134" s="88">
        <f t="shared" si="62"/>
        <v>0</v>
      </c>
      <c r="H134" s="89">
        <f t="shared" si="63"/>
        <v>0</v>
      </c>
      <c r="I134" s="1284"/>
      <c r="J134" s="90"/>
      <c r="K134" s="1284"/>
      <c r="L134" s="90"/>
      <c r="M134" s="90"/>
      <c r="N134" s="90"/>
      <c r="O134" s="90"/>
      <c r="P134" s="90"/>
      <c r="Q134" s="90"/>
      <c r="R134" s="90"/>
      <c r="S134" s="90"/>
      <c r="T134" s="90"/>
      <c r="U134" s="90"/>
      <c r="V134" s="90"/>
      <c r="W134" s="90"/>
      <c r="X134" s="90"/>
      <c r="Y134" s="90"/>
      <c r="Z134" s="90"/>
      <c r="AA134" s="90"/>
      <c r="AB134" s="90"/>
      <c r="AC134" s="86">
        <f t="shared" si="64"/>
        <v>0</v>
      </c>
      <c r="AD134" s="91"/>
      <c r="AE134" s="91"/>
      <c r="AF134" s="1284"/>
      <c r="AG134" s="91"/>
      <c r="AH134" s="91"/>
      <c r="AI134" s="91"/>
      <c r="AJ134" s="91"/>
      <c r="AK134" s="91"/>
      <c r="AL134" s="91"/>
      <c r="AM134" s="91"/>
      <c r="AN134" s="91"/>
      <c r="AO134" s="91"/>
      <c r="AP134" s="91"/>
      <c r="AQ134" s="91"/>
      <c r="AR134" s="91"/>
      <c r="AS134" s="91"/>
      <c r="AT134" s="92"/>
      <c r="AU134" s="93"/>
      <c r="AV134" s="1860">
        <f t="shared" si="88"/>
        <v>0</v>
      </c>
      <c r="AW134" s="1860">
        <f t="shared" si="89"/>
        <v>0</v>
      </c>
      <c r="AX134" s="1860">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281"/>
      <c r="C135" s="1282"/>
      <c r="D135" s="79"/>
      <c r="E135" s="86">
        <f t="shared" si="87"/>
        <v>0</v>
      </c>
      <c r="F135" s="87"/>
      <c r="G135" s="88">
        <f t="shared" si="62"/>
        <v>0</v>
      </c>
      <c r="H135" s="89">
        <f t="shared" si="63"/>
        <v>0</v>
      </c>
      <c r="I135" s="1284"/>
      <c r="J135" s="90"/>
      <c r="K135" s="1284"/>
      <c r="L135" s="90"/>
      <c r="M135" s="90"/>
      <c r="N135" s="90"/>
      <c r="O135" s="90"/>
      <c r="P135" s="90"/>
      <c r="Q135" s="90"/>
      <c r="R135" s="90"/>
      <c r="S135" s="90"/>
      <c r="T135" s="90"/>
      <c r="U135" s="90"/>
      <c r="V135" s="90"/>
      <c r="W135" s="90"/>
      <c r="X135" s="90"/>
      <c r="Y135" s="90"/>
      <c r="Z135" s="90"/>
      <c r="AA135" s="90"/>
      <c r="AB135" s="90"/>
      <c r="AC135" s="86">
        <f t="shared" si="64"/>
        <v>0</v>
      </c>
      <c r="AD135" s="91"/>
      <c r="AE135" s="91"/>
      <c r="AF135" s="1284"/>
      <c r="AG135" s="91"/>
      <c r="AH135" s="91"/>
      <c r="AI135" s="91"/>
      <c r="AJ135" s="91"/>
      <c r="AK135" s="91"/>
      <c r="AL135" s="91"/>
      <c r="AM135" s="91"/>
      <c r="AN135" s="91"/>
      <c r="AO135" s="91"/>
      <c r="AP135" s="91"/>
      <c r="AQ135" s="91"/>
      <c r="AR135" s="91"/>
      <c r="AS135" s="91"/>
      <c r="AT135" s="92"/>
      <c r="AU135" s="93"/>
      <c r="AV135" s="1860">
        <f t="shared" si="88"/>
        <v>0</v>
      </c>
      <c r="AW135" s="1860">
        <f t="shared" si="89"/>
        <v>0</v>
      </c>
      <c r="AX135" s="1860">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281"/>
      <c r="C136" s="1282"/>
      <c r="D136" s="79"/>
      <c r="E136" s="86">
        <f t="shared" si="87"/>
        <v>0</v>
      </c>
      <c r="F136" s="87"/>
      <c r="G136" s="88">
        <f t="shared" si="62"/>
        <v>0</v>
      </c>
      <c r="H136" s="89">
        <f t="shared" si="63"/>
        <v>0</v>
      </c>
      <c r="I136" s="1284"/>
      <c r="J136" s="90"/>
      <c r="K136" s="1284"/>
      <c r="L136" s="90"/>
      <c r="M136" s="90"/>
      <c r="N136" s="90"/>
      <c r="O136" s="90"/>
      <c r="P136" s="90"/>
      <c r="Q136" s="90"/>
      <c r="R136" s="90"/>
      <c r="S136" s="90"/>
      <c r="T136" s="90"/>
      <c r="U136" s="90"/>
      <c r="V136" s="90"/>
      <c r="W136" s="90"/>
      <c r="X136" s="90"/>
      <c r="Y136" s="90"/>
      <c r="Z136" s="90"/>
      <c r="AA136" s="90"/>
      <c r="AB136" s="90"/>
      <c r="AC136" s="86">
        <f t="shared" si="64"/>
        <v>0</v>
      </c>
      <c r="AD136" s="91"/>
      <c r="AE136" s="91"/>
      <c r="AF136" s="1284"/>
      <c r="AG136" s="91"/>
      <c r="AH136" s="91"/>
      <c r="AI136" s="91"/>
      <c r="AJ136" s="91"/>
      <c r="AK136" s="91"/>
      <c r="AL136" s="91"/>
      <c r="AM136" s="91"/>
      <c r="AN136" s="91"/>
      <c r="AO136" s="91"/>
      <c r="AP136" s="91"/>
      <c r="AQ136" s="91"/>
      <c r="AR136" s="91"/>
      <c r="AS136" s="91"/>
      <c r="AT136" s="92"/>
      <c r="AU136" s="93"/>
      <c r="AV136" s="1860">
        <f t="shared" si="88"/>
        <v>0</v>
      </c>
      <c r="AW136" s="1860">
        <f t="shared" si="89"/>
        <v>0</v>
      </c>
      <c r="AX136" s="1860">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281"/>
      <c r="C137" s="1282"/>
      <c r="D137" s="79"/>
      <c r="E137" s="86">
        <f t="shared" si="87"/>
        <v>0</v>
      </c>
      <c r="F137" s="87"/>
      <c r="G137" s="88">
        <f t="shared" si="62"/>
        <v>0</v>
      </c>
      <c r="H137" s="89">
        <f t="shared" si="63"/>
        <v>0</v>
      </c>
      <c r="I137" s="1284"/>
      <c r="J137" s="90"/>
      <c r="K137" s="1284"/>
      <c r="L137" s="90"/>
      <c r="M137" s="90"/>
      <c r="N137" s="90"/>
      <c r="O137" s="90"/>
      <c r="P137" s="90"/>
      <c r="Q137" s="90"/>
      <c r="R137" s="90"/>
      <c r="S137" s="90"/>
      <c r="T137" s="90"/>
      <c r="U137" s="90"/>
      <c r="V137" s="90"/>
      <c r="W137" s="90"/>
      <c r="X137" s="90"/>
      <c r="Y137" s="90"/>
      <c r="Z137" s="90"/>
      <c r="AA137" s="90"/>
      <c r="AB137" s="90"/>
      <c r="AC137" s="86">
        <f t="shared" si="64"/>
        <v>0</v>
      </c>
      <c r="AD137" s="91"/>
      <c r="AE137" s="91"/>
      <c r="AF137" s="1284"/>
      <c r="AG137" s="91"/>
      <c r="AH137" s="91"/>
      <c r="AI137" s="91"/>
      <c r="AJ137" s="91"/>
      <c r="AK137" s="91"/>
      <c r="AL137" s="91"/>
      <c r="AM137" s="91"/>
      <c r="AN137" s="91"/>
      <c r="AO137" s="91"/>
      <c r="AP137" s="91"/>
      <c r="AQ137" s="91"/>
      <c r="AR137" s="91"/>
      <c r="AS137" s="91"/>
      <c r="AT137" s="92"/>
      <c r="AU137" s="93"/>
      <c r="AV137" s="1860">
        <f t="shared" si="88"/>
        <v>0</v>
      </c>
      <c r="AW137" s="1860">
        <f t="shared" si="89"/>
        <v>0</v>
      </c>
      <c r="AX137" s="1860">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281"/>
      <c r="C138" s="1282"/>
      <c r="D138" s="79"/>
      <c r="E138" s="86">
        <f t="shared" si="87"/>
        <v>0</v>
      </c>
      <c r="F138" s="87"/>
      <c r="G138" s="88">
        <f t="shared" si="62"/>
        <v>0</v>
      </c>
      <c r="H138" s="89">
        <f t="shared" si="63"/>
        <v>0</v>
      </c>
      <c r="I138" s="1284"/>
      <c r="J138" s="90"/>
      <c r="K138" s="1284"/>
      <c r="L138" s="90"/>
      <c r="M138" s="90"/>
      <c r="N138" s="90"/>
      <c r="O138" s="90"/>
      <c r="P138" s="90"/>
      <c r="Q138" s="90"/>
      <c r="R138" s="90"/>
      <c r="S138" s="90"/>
      <c r="T138" s="90"/>
      <c r="U138" s="90"/>
      <c r="V138" s="90"/>
      <c r="W138" s="90"/>
      <c r="X138" s="90"/>
      <c r="Y138" s="90"/>
      <c r="Z138" s="90"/>
      <c r="AA138" s="90"/>
      <c r="AB138" s="90"/>
      <c r="AC138" s="86">
        <f t="shared" si="64"/>
        <v>0</v>
      </c>
      <c r="AD138" s="91"/>
      <c r="AE138" s="91"/>
      <c r="AF138" s="1284"/>
      <c r="AG138" s="91"/>
      <c r="AH138" s="91"/>
      <c r="AI138" s="91"/>
      <c r="AJ138" s="91"/>
      <c r="AK138" s="91"/>
      <c r="AL138" s="91"/>
      <c r="AM138" s="91"/>
      <c r="AN138" s="91"/>
      <c r="AO138" s="91"/>
      <c r="AP138" s="91"/>
      <c r="AQ138" s="91"/>
      <c r="AR138" s="91"/>
      <c r="AS138" s="91"/>
      <c r="AT138" s="92"/>
      <c r="AU138" s="93"/>
      <c r="AV138" s="1860">
        <f t="shared" si="88"/>
        <v>0</v>
      </c>
      <c r="AW138" s="1860">
        <f t="shared" si="89"/>
        <v>0</v>
      </c>
      <c r="AX138" s="1860">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281"/>
      <c r="C139" s="1282"/>
      <c r="D139" s="79"/>
      <c r="E139" s="86">
        <f t="shared" si="87"/>
        <v>0</v>
      </c>
      <c r="F139" s="87"/>
      <c r="G139" s="88">
        <f t="shared" si="62"/>
        <v>0</v>
      </c>
      <c r="H139" s="89">
        <f t="shared" si="63"/>
        <v>0</v>
      </c>
      <c r="I139" s="1284"/>
      <c r="J139" s="90"/>
      <c r="K139" s="1284"/>
      <c r="L139" s="90"/>
      <c r="M139" s="90"/>
      <c r="N139" s="90"/>
      <c r="O139" s="90"/>
      <c r="P139" s="90"/>
      <c r="Q139" s="90"/>
      <c r="R139" s="90"/>
      <c r="S139" s="90"/>
      <c r="T139" s="90"/>
      <c r="U139" s="90"/>
      <c r="V139" s="90"/>
      <c r="W139" s="90"/>
      <c r="X139" s="90"/>
      <c r="Y139" s="90"/>
      <c r="Z139" s="90"/>
      <c r="AA139" s="90"/>
      <c r="AB139" s="90"/>
      <c r="AC139" s="86">
        <f t="shared" si="64"/>
        <v>0</v>
      </c>
      <c r="AD139" s="91"/>
      <c r="AE139" s="91"/>
      <c r="AF139" s="1282"/>
      <c r="AG139" s="91"/>
      <c r="AH139" s="91"/>
      <c r="AI139" s="91"/>
      <c r="AJ139" s="91"/>
      <c r="AK139" s="91"/>
      <c r="AL139" s="91"/>
      <c r="AM139" s="91"/>
      <c r="AN139" s="91"/>
      <c r="AO139" s="91"/>
      <c r="AP139" s="91"/>
      <c r="AQ139" s="91"/>
      <c r="AR139" s="91"/>
      <c r="AS139" s="91"/>
      <c r="AT139" s="92"/>
      <c r="AU139" s="93"/>
      <c r="AV139" s="1860">
        <f t="shared" si="88"/>
        <v>0</v>
      </c>
      <c r="AW139" s="1860">
        <f t="shared" si="89"/>
        <v>0</v>
      </c>
      <c r="AX139" s="1860">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281"/>
      <c r="C140" s="1282"/>
      <c r="D140" s="79"/>
      <c r="E140" s="86">
        <f t="shared" si="87"/>
        <v>0</v>
      </c>
      <c r="F140" s="87"/>
      <c r="G140" s="88">
        <f t="shared" si="62"/>
        <v>0</v>
      </c>
      <c r="H140" s="89">
        <f t="shared" si="63"/>
        <v>0</v>
      </c>
      <c r="I140" s="1282"/>
      <c r="J140" s="90"/>
      <c r="K140" s="1282"/>
      <c r="L140" s="90"/>
      <c r="M140" s="90"/>
      <c r="N140" s="90"/>
      <c r="O140" s="90"/>
      <c r="P140" s="90"/>
      <c r="Q140" s="90"/>
      <c r="R140" s="90"/>
      <c r="S140" s="90"/>
      <c r="T140" s="90"/>
      <c r="U140" s="90"/>
      <c r="V140" s="90"/>
      <c r="W140" s="90"/>
      <c r="X140" s="90"/>
      <c r="Y140" s="90"/>
      <c r="Z140" s="90"/>
      <c r="AA140" s="90"/>
      <c r="AB140" s="90"/>
      <c r="AC140" s="86">
        <f t="shared" si="64"/>
        <v>0</v>
      </c>
      <c r="AD140" s="91"/>
      <c r="AE140" s="91"/>
      <c r="AF140" s="1282"/>
      <c r="AG140" s="91"/>
      <c r="AH140" s="91"/>
      <c r="AI140" s="91"/>
      <c r="AJ140" s="91"/>
      <c r="AK140" s="91"/>
      <c r="AL140" s="91"/>
      <c r="AM140" s="91"/>
      <c r="AN140" s="91"/>
      <c r="AO140" s="91"/>
      <c r="AP140" s="91"/>
      <c r="AQ140" s="91"/>
      <c r="AR140" s="91"/>
      <c r="AS140" s="91"/>
      <c r="AT140" s="92"/>
      <c r="AU140" s="93"/>
      <c r="AV140" s="1860">
        <f t="shared" si="88"/>
        <v>0</v>
      </c>
      <c r="AW140" s="1860">
        <f t="shared" si="89"/>
        <v>0</v>
      </c>
      <c r="AX140" s="1860">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281"/>
      <c r="C141" s="1282"/>
      <c r="D141" s="79"/>
      <c r="E141" s="86">
        <f t="shared" si="87"/>
        <v>0</v>
      </c>
      <c r="F141" s="87"/>
      <c r="G141" s="88">
        <f t="shared" si="62"/>
        <v>0</v>
      </c>
      <c r="H141" s="89">
        <f t="shared" si="63"/>
        <v>0</v>
      </c>
      <c r="I141" s="1282"/>
      <c r="J141" s="90"/>
      <c r="K141" s="1282"/>
      <c r="L141" s="90"/>
      <c r="M141" s="90"/>
      <c r="N141" s="90"/>
      <c r="O141" s="90"/>
      <c r="P141" s="90"/>
      <c r="Q141" s="90"/>
      <c r="R141" s="90"/>
      <c r="S141" s="90"/>
      <c r="T141" s="90"/>
      <c r="U141" s="90"/>
      <c r="V141" s="90"/>
      <c r="W141" s="90"/>
      <c r="X141" s="90"/>
      <c r="Y141" s="90"/>
      <c r="Z141" s="90"/>
      <c r="AA141" s="90"/>
      <c r="AB141" s="90"/>
      <c r="AC141" s="86">
        <f t="shared" si="64"/>
        <v>0</v>
      </c>
      <c r="AD141" s="91"/>
      <c r="AE141" s="91"/>
      <c r="AF141" s="1282"/>
      <c r="AG141" s="91"/>
      <c r="AH141" s="91"/>
      <c r="AI141" s="91"/>
      <c r="AJ141" s="91"/>
      <c r="AK141" s="91"/>
      <c r="AL141" s="91"/>
      <c r="AM141" s="91"/>
      <c r="AN141" s="91"/>
      <c r="AO141" s="91"/>
      <c r="AP141" s="91"/>
      <c r="AQ141" s="91"/>
      <c r="AR141" s="91"/>
      <c r="AS141" s="91"/>
      <c r="AT141" s="92"/>
      <c r="AU141" s="93"/>
      <c r="AV141" s="1860">
        <f t="shared" si="88"/>
        <v>0</v>
      </c>
      <c r="AW141" s="1860">
        <f t="shared" si="89"/>
        <v>0</v>
      </c>
      <c r="AX141" s="1860">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281"/>
      <c r="C142" s="1282"/>
      <c r="D142" s="79"/>
      <c r="E142" s="86">
        <f t="shared" si="87"/>
        <v>0</v>
      </c>
      <c r="F142" s="87"/>
      <c r="G142" s="88">
        <f t="shared" ref="G142:G173" si="91">H142+AC142+AT142</f>
        <v>0</v>
      </c>
      <c r="H142" s="89">
        <f t="shared" ref="H142:H173" si="92">SUMIF(I$12:AB$12,"总值",I142:AB142)</f>
        <v>0</v>
      </c>
      <c r="I142" s="1282"/>
      <c r="J142" s="90"/>
      <c r="K142" s="1282"/>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282"/>
      <c r="AG142" s="91"/>
      <c r="AH142" s="91"/>
      <c r="AI142" s="91"/>
      <c r="AJ142" s="91"/>
      <c r="AK142" s="91"/>
      <c r="AL142" s="91"/>
      <c r="AM142" s="91"/>
      <c r="AN142" s="91"/>
      <c r="AO142" s="91"/>
      <c r="AP142" s="91"/>
      <c r="AQ142" s="91"/>
      <c r="AR142" s="91"/>
      <c r="AS142" s="91"/>
      <c r="AT142" s="92"/>
      <c r="AU142" s="93"/>
      <c r="AV142" s="1860">
        <f t="shared" si="88"/>
        <v>0</v>
      </c>
      <c r="AW142" s="1860">
        <f t="shared" si="89"/>
        <v>0</v>
      </c>
      <c r="AX142" s="1860">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281"/>
      <c r="C143" s="1282"/>
      <c r="D143" s="79"/>
      <c r="E143" s="86">
        <f t="shared" si="87"/>
        <v>0</v>
      </c>
      <c r="F143" s="87"/>
      <c r="G143" s="88">
        <f t="shared" si="91"/>
        <v>0</v>
      </c>
      <c r="H143" s="89">
        <f t="shared" si="92"/>
        <v>0</v>
      </c>
      <c r="I143" s="1282"/>
      <c r="J143" s="90"/>
      <c r="K143" s="1282"/>
      <c r="L143" s="90"/>
      <c r="M143" s="90"/>
      <c r="N143" s="90"/>
      <c r="O143" s="90"/>
      <c r="P143" s="90"/>
      <c r="Q143" s="90"/>
      <c r="R143" s="90"/>
      <c r="S143" s="90"/>
      <c r="T143" s="90"/>
      <c r="U143" s="90"/>
      <c r="V143" s="90"/>
      <c r="W143" s="90"/>
      <c r="X143" s="90"/>
      <c r="Y143" s="90"/>
      <c r="Z143" s="90"/>
      <c r="AA143" s="90"/>
      <c r="AB143" s="90"/>
      <c r="AC143" s="86">
        <f t="shared" si="93"/>
        <v>0</v>
      </c>
      <c r="AD143" s="91"/>
      <c r="AE143" s="91"/>
      <c r="AF143" s="1282"/>
      <c r="AG143" s="91"/>
      <c r="AH143" s="91"/>
      <c r="AI143" s="91"/>
      <c r="AJ143" s="91"/>
      <c r="AK143" s="91"/>
      <c r="AL143" s="91"/>
      <c r="AM143" s="91"/>
      <c r="AN143" s="91"/>
      <c r="AO143" s="91"/>
      <c r="AP143" s="91"/>
      <c r="AQ143" s="91"/>
      <c r="AR143" s="91"/>
      <c r="AS143" s="91"/>
      <c r="AT143" s="92"/>
      <c r="AU143" s="93"/>
      <c r="AV143" s="1860">
        <f t="shared" si="88"/>
        <v>0</v>
      </c>
      <c r="AW143" s="1860">
        <f t="shared" si="89"/>
        <v>0</v>
      </c>
      <c r="AX143" s="1860">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281"/>
      <c r="C144" s="1282"/>
      <c r="D144" s="79"/>
      <c r="E144" s="86">
        <f t="shared" si="87"/>
        <v>0</v>
      </c>
      <c r="F144" s="87"/>
      <c r="G144" s="88">
        <f t="shared" si="91"/>
        <v>0</v>
      </c>
      <c r="H144" s="89">
        <f t="shared" si="92"/>
        <v>0</v>
      </c>
      <c r="I144" s="1282"/>
      <c r="J144" s="90"/>
      <c r="K144" s="1282"/>
      <c r="L144" s="90"/>
      <c r="M144" s="90"/>
      <c r="N144" s="90"/>
      <c r="O144" s="90"/>
      <c r="P144" s="90"/>
      <c r="Q144" s="90"/>
      <c r="R144" s="90"/>
      <c r="S144" s="90"/>
      <c r="T144" s="90"/>
      <c r="U144" s="90"/>
      <c r="V144" s="90"/>
      <c r="W144" s="90"/>
      <c r="X144" s="90"/>
      <c r="Y144" s="90"/>
      <c r="Z144" s="90"/>
      <c r="AA144" s="90"/>
      <c r="AB144" s="90"/>
      <c r="AC144" s="86">
        <f t="shared" si="93"/>
        <v>0</v>
      </c>
      <c r="AD144" s="91"/>
      <c r="AE144" s="91"/>
      <c r="AF144" s="1282"/>
      <c r="AG144" s="91"/>
      <c r="AH144" s="91"/>
      <c r="AI144" s="91"/>
      <c r="AJ144" s="91"/>
      <c r="AK144" s="91"/>
      <c r="AL144" s="91"/>
      <c r="AM144" s="91"/>
      <c r="AN144" s="91"/>
      <c r="AO144" s="91"/>
      <c r="AP144" s="91"/>
      <c r="AQ144" s="91"/>
      <c r="AR144" s="91"/>
      <c r="AS144" s="91"/>
      <c r="AT144" s="92"/>
      <c r="AU144" s="93"/>
      <c r="AV144" s="1860">
        <f t="shared" si="88"/>
        <v>0</v>
      </c>
      <c r="AW144" s="1860">
        <f t="shared" si="89"/>
        <v>0</v>
      </c>
      <c r="AX144" s="1860">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281"/>
      <c r="C145" s="1282"/>
      <c r="D145" s="79"/>
      <c r="E145" s="86">
        <f t="shared" ref="E145:E176" si="116">IF($C$3="是",ROUND($A$3*G145/$B$3,2),ROUND($A$3*(G145-AT145)/$B$3,2))</f>
        <v>0</v>
      </c>
      <c r="F145" s="87"/>
      <c r="G145" s="88">
        <f t="shared" si="91"/>
        <v>0</v>
      </c>
      <c r="H145" s="89">
        <f t="shared" si="92"/>
        <v>0</v>
      </c>
      <c r="I145" s="1282"/>
      <c r="J145" s="90"/>
      <c r="K145" s="1282"/>
      <c r="L145" s="90"/>
      <c r="M145" s="90"/>
      <c r="N145" s="90"/>
      <c r="O145" s="90"/>
      <c r="P145" s="90"/>
      <c r="Q145" s="90"/>
      <c r="R145" s="90"/>
      <c r="S145" s="90"/>
      <c r="T145" s="90"/>
      <c r="U145" s="90"/>
      <c r="V145" s="90"/>
      <c r="W145" s="90"/>
      <c r="X145" s="90"/>
      <c r="Y145" s="90"/>
      <c r="Z145" s="90"/>
      <c r="AA145" s="90"/>
      <c r="AB145" s="90"/>
      <c r="AC145" s="86">
        <f t="shared" si="93"/>
        <v>0</v>
      </c>
      <c r="AD145" s="91"/>
      <c r="AE145" s="91"/>
      <c r="AF145" s="1282"/>
      <c r="AG145" s="91"/>
      <c r="AH145" s="91"/>
      <c r="AI145" s="91"/>
      <c r="AJ145" s="91"/>
      <c r="AK145" s="91"/>
      <c r="AL145" s="91"/>
      <c r="AM145" s="91"/>
      <c r="AN145" s="91"/>
      <c r="AO145" s="91"/>
      <c r="AP145" s="91"/>
      <c r="AQ145" s="91"/>
      <c r="AR145" s="91"/>
      <c r="AS145" s="91"/>
      <c r="AT145" s="92"/>
      <c r="AU145" s="93"/>
      <c r="AV145" s="1860">
        <f t="shared" ref="AV145:AV176" si="117">A145</f>
        <v>0</v>
      </c>
      <c r="AW145" s="1860">
        <f t="shared" ref="AW145:AW176" si="118">B145</f>
        <v>0</v>
      </c>
      <c r="AX145" s="1860">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281"/>
      <c r="C146" s="1282"/>
      <c r="D146" s="79"/>
      <c r="E146" s="86">
        <f t="shared" si="116"/>
        <v>0</v>
      </c>
      <c r="F146" s="87"/>
      <c r="G146" s="88">
        <f t="shared" si="91"/>
        <v>0</v>
      </c>
      <c r="H146" s="89">
        <f t="shared" si="92"/>
        <v>0</v>
      </c>
      <c r="I146" s="1282"/>
      <c r="J146" s="90"/>
      <c r="K146" s="1282"/>
      <c r="L146" s="90"/>
      <c r="M146" s="90"/>
      <c r="N146" s="90"/>
      <c r="O146" s="90"/>
      <c r="P146" s="90"/>
      <c r="Q146" s="90"/>
      <c r="R146" s="90"/>
      <c r="S146" s="90"/>
      <c r="T146" s="90"/>
      <c r="U146" s="90"/>
      <c r="V146" s="90"/>
      <c r="W146" s="90"/>
      <c r="X146" s="90"/>
      <c r="Y146" s="90"/>
      <c r="Z146" s="90"/>
      <c r="AA146" s="90"/>
      <c r="AB146" s="90"/>
      <c r="AC146" s="86">
        <f t="shared" si="93"/>
        <v>0</v>
      </c>
      <c r="AD146" s="91"/>
      <c r="AE146" s="91"/>
      <c r="AF146" s="1282"/>
      <c r="AG146" s="91"/>
      <c r="AH146" s="91"/>
      <c r="AI146" s="91"/>
      <c r="AJ146" s="91"/>
      <c r="AK146" s="91"/>
      <c r="AL146" s="91"/>
      <c r="AM146" s="91"/>
      <c r="AN146" s="91"/>
      <c r="AO146" s="91"/>
      <c r="AP146" s="91"/>
      <c r="AQ146" s="91"/>
      <c r="AR146" s="91"/>
      <c r="AS146" s="91"/>
      <c r="AT146" s="92"/>
      <c r="AU146" s="93"/>
      <c r="AV146" s="1860">
        <f t="shared" si="117"/>
        <v>0</v>
      </c>
      <c r="AW146" s="1860">
        <f t="shared" si="118"/>
        <v>0</v>
      </c>
      <c r="AX146" s="1860">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283"/>
      <c r="C147" s="1284"/>
      <c r="D147" s="79"/>
      <c r="E147" s="86">
        <f t="shared" si="116"/>
        <v>0</v>
      </c>
      <c r="F147" s="87"/>
      <c r="G147" s="88">
        <f t="shared" si="91"/>
        <v>0</v>
      </c>
      <c r="H147" s="89">
        <f t="shared" si="92"/>
        <v>0</v>
      </c>
      <c r="I147" s="1282"/>
      <c r="J147" s="90"/>
      <c r="K147" s="1282"/>
      <c r="L147" s="90"/>
      <c r="M147" s="1282"/>
      <c r="N147" s="90"/>
      <c r="O147" s="90"/>
      <c r="P147" s="90"/>
      <c r="Q147" s="90"/>
      <c r="R147" s="90"/>
      <c r="S147" s="90"/>
      <c r="T147" s="90"/>
      <c r="U147" s="90"/>
      <c r="V147" s="90"/>
      <c r="W147" s="90"/>
      <c r="X147" s="90"/>
      <c r="Y147" s="90"/>
      <c r="Z147" s="90"/>
      <c r="AA147" s="90"/>
      <c r="AB147" s="90"/>
      <c r="AC147" s="86">
        <f t="shared" si="93"/>
        <v>0</v>
      </c>
      <c r="AD147" s="91"/>
      <c r="AE147" s="91"/>
      <c r="AF147" s="1282"/>
      <c r="AG147" s="91"/>
      <c r="AH147" s="91"/>
      <c r="AI147" s="91"/>
      <c r="AJ147" s="91"/>
      <c r="AK147" s="91"/>
      <c r="AL147" s="91"/>
      <c r="AM147" s="91"/>
      <c r="AN147" s="91"/>
      <c r="AO147" s="91"/>
      <c r="AP147" s="91"/>
      <c r="AQ147" s="91"/>
      <c r="AR147" s="91"/>
      <c r="AS147" s="91"/>
      <c r="AT147" s="92"/>
      <c r="AU147" s="93"/>
      <c r="AV147" s="1860">
        <f t="shared" si="117"/>
        <v>0</v>
      </c>
      <c r="AW147" s="1860">
        <f t="shared" si="118"/>
        <v>0</v>
      </c>
      <c r="AX147" s="1860">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60">
        <f t="shared" si="117"/>
        <v>0</v>
      </c>
      <c r="AW148" s="1860">
        <f t="shared" si="118"/>
        <v>0</v>
      </c>
      <c r="AX148" s="1860">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60">
        <f t="shared" si="117"/>
        <v>0</v>
      </c>
      <c r="AW149" s="1860">
        <f t="shared" si="118"/>
        <v>0</v>
      </c>
      <c r="AX149" s="1860">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60">
        <f t="shared" si="117"/>
        <v>0</v>
      </c>
      <c r="AW150" s="1860">
        <f t="shared" si="118"/>
        <v>0</v>
      </c>
      <c r="AX150" s="1860">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60">
        <f t="shared" si="117"/>
        <v>0</v>
      </c>
      <c r="AW151" s="1860">
        <f t="shared" si="118"/>
        <v>0</v>
      </c>
      <c r="AX151" s="1860">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60">
        <f t="shared" si="117"/>
        <v>0</v>
      </c>
      <c r="AW152" s="1860">
        <f t="shared" si="118"/>
        <v>0</v>
      </c>
      <c r="AX152" s="1860">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60">
        <f t="shared" si="117"/>
        <v>0</v>
      </c>
      <c r="AW153" s="1860">
        <f t="shared" si="118"/>
        <v>0</v>
      </c>
      <c r="AX153" s="1860">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60">
        <f t="shared" si="117"/>
        <v>0</v>
      </c>
      <c r="AW154" s="1860">
        <f t="shared" si="118"/>
        <v>0</v>
      </c>
      <c r="AX154" s="1860">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60">
        <f t="shared" si="117"/>
        <v>0</v>
      </c>
      <c r="AW155" s="1860">
        <f t="shared" si="118"/>
        <v>0</v>
      </c>
      <c r="AX155" s="1860">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60">
        <f t="shared" si="117"/>
        <v>0</v>
      </c>
      <c r="AW156" s="1860">
        <f t="shared" si="118"/>
        <v>0</v>
      </c>
      <c r="AX156" s="1860">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60">
        <f t="shared" si="117"/>
        <v>0</v>
      </c>
      <c r="AW157" s="1860">
        <f t="shared" si="118"/>
        <v>0</v>
      </c>
      <c r="AX157" s="1860">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60">
        <f t="shared" si="117"/>
        <v>0</v>
      </c>
      <c r="AW158" s="1860">
        <f t="shared" si="118"/>
        <v>0</v>
      </c>
      <c r="AX158" s="1860">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60">
        <f t="shared" si="117"/>
        <v>0</v>
      </c>
      <c r="AW159" s="1860">
        <f t="shared" si="118"/>
        <v>0</v>
      </c>
      <c r="AX159" s="1860">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60">
        <f t="shared" si="117"/>
        <v>0</v>
      </c>
      <c r="AW160" s="1860">
        <f t="shared" si="118"/>
        <v>0</v>
      </c>
      <c r="AX160" s="1860">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60">
        <f t="shared" si="117"/>
        <v>0</v>
      </c>
      <c r="AW161" s="1860">
        <f t="shared" si="118"/>
        <v>0</v>
      </c>
      <c r="AX161" s="1860">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60">
        <f t="shared" si="117"/>
        <v>0</v>
      </c>
      <c r="AW162" s="1860">
        <f t="shared" si="118"/>
        <v>0</v>
      </c>
      <c r="AX162" s="1860">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60">
        <f t="shared" si="117"/>
        <v>0</v>
      </c>
      <c r="AW163" s="1860">
        <f t="shared" si="118"/>
        <v>0</v>
      </c>
      <c r="AX163" s="1860">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60">
        <f t="shared" si="117"/>
        <v>0</v>
      </c>
      <c r="AW164" s="1860">
        <f t="shared" si="118"/>
        <v>0</v>
      </c>
      <c r="AX164" s="1860">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60">
        <f t="shared" si="117"/>
        <v>0</v>
      </c>
      <c r="AW165" s="1860">
        <f t="shared" si="118"/>
        <v>0</v>
      </c>
      <c r="AX165" s="1860">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60">
        <f t="shared" si="117"/>
        <v>0</v>
      </c>
      <c r="AW166" s="1860">
        <f t="shared" si="118"/>
        <v>0</v>
      </c>
      <c r="AX166" s="1860">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60">
        <f t="shared" si="117"/>
        <v>0</v>
      </c>
      <c r="AW167" s="1860">
        <f t="shared" si="118"/>
        <v>0</v>
      </c>
      <c r="AX167" s="1860">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60">
        <f t="shared" si="117"/>
        <v>0</v>
      </c>
      <c r="AW168" s="1860">
        <f t="shared" si="118"/>
        <v>0</v>
      </c>
      <c r="AX168" s="1860">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60">
        <f t="shared" si="117"/>
        <v>0</v>
      </c>
      <c r="AW169" s="1860">
        <f t="shared" si="118"/>
        <v>0</v>
      </c>
      <c r="AX169" s="1860">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60">
        <f t="shared" si="117"/>
        <v>0</v>
      </c>
      <c r="AW170" s="1860">
        <f t="shared" si="118"/>
        <v>0</v>
      </c>
      <c r="AX170" s="1860">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60">
        <f t="shared" si="117"/>
        <v>0</v>
      </c>
      <c r="AW171" s="1860">
        <f t="shared" si="118"/>
        <v>0</v>
      </c>
      <c r="AX171" s="1860">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60">
        <f t="shared" si="117"/>
        <v>0</v>
      </c>
      <c r="AW172" s="1860">
        <f t="shared" si="118"/>
        <v>0</v>
      </c>
      <c r="AX172" s="1860">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60">
        <f t="shared" si="117"/>
        <v>0</v>
      </c>
      <c r="AW173" s="1860">
        <f t="shared" si="118"/>
        <v>0</v>
      </c>
      <c r="AX173" s="1860">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60">
        <f t="shared" si="117"/>
        <v>0</v>
      </c>
      <c r="AW174" s="1860">
        <f t="shared" si="118"/>
        <v>0</v>
      </c>
      <c r="AX174" s="1860">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60">
        <f t="shared" si="117"/>
        <v>0</v>
      </c>
      <c r="AW175" s="1860">
        <f t="shared" si="118"/>
        <v>0</v>
      </c>
      <c r="AX175" s="1860">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60">
        <f t="shared" si="117"/>
        <v>0</v>
      </c>
      <c r="AW176" s="1860">
        <f t="shared" si="118"/>
        <v>0</v>
      </c>
      <c r="AX176" s="1860">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60">
        <f t="shared" ref="AV177:AV204" si="146">A177</f>
        <v>0</v>
      </c>
      <c r="AW177" s="1860">
        <f t="shared" ref="AW177:AW204" si="147">B177</f>
        <v>0</v>
      </c>
      <c r="AX177" s="1860">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60">
        <f t="shared" si="146"/>
        <v>0</v>
      </c>
      <c r="AW178" s="1860">
        <f t="shared" si="147"/>
        <v>0</v>
      </c>
      <c r="AX178" s="1860">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60">
        <f t="shared" si="146"/>
        <v>0</v>
      </c>
      <c r="AW179" s="1860">
        <f t="shared" si="147"/>
        <v>0</v>
      </c>
      <c r="AX179" s="1860">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60">
        <f t="shared" si="146"/>
        <v>0</v>
      </c>
      <c r="AW180" s="1860">
        <f t="shared" si="147"/>
        <v>0</v>
      </c>
      <c r="AX180" s="1860">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60">
        <f t="shared" si="146"/>
        <v>0</v>
      </c>
      <c r="AW181" s="1860">
        <f t="shared" si="147"/>
        <v>0</v>
      </c>
      <c r="AX181" s="1860">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60">
        <f t="shared" si="146"/>
        <v>0</v>
      </c>
      <c r="AW182" s="1860">
        <f t="shared" si="147"/>
        <v>0</v>
      </c>
      <c r="AX182" s="1860">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60">
        <f t="shared" si="146"/>
        <v>0</v>
      </c>
      <c r="AW183" s="1860">
        <f t="shared" si="147"/>
        <v>0</v>
      </c>
      <c r="AX183" s="1860">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60">
        <f t="shared" si="146"/>
        <v>0</v>
      </c>
      <c r="AW184" s="1860">
        <f t="shared" si="147"/>
        <v>0</v>
      </c>
      <c r="AX184" s="1860">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60">
        <f t="shared" si="146"/>
        <v>0</v>
      </c>
      <c r="AW185" s="1860">
        <f t="shared" si="147"/>
        <v>0</v>
      </c>
      <c r="AX185" s="1860">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60">
        <f t="shared" si="146"/>
        <v>0</v>
      </c>
      <c r="AW186" s="1860">
        <f t="shared" si="147"/>
        <v>0</v>
      </c>
      <c r="AX186" s="1860">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60">
        <f t="shared" si="146"/>
        <v>0</v>
      </c>
      <c r="AW187" s="1860">
        <f t="shared" si="147"/>
        <v>0</v>
      </c>
      <c r="AX187" s="1860">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60">
        <f t="shared" si="146"/>
        <v>0</v>
      </c>
      <c r="AW188" s="1860">
        <f t="shared" si="147"/>
        <v>0</v>
      </c>
      <c r="AX188" s="1860">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60">
        <f t="shared" si="146"/>
        <v>0</v>
      </c>
      <c r="AW189" s="1860">
        <f t="shared" si="147"/>
        <v>0</v>
      </c>
      <c r="AX189" s="1860">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60">
        <f t="shared" si="146"/>
        <v>0</v>
      </c>
      <c r="AW190" s="1860">
        <f t="shared" si="147"/>
        <v>0</v>
      </c>
      <c r="AX190" s="1860">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60">
        <f t="shared" si="146"/>
        <v>0</v>
      </c>
      <c r="AW191" s="1860">
        <f t="shared" si="147"/>
        <v>0</v>
      </c>
      <c r="AX191" s="1860">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60">
        <f t="shared" si="146"/>
        <v>0</v>
      </c>
      <c r="AW192" s="1860">
        <f t="shared" si="147"/>
        <v>0</v>
      </c>
      <c r="AX192" s="1860">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60">
        <f t="shared" si="146"/>
        <v>0</v>
      </c>
      <c r="AW193" s="1860">
        <f t="shared" si="147"/>
        <v>0</v>
      </c>
      <c r="AX193" s="1860">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60">
        <f t="shared" si="146"/>
        <v>0</v>
      </c>
      <c r="AW194" s="1860">
        <f t="shared" si="147"/>
        <v>0</v>
      </c>
      <c r="AX194" s="1860">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60">
        <f t="shared" si="146"/>
        <v>0</v>
      </c>
      <c r="AW195" s="1860">
        <f t="shared" si="147"/>
        <v>0</v>
      </c>
      <c r="AX195" s="1860">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60">
        <f t="shared" si="146"/>
        <v>0</v>
      </c>
      <c r="AW196" s="1860">
        <f t="shared" si="147"/>
        <v>0</v>
      </c>
      <c r="AX196" s="1860">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60">
        <f t="shared" si="146"/>
        <v>0</v>
      </c>
      <c r="AW197" s="1860">
        <f t="shared" si="147"/>
        <v>0</v>
      </c>
      <c r="AX197" s="1860">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60">
        <f t="shared" si="146"/>
        <v>0</v>
      </c>
      <c r="AW198" s="1860">
        <f t="shared" si="147"/>
        <v>0</v>
      </c>
      <c r="AX198" s="1860">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60">
        <f t="shared" si="146"/>
        <v>0</v>
      </c>
      <c r="AW199" s="1860">
        <f t="shared" si="147"/>
        <v>0</v>
      </c>
      <c r="AX199" s="1860">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60">
        <f t="shared" si="146"/>
        <v>0</v>
      </c>
      <c r="AW200" s="1860">
        <f t="shared" si="147"/>
        <v>0</v>
      </c>
      <c r="AX200" s="1860">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60">
        <f t="shared" si="146"/>
        <v>0</v>
      </c>
      <c r="AW201" s="1860">
        <f t="shared" si="147"/>
        <v>0</v>
      </c>
      <c r="AX201" s="1860">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60">
        <f t="shared" si="146"/>
        <v>0</v>
      </c>
      <c r="AW202" s="1860">
        <f t="shared" si="147"/>
        <v>0</v>
      </c>
      <c r="AX202" s="1860">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60">
        <f t="shared" si="146"/>
        <v>0</v>
      </c>
      <c r="AW203" s="1860">
        <f t="shared" si="147"/>
        <v>0</v>
      </c>
      <c r="AX203" s="1860">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60">
        <f t="shared" si="146"/>
        <v>0</v>
      </c>
      <c r="AW204" s="1860">
        <f t="shared" si="147"/>
        <v>0</v>
      </c>
      <c r="AX204" s="1860">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281"/>
      <c r="C205" s="1282"/>
      <c r="D205" s="79"/>
      <c r="E205" s="86">
        <f t="shared" ref="E205:E296" si="149">IF($C$3="是",ROUND($A$3*G205/$B$3,2),ROUND($A$3*(G205-AT205)/$B$3,2))</f>
        <v>0</v>
      </c>
      <c r="F205" s="87"/>
      <c r="G205" s="88">
        <f t="shared" ref="G205:G293" si="150">H205+AC205+AT205</f>
        <v>0</v>
      </c>
      <c r="H205" s="89">
        <f t="shared" ref="H205:H293" si="151">SUMIF(I$12:AB$12,"总值",I205:AB205)</f>
        <v>0</v>
      </c>
      <c r="I205" s="1284"/>
      <c r="J205" s="90"/>
      <c r="K205" s="1284"/>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285"/>
      <c r="AG205" s="91"/>
      <c r="AH205" s="91"/>
      <c r="AI205" s="91"/>
      <c r="AJ205" s="91"/>
      <c r="AK205" s="91"/>
      <c r="AL205" s="91"/>
      <c r="AM205" s="91"/>
      <c r="AN205" s="1252"/>
      <c r="AO205" s="91"/>
      <c r="AP205" s="91"/>
      <c r="AQ205" s="91"/>
      <c r="AR205" s="91"/>
      <c r="AS205" s="91"/>
      <c r="AT205" s="92"/>
      <c r="AU205" s="93"/>
      <c r="AV205" s="1860">
        <f t="shared" ref="AV205:AV296" si="153">A205</f>
        <v>0</v>
      </c>
      <c r="AW205" s="1860">
        <f t="shared" ref="AW205:AW296" si="154">B205</f>
        <v>0</v>
      </c>
      <c r="AX205" s="1860">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281"/>
      <c r="C206" s="1282"/>
      <c r="D206" s="79"/>
      <c r="E206" s="86">
        <f t="shared" si="149"/>
        <v>0</v>
      </c>
      <c r="F206" s="87"/>
      <c r="G206" s="88">
        <f t="shared" si="150"/>
        <v>0</v>
      </c>
      <c r="H206" s="89">
        <f t="shared" si="151"/>
        <v>0</v>
      </c>
      <c r="I206" s="1284"/>
      <c r="J206" s="90"/>
      <c r="K206" s="1284"/>
      <c r="L206" s="90"/>
      <c r="M206" s="1252"/>
      <c r="N206" s="90"/>
      <c r="O206" s="90"/>
      <c r="P206" s="90"/>
      <c r="Q206" s="90"/>
      <c r="R206" s="90"/>
      <c r="S206" s="90"/>
      <c r="T206" s="90"/>
      <c r="U206" s="90"/>
      <c r="V206" s="90"/>
      <c r="W206" s="90"/>
      <c r="X206" s="90"/>
      <c r="Y206" s="90"/>
      <c r="Z206" s="90"/>
      <c r="AA206" s="90"/>
      <c r="AB206" s="90"/>
      <c r="AC206" s="86">
        <f t="shared" si="152"/>
        <v>0</v>
      </c>
      <c r="AD206" s="1252"/>
      <c r="AE206" s="91"/>
      <c r="AF206" s="1285"/>
      <c r="AG206" s="91"/>
      <c r="AH206" s="91"/>
      <c r="AI206" s="91"/>
      <c r="AJ206" s="91"/>
      <c r="AK206" s="91"/>
      <c r="AL206" s="1252"/>
      <c r="AM206" s="91"/>
      <c r="AN206" s="1252"/>
      <c r="AO206" s="91"/>
      <c r="AP206" s="91"/>
      <c r="AQ206" s="91"/>
      <c r="AR206" s="91"/>
      <c r="AS206" s="91"/>
      <c r="AT206" s="92"/>
      <c r="AU206" s="93"/>
      <c r="AV206" s="1860">
        <f t="shared" si="153"/>
        <v>0</v>
      </c>
      <c r="AW206" s="1860">
        <f t="shared" si="154"/>
        <v>0</v>
      </c>
      <c r="AX206" s="1860">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281"/>
      <c r="C207" s="1282"/>
      <c r="D207" s="79"/>
      <c r="E207" s="86">
        <f t="shared" si="149"/>
        <v>0</v>
      </c>
      <c r="F207" s="87"/>
      <c r="G207" s="88">
        <f t="shared" si="150"/>
        <v>0</v>
      </c>
      <c r="H207" s="89">
        <f t="shared" si="151"/>
        <v>0</v>
      </c>
      <c r="I207" s="1284"/>
      <c r="J207" s="90"/>
      <c r="K207" s="1284"/>
      <c r="L207" s="90"/>
      <c r="M207" s="1252"/>
      <c r="N207" s="90"/>
      <c r="O207" s="90"/>
      <c r="P207" s="90"/>
      <c r="Q207" s="90"/>
      <c r="R207" s="90"/>
      <c r="S207" s="90"/>
      <c r="T207" s="90"/>
      <c r="U207" s="90"/>
      <c r="V207" s="90"/>
      <c r="W207" s="90"/>
      <c r="X207" s="90"/>
      <c r="Y207" s="90"/>
      <c r="Z207" s="90"/>
      <c r="AA207" s="90"/>
      <c r="AB207" s="90"/>
      <c r="AC207" s="86">
        <f t="shared" si="152"/>
        <v>0</v>
      </c>
      <c r="AD207" s="91"/>
      <c r="AE207" s="91"/>
      <c r="AF207" s="1285"/>
      <c r="AG207" s="91"/>
      <c r="AH207" s="91"/>
      <c r="AI207" s="91"/>
      <c r="AJ207" s="91"/>
      <c r="AK207" s="91"/>
      <c r="AL207" s="1252"/>
      <c r="AM207" s="91"/>
      <c r="AN207" s="1252"/>
      <c r="AO207" s="91"/>
      <c r="AP207" s="91"/>
      <c r="AQ207" s="91"/>
      <c r="AR207" s="91"/>
      <c r="AS207" s="91"/>
      <c r="AT207" s="92"/>
      <c r="AU207" s="93"/>
      <c r="AV207" s="1860">
        <f t="shared" si="153"/>
        <v>0</v>
      </c>
      <c r="AW207" s="1860">
        <f t="shared" si="154"/>
        <v>0</v>
      </c>
      <c r="AX207" s="1860">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281"/>
      <c r="C208" s="1282"/>
      <c r="D208" s="79"/>
      <c r="E208" s="86">
        <f t="shared" si="149"/>
        <v>0</v>
      </c>
      <c r="F208" s="87"/>
      <c r="G208" s="88">
        <f t="shared" si="150"/>
        <v>0</v>
      </c>
      <c r="H208" s="89">
        <f t="shared" si="151"/>
        <v>0</v>
      </c>
      <c r="I208" s="1284"/>
      <c r="J208" s="90"/>
      <c r="K208" s="1284"/>
      <c r="L208" s="90"/>
      <c r="M208" s="90"/>
      <c r="N208" s="90"/>
      <c r="O208" s="1252"/>
      <c r="P208" s="90"/>
      <c r="Q208" s="90"/>
      <c r="R208" s="90"/>
      <c r="S208" s="90"/>
      <c r="T208" s="90"/>
      <c r="U208" s="90"/>
      <c r="V208" s="90"/>
      <c r="W208" s="90"/>
      <c r="X208" s="90"/>
      <c r="Y208" s="90"/>
      <c r="Z208" s="90"/>
      <c r="AA208" s="90"/>
      <c r="AB208" s="90"/>
      <c r="AC208" s="86">
        <f t="shared" si="152"/>
        <v>0</v>
      </c>
      <c r="AD208" s="91"/>
      <c r="AE208" s="91"/>
      <c r="AF208" s="1285"/>
      <c r="AG208" s="91"/>
      <c r="AH208" s="91"/>
      <c r="AI208" s="91"/>
      <c r="AJ208" s="91"/>
      <c r="AK208" s="91"/>
      <c r="AL208" s="91"/>
      <c r="AM208" s="91"/>
      <c r="AN208" s="1252"/>
      <c r="AO208" s="91"/>
      <c r="AP208" s="91"/>
      <c r="AQ208" s="91"/>
      <c r="AR208" s="91"/>
      <c r="AS208" s="91"/>
      <c r="AT208" s="92"/>
      <c r="AU208" s="93"/>
      <c r="AV208" s="1860">
        <f t="shared" si="153"/>
        <v>0</v>
      </c>
      <c r="AW208" s="1860">
        <f t="shared" si="154"/>
        <v>0</v>
      </c>
      <c r="AX208" s="1860">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281"/>
      <c r="C209" s="1282"/>
      <c r="D209" s="79"/>
      <c r="E209" s="86">
        <f t="shared" si="149"/>
        <v>0</v>
      </c>
      <c r="F209" s="87"/>
      <c r="G209" s="88">
        <f t="shared" si="150"/>
        <v>0</v>
      </c>
      <c r="H209" s="89">
        <f t="shared" si="151"/>
        <v>0</v>
      </c>
      <c r="I209" s="1284"/>
      <c r="J209" s="90"/>
      <c r="K209" s="1284"/>
      <c r="L209" s="90"/>
      <c r="M209" s="90"/>
      <c r="N209" s="90"/>
      <c r="O209" s="90"/>
      <c r="P209" s="90"/>
      <c r="Q209" s="90"/>
      <c r="R209" s="90"/>
      <c r="S209" s="90"/>
      <c r="T209" s="90"/>
      <c r="U209" s="90"/>
      <c r="V209" s="90"/>
      <c r="W209" s="90"/>
      <c r="X209" s="90"/>
      <c r="Y209" s="90"/>
      <c r="Z209" s="90"/>
      <c r="AA209" s="90"/>
      <c r="AB209" s="90"/>
      <c r="AC209" s="86">
        <f t="shared" si="152"/>
        <v>0</v>
      </c>
      <c r="AD209" s="91"/>
      <c r="AE209" s="91"/>
      <c r="AF209" s="1285"/>
      <c r="AG209" s="91"/>
      <c r="AH209" s="91"/>
      <c r="AI209" s="91"/>
      <c r="AJ209" s="91"/>
      <c r="AK209" s="91"/>
      <c r="AL209" s="91"/>
      <c r="AM209" s="91"/>
      <c r="AN209" s="91"/>
      <c r="AO209" s="91"/>
      <c r="AP209" s="91"/>
      <c r="AQ209" s="91"/>
      <c r="AR209" s="91"/>
      <c r="AS209" s="91"/>
      <c r="AT209" s="92"/>
      <c r="AU209" s="93"/>
      <c r="AV209" s="1860">
        <f t="shared" si="153"/>
        <v>0</v>
      </c>
      <c r="AW209" s="1860">
        <f t="shared" si="154"/>
        <v>0</v>
      </c>
      <c r="AX209" s="1860">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281"/>
      <c r="C210" s="1282"/>
      <c r="D210" s="79"/>
      <c r="E210" s="86">
        <f t="shared" si="149"/>
        <v>0</v>
      </c>
      <c r="F210" s="87"/>
      <c r="G210" s="88">
        <f t="shared" si="150"/>
        <v>0</v>
      </c>
      <c r="H210" s="89">
        <f t="shared" si="151"/>
        <v>0</v>
      </c>
      <c r="I210" s="1284"/>
      <c r="J210" s="90"/>
      <c r="K210" s="1284"/>
      <c r="L210" s="90"/>
      <c r="M210" s="90"/>
      <c r="N210" s="90"/>
      <c r="O210" s="90"/>
      <c r="P210" s="90"/>
      <c r="Q210" s="90"/>
      <c r="R210" s="90"/>
      <c r="S210" s="90"/>
      <c r="T210" s="90"/>
      <c r="U210" s="90"/>
      <c r="V210" s="90"/>
      <c r="W210" s="90"/>
      <c r="X210" s="90"/>
      <c r="Y210" s="90"/>
      <c r="Z210" s="90"/>
      <c r="AA210" s="90"/>
      <c r="AB210" s="90"/>
      <c r="AC210" s="86">
        <f t="shared" si="152"/>
        <v>0</v>
      </c>
      <c r="AD210" s="91"/>
      <c r="AE210" s="91"/>
      <c r="AF210" s="1285"/>
      <c r="AG210" s="91"/>
      <c r="AH210" s="91"/>
      <c r="AI210" s="91"/>
      <c r="AJ210" s="91"/>
      <c r="AK210" s="91"/>
      <c r="AL210" s="91"/>
      <c r="AM210" s="91"/>
      <c r="AN210" s="91"/>
      <c r="AO210" s="91"/>
      <c r="AP210" s="91"/>
      <c r="AQ210" s="91"/>
      <c r="AR210" s="91"/>
      <c r="AS210" s="91"/>
      <c r="AT210" s="92"/>
      <c r="AU210" s="93"/>
      <c r="AV210" s="1860">
        <f t="shared" si="153"/>
        <v>0</v>
      </c>
      <c r="AW210" s="1860">
        <f t="shared" si="154"/>
        <v>0</v>
      </c>
      <c r="AX210" s="1860">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281"/>
      <c r="C211" s="1282"/>
      <c r="D211" s="79"/>
      <c r="E211" s="86">
        <f t="shared" si="149"/>
        <v>0</v>
      </c>
      <c r="F211" s="87"/>
      <c r="G211" s="88">
        <f t="shared" si="150"/>
        <v>0</v>
      </c>
      <c r="H211" s="89">
        <f t="shared" si="151"/>
        <v>0</v>
      </c>
      <c r="I211" s="1284"/>
      <c r="J211" s="90"/>
      <c r="K211" s="1284"/>
      <c r="L211" s="90"/>
      <c r="M211" s="90"/>
      <c r="N211" s="90"/>
      <c r="O211" s="90"/>
      <c r="P211" s="90"/>
      <c r="Q211" s="90"/>
      <c r="R211" s="90"/>
      <c r="S211" s="90"/>
      <c r="T211" s="90"/>
      <c r="U211" s="90"/>
      <c r="V211" s="90"/>
      <c r="W211" s="90"/>
      <c r="X211" s="90"/>
      <c r="Y211" s="90"/>
      <c r="Z211" s="90"/>
      <c r="AA211" s="90"/>
      <c r="AB211" s="90"/>
      <c r="AC211" s="86">
        <f t="shared" si="152"/>
        <v>0</v>
      </c>
      <c r="AD211" s="91"/>
      <c r="AE211" s="91"/>
      <c r="AF211" s="1285"/>
      <c r="AG211" s="91"/>
      <c r="AH211" s="91"/>
      <c r="AI211" s="91"/>
      <c r="AJ211" s="91"/>
      <c r="AK211" s="91"/>
      <c r="AL211" s="91"/>
      <c r="AM211" s="91"/>
      <c r="AN211" s="91"/>
      <c r="AO211" s="91"/>
      <c r="AP211" s="91"/>
      <c r="AQ211" s="91"/>
      <c r="AR211" s="91"/>
      <c r="AS211" s="91"/>
      <c r="AT211" s="92"/>
      <c r="AU211" s="93"/>
      <c r="AV211" s="1860">
        <f t="shared" si="153"/>
        <v>0</v>
      </c>
      <c r="AW211" s="1860">
        <f t="shared" si="154"/>
        <v>0</v>
      </c>
      <c r="AX211" s="1860">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281"/>
      <c r="C212" s="1282"/>
      <c r="D212" s="79"/>
      <c r="E212" s="86">
        <f t="shared" si="149"/>
        <v>0</v>
      </c>
      <c r="F212" s="87"/>
      <c r="G212" s="88">
        <f t="shared" si="150"/>
        <v>0</v>
      </c>
      <c r="H212" s="89">
        <f t="shared" si="151"/>
        <v>0</v>
      </c>
      <c r="I212" s="1284"/>
      <c r="J212" s="90"/>
      <c r="K212" s="1284"/>
      <c r="L212" s="90"/>
      <c r="M212" s="90"/>
      <c r="N212" s="90"/>
      <c r="O212" s="90"/>
      <c r="P212" s="90"/>
      <c r="Q212" s="90"/>
      <c r="R212" s="90"/>
      <c r="S212" s="90"/>
      <c r="T212" s="90"/>
      <c r="U212" s="90"/>
      <c r="V212" s="90"/>
      <c r="W212" s="90"/>
      <c r="X212" s="90"/>
      <c r="Y212" s="90"/>
      <c r="Z212" s="90"/>
      <c r="AA212" s="90"/>
      <c r="AB212" s="90"/>
      <c r="AC212" s="86">
        <f t="shared" si="152"/>
        <v>0</v>
      </c>
      <c r="AD212" s="91"/>
      <c r="AE212" s="91"/>
      <c r="AF212" s="1284"/>
      <c r="AG212" s="91"/>
      <c r="AH212" s="91"/>
      <c r="AI212" s="91"/>
      <c r="AJ212" s="91"/>
      <c r="AK212" s="91"/>
      <c r="AL212" s="91"/>
      <c r="AM212" s="91"/>
      <c r="AN212" s="91"/>
      <c r="AO212" s="91"/>
      <c r="AP212" s="91"/>
      <c r="AQ212" s="91"/>
      <c r="AR212" s="91"/>
      <c r="AS212" s="91"/>
      <c r="AT212" s="92"/>
      <c r="AU212" s="93"/>
      <c r="AV212" s="1860">
        <f t="shared" si="153"/>
        <v>0</v>
      </c>
      <c r="AW212" s="1860">
        <f t="shared" si="154"/>
        <v>0</v>
      </c>
      <c r="AX212" s="1860">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283"/>
      <c r="C213" s="1284"/>
      <c r="D213" s="79"/>
      <c r="E213" s="86">
        <f t="shared" si="149"/>
        <v>0</v>
      </c>
      <c r="F213" s="87"/>
      <c r="G213" s="88">
        <f t="shared" si="150"/>
        <v>0</v>
      </c>
      <c r="H213" s="89">
        <f t="shared" si="151"/>
        <v>0</v>
      </c>
      <c r="I213" s="1284"/>
      <c r="J213" s="90"/>
      <c r="K213" s="1284"/>
      <c r="L213" s="90"/>
      <c r="M213" s="90"/>
      <c r="N213" s="90"/>
      <c r="O213" s="90"/>
      <c r="P213" s="90"/>
      <c r="Q213" s="90"/>
      <c r="R213" s="90"/>
      <c r="S213" s="90"/>
      <c r="T213" s="90"/>
      <c r="U213" s="90"/>
      <c r="V213" s="90"/>
      <c r="W213" s="90"/>
      <c r="X213" s="90"/>
      <c r="Y213" s="90"/>
      <c r="Z213" s="90"/>
      <c r="AA213" s="90"/>
      <c r="AB213" s="90"/>
      <c r="AC213" s="86">
        <f t="shared" si="152"/>
        <v>0</v>
      </c>
      <c r="AD213" s="91"/>
      <c r="AE213" s="91"/>
      <c r="AF213" s="1284"/>
      <c r="AG213" s="91"/>
      <c r="AH213" s="91"/>
      <c r="AI213" s="91"/>
      <c r="AJ213" s="91"/>
      <c r="AK213" s="91"/>
      <c r="AL213" s="91"/>
      <c r="AM213" s="91"/>
      <c r="AN213" s="91"/>
      <c r="AO213" s="91"/>
      <c r="AP213" s="91"/>
      <c r="AQ213" s="91"/>
      <c r="AR213" s="91"/>
      <c r="AS213" s="91"/>
      <c r="AT213" s="92"/>
      <c r="AU213" s="93"/>
      <c r="AV213" s="1860">
        <f t="shared" si="153"/>
        <v>0</v>
      </c>
      <c r="AW213" s="1860">
        <f t="shared" si="154"/>
        <v>0</v>
      </c>
      <c r="AX213" s="1860">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281"/>
      <c r="C214" s="1282"/>
      <c r="D214" s="79"/>
      <c r="E214" s="86">
        <f t="shared" si="149"/>
        <v>0</v>
      </c>
      <c r="F214" s="87"/>
      <c r="G214" s="88">
        <f t="shared" si="150"/>
        <v>0</v>
      </c>
      <c r="H214" s="89">
        <f t="shared" si="151"/>
        <v>0</v>
      </c>
      <c r="I214" s="1284"/>
      <c r="J214" s="90"/>
      <c r="K214" s="1284"/>
      <c r="L214" s="90"/>
      <c r="M214" s="90"/>
      <c r="N214" s="90"/>
      <c r="O214" s="90"/>
      <c r="P214" s="90"/>
      <c r="Q214" s="90"/>
      <c r="R214" s="90"/>
      <c r="S214" s="90"/>
      <c r="T214" s="90"/>
      <c r="U214" s="90"/>
      <c r="V214" s="90"/>
      <c r="W214" s="90"/>
      <c r="X214" s="90"/>
      <c r="Y214" s="90"/>
      <c r="Z214" s="90"/>
      <c r="AA214" s="90"/>
      <c r="AB214" s="90"/>
      <c r="AC214" s="86">
        <f t="shared" si="152"/>
        <v>0</v>
      </c>
      <c r="AD214" s="91"/>
      <c r="AE214" s="91"/>
      <c r="AF214" s="1284"/>
      <c r="AG214" s="91"/>
      <c r="AH214" s="91"/>
      <c r="AI214" s="91"/>
      <c r="AJ214" s="91"/>
      <c r="AK214" s="91"/>
      <c r="AL214" s="91"/>
      <c r="AM214" s="91"/>
      <c r="AN214" s="91"/>
      <c r="AO214" s="91"/>
      <c r="AP214" s="91"/>
      <c r="AQ214" s="91"/>
      <c r="AR214" s="91"/>
      <c r="AS214" s="91"/>
      <c r="AT214" s="92"/>
      <c r="AU214" s="93"/>
      <c r="AV214" s="1860">
        <f t="shared" si="153"/>
        <v>0</v>
      </c>
      <c r="AW214" s="1860">
        <f t="shared" si="154"/>
        <v>0</v>
      </c>
      <c r="AX214" s="1860">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281"/>
      <c r="C215" s="1282"/>
      <c r="D215" s="79"/>
      <c r="E215" s="86">
        <f t="shared" si="149"/>
        <v>0</v>
      </c>
      <c r="F215" s="87"/>
      <c r="G215" s="88">
        <f t="shared" si="150"/>
        <v>0</v>
      </c>
      <c r="H215" s="89">
        <f t="shared" si="151"/>
        <v>0</v>
      </c>
      <c r="I215" s="1284"/>
      <c r="J215" s="90"/>
      <c r="K215" s="1284"/>
      <c r="L215" s="90"/>
      <c r="M215" s="90"/>
      <c r="N215" s="90"/>
      <c r="O215" s="90"/>
      <c r="P215" s="90"/>
      <c r="Q215" s="90"/>
      <c r="R215" s="90"/>
      <c r="S215" s="90"/>
      <c r="T215" s="90"/>
      <c r="U215" s="90"/>
      <c r="V215" s="90"/>
      <c r="W215" s="90"/>
      <c r="X215" s="90"/>
      <c r="Y215" s="90"/>
      <c r="Z215" s="90"/>
      <c r="AA215" s="90"/>
      <c r="AB215" s="90"/>
      <c r="AC215" s="86">
        <f t="shared" si="152"/>
        <v>0</v>
      </c>
      <c r="AD215" s="91"/>
      <c r="AE215" s="91"/>
      <c r="AF215" s="1284"/>
      <c r="AG215" s="91"/>
      <c r="AH215" s="91"/>
      <c r="AI215" s="91"/>
      <c r="AJ215" s="91"/>
      <c r="AK215" s="91"/>
      <c r="AL215" s="91"/>
      <c r="AM215" s="91"/>
      <c r="AN215" s="91"/>
      <c r="AO215" s="91"/>
      <c r="AP215" s="91"/>
      <c r="AQ215" s="91"/>
      <c r="AR215" s="91"/>
      <c r="AS215" s="91"/>
      <c r="AT215" s="92"/>
      <c r="AU215" s="93"/>
      <c r="AV215" s="1860">
        <f t="shared" si="153"/>
        <v>0</v>
      </c>
      <c r="AW215" s="1860">
        <f t="shared" si="154"/>
        <v>0</v>
      </c>
      <c r="AX215" s="1860">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281"/>
      <c r="C216" s="1282"/>
      <c r="D216" s="79"/>
      <c r="E216" s="86">
        <f t="shared" si="149"/>
        <v>0</v>
      </c>
      <c r="F216" s="87"/>
      <c r="G216" s="88">
        <f t="shared" si="150"/>
        <v>0</v>
      </c>
      <c r="H216" s="89">
        <f t="shared" si="151"/>
        <v>0</v>
      </c>
      <c r="I216" s="1284"/>
      <c r="J216" s="90"/>
      <c r="K216" s="1284"/>
      <c r="L216" s="90"/>
      <c r="M216" s="90"/>
      <c r="N216" s="90"/>
      <c r="O216" s="90"/>
      <c r="P216" s="90"/>
      <c r="Q216" s="90"/>
      <c r="R216" s="90"/>
      <c r="S216" s="90"/>
      <c r="T216" s="90"/>
      <c r="U216" s="90"/>
      <c r="V216" s="90"/>
      <c r="W216" s="90"/>
      <c r="X216" s="90"/>
      <c r="Y216" s="90"/>
      <c r="Z216" s="90"/>
      <c r="AA216" s="90"/>
      <c r="AB216" s="90"/>
      <c r="AC216" s="86">
        <f t="shared" si="152"/>
        <v>0</v>
      </c>
      <c r="AD216" s="91"/>
      <c r="AE216" s="91"/>
      <c r="AF216" s="1284"/>
      <c r="AG216" s="91"/>
      <c r="AH216" s="91"/>
      <c r="AI216" s="91"/>
      <c r="AJ216" s="91"/>
      <c r="AK216" s="91"/>
      <c r="AL216" s="91"/>
      <c r="AM216" s="91"/>
      <c r="AN216" s="91"/>
      <c r="AO216" s="91"/>
      <c r="AP216" s="91"/>
      <c r="AQ216" s="91"/>
      <c r="AR216" s="91"/>
      <c r="AS216" s="91"/>
      <c r="AT216" s="92"/>
      <c r="AU216" s="93"/>
      <c r="AV216" s="1860">
        <f t="shared" si="153"/>
        <v>0</v>
      </c>
      <c r="AW216" s="1860">
        <f t="shared" si="154"/>
        <v>0</v>
      </c>
      <c r="AX216" s="1860">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281"/>
      <c r="C217" s="1282"/>
      <c r="D217" s="79"/>
      <c r="E217" s="86">
        <f t="shared" si="149"/>
        <v>0</v>
      </c>
      <c r="F217" s="87"/>
      <c r="G217" s="88">
        <f t="shared" si="150"/>
        <v>0</v>
      </c>
      <c r="H217" s="89">
        <f t="shared" si="151"/>
        <v>0</v>
      </c>
      <c r="I217" s="1284"/>
      <c r="J217" s="90"/>
      <c r="K217" s="1284"/>
      <c r="L217" s="90"/>
      <c r="M217" s="90"/>
      <c r="N217" s="90"/>
      <c r="O217" s="90"/>
      <c r="P217" s="90"/>
      <c r="Q217" s="90"/>
      <c r="R217" s="90"/>
      <c r="S217" s="90"/>
      <c r="T217" s="90"/>
      <c r="U217" s="90"/>
      <c r="V217" s="90"/>
      <c r="W217" s="90"/>
      <c r="X217" s="90"/>
      <c r="Y217" s="90"/>
      <c r="Z217" s="90"/>
      <c r="AA217" s="90"/>
      <c r="AB217" s="90"/>
      <c r="AC217" s="86">
        <f t="shared" si="152"/>
        <v>0</v>
      </c>
      <c r="AD217" s="91"/>
      <c r="AE217" s="91"/>
      <c r="AF217" s="1284"/>
      <c r="AG217" s="91"/>
      <c r="AH217" s="91"/>
      <c r="AI217" s="91"/>
      <c r="AJ217" s="91"/>
      <c r="AK217" s="91"/>
      <c r="AL217" s="91"/>
      <c r="AM217" s="91"/>
      <c r="AN217" s="91"/>
      <c r="AO217" s="91"/>
      <c r="AP217" s="91"/>
      <c r="AQ217" s="91"/>
      <c r="AR217" s="91"/>
      <c r="AS217" s="91"/>
      <c r="AT217" s="92"/>
      <c r="AU217" s="93"/>
      <c r="AV217" s="1860">
        <f t="shared" si="153"/>
        <v>0</v>
      </c>
      <c r="AW217" s="1860">
        <f t="shared" si="154"/>
        <v>0</v>
      </c>
      <c r="AX217" s="1860">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281"/>
      <c r="C218" s="1282"/>
      <c r="D218" s="79"/>
      <c r="E218" s="86">
        <f t="shared" si="149"/>
        <v>0</v>
      </c>
      <c r="F218" s="87"/>
      <c r="G218" s="88">
        <f t="shared" si="150"/>
        <v>0</v>
      </c>
      <c r="H218" s="89">
        <f t="shared" si="151"/>
        <v>0</v>
      </c>
      <c r="I218" s="1284"/>
      <c r="J218" s="90"/>
      <c r="K218" s="1284"/>
      <c r="L218" s="90"/>
      <c r="M218" s="90"/>
      <c r="N218" s="90"/>
      <c r="O218" s="90"/>
      <c r="P218" s="90"/>
      <c r="Q218" s="90"/>
      <c r="R218" s="90"/>
      <c r="S218" s="90"/>
      <c r="T218" s="90"/>
      <c r="U218" s="90"/>
      <c r="V218" s="90"/>
      <c r="W218" s="90"/>
      <c r="X218" s="90"/>
      <c r="Y218" s="90"/>
      <c r="Z218" s="90"/>
      <c r="AA218" s="90"/>
      <c r="AB218" s="90"/>
      <c r="AC218" s="86">
        <f t="shared" si="152"/>
        <v>0</v>
      </c>
      <c r="AD218" s="91"/>
      <c r="AE218" s="91"/>
      <c r="AF218" s="1284"/>
      <c r="AG218" s="91"/>
      <c r="AH218" s="91"/>
      <c r="AI218" s="91"/>
      <c r="AJ218" s="91"/>
      <c r="AK218" s="91"/>
      <c r="AL218" s="91"/>
      <c r="AM218" s="91"/>
      <c r="AN218" s="91"/>
      <c r="AO218" s="91"/>
      <c r="AP218" s="91"/>
      <c r="AQ218" s="91"/>
      <c r="AR218" s="91"/>
      <c r="AS218" s="91"/>
      <c r="AT218" s="92"/>
      <c r="AU218" s="93"/>
      <c r="AV218" s="1860">
        <f t="shared" si="153"/>
        <v>0</v>
      </c>
      <c r="AW218" s="1860">
        <f t="shared" si="154"/>
        <v>0</v>
      </c>
      <c r="AX218" s="1860">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281"/>
      <c r="C219" s="1282"/>
      <c r="D219" s="79"/>
      <c r="E219" s="86">
        <f t="shared" si="149"/>
        <v>0</v>
      </c>
      <c r="F219" s="87"/>
      <c r="G219" s="88">
        <f t="shared" si="150"/>
        <v>0</v>
      </c>
      <c r="H219" s="89">
        <f t="shared" si="151"/>
        <v>0</v>
      </c>
      <c r="I219" s="1284"/>
      <c r="J219" s="90"/>
      <c r="K219" s="1284"/>
      <c r="L219" s="90"/>
      <c r="M219" s="90"/>
      <c r="N219" s="90"/>
      <c r="O219" s="90"/>
      <c r="P219" s="90"/>
      <c r="Q219" s="90"/>
      <c r="R219" s="90"/>
      <c r="S219" s="90"/>
      <c r="T219" s="90"/>
      <c r="U219" s="90"/>
      <c r="V219" s="90"/>
      <c r="W219" s="90"/>
      <c r="X219" s="90"/>
      <c r="Y219" s="90"/>
      <c r="Z219" s="90"/>
      <c r="AA219" s="90"/>
      <c r="AB219" s="90"/>
      <c r="AC219" s="86">
        <f t="shared" si="152"/>
        <v>0</v>
      </c>
      <c r="AD219" s="91"/>
      <c r="AE219" s="91"/>
      <c r="AF219" s="1284"/>
      <c r="AG219" s="91"/>
      <c r="AH219" s="91"/>
      <c r="AI219" s="91"/>
      <c r="AJ219" s="91"/>
      <c r="AK219" s="91"/>
      <c r="AL219" s="91"/>
      <c r="AM219" s="91"/>
      <c r="AN219" s="91"/>
      <c r="AO219" s="91"/>
      <c r="AP219" s="91"/>
      <c r="AQ219" s="91"/>
      <c r="AR219" s="91"/>
      <c r="AS219" s="91"/>
      <c r="AT219" s="92"/>
      <c r="AU219" s="93"/>
      <c r="AV219" s="1860">
        <f t="shared" si="153"/>
        <v>0</v>
      </c>
      <c r="AW219" s="1860">
        <f t="shared" si="154"/>
        <v>0</v>
      </c>
      <c r="AX219" s="1860">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281"/>
      <c r="C220" s="1282"/>
      <c r="D220" s="79"/>
      <c r="E220" s="86">
        <f t="shared" si="149"/>
        <v>0</v>
      </c>
      <c r="F220" s="87"/>
      <c r="G220" s="88">
        <f t="shared" si="150"/>
        <v>0</v>
      </c>
      <c r="H220" s="89">
        <f t="shared" si="151"/>
        <v>0</v>
      </c>
      <c r="I220" s="1284"/>
      <c r="J220" s="90"/>
      <c r="K220" s="1284"/>
      <c r="L220" s="90"/>
      <c r="M220" s="90"/>
      <c r="N220" s="90"/>
      <c r="O220" s="90"/>
      <c r="P220" s="90"/>
      <c r="Q220" s="90"/>
      <c r="R220" s="90"/>
      <c r="S220" s="90"/>
      <c r="T220" s="90"/>
      <c r="U220" s="90"/>
      <c r="V220" s="90"/>
      <c r="W220" s="90"/>
      <c r="X220" s="90"/>
      <c r="Y220" s="90"/>
      <c r="Z220" s="90"/>
      <c r="AA220" s="90"/>
      <c r="AB220" s="90"/>
      <c r="AC220" s="86">
        <f t="shared" si="152"/>
        <v>0</v>
      </c>
      <c r="AD220" s="91"/>
      <c r="AE220" s="91"/>
      <c r="AF220" s="1284"/>
      <c r="AG220" s="91"/>
      <c r="AH220" s="91"/>
      <c r="AI220" s="91"/>
      <c r="AJ220" s="91"/>
      <c r="AK220" s="91"/>
      <c r="AL220" s="91"/>
      <c r="AM220" s="91"/>
      <c r="AN220" s="91"/>
      <c r="AO220" s="91"/>
      <c r="AP220" s="91"/>
      <c r="AQ220" s="91"/>
      <c r="AR220" s="91"/>
      <c r="AS220" s="91"/>
      <c r="AT220" s="92"/>
      <c r="AU220" s="93"/>
      <c r="AV220" s="1860">
        <f t="shared" si="153"/>
        <v>0</v>
      </c>
      <c r="AW220" s="1860">
        <f t="shared" si="154"/>
        <v>0</v>
      </c>
      <c r="AX220" s="1860">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281"/>
      <c r="C221" s="1282"/>
      <c r="D221" s="79"/>
      <c r="E221" s="86">
        <f t="shared" si="149"/>
        <v>0</v>
      </c>
      <c r="F221" s="87"/>
      <c r="G221" s="88">
        <f t="shared" si="150"/>
        <v>0</v>
      </c>
      <c r="H221" s="89">
        <f t="shared" si="151"/>
        <v>0</v>
      </c>
      <c r="I221" s="1284"/>
      <c r="J221" s="90"/>
      <c r="K221" s="1284"/>
      <c r="L221" s="90"/>
      <c r="M221" s="90"/>
      <c r="N221" s="90"/>
      <c r="O221" s="90"/>
      <c r="P221" s="90"/>
      <c r="Q221" s="90"/>
      <c r="R221" s="90"/>
      <c r="S221" s="90"/>
      <c r="T221" s="90"/>
      <c r="U221" s="90"/>
      <c r="V221" s="90"/>
      <c r="W221" s="90"/>
      <c r="X221" s="90"/>
      <c r="Y221" s="90"/>
      <c r="Z221" s="90"/>
      <c r="AA221" s="90"/>
      <c r="AB221" s="90"/>
      <c r="AC221" s="86">
        <f t="shared" si="152"/>
        <v>0</v>
      </c>
      <c r="AD221" s="91"/>
      <c r="AE221" s="91"/>
      <c r="AF221" s="1284"/>
      <c r="AG221" s="91"/>
      <c r="AH221" s="91"/>
      <c r="AI221" s="91"/>
      <c r="AJ221" s="91"/>
      <c r="AK221" s="91"/>
      <c r="AL221" s="91"/>
      <c r="AM221" s="91"/>
      <c r="AN221" s="91"/>
      <c r="AO221" s="91"/>
      <c r="AP221" s="91"/>
      <c r="AQ221" s="91"/>
      <c r="AR221" s="91"/>
      <c r="AS221" s="91"/>
      <c r="AT221" s="92"/>
      <c r="AU221" s="93"/>
      <c r="AV221" s="1860">
        <f t="shared" si="153"/>
        <v>0</v>
      </c>
      <c r="AW221" s="1860">
        <f t="shared" si="154"/>
        <v>0</v>
      </c>
      <c r="AX221" s="1860">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281"/>
      <c r="C222" s="1282"/>
      <c r="D222" s="79"/>
      <c r="E222" s="86">
        <f t="shared" si="149"/>
        <v>0</v>
      </c>
      <c r="F222" s="87"/>
      <c r="G222" s="88">
        <f t="shared" si="150"/>
        <v>0</v>
      </c>
      <c r="H222" s="89">
        <f t="shared" si="151"/>
        <v>0</v>
      </c>
      <c r="I222" s="1284"/>
      <c r="J222" s="90"/>
      <c r="K222" s="1284"/>
      <c r="L222" s="90"/>
      <c r="M222" s="90"/>
      <c r="N222" s="90"/>
      <c r="O222" s="90"/>
      <c r="P222" s="90"/>
      <c r="Q222" s="90"/>
      <c r="R222" s="90"/>
      <c r="S222" s="90"/>
      <c r="T222" s="90"/>
      <c r="U222" s="90"/>
      <c r="V222" s="90"/>
      <c r="W222" s="90"/>
      <c r="X222" s="90"/>
      <c r="Y222" s="90"/>
      <c r="Z222" s="90"/>
      <c r="AA222" s="90"/>
      <c r="AB222" s="90"/>
      <c r="AC222" s="86">
        <f t="shared" si="152"/>
        <v>0</v>
      </c>
      <c r="AD222" s="91"/>
      <c r="AE222" s="91"/>
      <c r="AF222" s="1284"/>
      <c r="AG222" s="91"/>
      <c r="AH222" s="91"/>
      <c r="AI222" s="91"/>
      <c r="AJ222" s="91"/>
      <c r="AK222" s="91"/>
      <c r="AL222" s="91"/>
      <c r="AM222" s="91"/>
      <c r="AN222" s="91"/>
      <c r="AO222" s="91"/>
      <c r="AP222" s="91"/>
      <c r="AQ222" s="91"/>
      <c r="AR222" s="91"/>
      <c r="AS222" s="91"/>
      <c r="AT222" s="92"/>
      <c r="AU222" s="93"/>
      <c r="AV222" s="1860">
        <f t="shared" si="153"/>
        <v>0</v>
      </c>
      <c r="AW222" s="1860">
        <f t="shared" si="154"/>
        <v>0</v>
      </c>
      <c r="AX222" s="1860">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281"/>
      <c r="C223" s="1282"/>
      <c r="D223" s="79"/>
      <c r="E223" s="86">
        <f t="shared" si="149"/>
        <v>0</v>
      </c>
      <c r="F223" s="87"/>
      <c r="G223" s="88">
        <f t="shared" si="150"/>
        <v>0</v>
      </c>
      <c r="H223" s="89">
        <f t="shared" si="151"/>
        <v>0</v>
      </c>
      <c r="I223" s="1284"/>
      <c r="J223" s="90"/>
      <c r="K223" s="1284"/>
      <c r="L223" s="90"/>
      <c r="M223" s="90"/>
      <c r="N223" s="90"/>
      <c r="O223" s="90"/>
      <c r="P223" s="90"/>
      <c r="Q223" s="90"/>
      <c r="R223" s="90"/>
      <c r="S223" s="90"/>
      <c r="T223" s="90"/>
      <c r="U223" s="90"/>
      <c r="V223" s="90"/>
      <c r="W223" s="90"/>
      <c r="X223" s="90"/>
      <c r="Y223" s="90"/>
      <c r="Z223" s="90"/>
      <c r="AA223" s="90"/>
      <c r="AB223" s="90"/>
      <c r="AC223" s="86">
        <f t="shared" si="152"/>
        <v>0</v>
      </c>
      <c r="AD223" s="91"/>
      <c r="AE223" s="91"/>
      <c r="AF223" s="1284"/>
      <c r="AG223" s="91"/>
      <c r="AH223" s="91"/>
      <c r="AI223" s="91"/>
      <c r="AJ223" s="91"/>
      <c r="AK223" s="91"/>
      <c r="AL223" s="91"/>
      <c r="AM223" s="91"/>
      <c r="AN223" s="91"/>
      <c r="AO223" s="91"/>
      <c r="AP223" s="91"/>
      <c r="AQ223" s="91"/>
      <c r="AR223" s="91"/>
      <c r="AS223" s="91"/>
      <c r="AT223" s="92"/>
      <c r="AU223" s="93"/>
      <c r="AV223" s="1860">
        <f t="shared" si="153"/>
        <v>0</v>
      </c>
      <c r="AW223" s="1860">
        <f t="shared" si="154"/>
        <v>0</v>
      </c>
      <c r="AX223" s="1860">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281"/>
      <c r="C224" s="1282"/>
      <c r="D224" s="79"/>
      <c r="E224" s="86">
        <f t="shared" si="149"/>
        <v>0</v>
      </c>
      <c r="F224" s="87"/>
      <c r="G224" s="88">
        <f t="shared" si="150"/>
        <v>0</v>
      </c>
      <c r="H224" s="89">
        <f t="shared" si="151"/>
        <v>0</v>
      </c>
      <c r="I224" s="1284"/>
      <c r="J224" s="90"/>
      <c r="K224" s="1284"/>
      <c r="L224" s="90"/>
      <c r="M224" s="90"/>
      <c r="N224" s="90"/>
      <c r="O224" s="90"/>
      <c r="P224" s="90"/>
      <c r="Q224" s="90"/>
      <c r="R224" s="90"/>
      <c r="S224" s="90"/>
      <c r="T224" s="90"/>
      <c r="U224" s="90"/>
      <c r="V224" s="90"/>
      <c r="W224" s="90"/>
      <c r="X224" s="90"/>
      <c r="Y224" s="90"/>
      <c r="Z224" s="90"/>
      <c r="AA224" s="90"/>
      <c r="AB224" s="90"/>
      <c r="AC224" s="86">
        <f t="shared" si="152"/>
        <v>0</v>
      </c>
      <c r="AD224" s="91"/>
      <c r="AE224" s="91"/>
      <c r="AF224" s="1284"/>
      <c r="AG224" s="91"/>
      <c r="AH224" s="91"/>
      <c r="AI224" s="91"/>
      <c r="AJ224" s="91"/>
      <c r="AK224" s="91"/>
      <c r="AL224" s="91"/>
      <c r="AM224" s="91"/>
      <c r="AN224" s="91"/>
      <c r="AO224" s="91"/>
      <c r="AP224" s="91"/>
      <c r="AQ224" s="91"/>
      <c r="AR224" s="91"/>
      <c r="AS224" s="91"/>
      <c r="AT224" s="92"/>
      <c r="AU224" s="93"/>
      <c r="AV224" s="1860">
        <f t="shared" si="153"/>
        <v>0</v>
      </c>
      <c r="AW224" s="1860">
        <f t="shared" si="154"/>
        <v>0</v>
      </c>
      <c r="AX224" s="1860">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281"/>
      <c r="C225" s="1282"/>
      <c r="D225" s="79"/>
      <c r="E225" s="86">
        <f t="shared" si="149"/>
        <v>0</v>
      </c>
      <c r="F225" s="87"/>
      <c r="G225" s="88">
        <f t="shared" si="150"/>
        <v>0</v>
      </c>
      <c r="H225" s="89">
        <f t="shared" si="151"/>
        <v>0</v>
      </c>
      <c r="I225" s="1284"/>
      <c r="J225" s="90"/>
      <c r="K225" s="1284"/>
      <c r="L225" s="90"/>
      <c r="M225" s="90"/>
      <c r="N225" s="90"/>
      <c r="O225" s="90"/>
      <c r="P225" s="90"/>
      <c r="Q225" s="90"/>
      <c r="R225" s="90"/>
      <c r="S225" s="90"/>
      <c r="T225" s="90"/>
      <c r="U225" s="90"/>
      <c r="V225" s="90"/>
      <c r="W225" s="90"/>
      <c r="X225" s="90"/>
      <c r="Y225" s="90"/>
      <c r="Z225" s="90"/>
      <c r="AA225" s="90"/>
      <c r="AB225" s="90"/>
      <c r="AC225" s="86">
        <f t="shared" si="152"/>
        <v>0</v>
      </c>
      <c r="AD225" s="91"/>
      <c r="AE225" s="91"/>
      <c r="AF225" s="1284"/>
      <c r="AG225" s="91"/>
      <c r="AH225" s="91"/>
      <c r="AI225" s="91"/>
      <c r="AJ225" s="91"/>
      <c r="AK225" s="91"/>
      <c r="AL225" s="91"/>
      <c r="AM225" s="91"/>
      <c r="AN225" s="91"/>
      <c r="AO225" s="91"/>
      <c r="AP225" s="91"/>
      <c r="AQ225" s="91"/>
      <c r="AR225" s="91"/>
      <c r="AS225" s="91"/>
      <c r="AT225" s="92"/>
      <c r="AU225" s="93"/>
      <c r="AV225" s="1860">
        <f t="shared" si="153"/>
        <v>0</v>
      </c>
      <c r="AW225" s="1860">
        <f t="shared" si="154"/>
        <v>0</v>
      </c>
      <c r="AX225" s="1860">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281"/>
      <c r="C226" s="1282"/>
      <c r="D226" s="79"/>
      <c r="E226" s="86">
        <f t="shared" si="149"/>
        <v>0</v>
      </c>
      <c r="F226" s="87"/>
      <c r="G226" s="88">
        <f t="shared" si="150"/>
        <v>0</v>
      </c>
      <c r="H226" s="89">
        <f t="shared" si="151"/>
        <v>0</v>
      </c>
      <c r="I226" s="1284"/>
      <c r="J226" s="90"/>
      <c r="K226" s="1284"/>
      <c r="L226" s="90"/>
      <c r="M226" s="90"/>
      <c r="N226" s="90"/>
      <c r="O226" s="90"/>
      <c r="P226" s="90"/>
      <c r="Q226" s="90"/>
      <c r="R226" s="90"/>
      <c r="S226" s="90"/>
      <c r="T226" s="90"/>
      <c r="U226" s="90"/>
      <c r="V226" s="90"/>
      <c r="W226" s="90"/>
      <c r="X226" s="90"/>
      <c r="Y226" s="90"/>
      <c r="Z226" s="90"/>
      <c r="AA226" s="90"/>
      <c r="AB226" s="90"/>
      <c r="AC226" s="86">
        <f t="shared" si="152"/>
        <v>0</v>
      </c>
      <c r="AD226" s="91"/>
      <c r="AE226" s="91"/>
      <c r="AF226" s="1284"/>
      <c r="AG226" s="91"/>
      <c r="AH226" s="91"/>
      <c r="AI226" s="91"/>
      <c r="AJ226" s="91"/>
      <c r="AK226" s="91"/>
      <c r="AL226" s="91"/>
      <c r="AM226" s="91"/>
      <c r="AN226" s="91"/>
      <c r="AO226" s="91"/>
      <c r="AP226" s="91"/>
      <c r="AQ226" s="91"/>
      <c r="AR226" s="91"/>
      <c r="AS226" s="91"/>
      <c r="AT226" s="92"/>
      <c r="AU226" s="93"/>
      <c r="AV226" s="1860">
        <f t="shared" si="153"/>
        <v>0</v>
      </c>
      <c r="AW226" s="1860">
        <f t="shared" si="154"/>
        <v>0</v>
      </c>
      <c r="AX226" s="1860">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281"/>
      <c r="C227" s="1282"/>
      <c r="D227" s="79"/>
      <c r="E227" s="86">
        <f t="shared" si="149"/>
        <v>0</v>
      </c>
      <c r="F227" s="87"/>
      <c r="G227" s="88">
        <f t="shared" si="150"/>
        <v>0</v>
      </c>
      <c r="H227" s="89">
        <f t="shared" si="151"/>
        <v>0</v>
      </c>
      <c r="I227" s="1284"/>
      <c r="J227" s="90"/>
      <c r="K227" s="1284"/>
      <c r="L227" s="90"/>
      <c r="M227" s="90"/>
      <c r="N227" s="90"/>
      <c r="O227" s="90"/>
      <c r="P227" s="90"/>
      <c r="Q227" s="90"/>
      <c r="R227" s="90"/>
      <c r="S227" s="90"/>
      <c r="T227" s="90"/>
      <c r="U227" s="90"/>
      <c r="V227" s="90"/>
      <c r="W227" s="90"/>
      <c r="X227" s="90"/>
      <c r="Y227" s="90"/>
      <c r="Z227" s="90"/>
      <c r="AA227" s="90"/>
      <c r="AB227" s="90"/>
      <c r="AC227" s="86">
        <f t="shared" si="152"/>
        <v>0</v>
      </c>
      <c r="AD227" s="91"/>
      <c r="AE227" s="91"/>
      <c r="AF227" s="1284"/>
      <c r="AG227" s="91"/>
      <c r="AH227" s="91"/>
      <c r="AI227" s="91"/>
      <c r="AJ227" s="91"/>
      <c r="AK227" s="91"/>
      <c r="AL227" s="91"/>
      <c r="AM227" s="91"/>
      <c r="AN227" s="91"/>
      <c r="AO227" s="91"/>
      <c r="AP227" s="91"/>
      <c r="AQ227" s="91"/>
      <c r="AR227" s="91"/>
      <c r="AS227" s="91"/>
      <c r="AT227" s="92"/>
      <c r="AU227" s="93"/>
      <c r="AV227" s="1860">
        <f t="shared" si="153"/>
        <v>0</v>
      </c>
      <c r="AW227" s="1860">
        <f t="shared" si="154"/>
        <v>0</v>
      </c>
      <c r="AX227" s="1860">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281"/>
      <c r="C228" s="1282"/>
      <c r="D228" s="79"/>
      <c r="E228" s="86">
        <f t="shared" si="149"/>
        <v>0</v>
      </c>
      <c r="F228" s="87"/>
      <c r="G228" s="88">
        <f t="shared" si="150"/>
        <v>0</v>
      </c>
      <c r="H228" s="89">
        <f t="shared" si="151"/>
        <v>0</v>
      </c>
      <c r="I228" s="1284"/>
      <c r="J228" s="90"/>
      <c r="K228" s="1284"/>
      <c r="L228" s="90"/>
      <c r="M228" s="90"/>
      <c r="N228" s="90"/>
      <c r="O228" s="90"/>
      <c r="P228" s="90"/>
      <c r="Q228" s="90"/>
      <c r="R228" s="90"/>
      <c r="S228" s="90"/>
      <c r="T228" s="90"/>
      <c r="U228" s="90"/>
      <c r="V228" s="90"/>
      <c r="W228" s="90"/>
      <c r="X228" s="90"/>
      <c r="Y228" s="90"/>
      <c r="Z228" s="90"/>
      <c r="AA228" s="90"/>
      <c r="AB228" s="90"/>
      <c r="AC228" s="86">
        <f t="shared" si="152"/>
        <v>0</v>
      </c>
      <c r="AD228" s="91"/>
      <c r="AE228" s="91"/>
      <c r="AF228" s="1284"/>
      <c r="AG228" s="91"/>
      <c r="AH228" s="91"/>
      <c r="AI228" s="91"/>
      <c r="AJ228" s="91"/>
      <c r="AK228" s="91"/>
      <c r="AL228" s="91"/>
      <c r="AM228" s="91"/>
      <c r="AN228" s="91"/>
      <c r="AO228" s="91"/>
      <c r="AP228" s="91"/>
      <c r="AQ228" s="91"/>
      <c r="AR228" s="91"/>
      <c r="AS228" s="91"/>
      <c r="AT228" s="92"/>
      <c r="AU228" s="93"/>
      <c r="AV228" s="1860">
        <f t="shared" si="153"/>
        <v>0</v>
      </c>
      <c r="AW228" s="1860">
        <f t="shared" si="154"/>
        <v>0</v>
      </c>
      <c r="AX228" s="1860">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281"/>
      <c r="C229" s="1282"/>
      <c r="D229" s="79"/>
      <c r="E229" s="86">
        <f t="shared" si="149"/>
        <v>0</v>
      </c>
      <c r="F229" s="87"/>
      <c r="G229" s="88">
        <f t="shared" si="150"/>
        <v>0</v>
      </c>
      <c r="H229" s="89">
        <f t="shared" si="151"/>
        <v>0</v>
      </c>
      <c r="I229" s="1284"/>
      <c r="J229" s="90"/>
      <c r="K229" s="1284"/>
      <c r="L229" s="90"/>
      <c r="M229" s="90"/>
      <c r="N229" s="90"/>
      <c r="O229" s="90"/>
      <c r="P229" s="90"/>
      <c r="Q229" s="90"/>
      <c r="R229" s="90"/>
      <c r="S229" s="90"/>
      <c r="T229" s="90"/>
      <c r="U229" s="90"/>
      <c r="V229" s="90"/>
      <c r="W229" s="90"/>
      <c r="X229" s="90"/>
      <c r="Y229" s="90"/>
      <c r="Z229" s="90"/>
      <c r="AA229" s="90"/>
      <c r="AB229" s="90"/>
      <c r="AC229" s="86">
        <f t="shared" si="152"/>
        <v>0</v>
      </c>
      <c r="AD229" s="91"/>
      <c r="AE229" s="91"/>
      <c r="AF229" s="1284"/>
      <c r="AG229" s="91"/>
      <c r="AH229" s="91"/>
      <c r="AI229" s="91"/>
      <c r="AJ229" s="91"/>
      <c r="AK229" s="91"/>
      <c r="AL229" s="91"/>
      <c r="AM229" s="91"/>
      <c r="AN229" s="91"/>
      <c r="AO229" s="91"/>
      <c r="AP229" s="91"/>
      <c r="AQ229" s="91"/>
      <c r="AR229" s="91"/>
      <c r="AS229" s="91"/>
      <c r="AT229" s="92"/>
      <c r="AU229" s="93"/>
      <c r="AV229" s="1860">
        <f t="shared" si="153"/>
        <v>0</v>
      </c>
      <c r="AW229" s="1860">
        <f t="shared" si="154"/>
        <v>0</v>
      </c>
      <c r="AX229" s="1860">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281"/>
      <c r="C230" s="1282"/>
      <c r="D230" s="79"/>
      <c r="E230" s="86">
        <f t="shared" si="149"/>
        <v>0</v>
      </c>
      <c r="F230" s="87"/>
      <c r="G230" s="88">
        <f t="shared" si="150"/>
        <v>0</v>
      </c>
      <c r="H230" s="89">
        <f t="shared" si="151"/>
        <v>0</v>
      </c>
      <c r="I230" s="1284"/>
      <c r="J230" s="90"/>
      <c r="K230" s="1284"/>
      <c r="L230" s="90"/>
      <c r="M230" s="90"/>
      <c r="N230" s="90"/>
      <c r="O230" s="90"/>
      <c r="P230" s="90"/>
      <c r="Q230" s="90"/>
      <c r="R230" s="90"/>
      <c r="S230" s="90"/>
      <c r="T230" s="90"/>
      <c r="U230" s="90"/>
      <c r="V230" s="90"/>
      <c r="W230" s="90"/>
      <c r="X230" s="90"/>
      <c r="Y230" s="90"/>
      <c r="Z230" s="90"/>
      <c r="AA230" s="90"/>
      <c r="AB230" s="90"/>
      <c r="AC230" s="86">
        <f t="shared" si="152"/>
        <v>0</v>
      </c>
      <c r="AD230" s="91"/>
      <c r="AE230" s="91"/>
      <c r="AF230" s="1284"/>
      <c r="AG230" s="91"/>
      <c r="AH230" s="91"/>
      <c r="AI230" s="91"/>
      <c r="AJ230" s="91"/>
      <c r="AK230" s="91"/>
      <c r="AL230" s="91"/>
      <c r="AM230" s="91"/>
      <c r="AN230" s="91"/>
      <c r="AO230" s="91"/>
      <c r="AP230" s="91"/>
      <c r="AQ230" s="91"/>
      <c r="AR230" s="91"/>
      <c r="AS230" s="91"/>
      <c r="AT230" s="92"/>
      <c r="AU230" s="93"/>
      <c r="AV230" s="1860">
        <f t="shared" si="153"/>
        <v>0</v>
      </c>
      <c r="AW230" s="1860">
        <f t="shared" si="154"/>
        <v>0</v>
      </c>
      <c r="AX230" s="1860">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281"/>
      <c r="C231" s="1282"/>
      <c r="D231" s="79"/>
      <c r="E231" s="86">
        <f t="shared" si="149"/>
        <v>0</v>
      </c>
      <c r="F231" s="87"/>
      <c r="G231" s="88">
        <f t="shared" si="150"/>
        <v>0</v>
      </c>
      <c r="H231" s="89">
        <f t="shared" si="151"/>
        <v>0</v>
      </c>
      <c r="I231" s="1284"/>
      <c r="J231" s="90"/>
      <c r="K231" s="1284"/>
      <c r="L231" s="90"/>
      <c r="M231" s="90"/>
      <c r="N231" s="90"/>
      <c r="O231" s="90"/>
      <c r="P231" s="90"/>
      <c r="Q231" s="90"/>
      <c r="R231" s="90"/>
      <c r="S231" s="90"/>
      <c r="T231" s="90"/>
      <c r="U231" s="90"/>
      <c r="V231" s="90"/>
      <c r="W231" s="90"/>
      <c r="X231" s="90"/>
      <c r="Y231" s="90"/>
      <c r="Z231" s="90"/>
      <c r="AA231" s="90"/>
      <c r="AB231" s="90"/>
      <c r="AC231" s="86">
        <f t="shared" si="152"/>
        <v>0</v>
      </c>
      <c r="AD231" s="91"/>
      <c r="AE231" s="91"/>
      <c r="AF231" s="1282"/>
      <c r="AG231" s="91"/>
      <c r="AH231" s="91"/>
      <c r="AI231" s="91"/>
      <c r="AJ231" s="91"/>
      <c r="AK231" s="91"/>
      <c r="AL231" s="91"/>
      <c r="AM231" s="91"/>
      <c r="AN231" s="91"/>
      <c r="AO231" s="91"/>
      <c r="AP231" s="91"/>
      <c r="AQ231" s="91"/>
      <c r="AR231" s="91"/>
      <c r="AS231" s="91"/>
      <c r="AT231" s="92"/>
      <c r="AU231" s="93"/>
      <c r="AV231" s="1860">
        <f t="shared" si="153"/>
        <v>0</v>
      </c>
      <c r="AW231" s="1860">
        <f t="shared" si="154"/>
        <v>0</v>
      </c>
      <c r="AX231" s="1860">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281"/>
      <c r="C232" s="1282"/>
      <c r="D232" s="79"/>
      <c r="E232" s="86">
        <f t="shared" si="149"/>
        <v>0</v>
      </c>
      <c r="F232" s="87"/>
      <c r="G232" s="88">
        <f t="shared" si="150"/>
        <v>0</v>
      </c>
      <c r="H232" s="89">
        <f t="shared" si="151"/>
        <v>0</v>
      </c>
      <c r="I232" s="1282"/>
      <c r="J232" s="90"/>
      <c r="K232" s="1282"/>
      <c r="L232" s="90"/>
      <c r="M232" s="90"/>
      <c r="N232" s="90"/>
      <c r="O232" s="90"/>
      <c r="P232" s="90"/>
      <c r="Q232" s="90"/>
      <c r="R232" s="90"/>
      <c r="S232" s="90"/>
      <c r="T232" s="90"/>
      <c r="U232" s="90"/>
      <c r="V232" s="90"/>
      <c r="W232" s="90"/>
      <c r="X232" s="90"/>
      <c r="Y232" s="90"/>
      <c r="Z232" s="90"/>
      <c r="AA232" s="90"/>
      <c r="AB232" s="90"/>
      <c r="AC232" s="86">
        <f t="shared" si="152"/>
        <v>0</v>
      </c>
      <c r="AD232" s="91"/>
      <c r="AE232" s="91"/>
      <c r="AF232" s="1282"/>
      <c r="AG232" s="91"/>
      <c r="AH232" s="91"/>
      <c r="AI232" s="91"/>
      <c r="AJ232" s="91"/>
      <c r="AK232" s="91"/>
      <c r="AL232" s="91"/>
      <c r="AM232" s="91"/>
      <c r="AN232" s="91"/>
      <c r="AO232" s="91"/>
      <c r="AP232" s="91"/>
      <c r="AQ232" s="91"/>
      <c r="AR232" s="91"/>
      <c r="AS232" s="91"/>
      <c r="AT232" s="92"/>
      <c r="AU232" s="93"/>
      <c r="AV232" s="1860">
        <f t="shared" si="153"/>
        <v>0</v>
      </c>
      <c r="AW232" s="1860">
        <f t="shared" si="154"/>
        <v>0</v>
      </c>
      <c r="AX232" s="1860">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281"/>
      <c r="C233" s="1282"/>
      <c r="D233" s="79"/>
      <c r="E233" s="86">
        <f t="shared" si="149"/>
        <v>0</v>
      </c>
      <c r="F233" s="87"/>
      <c r="G233" s="88">
        <f t="shared" si="150"/>
        <v>0</v>
      </c>
      <c r="H233" s="89">
        <f t="shared" si="151"/>
        <v>0</v>
      </c>
      <c r="I233" s="1282"/>
      <c r="J233" s="90"/>
      <c r="K233" s="1282"/>
      <c r="L233" s="90"/>
      <c r="M233" s="90"/>
      <c r="N233" s="90"/>
      <c r="O233" s="90"/>
      <c r="P233" s="90"/>
      <c r="Q233" s="90"/>
      <c r="R233" s="90"/>
      <c r="S233" s="90"/>
      <c r="T233" s="90"/>
      <c r="U233" s="90"/>
      <c r="V233" s="90"/>
      <c r="W233" s="90"/>
      <c r="X233" s="90"/>
      <c r="Y233" s="90"/>
      <c r="Z233" s="90"/>
      <c r="AA233" s="90"/>
      <c r="AB233" s="90"/>
      <c r="AC233" s="86">
        <f t="shared" si="152"/>
        <v>0</v>
      </c>
      <c r="AD233" s="91"/>
      <c r="AE233" s="91"/>
      <c r="AF233" s="1282"/>
      <c r="AG233" s="91"/>
      <c r="AH233" s="91"/>
      <c r="AI233" s="91"/>
      <c r="AJ233" s="91"/>
      <c r="AK233" s="91"/>
      <c r="AL233" s="91"/>
      <c r="AM233" s="91"/>
      <c r="AN233" s="91"/>
      <c r="AO233" s="91"/>
      <c r="AP233" s="91"/>
      <c r="AQ233" s="91"/>
      <c r="AR233" s="91"/>
      <c r="AS233" s="91"/>
      <c r="AT233" s="92"/>
      <c r="AU233" s="93"/>
      <c r="AV233" s="1860">
        <f t="shared" si="153"/>
        <v>0</v>
      </c>
      <c r="AW233" s="1860">
        <f t="shared" si="154"/>
        <v>0</v>
      </c>
      <c r="AX233" s="1860">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281"/>
      <c r="C234" s="1282"/>
      <c r="D234" s="79"/>
      <c r="E234" s="86">
        <f t="shared" si="149"/>
        <v>0</v>
      </c>
      <c r="F234" s="87"/>
      <c r="G234" s="88">
        <f t="shared" si="150"/>
        <v>0</v>
      </c>
      <c r="H234" s="89">
        <f t="shared" si="151"/>
        <v>0</v>
      </c>
      <c r="I234" s="1282"/>
      <c r="J234" s="90"/>
      <c r="K234" s="1282"/>
      <c r="L234" s="90"/>
      <c r="M234" s="90"/>
      <c r="N234" s="90"/>
      <c r="O234" s="90"/>
      <c r="P234" s="90"/>
      <c r="Q234" s="90"/>
      <c r="R234" s="90"/>
      <c r="S234" s="90"/>
      <c r="T234" s="90"/>
      <c r="U234" s="90"/>
      <c r="V234" s="90"/>
      <c r="W234" s="90"/>
      <c r="X234" s="90"/>
      <c r="Y234" s="90"/>
      <c r="Z234" s="90"/>
      <c r="AA234" s="90"/>
      <c r="AB234" s="90"/>
      <c r="AC234" s="86">
        <f t="shared" si="152"/>
        <v>0</v>
      </c>
      <c r="AD234" s="91"/>
      <c r="AE234" s="91"/>
      <c r="AF234" s="1282"/>
      <c r="AG234" s="91"/>
      <c r="AH234" s="91"/>
      <c r="AI234" s="91"/>
      <c r="AJ234" s="91"/>
      <c r="AK234" s="91"/>
      <c r="AL234" s="91"/>
      <c r="AM234" s="91"/>
      <c r="AN234" s="91"/>
      <c r="AO234" s="91"/>
      <c r="AP234" s="91"/>
      <c r="AQ234" s="91"/>
      <c r="AR234" s="91"/>
      <c r="AS234" s="91"/>
      <c r="AT234" s="92"/>
      <c r="AU234" s="93"/>
      <c r="AV234" s="1860">
        <f t="shared" si="153"/>
        <v>0</v>
      </c>
      <c r="AW234" s="1860">
        <f t="shared" si="154"/>
        <v>0</v>
      </c>
      <c r="AX234" s="1860">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281"/>
      <c r="C235" s="1282"/>
      <c r="D235" s="79"/>
      <c r="E235" s="86">
        <f t="shared" si="149"/>
        <v>0</v>
      </c>
      <c r="F235" s="87"/>
      <c r="G235" s="88">
        <f t="shared" si="150"/>
        <v>0</v>
      </c>
      <c r="H235" s="89">
        <f t="shared" si="151"/>
        <v>0</v>
      </c>
      <c r="I235" s="1282"/>
      <c r="J235" s="90"/>
      <c r="K235" s="1282"/>
      <c r="L235" s="90"/>
      <c r="M235" s="90"/>
      <c r="N235" s="90"/>
      <c r="O235" s="90"/>
      <c r="P235" s="90"/>
      <c r="Q235" s="90"/>
      <c r="R235" s="90"/>
      <c r="S235" s="90"/>
      <c r="T235" s="90"/>
      <c r="U235" s="90"/>
      <c r="V235" s="90"/>
      <c r="W235" s="90"/>
      <c r="X235" s="90"/>
      <c r="Y235" s="90"/>
      <c r="Z235" s="90"/>
      <c r="AA235" s="90"/>
      <c r="AB235" s="90"/>
      <c r="AC235" s="86">
        <f t="shared" si="152"/>
        <v>0</v>
      </c>
      <c r="AD235" s="91"/>
      <c r="AE235" s="91"/>
      <c r="AF235" s="1282"/>
      <c r="AG235" s="91"/>
      <c r="AH235" s="91"/>
      <c r="AI235" s="91"/>
      <c r="AJ235" s="91"/>
      <c r="AK235" s="91"/>
      <c r="AL235" s="91"/>
      <c r="AM235" s="91"/>
      <c r="AN235" s="91"/>
      <c r="AO235" s="91"/>
      <c r="AP235" s="91"/>
      <c r="AQ235" s="91"/>
      <c r="AR235" s="91"/>
      <c r="AS235" s="91"/>
      <c r="AT235" s="92"/>
      <c r="AU235" s="93"/>
      <c r="AV235" s="1860">
        <f t="shared" si="153"/>
        <v>0</v>
      </c>
      <c r="AW235" s="1860">
        <f t="shared" si="154"/>
        <v>0</v>
      </c>
      <c r="AX235" s="1860">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281"/>
      <c r="C236" s="1282"/>
      <c r="D236" s="79"/>
      <c r="E236" s="86">
        <f t="shared" si="149"/>
        <v>0</v>
      </c>
      <c r="F236" s="87"/>
      <c r="G236" s="88">
        <f t="shared" si="150"/>
        <v>0</v>
      </c>
      <c r="H236" s="89">
        <f t="shared" si="151"/>
        <v>0</v>
      </c>
      <c r="I236" s="1282"/>
      <c r="J236" s="90"/>
      <c r="K236" s="1282"/>
      <c r="L236" s="90"/>
      <c r="M236" s="90"/>
      <c r="N236" s="90"/>
      <c r="O236" s="90"/>
      <c r="P236" s="90"/>
      <c r="Q236" s="90"/>
      <c r="R236" s="90"/>
      <c r="S236" s="90"/>
      <c r="T236" s="90"/>
      <c r="U236" s="90"/>
      <c r="V236" s="90"/>
      <c r="W236" s="90"/>
      <c r="X236" s="90"/>
      <c r="Y236" s="90"/>
      <c r="Z236" s="90"/>
      <c r="AA236" s="90"/>
      <c r="AB236" s="90"/>
      <c r="AC236" s="86">
        <f t="shared" si="152"/>
        <v>0</v>
      </c>
      <c r="AD236" s="91"/>
      <c r="AE236" s="91"/>
      <c r="AF236" s="1282"/>
      <c r="AG236" s="91"/>
      <c r="AH236" s="91"/>
      <c r="AI236" s="91"/>
      <c r="AJ236" s="91"/>
      <c r="AK236" s="91"/>
      <c r="AL236" s="91"/>
      <c r="AM236" s="91"/>
      <c r="AN236" s="91"/>
      <c r="AO236" s="91"/>
      <c r="AP236" s="91"/>
      <c r="AQ236" s="91"/>
      <c r="AR236" s="91"/>
      <c r="AS236" s="91"/>
      <c r="AT236" s="92"/>
      <c r="AU236" s="93"/>
      <c r="AV236" s="1860">
        <f t="shared" si="153"/>
        <v>0</v>
      </c>
      <c r="AW236" s="1860">
        <f t="shared" si="154"/>
        <v>0</v>
      </c>
      <c r="AX236" s="1860">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281"/>
      <c r="C237" s="1282"/>
      <c r="D237" s="79"/>
      <c r="E237" s="86">
        <f t="shared" si="149"/>
        <v>0</v>
      </c>
      <c r="F237" s="87"/>
      <c r="G237" s="88">
        <f t="shared" si="150"/>
        <v>0</v>
      </c>
      <c r="H237" s="89">
        <f t="shared" si="151"/>
        <v>0</v>
      </c>
      <c r="I237" s="1282"/>
      <c r="J237" s="90"/>
      <c r="K237" s="1282"/>
      <c r="L237" s="90"/>
      <c r="M237" s="90"/>
      <c r="N237" s="90"/>
      <c r="O237" s="90"/>
      <c r="P237" s="90"/>
      <c r="Q237" s="90"/>
      <c r="R237" s="90"/>
      <c r="S237" s="90"/>
      <c r="T237" s="90"/>
      <c r="U237" s="90"/>
      <c r="V237" s="90"/>
      <c r="W237" s="90"/>
      <c r="X237" s="90"/>
      <c r="Y237" s="90"/>
      <c r="Z237" s="90"/>
      <c r="AA237" s="90"/>
      <c r="AB237" s="90"/>
      <c r="AC237" s="86">
        <f t="shared" si="152"/>
        <v>0</v>
      </c>
      <c r="AD237" s="91"/>
      <c r="AE237" s="91"/>
      <c r="AF237" s="1282"/>
      <c r="AG237" s="91"/>
      <c r="AH237" s="91"/>
      <c r="AI237" s="91"/>
      <c r="AJ237" s="91"/>
      <c r="AK237" s="91"/>
      <c r="AL237" s="91"/>
      <c r="AM237" s="91"/>
      <c r="AN237" s="91"/>
      <c r="AO237" s="91"/>
      <c r="AP237" s="91"/>
      <c r="AQ237" s="91"/>
      <c r="AR237" s="91"/>
      <c r="AS237" s="91"/>
      <c r="AT237" s="92"/>
      <c r="AU237" s="93"/>
      <c r="AV237" s="1860">
        <f t="shared" si="153"/>
        <v>0</v>
      </c>
      <c r="AW237" s="1860">
        <f t="shared" si="154"/>
        <v>0</v>
      </c>
      <c r="AX237" s="1860">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281"/>
      <c r="C238" s="1282"/>
      <c r="D238" s="79"/>
      <c r="E238" s="86">
        <f t="shared" si="149"/>
        <v>0</v>
      </c>
      <c r="F238" s="87"/>
      <c r="G238" s="88">
        <f t="shared" si="150"/>
        <v>0</v>
      </c>
      <c r="H238" s="89">
        <f t="shared" si="151"/>
        <v>0</v>
      </c>
      <c r="I238" s="1282"/>
      <c r="J238" s="90"/>
      <c r="K238" s="1282"/>
      <c r="L238" s="90"/>
      <c r="M238" s="90"/>
      <c r="N238" s="90"/>
      <c r="O238" s="90"/>
      <c r="P238" s="90"/>
      <c r="Q238" s="90"/>
      <c r="R238" s="90"/>
      <c r="S238" s="90"/>
      <c r="T238" s="90"/>
      <c r="U238" s="90"/>
      <c r="V238" s="90"/>
      <c r="W238" s="90"/>
      <c r="X238" s="90"/>
      <c r="Y238" s="90"/>
      <c r="Z238" s="90"/>
      <c r="AA238" s="90"/>
      <c r="AB238" s="90"/>
      <c r="AC238" s="86">
        <f t="shared" si="152"/>
        <v>0</v>
      </c>
      <c r="AD238" s="91"/>
      <c r="AE238" s="91"/>
      <c r="AF238" s="1282"/>
      <c r="AG238" s="91"/>
      <c r="AH238" s="91"/>
      <c r="AI238" s="91"/>
      <c r="AJ238" s="91"/>
      <c r="AK238" s="91"/>
      <c r="AL238" s="91"/>
      <c r="AM238" s="91"/>
      <c r="AN238" s="91"/>
      <c r="AO238" s="91"/>
      <c r="AP238" s="91"/>
      <c r="AQ238" s="91"/>
      <c r="AR238" s="91"/>
      <c r="AS238" s="91"/>
      <c r="AT238" s="92"/>
      <c r="AU238" s="93"/>
      <c r="AV238" s="1860">
        <f t="shared" si="153"/>
        <v>0</v>
      </c>
      <c r="AW238" s="1860">
        <f t="shared" si="154"/>
        <v>0</v>
      </c>
      <c r="AX238" s="1860">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283"/>
      <c r="C239" s="1284"/>
      <c r="D239" s="79"/>
      <c r="E239" s="86">
        <f t="shared" si="149"/>
        <v>0</v>
      </c>
      <c r="F239" s="87"/>
      <c r="G239" s="88">
        <f t="shared" si="150"/>
        <v>0</v>
      </c>
      <c r="H239" s="89">
        <f t="shared" si="151"/>
        <v>0</v>
      </c>
      <c r="I239" s="1282"/>
      <c r="J239" s="90"/>
      <c r="K239" s="1282"/>
      <c r="L239" s="90"/>
      <c r="M239" s="1282"/>
      <c r="N239" s="90"/>
      <c r="O239" s="90"/>
      <c r="P239" s="90"/>
      <c r="Q239" s="90"/>
      <c r="R239" s="90"/>
      <c r="S239" s="90"/>
      <c r="T239" s="90"/>
      <c r="U239" s="90"/>
      <c r="V239" s="90"/>
      <c r="W239" s="90"/>
      <c r="X239" s="90"/>
      <c r="Y239" s="90"/>
      <c r="Z239" s="90"/>
      <c r="AA239" s="90"/>
      <c r="AB239" s="90"/>
      <c r="AC239" s="86">
        <f t="shared" si="152"/>
        <v>0</v>
      </c>
      <c r="AD239" s="91"/>
      <c r="AE239" s="91"/>
      <c r="AF239" s="1282"/>
      <c r="AG239" s="91"/>
      <c r="AH239" s="91"/>
      <c r="AI239" s="91"/>
      <c r="AJ239" s="91"/>
      <c r="AK239" s="91"/>
      <c r="AL239" s="91"/>
      <c r="AM239" s="91"/>
      <c r="AN239" s="91"/>
      <c r="AO239" s="91"/>
      <c r="AP239" s="91"/>
      <c r="AQ239" s="91"/>
      <c r="AR239" s="91"/>
      <c r="AS239" s="91"/>
      <c r="AT239" s="92"/>
      <c r="AU239" s="93"/>
      <c r="AV239" s="1860">
        <f t="shared" si="153"/>
        <v>0</v>
      </c>
      <c r="AW239" s="1860">
        <f t="shared" si="154"/>
        <v>0</v>
      </c>
      <c r="AX239" s="1860">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60">
        <f t="shared" si="153"/>
        <v>0</v>
      </c>
      <c r="AW240" s="1860">
        <f t="shared" si="154"/>
        <v>0</v>
      </c>
      <c r="AX240" s="1860">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60">
        <f t="shared" si="153"/>
        <v>0</v>
      </c>
      <c r="AW241" s="1860">
        <f t="shared" si="154"/>
        <v>0</v>
      </c>
      <c r="AX241" s="1860">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60">
        <f t="shared" si="153"/>
        <v>0</v>
      </c>
      <c r="AW242" s="1860">
        <f t="shared" si="154"/>
        <v>0</v>
      </c>
      <c r="AX242" s="1860">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60">
        <f t="shared" si="153"/>
        <v>0</v>
      </c>
      <c r="AW243" s="1860">
        <f t="shared" si="154"/>
        <v>0</v>
      </c>
      <c r="AX243" s="1860">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60">
        <f t="shared" si="153"/>
        <v>0</v>
      </c>
      <c r="AW244" s="1860">
        <f t="shared" si="154"/>
        <v>0</v>
      </c>
      <c r="AX244" s="1860">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60">
        <f t="shared" si="153"/>
        <v>0</v>
      </c>
      <c r="AW245" s="1860">
        <f t="shared" si="154"/>
        <v>0</v>
      </c>
      <c r="AX245" s="1860">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60">
        <f t="shared" si="153"/>
        <v>0</v>
      </c>
      <c r="AW246" s="1860">
        <f t="shared" si="154"/>
        <v>0</v>
      </c>
      <c r="AX246" s="1860">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60">
        <f t="shared" si="153"/>
        <v>0</v>
      </c>
      <c r="AW247" s="1860">
        <f t="shared" si="154"/>
        <v>0</v>
      </c>
      <c r="AX247" s="1860">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60">
        <f t="shared" si="153"/>
        <v>0</v>
      </c>
      <c r="AW248" s="1860">
        <f t="shared" si="154"/>
        <v>0</v>
      </c>
      <c r="AX248" s="1860">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60">
        <f t="shared" si="153"/>
        <v>0</v>
      </c>
      <c r="AW249" s="1860">
        <f t="shared" si="154"/>
        <v>0</v>
      </c>
      <c r="AX249" s="1860">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60">
        <f t="shared" si="153"/>
        <v>0</v>
      </c>
      <c r="AW250" s="1860">
        <f t="shared" si="154"/>
        <v>0</v>
      </c>
      <c r="AX250" s="1860">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60">
        <f t="shared" si="153"/>
        <v>0</v>
      </c>
      <c r="AW251" s="1860">
        <f t="shared" si="154"/>
        <v>0</v>
      </c>
      <c r="AX251" s="1860">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60">
        <f t="shared" si="153"/>
        <v>0</v>
      </c>
      <c r="AW252" s="1860">
        <f t="shared" si="154"/>
        <v>0</v>
      </c>
      <c r="AX252" s="1860">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60">
        <f t="shared" si="153"/>
        <v>0</v>
      </c>
      <c r="AW253" s="1860">
        <f t="shared" si="154"/>
        <v>0</v>
      </c>
      <c r="AX253" s="1860">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60">
        <f t="shared" si="153"/>
        <v>0</v>
      </c>
      <c r="AW254" s="1860">
        <f t="shared" si="154"/>
        <v>0</v>
      </c>
      <c r="AX254" s="1860">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60">
        <f t="shared" si="153"/>
        <v>0</v>
      </c>
      <c r="AW255" s="1860">
        <f t="shared" si="154"/>
        <v>0</v>
      </c>
      <c r="AX255" s="1860">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60">
        <f t="shared" si="153"/>
        <v>0</v>
      </c>
      <c r="AW256" s="1860">
        <f t="shared" si="154"/>
        <v>0</v>
      </c>
      <c r="AX256" s="1860">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60">
        <f t="shared" si="153"/>
        <v>0</v>
      </c>
      <c r="AW257" s="1860">
        <f t="shared" si="154"/>
        <v>0</v>
      </c>
      <c r="AX257" s="1860">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60">
        <f t="shared" si="153"/>
        <v>0</v>
      </c>
      <c r="AW258" s="1860">
        <f t="shared" si="154"/>
        <v>0</v>
      </c>
      <c r="AX258" s="1860">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60">
        <f t="shared" si="153"/>
        <v>0</v>
      </c>
      <c r="AW259" s="1860">
        <f t="shared" si="154"/>
        <v>0</v>
      </c>
      <c r="AX259" s="1860">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60">
        <f t="shared" si="153"/>
        <v>0</v>
      </c>
      <c r="AW260" s="1860">
        <f t="shared" si="154"/>
        <v>0</v>
      </c>
      <c r="AX260" s="1860">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60">
        <f t="shared" si="153"/>
        <v>0</v>
      </c>
      <c r="AW261" s="1860">
        <f t="shared" si="154"/>
        <v>0</v>
      </c>
      <c r="AX261" s="1860">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60">
        <f t="shared" si="153"/>
        <v>0</v>
      </c>
      <c r="AW262" s="1860">
        <f t="shared" si="154"/>
        <v>0</v>
      </c>
      <c r="AX262" s="1860">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60">
        <f t="shared" si="153"/>
        <v>0</v>
      </c>
      <c r="AW263" s="1860">
        <f t="shared" si="154"/>
        <v>0</v>
      </c>
      <c r="AX263" s="1860">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60">
        <f t="shared" si="153"/>
        <v>0</v>
      </c>
      <c r="AW264" s="1860">
        <f t="shared" si="154"/>
        <v>0</v>
      </c>
      <c r="AX264" s="1860">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60">
        <f t="shared" si="153"/>
        <v>0</v>
      </c>
      <c r="AW265" s="1860">
        <f t="shared" si="154"/>
        <v>0</v>
      </c>
      <c r="AX265" s="1860">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60">
        <f t="shared" si="153"/>
        <v>0</v>
      </c>
      <c r="AW266" s="1860">
        <f t="shared" si="154"/>
        <v>0</v>
      </c>
      <c r="AX266" s="1860">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60">
        <f t="shared" si="153"/>
        <v>0</v>
      </c>
      <c r="AW267" s="1860">
        <f t="shared" si="154"/>
        <v>0</v>
      </c>
      <c r="AX267" s="1860">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60">
        <f t="shared" si="153"/>
        <v>0</v>
      </c>
      <c r="AW268" s="1860">
        <f t="shared" si="154"/>
        <v>0</v>
      </c>
      <c r="AX268" s="1860">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60">
        <f t="shared" si="153"/>
        <v>0</v>
      </c>
      <c r="AW269" s="1860">
        <f t="shared" si="154"/>
        <v>0</v>
      </c>
      <c r="AX269" s="1860">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60">
        <f t="shared" si="153"/>
        <v>0</v>
      </c>
      <c r="AW270" s="1860">
        <f t="shared" si="154"/>
        <v>0</v>
      </c>
      <c r="AX270" s="1860">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60">
        <f t="shared" si="153"/>
        <v>0</v>
      </c>
      <c r="AW271" s="1860">
        <f t="shared" si="154"/>
        <v>0</v>
      </c>
      <c r="AX271" s="1860">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60">
        <f t="shared" si="153"/>
        <v>0</v>
      </c>
      <c r="AW272" s="1860">
        <f t="shared" si="154"/>
        <v>0</v>
      </c>
      <c r="AX272" s="1860">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60">
        <f t="shared" si="153"/>
        <v>0</v>
      </c>
      <c r="AW273" s="1860">
        <f t="shared" si="154"/>
        <v>0</v>
      </c>
      <c r="AX273" s="1860">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60">
        <f t="shared" si="153"/>
        <v>0</v>
      </c>
      <c r="AW274" s="1860">
        <f t="shared" si="154"/>
        <v>0</v>
      </c>
      <c r="AX274" s="1860">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60">
        <f t="shared" si="153"/>
        <v>0</v>
      </c>
      <c r="AW275" s="1860">
        <f t="shared" si="154"/>
        <v>0</v>
      </c>
      <c r="AX275" s="1860">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60">
        <f t="shared" si="153"/>
        <v>0</v>
      </c>
      <c r="AW276" s="1860">
        <f t="shared" si="154"/>
        <v>0</v>
      </c>
      <c r="AX276" s="1860">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60">
        <f t="shared" si="153"/>
        <v>0</v>
      </c>
      <c r="AW277" s="1860">
        <f t="shared" si="154"/>
        <v>0</v>
      </c>
      <c r="AX277" s="1860">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60">
        <f t="shared" si="153"/>
        <v>0</v>
      </c>
      <c r="AW278" s="1860">
        <f t="shared" si="154"/>
        <v>0</v>
      </c>
      <c r="AX278" s="1860">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60">
        <f t="shared" si="153"/>
        <v>0</v>
      </c>
      <c r="AW279" s="1860">
        <f t="shared" si="154"/>
        <v>0</v>
      </c>
      <c r="AX279" s="1860">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60">
        <f t="shared" si="153"/>
        <v>0</v>
      </c>
      <c r="AW280" s="1860">
        <f t="shared" si="154"/>
        <v>0</v>
      </c>
      <c r="AX280" s="1860">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60">
        <f t="shared" si="153"/>
        <v>0</v>
      </c>
      <c r="AW281" s="1860">
        <f t="shared" si="154"/>
        <v>0</v>
      </c>
      <c r="AX281" s="1860">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60">
        <f t="shared" si="153"/>
        <v>0</v>
      </c>
      <c r="AW282" s="1860">
        <f t="shared" si="154"/>
        <v>0</v>
      </c>
      <c r="AX282" s="1860">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60">
        <f t="shared" si="153"/>
        <v>0</v>
      </c>
      <c r="AW283" s="1860">
        <f t="shared" si="154"/>
        <v>0</v>
      </c>
      <c r="AX283" s="1860">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60">
        <f t="shared" si="153"/>
        <v>0</v>
      </c>
      <c r="AW284" s="1860">
        <f t="shared" si="154"/>
        <v>0</v>
      </c>
      <c r="AX284" s="1860">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60">
        <f t="shared" si="153"/>
        <v>0</v>
      </c>
      <c r="AW285" s="1860">
        <f t="shared" si="154"/>
        <v>0</v>
      </c>
      <c r="AX285" s="1860">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60">
        <f t="shared" si="153"/>
        <v>0</v>
      </c>
      <c r="AW286" s="1860">
        <f t="shared" si="154"/>
        <v>0</v>
      </c>
      <c r="AX286" s="1860">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60">
        <f t="shared" si="153"/>
        <v>0</v>
      </c>
      <c r="AW287" s="1860">
        <f t="shared" si="154"/>
        <v>0</v>
      </c>
      <c r="AX287" s="1860">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60">
        <f t="shared" si="153"/>
        <v>0</v>
      </c>
      <c r="AW288" s="1860">
        <f t="shared" si="154"/>
        <v>0</v>
      </c>
      <c r="AX288" s="1860">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60">
        <f t="shared" si="153"/>
        <v>0</v>
      </c>
      <c r="AW289" s="1860">
        <f t="shared" si="154"/>
        <v>0</v>
      </c>
      <c r="AX289" s="1860">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60">
        <f t="shared" si="153"/>
        <v>0</v>
      </c>
      <c r="AW290" s="1860">
        <f t="shared" si="154"/>
        <v>0</v>
      </c>
      <c r="AX290" s="1860">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60">
        <f t="shared" si="153"/>
        <v>0</v>
      </c>
      <c r="AW291" s="1860">
        <f t="shared" si="154"/>
        <v>0</v>
      </c>
      <c r="AX291" s="1860">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60">
        <f t="shared" si="153"/>
        <v>0</v>
      </c>
      <c r="AW292" s="1860">
        <f t="shared" si="154"/>
        <v>0</v>
      </c>
      <c r="AX292" s="1860">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60">
        <f t="shared" si="153"/>
        <v>0</v>
      </c>
      <c r="AW293" s="1860">
        <f t="shared" si="154"/>
        <v>0</v>
      </c>
      <c r="AX293" s="1860">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60">
        <f t="shared" si="153"/>
        <v>0</v>
      </c>
      <c r="AW294" s="1860">
        <f t="shared" si="154"/>
        <v>0</v>
      </c>
      <c r="AX294" s="1860">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60">
        <f t="shared" si="153"/>
        <v>0</v>
      </c>
      <c r="AW295" s="1860">
        <f t="shared" si="154"/>
        <v>0</v>
      </c>
      <c r="AX295" s="1860">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60">
        <f t="shared" si="153"/>
        <v>0</v>
      </c>
      <c r="AW296" s="1860">
        <f t="shared" si="154"/>
        <v>0</v>
      </c>
      <c r="AX296" s="1860">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281"/>
      <c r="C297" s="1282"/>
      <c r="D297" s="79"/>
      <c r="E297" s="86">
        <f t="shared" ref="E297:E328" si="203">IF($C$3="是",ROUND($A$3*G297/$B$3,2),ROUND($A$3*(G297-AT297)/$B$3,2))</f>
        <v>0</v>
      </c>
      <c r="F297" s="87"/>
      <c r="G297" s="88">
        <f t="shared" si="178"/>
        <v>0</v>
      </c>
      <c r="H297" s="89">
        <f t="shared" si="179"/>
        <v>0</v>
      </c>
      <c r="I297" s="1284"/>
      <c r="J297" s="90"/>
      <c r="K297" s="1284"/>
      <c r="L297" s="90"/>
      <c r="M297" s="90"/>
      <c r="N297" s="90"/>
      <c r="O297" s="90"/>
      <c r="P297" s="90"/>
      <c r="Q297" s="90"/>
      <c r="R297" s="90"/>
      <c r="S297" s="90"/>
      <c r="T297" s="90"/>
      <c r="U297" s="90"/>
      <c r="V297" s="90"/>
      <c r="W297" s="90"/>
      <c r="X297" s="90"/>
      <c r="Y297" s="90"/>
      <c r="Z297" s="90"/>
      <c r="AA297" s="90"/>
      <c r="AB297" s="90"/>
      <c r="AC297" s="86">
        <f t="shared" si="180"/>
        <v>0</v>
      </c>
      <c r="AD297" s="91"/>
      <c r="AE297" s="91"/>
      <c r="AF297" s="1285"/>
      <c r="AG297" s="91"/>
      <c r="AH297" s="91"/>
      <c r="AI297" s="91"/>
      <c r="AJ297" s="91"/>
      <c r="AK297" s="91"/>
      <c r="AL297" s="91"/>
      <c r="AM297" s="91"/>
      <c r="AN297" s="1252"/>
      <c r="AO297" s="91"/>
      <c r="AP297" s="91"/>
      <c r="AQ297" s="91"/>
      <c r="AR297" s="91"/>
      <c r="AS297" s="91"/>
      <c r="AT297" s="92"/>
      <c r="AU297" s="93"/>
      <c r="AV297" s="1860">
        <f t="shared" ref="AV297:AV328" si="204">A297</f>
        <v>0</v>
      </c>
      <c r="AW297" s="1860">
        <f t="shared" ref="AW297:AW328" si="205">B297</f>
        <v>0</v>
      </c>
      <c r="AX297" s="1860">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281"/>
      <c r="C298" s="1282"/>
      <c r="D298" s="79"/>
      <c r="E298" s="86">
        <f t="shared" si="203"/>
        <v>0</v>
      </c>
      <c r="F298" s="87"/>
      <c r="G298" s="88">
        <f t="shared" si="178"/>
        <v>0</v>
      </c>
      <c r="H298" s="89">
        <f t="shared" si="179"/>
        <v>0</v>
      </c>
      <c r="I298" s="1284"/>
      <c r="J298" s="90"/>
      <c r="K298" s="1284"/>
      <c r="L298" s="90"/>
      <c r="M298" s="1252"/>
      <c r="N298" s="90"/>
      <c r="O298" s="90"/>
      <c r="P298" s="90"/>
      <c r="Q298" s="90"/>
      <c r="R298" s="90"/>
      <c r="S298" s="90"/>
      <c r="T298" s="90"/>
      <c r="U298" s="90"/>
      <c r="V298" s="90"/>
      <c r="W298" s="90"/>
      <c r="X298" s="90"/>
      <c r="Y298" s="90"/>
      <c r="Z298" s="90"/>
      <c r="AA298" s="90"/>
      <c r="AB298" s="90"/>
      <c r="AC298" s="86">
        <f t="shared" si="180"/>
        <v>0</v>
      </c>
      <c r="AD298" s="1252"/>
      <c r="AE298" s="91"/>
      <c r="AF298" s="1285"/>
      <c r="AG298" s="91"/>
      <c r="AH298" s="91"/>
      <c r="AI298" s="91"/>
      <c r="AJ298" s="91"/>
      <c r="AK298" s="91"/>
      <c r="AL298" s="1252"/>
      <c r="AM298" s="91"/>
      <c r="AN298" s="1252"/>
      <c r="AO298" s="91"/>
      <c r="AP298" s="91"/>
      <c r="AQ298" s="91"/>
      <c r="AR298" s="91"/>
      <c r="AS298" s="91"/>
      <c r="AT298" s="92"/>
      <c r="AU298" s="93"/>
      <c r="AV298" s="1860">
        <f t="shared" si="204"/>
        <v>0</v>
      </c>
      <c r="AW298" s="1860">
        <f t="shared" si="205"/>
        <v>0</v>
      </c>
      <c r="AX298" s="1860">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281"/>
      <c r="C299" s="1282"/>
      <c r="D299" s="79"/>
      <c r="E299" s="86">
        <f t="shared" si="203"/>
        <v>0</v>
      </c>
      <c r="F299" s="87"/>
      <c r="G299" s="88">
        <f t="shared" si="178"/>
        <v>0</v>
      </c>
      <c r="H299" s="89">
        <f t="shared" si="179"/>
        <v>0</v>
      </c>
      <c r="I299" s="1284"/>
      <c r="J299" s="90"/>
      <c r="K299" s="1284"/>
      <c r="L299" s="90"/>
      <c r="M299" s="1252"/>
      <c r="N299" s="90"/>
      <c r="O299" s="90"/>
      <c r="P299" s="90"/>
      <c r="Q299" s="90"/>
      <c r="R299" s="90"/>
      <c r="S299" s="90"/>
      <c r="T299" s="90"/>
      <c r="U299" s="90"/>
      <c r="V299" s="90"/>
      <c r="W299" s="90"/>
      <c r="X299" s="90"/>
      <c r="Y299" s="90"/>
      <c r="Z299" s="90"/>
      <c r="AA299" s="90"/>
      <c r="AB299" s="90"/>
      <c r="AC299" s="86">
        <f t="shared" si="180"/>
        <v>0</v>
      </c>
      <c r="AD299" s="91"/>
      <c r="AE299" s="91"/>
      <c r="AF299" s="1285"/>
      <c r="AG299" s="91"/>
      <c r="AH299" s="91"/>
      <c r="AI299" s="91"/>
      <c r="AJ299" s="91"/>
      <c r="AK299" s="91"/>
      <c r="AL299" s="1252"/>
      <c r="AM299" s="91"/>
      <c r="AN299" s="1252"/>
      <c r="AO299" s="91"/>
      <c r="AP299" s="91"/>
      <c r="AQ299" s="91"/>
      <c r="AR299" s="91"/>
      <c r="AS299" s="91"/>
      <c r="AT299" s="92"/>
      <c r="AU299" s="93"/>
      <c r="AV299" s="1860">
        <f t="shared" si="204"/>
        <v>0</v>
      </c>
      <c r="AW299" s="1860">
        <f t="shared" si="205"/>
        <v>0</v>
      </c>
      <c r="AX299" s="1860">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281"/>
      <c r="C300" s="1282"/>
      <c r="D300" s="79"/>
      <c r="E300" s="86">
        <f t="shared" si="203"/>
        <v>0</v>
      </c>
      <c r="F300" s="87"/>
      <c r="G300" s="88">
        <f t="shared" si="178"/>
        <v>0</v>
      </c>
      <c r="H300" s="89">
        <f t="shared" si="179"/>
        <v>0</v>
      </c>
      <c r="I300" s="1284"/>
      <c r="J300" s="90"/>
      <c r="K300" s="1284"/>
      <c r="L300" s="90"/>
      <c r="M300" s="90"/>
      <c r="N300" s="90"/>
      <c r="O300" s="1252"/>
      <c r="P300" s="90"/>
      <c r="Q300" s="90"/>
      <c r="R300" s="90"/>
      <c r="S300" s="90"/>
      <c r="T300" s="90"/>
      <c r="U300" s="90"/>
      <c r="V300" s="90"/>
      <c r="W300" s="90"/>
      <c r="X300" s="90"/>
      <c r="Y300" s="90"/>
      <c r="Z300" s="90"/>
      <c r="AA300" s="90"/>
      <c r="AB300" s="90"/>
      <c r="AC300" s="86">
        <f t="shared" si="180"/>
        <v>0</v>
      </c>
      <c r="AD300" s="91"/>
      <c r="AE300" s="91"/>
      <c r="AF300" s="1285"/>
      <c r="AG300" s="91"/>
      <c r="AH300" s="91"/>
      <c r="AI300" s="91"/>
      <c r="AJ300" s="91"/>
      <c r="AK300" s="91"/>
      <c r="AL300" s="91"/>
      <c r="AM300" s="91"/>
      <c r="AN300" s="1252"/>
      <c r="AO300" s="91"/>
      <c r="AP300" s="91"/>
      <c r="AQ300" s="91"/>
      <c r="AR300" s="91"/>
      <c r="AS300" s="91"/>
      <c r="AT300" s="92"/>
      <c r="AU300" s="93"/>
      <c r="AV300" s="1860">
        <f t="shared" si="204"/>
        <v>0</v>
      </c>
      <c r="AW300" s="1860">
        <f t="shared" si="205"/>
        <v>0</v>
      </c>
      <c r="AX300" s="1860">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281"/>
      <c r="C301" s="1282"/>
      <c r="D301" s="79"/>
      <c r="E301" s="86">
        <f t="shared" si="203"/>
        <v>0</v>
      </c>
      <c r="F301" s="87"/>
      <c r="G301" s="88">
        <f t="shared" si="178"/>
        <v>0</v>
      </c>
      <c r="H301" s="89">
        <f t="shared" si="179"/>
        <v>0</v>
      </c>
      <c r="I301" s="1284"/>
      <c r="J301" s="90"/>
      <c r="K301" s="1284"/>
      <c r="L301" s="90"/>
      <c r="M301" s="90"/>
      <c r="N301" s="90"/>
      <c r="O301" s="90"/>
      <c r="P301" s="90"/>
      <c r="Q301" s="90"/>
      <c r="R301" s="90"/>
      <c r="S301" s="90"/>
      <c r="T301" s="90"/>
      <c r="U301" s="90"/>
      <c r="V301" s="90"/>
      <c r="W301" s="90"/>
      <c r="X301" s="90"/>
      <c r="Y301" s="90"/>
      <c r="Z301" s="90"/>
      <c r="AA301" s="90"/>
      <c r="AB301" s="90"/>
      <c r="AC301" s="86">
        <f t="shared" si="180"/>
        <v>0</v>
      </c>
      <c r="AD301" s="91"/>
      <c r="AE301" s="91"/>
      <c r="AF301" s="1285"/>
      <c r="AG301" s="91"/>
      <c r="AH301" s="91"/>
      <c r="AI301" s="91"/>
      <c r="AJ301" s="91"/>
      <c r="AK301" s="91"/>
      <c r="AL301" s="91"/>
      <c r="AM301" s="91"/>
      <c r="AN301" s="91"/>
      <c r="AO301" s="91"/>
      <c r="AP301" s="91"/>
      <c r="AQ301" s="91"/>
      <c r="AR301" s="91"/>
      <c r="AS301" s="91"/>
      <c r="AT301" s="92"/>
      <c r="AU301" s="93"/>
      <c r="AV301" s="1860">
        <f t="shared" si="204"/>
        <v>0</v>
      </c>
      <c r="AW301" s="1860">
        <f t="shared" si="205"/>
        <v>0</v>
      </c>
      <c r="AX301" s="1860">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281"/>
      <c r="C302" s="1282"/>
      <c r="D302" s="79"/>
      <c r="E302" s="86">
        <f t="shared" si="203"/>
        <v>0</v>
      </c>
      <c r="F302" s="87"/>
      <c r="G302" s="88">
        <f t="shared" si="178"/>
        <v>0</v>
      </c>
      <c r="H302" s="89">
        <f t="shared" si="179"/>
        <v>0</v>
      </c>
      <c r="I302" s="1284"/>
      <c r="J302" s="90"/>
      <c r="K302" s="1284"/>
      <c r="L302" s="90"/>
      <c r="M302" s="90"/>
      <c r="N302" s="90"/>
      <c r="O302" s="90"/>
      <c r="P302" s="90"/>
      <c r="Q302" s="90"/>
      <c r="R302" s="90"/>
      <c r="S302" s="90"/>
      <c r="T302" s="90"/>
      <c r="U302" s="90"/>
      <c r="V302" s="90"/>
      <c r="W302" s="90"/>
      <c r="X302" s="90"/>
      <c r="Y302" s="90"/>
      <c r="Z302" s="90"/>
      <c r="AA302" s="90"/>
      <c r="AB302" s="90"/>
      <c r="AC302" s="86">
        <f t="shared" si="180"/>
        <v>0</v>
      </c>
      <c r="AD302" s="91"/>
      <c r="AE302" s="91"/>
      <c r="AF302" s="1285"/>
      <c r="AG302" s="91"/>
      <c r="AH302" s="91"/>
      <c r="AI302" s="91"/>
      <c r="AJ302" s="91"/>
      <c r="AK302" s="91"/>
      <c r="AL302" s="91"/>
      <c r="AM302" s="91"/>
      <c r="AN302" s="91"/>
      <c r="AO302" s="91"/>
      <c r="AP302" s="91"/>
      <c r="AQ302" s="91"/>
      <c r="AR302" s="91"/>
      <c r="AS302" s="91"/>
      <c r="AT302" s="92"/>
      <c r="AU302" s="93"/>
      <c r="AV302" s="1860">
        <f t="shared" si="204"/>
        <v>0</v>
      </c>
      <c r="AW302" s="1860">
        <f t="shared" si="205"/>
        <v>0</v>
      </c>
      <c r="AX302" s="1860">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281"/>
      <c r="C303" s="1282"/>
      <c r="D303" s="79"/>
      <c r="E303" s="86">
        <f t="shared" si="203"/>
        <v>0</v>
      </c>
      <c r="F303" s="87"/>
      <c r="G303" s="88">
        <f t="shared" si="178"/>
        <v>0</v>
      </c>
      <c r="H303" s="89">
        <f t="shared" si="179"/>
        <v>0</v>
      </c>
      <c r="I303" s="1284"/>
      <c r="J303" s="90"/>
      <c r="K303" s="1284"/>
      <c r="L303" s="90"/>
      <c r="M303" s="90"/>
      <c r="N303" s="90"/>
      <c r="O303" s="90"/>
      <c r="P303" s="90"/>
      <c r="Q303" s="90"/>
      <c r="R303" s="90"/>
      <c r="S303" s="90"/>
      <c r="T303" s="90"/>
      <c r="U303" s="90"/>
      <c r="V303" s="90"/>
      <c r="W303" s="90"/>
      <c r="X303" s="90"/>
      <c r="Y303" s="90"/>
      <c r="Z303" s="90"/>
      <c r="AA303" s="90"/>
      <c r="AB303" s="90"/>
      <c r="AC303" s="86">
        <f t="shared" si="180"/>
        <v>0</v>
      </c>
      <c r="AD303" s="91"/>
      <c r="AE303" s="91"/>
      <c r="AF303" s="1285"/>
      <c r="AG303" s="91"/>
      <c r="AH303" s="91"/>
      <c r="AI303" s="91"/>
      <c r="AJ303" s="91"/>
      <c r="AK303" s="91"/>
      <c r="AL303" s="91"/>
      <c r="AM303" s="91"/>
      <c r="AN303" s="91"/>
      <c r="AO303" s="91"/>
      <c r="AP303" s="91"/>
      <c r="AQ303" s="91"/>
      <c r="AR303" s="91"/>
      <c r="AS303" s="91"/>
      <c r="AT303" s="92"/>
      <c r="AU303" s="93"/>
      <c r="AV303" s="1860">
        <f t="shared" si="204"/>
        <v>0</v>
      </c>
      <c r="AW303" s="1860">
        <f t="shared" si="205"/>
        <v>0</v>
      </c>
      <c r="AX303" s="1860">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281"/>
      <c r="C304" s="1282"/>
      <c r="D304" s="79"/>
      <c r="E304" s="86">
        <f t="shared" si="203"/>
        <v>0</v>
      </c>
      <c r="F304" s="87"/>
      <c r="G304" s="88">
        <f t="shared" si="178"/>
        <v>0</v>
      </c>
      <c r="H304" s="89">
        <f t="shared" si="179"/>
        <v>0</v>
      </c>
      <c r="I304" s="1284"/>
      <c r="J304" s="90"/>
      <c r="K304" s="1284"/>
      <c r="L304" s="90"/>
      <c r="M304" s="90"/>
      <c r="N304" s="90"/>
      <c r="O304" s="90"/>
      <c r="P304" s="90"/>
      <c r="Q304" s="90"/>
      <c r="R304" s="90"/>
      <c r="S304" s="90"/>
      <c r="T304" s="90"/>
      <c r="U304" s="90"/>
      <c r="V304" s="90"/>
      <c r="W304" s="90"/>
      <c r="X304" s="90"/>
      <c r="Y304" s="90"/>
      <c r="Z304" s="90"/>
      <c r="AA304" s="90"/>
      <c r="AB304" s="90"/>
      <c r="AC304" s="86">
        <f t="shared" si="180"/>
        <v>0</v>
      </c>
      <c r="AD304" s="91"/>
      <c r="AE304" s="91"/>
      <c r="AF304" s="1284"/>
      <c r="AG304" s="91"/>
      <c r="AH304" s="91"/>
      <c r="AI304" s="91"/>
      <c r="AJ304" s="91"/>
      <c r="AK304" s="91"/>
      <c r="AL304" s="91"/>
      <c r="AM304" s="91"/>
      <c r="AN304" s="91"/>
      <c r="AO304" s="91"/>
      <c r="AP304" s="91"/>
      <c r="AQ304" s="91"/>
      <c r="AR304" s="91"/>
      <c r="AS304" s="91"/>
      <c r="AT304" s="92"/>
      <c r="AU304" s="93"/>
      <c r="AV304" s="1860">
        <f t="shared" si="204"/>
        <v>0</v>
      </c>
      <c r="AW304" s="1860">
        <f t="shared" si="205"/>
        <v>0</v>
      </c>
      <c r="AX304" s="1860">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283"/>
      <c r="C305" s="1284"/>
      <c r="D305" s="79"/>
      <c r="E305" s="86">
        <f t="shared" si="203"/>
        <v>0</v>
      </c>
      <c r="F305" s="87"/>
      <c r="G305" s="88">
        <f t="shared" si="178"/>
        <v>0</v>
      </c>
      <c r="H305" s="89">
        <f t="shared" si="179"/>
        <v>0</v>
      </c>
      <c r="I305" s="1284"/>
      <c r="J305" s="90"/>
      <c r="K305" s="1284"/>
      <c r="L305" s="90"/>
      <c r="M305" s="90"/>
      <c r="N305" s="90"/>
      <c r="O305" s="90"/>
      <c r="P305" s="90"/>
      <c r="Q305" s="90"/>
      <c r="R305" s="90"/>
      <c r="S305" s="90"/>
      <c r="T305" s="90"/>
      <c r="U305" s="90"/>
      <c r="V305" s="90"/>
      <c r="W305" s="90"/>
      <c r="X305" s="90"/>
      <c r="Y305" s="90"/>
      <c r="Z305" s="90"/>
      <c r="AA305" s="90"/>
      <c r="AB305" s="90"/>
      <c r="AC305" s="86">
        <f t="shared" si="180"/>
        <v>0</v>
      </c>
      <c r="AD305" s="91"/>
      <c r="AE305" s="91"/>
      <c r="AF305" s="1284"/>
      <c r="AG305" s="91"/>
      <c r="AH305" s="91"/>
      <c r="AI305" s="91"/>
      <c r="AJ305" s="91"/>
      <c r="AK305" s="91"/>
      <c r="AL305" s="91"/>
      <c r="AM305" s="91"/>
      <c r="AN305" s="91"/>
      <c r="AO305" s="91"/>
      <c r="AP305" s="91"/>
      <c r="AQ305" s="91"/>
      <c r="AR305" s="91"/>
      <c r="AS305" s="91"/>
      <c r="AT305" s="92"/>
      <c r="AU305" s="93"/>
      <c r="AV305" s="1860">
        <f t="shared" si="204"/>
        <v>0</v>
      </c>
      <c r="AW305" s="1860">
        <f t="shared" si="205"/>
        <v>0</v>
      </c>
      <c r="AX305" s="1860">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281"/>
      <c r="C306" s="1282"/>
      <c r="D306" s="79"/>
      <c r="E306" s="86">
        <f t="shared" si="203"/>
        <v>0</v>
      </c>
      <c r="F306" s="87"/>
      <c r="G306" s="88">
        <f t="shared" si="178"/>
        <v>0</v>
      </c>
      <c r="H306" s="89">
        <f t="shared" si="179"/>
        <v>0</v>
      </c>
      <c r="I306" s="1284"/>
      <c r="J306" s="90"/>
      <c r="K306" s="1284"/>
      <c r="L306" s="90"/>
      <c r="M306" s="90"/>
      <c r="N306" s="90"/>
      <c r="O306" s="90"/>
      <c r="P306" s="90"/>
      <c r="Q306" s="90"/>
      <c r="R306" s="90"/>
      <c r="S306" s="90"/>
      <c r="T306" s="90"/>
      <c r="U306" s="90"/>
      <c r="V306" s="90"/>
      <c r="W306" s="90"/>
      <c r="X306" s="90"/>
      <c r="Y306" s="90"/>
      <c r="Z306" s="90"/>
      <c r="AA306" s="90"/>
      <c r="AB306" s="90"/>
      <c r="AC306" s="86">
        <f t="shared" si="180"/>
        <v>0</v>
      </c>
      <c r="AD306" s="91"/>
      <c r="AE306" s="91"/>
      <c r="AF306" s="1284"/>
      <c r="AG306" s="91"/>
      <c r="AH306" s="91"/>
      <c r="AI306" s="91"/>
      <c r="AJ306" s="91"/>
      <c r="AK306" s="91"/>
      <c r="AL306" s="91"/>
      <c r="AM306" s="91"/>
      <c r="AN306" s="91"/>
      <c r="AO306" s="91"/>
      <c r="AP306" s="91"/>
      <c r="AQ306" s="91"/>
      <c r="AR306" s="91"/>
      <c r="AS306" s="91"/>
      <c r="AT306" s="92"/>
      <c r="AU306" s="93"/>
      <c r="AV306" s="1860">
        <f t="shared" si="204"/>
        <v>0</v>
      </c>
      <c r="AW306" s="1860">
        <f t="shared" si="205"/>
        <v>0</v>
      </c>
      <c r="AX306" s="1860">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281"/>
      <c r="C307" s="1282"/>
      <c r="D307" s="79"/>
      <c r="E307" s="86">
        <f t="shared" si="203"/>
        <v>0</v>
      </c>
      <c r="F307" s="87"/>
      <c r="G307" s="88">
        <f t="shared" si="178"/>
        <v>0</v>
      </c>
      <c r="H307" s="89">
        <f t="shared" si="179"/>
        <v>0</v>
      </c>
      <c r="I307" s="1284"/>
      <c r="J307" s="90"/>
      <c r="K307" s="1284"/>
      <c r="L307" s="90"/>
      <c r="M307" s="90"/>
      <c r="N307" s="90"/>
      <c r="O307" s="90"/>
      <c r="P307" s="90"/>
      <c r="Q307" s="90"/>
      <c r="R307" s="90"/>
      <c r="S307" s="90"/>
      <c r="T307" s="90"/>
      <c r="U307" s="90"/>
      <c r="V307" s="90"/>
      <c r="W307" s="90"/>
      <c r="X307" s="90"/>
      <c r="Y307" s="90"/>
      <c r="Z307" s="90"/>
      <c r="AA307" s="90"/>
      <c r="AB307" s="90"/>
      <c r="AC307" s="86">
        <f t="shared" si="180"/>
        <v>0</v>
      </c>
      <c r="AD307" s="91"/>
      <c r="AE307" s="91"/>
      <c r="AF307" s="1284"/>
      <c r="AG307" s="91"/>
      <c r="AH307" s="91"/>
      <c r="AI307" s="91"/>
      <c r="AJ307" s="91"/>
      <c r="AK307" s="91"/>
      <c r="AL307" s="91"/>
      <c r="AM307" s="91"/>
      <c r="AN307" s="91"/>
      <c r="AO307" s="91"/>
      <c r="AP307" s="91"/>
      <c r="AQ307" s="91"/>
      <c r="AR307" s="91"/>
      <c r="AS307" s="91"/>
      <c r="AT307" s="92"/>
      <c r="AU307" s="93"/>
      <c r="AV307" s="1860">
        <f t="shared" si="204"/>
        <v>0</v>
      </c>
      <c r="AW307" s="1860">
        <f t="shared" si="205"/>
        <v>0</v>
      </c>
      <c r="AX307" s="1860">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281"/>
      <c r="C308" s="1282"/>
      <c r="D308" s="79"/>
      <c r="E308" s="86">
        <f t="shared" si="203"/>
        <v>0</v>
      </c>
      <c r="F308" s="87"/>
      <c r="G308" s="88">
        <f t="shared" si="178"/>
        <v>0</v>
      </c>
      <c r="H308" s="89">
        <f t="shared" si="179"/>
        <v>0</v>
      </c>
      <c r="I308" s="1284"/>
      <c r="J308" s="90"/>
      <c r="K308" s="1284"/>
      <c r="L308" s="90"/>
      <c r="M308" s="90"/>
      <c r="N308" s="90"/>
      <c r="O308" s="90"/>
      <c r="P308" s="90"/>
      <c r="Q308" s="90"/>
      <c r="R308" s="90"/>
      <c r="S308" s="90"/>
      <c r="T308" s="90"/>
      <c r="U308" s="90"/>
      <c r="V308" s="90"/>
      <c r="W308" s="90"/>
      <c r="X308" s="90"/>
      <c r="Y308" s="90"/>
      <c r="Z308" s="90"/>
      <c r="AA308" s="90"/>
      <c r="AB308" s="90"/>
      <c r="AC308" s="86">
        <f t="shared" si="180"/>
        <v>0</v>
      </c>
      <c r="AD308" s="91"/>
      <c r="AE308" s="91"/>
      <c r="AF308" s="1284"/>
      <c r="AG308" s="91"/>
      <c r="AH308" s="91"/>
      <c r="AI308" s="91"/>
      <c r="AJ308" s="91"/>
      <c r="AK308" s="91"/>
      <c r="AL308" s="91"/>
      <c r="AM308" s="91"/>
      <c r="AN308" s="91"/>
      <c r="AO308" s="91"/>
      <c r="AP308" s="91"/>
      <c r="AQ308" s="91"/>
      <c r="AR308" s="91"/>
      <c r="AS308" s="91"/>
      <c r="AT308" s="92"/>
      <c r="AU308" s="93"/>
      <c r="AV308" s="1860">
        <f t="shared" si="204"/>
        <v>0</v>
      </c>
      <c r="AW308" s="1860">
        <f t="shared" si="205"/>
        <v>0</v>
      </c>
      <c r="AX308" s="1860">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281"/>
      <c r="C309" s="1282"/>
      <c r="D309" s="79"/>
      <c r="E309" s="86">
        <f t="shared" si="203"/>
        <v>0</v>
      </c>
      <c r="F309" s="87"/>
      <c r="G309" s="88">
        <f t="shared" si="178"/>
        <v>0</v>
      </c>
      <c r="H309" s="89">
        <f t="shared" si="179"/>
        <v>0</v>
      </c>
      <c r="I309" s="1284"/>
      <c r="J309" s="90"/>
      <c r="K309" s="1284"/>
      <c r="L309" s="90"/>
      <c r="M309" s="90"/>
      <c r="N309" s="90"/>
      <c r="O309" s="90"/>
      <c r="P309" s="90"/>
      <c r="Q309" s="90"/>
      <c r="R309" s="90"/>
      <c r="S309" s="90"/>
      <c r="T309" s="90"/>
      <c r="U309" s="90"/>
      <c r="V309" s="90"/>
      <c r="W309" s="90"/>
      <c r="X309" s="90"/>
      <c r="Y309" s="90"/>
      <c r="Z309" s="90"/>
      <c r="AA309" s="90"/>
      <c r="AB309" s="90"/>
      <c r="AC309" s="86">
        <f t="shared" si="180"/>
        <v>0</v>
      </c>
      <c r="AD309" s="91"/>
      <c r="AE309" s="91"/>
      <c r="AF309" s="1284"/>
      <c r="AG309" s="91"/>
      <c r="AH309" s="91"/>
      <c r="AI309" s="91"/>
      <c r="AJ309" s="91"/>
      <c r="AK309" s="91"/>
      <c r="AL309" s="91"/>
      <c r="AM309" s="91"/>
      <c r="AN309" s="91"/>
      <c r="AO309" s="91"/>
      <c r="AP309" s="91"/>
      <c r="AQ309" s="91"/>
      <c r="AR309" s="91"/>
      <c r="AS309" s="91"/>
      <c r="AT309" s="92"/>
      <c r="AU309" s="93"/>
      <c r="AV309" s="1860">
        <f t="shared" si="204"/>
        <v>0</v>
      </c>
      <c r="AW309" s="1860">
        <f t="shared" si="205"/>
        <v>0</v>
      </c>
      <c r="AX309" s="1860">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281"/>
      <c r="C310" s="1282"/>
      <c r="D310" s="79"/>
      <c r="E310" s="86">
        <f t="shared" si="203"/>
        <v>0</v>
      </c>
      <c r="F310" s="87"/>
      <c r="G310" s="88">
        <f t="shared" si="178"/>
        <v>0</v>
      </c>
      <c r="H310" s="89">
        <f t="shared" si="179"/>
        <v>0</v>
      </c>
      <c r="I310" s="1284"/>
      <c r="J310" s="90"/>
      <c r="K310" s="1284"/>
      <c r="L310" s="90"/>
      <c r="M310" s="90"/>
      <c r="N310" s="90"/>
      <c r="O310" s="90"/>
      <c r="P310" s="90"/>
      <c r="Q310" s="90"/>
      <c r="R310" s="90"/>
      <c r="S310" s="90"/>
      <c r="T310" s="90"/>
      <c r="U310" s="90"/>
      <c r="V310" s="90"/>
      <c r="W310" s="90"/>
      <c r="X310" s="90"/>
      <c r="Y310" s="90"/>
      <c r="Z310" s="90"/>
      <c r="AA310" s="90"/>
      <c r="AB310" s="90"/>
      <c r="AC310" s="86">
        <f t="shared" si="180"/>
        <v>0</v>
      </c>
      <c r="AD310" s="91"/>
      <c r="AE310" s="91"/>
      <c r="AF310" s="1284"/>
      <c r="AG310" s="91"/>
      <c r="AH310" s="91"/>
      <c r="AI310" s="91"/>
      <c r="AJ310" s="91"/>
      <c r="AK310" s="91"/>
      <c r="AL310" s="91"/>
      <c r="AM310" s="91"/>
      <c r="AN310" s="91"/>
      <c r="AO310" s="91"/>
      <c r="AP310" s="91"/>
      <c r="AQ310" s="91"/>
      <c r="AR310" s="91"/>
      <c r="AS310" s="91"/>
      <c r="AT310" s="92"/>
      <c r="AU310" s="93"/>
      <c r="AV310" s="1860">
        <f t="shared" si="204"/>
        <v>0</v>
      </c>
      <c r="AW310" s="1860">
        <f t="shared" si="205"/>
        <v>0</v>
      </c>
      <c r="AX310" s="1860">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281"/>
      <c r="C311" s="1282"/>
      <c r="D311" s="79"/>
      <c r="E311" s="86">
        <f t="shared" si="203"/>
        <v>0</v>
      </c>
      <c r="F311" s="87"/>
      <c r="G311" s="88">
        <f t="shared" si="178"/>
        <v>0</v>
      </c>
      <c r="H311" s="89">
        <f t="shared" si="179"/>
        <v>0</v>
      </c>
      <c r="I311" s="1284"/>
      <c r="J311" s="90"/>
      <c r="K311" s="1284"/>
      <c r="L311" s="90"/>
      <c r="M311" s="90"/>
      <c r="N311" s="90"/>
      <c r="O311" s="90"/>
      <c r="P311" s="90"/>
      <c r="Q311" s="90"/>
      <c r="R311" s="90"/>
      <c r="S311" s="90"/>
      <c r="T311" s="90"/>
      <c r="U311" s="90"/>
      <c r="V311" s="90"/>
      <c r="W311" s="90"/>
      <c r="X311" s="90"/>
      <c r="Y311" s="90"/>
      <c r="Z311" s="90"/>
      <c r="AA311" s="90"/>
      <c r="AB311" s="90"/>
      <c r="AC311" s="86">
        <f t="shared" si="180"/>
        <v>0</v>
      </c>
      <c r="AD311" s="91"/>
      <c r="AE311" s="91"/>
      <c r="AF311" s="1284"/>
      <c r="AG311" s="91"/>
      <c r="AH311" s="91"/>
      <c r="AI311" s="91"/>
      <c r="AJ311" s="91"/>
      <c r="AK311" s="91"/>
      <c r="AL311" s="91"/>
      <c r="AM311" s="91"/>
      <c r="AN311" s="91"/>
      <c r="AO311" s="91"/>
      <c r="AP311" s="91"/>
      <c r="AQ311" s="91"/>
      <c r="AR311" s="91"/>
      <c r="AS311" s="91"/>
      <c r="AT311" s="92"/>
      <c r="AU311" s="93"/>
      <c r="AV311" s="1860">
        <f t="shared" si="204"/>
        <v>0</v>
      </c>
      <c r="AW311" s="1860">
        <f t="shared" si="205"/>
        <v>0</v>
      </c>
      <c r="AX311" s="1860">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281"/>
      <c r="C312" s="1282"/>
      <c r="D312" s="79"/>
      <c r="E312" s="86">
        <f t="shared" si="203"/>
        <v>0</v>
      </c>
      <c r="F312" s="87"/>
      <c r="G312" s="88">
        <f t="shared" si="178"/>
        <v>0</v>
      </c>
      <c r="H312" s="89">
        <f t="shared" si="179"/>
        <v>0</v>
      </c>
      <c r="I312" s="1284"/>
      <c r="J312" s="90"/>
      <c r="K312" s="1284"/>
      <c r="L312" s="90"/>
      <c r="M312" s="90"/>
      <c r="N312" s="90"/>
      <c r="O312" s="90"/>
      <c r="P312" s="90"/>
      <c r="Q312" s="90"/>
      <c r="R312" s="90"/>
      <c r="S312" s="90"/>
      <c r="T312" s="90"/>
      <c r="U312" s="90"/>
      <c r="V312" s="90"/>
      <c r="W312" s="90"/>
      <c r="X312" s="90"/>
      <c r="Y312" s="90"/>
      <c r="Z312" s="90"/>
      <c r="AA312" s="90"/>
      <c r="AB312" s="90"/>
      <c r="AC312" s="86">
        <f t="shared" si="180"/>
        <v>0</v>
      </c>
      <c r="AD312" s="91"/>
      <c r="AE312" s="91"/>
      <c r="AF312" s="1284"/>
      <c r="AG312" s="91"/>
      <c r="AH312" s="91"/>
      <c r="AI312" s="91"/>
      <c r="AJ312" s="91"/>
      <c r="AK312" s="91"/>
      <c r="AL312" s="91"/>
      <c r="AM312" s="91"/>
      <c r="AN312" s="91"/>
      <c r="AO312" s="91"/>
      <c r="AP312" s="91"/>
      <c r="AQ312" s="91"/>
      <c r="AR312" s="91"/>
      <c r="AS312" s="91"/>
      <c r="AT312" s="92"/>
      <c r="AU312" s="93"/>
      <c r="AV312" s="1860">
        <f t="shared" si="204"/>
        <v>0</v>
      </c>
      <c r="AW312" s="1860">
        <f t="shared" si="205"/>
        <v>0</v>
      </c>
      <c r="AX312" s="1860">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281"/>
      <c r="C313" s="1282"/>
      <c r="D313" s="79"/>
      <c r="E313" s="86">
        <f t="shared" si="203"/>
        <v>0</v>
      </c>
      <c r="F313" s="87"/>
      <c r="G313" s="88">
        <f t="shared" si="178"/>
        <v>0</v>
      </c>
      <c r="H313" s="89">
        <f t="shared" si="179"/>
        <v>0</v>
      </c>
      <c r="I313" s="1284"/>
      <c r="J313" s="90"/>
      <c r="K313" s="1284"/>
      <c r="L313" s="90"/>
      <c r="M313" s="90"/>
      <c r="N313" s="90"/>
      <c r="O313" s="90"/>
      <c r="P313" s="90"/>
      <c r="Q313" s="90"/>
      <c r="R313" s="90"/>
      <c r="S313" s="90"/>
      <c r="T313" s="90"/>
      <c r="U313" s="90"/>
      <c r="V313" s="90"/>
      <c r="W313" s="90"/>
      <c r="X313" s="90"/>
      <c r="Y313" s="90"/>
      <c r="Z313" s="90"/>
      <c r="AA313" s="90"/>
      <c r="AB313" s="90"/>
      <c r="AC313" s="86">
        <f t="shared" si="180"/>
        <v>0</v>
      </c>
      <c r="AD313" s="91"/>
      <c r="AE313" s="91"/>
      <c r="AF313" s="1284"/>
      <c r="AG313" s="91"/>
      <c r="AH313" s="91"/>
      <c r="AI313" s="91"/>
      <c r="AJ313" s="91"/>
      <c r="AK313" s="91"/>
      <c r="AL313" s="91"/>
      <c r="AM313" s="91"/>
      <c r="AN313" s="91"/>
      <c r="AO313" s="91"/>
      <c r="AP313" s="91"/>
      <c r="AQ313" s="91"/>
      <c r="AR313" s="91"/>
      <c r="AS313" s="91"/>
      <c r="AT313" s="92"/>
      <c r="AU313" s="93"/>
      <c r="AV313" s="1860">
        <f t="shared" si="204"/>
        <v>0</v>
      </c>
      <c r="AW313" s="1860">
        <f t="shared" si="205"/>
        <v>0</v>
      </c>
      <c r="AX313" s="1860">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281"/>
      <c r="C314" s="1282"/>
      <c r="D314" s="79"/>
      <c r="E314" s="86">
        <f t="shared" si="203"/>
        <v>0</v>
      </c>
      <c r="F314" s="87"/>
      <c r="G314" s="88">
        <f t="shared" si="178"/>
        <v>0</v>
      </c>
      <c r="H314" s="89">
        <f t="shared" si="179"/>
        <v>0</v>
      </c>
      <c r="I314" s="1284"/>
      <c r="J314" s="90"/>
      <c r="K314" s="1284"/>
      <c r="L314" s="90"/>
      <c r="M314" s="90"/>
      <c r="N314" s="90"/>
      <c r="O314" s="90"/>
      <c r="P314" s="90"/>
      <c r="Q314" s="90"/>
      <c r="R314" s="90"/>
      <c r="S314" s="90"/>
      <c r="T314" s="90"/>
      <c r="U314" s="90"/>
      <c r="V314" s="90"/>
      <c r="W314" s="90"/>
      <c r="X314" s="90"/>
      <c r="Y314" s="90"/>
      <c r="Z314" s="90"/>
      <c r="AA314" s="90"/>
      <c r="AB314" s="90"/>
      <c r="AC314" s="86">
        <f t="shared" si="180"/>
        <v>0</v>
      </c>
      <c r="AD314" s="91"/>
      <c r="AE314" s="91"/>
      <c r="AF314" s="1284"/>
      <c r="AG314" s="91"/>
      <c r="AH314" s="91"/>
      <c r="AI314" s="91"/>
      <c r="AJ314" s="91"/>
      <c r="AK314" s="91"/>
      <c r="AL314" s="91"/>
      <c r="AM314" s="91"/>
      <c r="AN314" s="91"/>
      <c r="AO314" s="91"/>
      <c r="AP314" s="91"/>
      <c r="AQ314" s="91"/>
      <c r="AR314" s="91"/>
      <c r="AS314" s="91"/>
      <c r="AT314" s="92"/>
      <c r="AU314" s="93"/>
      <c r="AV314" s="1860">
        <f t="shared" si="204"/>
        <v>0</v>
      </c>
      <c r="AW314" s="1860">
        <f t="shared" si="205"/>
        <v>0</v>
      </c>
      <c r="AX314" s="1860">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281"/>
      <c r="C315" s="1282"/>
      <c r="D315" s="79"/>
      <c r="E315" s="86">
        <f t="shared" si="203"/>
        <v>0</v>
      </c>
      <c r="F315" s="87"/>
      <c r="G315" s="88">
        <f t="shared" si="178"/>
        <v>0</v>
      </c>
      <c r="H315" s="89">
        <f t="shared" si="179"/>
        <v>0</v>
      </c>
      <c r="I315" s="1284"/>
      <c r="J315" s="90"/>
      <c r="K315" s="1284"/>
      <c r="L315" s="90"/>
      <c r="M315" s="90"/>
      <c r="N315" s="90"/>
      <c r="O315" s="90"/>
      <c r="P315" s="90"/>
      <c r="Q315" s="90"/>
      <c r="R315" s="90"/>
      <c r="S315" s="90"/>
      <c r="T315" s="90"/>
      <c r="U315" s="90"/>
      <c r="V315" s="90"/>
      <c r="W315" s="90"/>
      <c r="X315" s="90"/>
      <c r="Y315" s="90"/>
      <c r="Z315" s="90"/>
      <c r="AA315" s="90"/>
      <c r="AB315" s="90"/>
      <c r="AC315" s="86">
        <f t="shared" si="180"/>
        <v>0</v>
      </c>
      <c r="AD315" s="91"/>
      <c r="AE315" s="91"/>
      <c r="AF315" s="1284"/>
      <c r="AG315" s="91"/>
      <c r="AH315" s="91"/>
      <c r="AI315" s="91"/>
      <c r="AJ315" s="91"/>
      <c r="AK315" s="91"/>
      <c r="AL315" s="91"/>
      <c r="AM315" s="91"/>
      <c r="AN315" s="91"/>
      <c r="AO315" s="91"/>
      <c r="AP315" s="91"/>
      <c r="AQ315" s="91"/>
      <c r="AR315" s="91"/>
      <c r="AS315" s="91"/>
      <c r="AT315" s="92"/>
      <c r="AU315" s="93"/>
      <c r="AV315" s="1860">
        <f t="shared" si="204"/>
        <v>0</v>
      </c>
      <c r="AW315" s="1860">
        <f t="shared" si="205"/>
        <v>0</v>
      </c>
      <c r="AX315" s="1860">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281"/>
      <c r="C316" s="1282"/>
      <c r="D316" s="79"/>
      <c r="E316" s="86">
        <f t="shared" si="203"/>
        <v>0</v>
      </c>
      <c r="F316" s="87"/>
      <c r="G316" s="88">
        <f t="shared" si="178"/>
        <v>0</v>
      </c>
      <c r="H316" s="89">
        <f t="shared" si="179"/>
        <v>0</v>
      </c>
      <c r="I316" s="1284"/>
      <c r="J316" s="90"/>
      <c r="K316" s="1284"/>
      <c r="L316" s="90"/>
      <c r="M316" s="90"/>
      <c r="N316" s="90"/>
      <c r="O316" s="90"/>
      <c r="P316" s="90"/>
      <c r="Q316" s="90"/>
      <c r="R316" s="90"/>
      <c r="S316" s="90"/>
      <c r="T316" s="90"/>
      <c r="U316" s="90"/>
      <c r="V316" s="90"/>
      <c r="W316" s="90"/>
      <c r="X316" s="90"/>
      <c r="Y316" s="90"/>
      <c r="Z316" s="90"/>
      <c r="AA316" s="90"/>
      <c r="AB316" s="90"/>
      <c r="AC316" s="86">
        <f t="shared" si="180"/>
        <v>0</v>
      </c>
      <c r="AD316" s="91"/>
      <c r="AE316" s="91"/>
      <c r="AF316" s="1284"/>
      <c r="AG316" s="91"/>
      <c r="AH316" s="91"/>
      <c r="AI316" s="91"/>
      <c r="AJ316" s="91"/>
      <c r="AK316" s="91"/>
      <c r="AL316" s="91"/>
      <c r="AM316" s="91"/>
      <c r="AN316" s="91"/>
      <c r="AO316" s="91"/>
      <c r="AP316" s="91"/>
      <c r="AQ316" s="91"/>
      <c r="AR316" s="91"/>
      <c r="AS316" s="91"/>
      <c r="AT316" s="92"/>
      <c r="AU316" s="93"/>
      <c r="AV316" s="1860">
        <f t="shared" si="204"/>
        <v>0</v>
      </c>
      <c r="AW316" s="1860">
        <f t="shared" si="205"/>
        <v>0</v>
      </c>
      <c r="AX316" s="1860">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281"/>
      <c r="C317" s="1282"/>
      <c r="D317" s="79"/>
      <c r="E317" s="86">
        <f t="shared" si="203"/>
        <v>0</v>
      </c>
      <c r="F317" s="87"/>
      <c r="G317" s="88">
        <f t="shared" si="178"/>
        <v>0</v>
      </c>
      <c r="H317" s="89">
        <f t="shared" si="179"/>
        <v>0</v>
      </c>
      <c r="I317" s="1284"/>
      <c r="J317" s="90"/>
      <c r="K317" s="1284"/>
      <c r="L317" s="90"/>
      <c r="M317" s="90"/>
      <c r="N317" s="90"/>
      <c r="O317" s="90"/>
      <c r="P317" s="90"/>
      <c r="Q317" s="90"/>
      <c r="R317" s="90"/>
      <c r="S317" s="90"/>
      <c r="T317" s="90"/>
      <c r="U317" s="90"/>
      <c r="V317" s="90"/>
      <c r="W317" s="90"/>
      <c r="X317" s="90"/>
      <c r="Y317" s="90"/>
      <c r="Z317" s="90"/>
      <c r="AA317" s="90"/>
      <c r="AB317" s="90"/>
      <c r="AC317" s="86">
        <f t="shared" si="180"/>
        <v>0</v>
      </c>
      <c r="AD317" s="91"/>
      <c r="AE317" s="91"/>
      <c r="AF317" s="1284"/>
      <c r="AG317" s="91"/>
      <c r="AH317" s="91"/>
      <c r="AI317" s="91"/>
      <c r="AJ317" s="91"/>
      <c r="AK317" s="91"/>
      <c r="AL317" s="91"/>
      <c r="AM317" s="91"/>
      <c r="AN317" s="91"/>
      <c r="AO317" s="91"/>
      <c r="AP317" s="91"/>
      <c r="AQ317" s="91"/>
      <c r="AR317" s="91"/>
      <c r="AS317" s="91"/>
      <c r="AT317" s="92"/>
      <c r="AU317" s="93"/>
      <c r="AV317" s="1860">
        <f t="shared" si="204"/>
        <v>0</v>
      </c>
      <c r="AW317" s="1860">
        <f t="shared" si="205"/>
        <v>0</v>
      </c>
      <c r="AX317" s="1860">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281"/>
      <c r="C318" s="1282"/>
      <c r="D318" s="79"/>
      <c r="E318" s="86">
        <f t="shared" si="203"/>
        <v>0</v>
      </c>
      <c r="F318" s="87"/>
      <c r="G318" s="88">
        <f t="shared" si="178"/>
        <v>0</v>
      </c>
      <c r="H318" s="89">
        <f t="shared" si="179"/>
        <v>0</v>
      </c>
      <c r="I318" s="1284"/>
      <c r="J318" s="90"/>
      <c r="K318" s="1284"/>
      <c r="L318" s="90"/>
      <c r="M318" s="90"/>
      <c r="N318" s="90"/>
      <c r="O318" s="90"/>
      <c r="P318" s="90"/>
      <c r="Q318" s="90"/>
      <c r="R318" s="90"/>
      <c r="S318" s="90"/>
      <c r="T318" s="90"/>
      <c r="U318" s="90"/>
      <c r="V318" s="90"/>
      <c r="W318" s="90"/>
      <c r="X318" s="90"/>
      <c r="Y318" s="90"/>
      <c r="Z318" s="90"/>
      <c r="AA318" s="90"/>
      <c r="AB318" s="90"/>
      <c r="AC318" s="86">
        <f t="shared" si="180"/>
        <v>0</v>
      </c>
      <c r="AD318" s="91"/>
      <c r="AE318" s="91"/>
      <c r="AF318" s="1284"/>
      <c r="AG318" s="91"/>
      <c r="AH318" s="91"/>
      <c r="AI318" s="91"/>
      <c r="AJ318" s="91"/>
      <c r="AK318" s="91"/>
      <c r="AL318" s="91"/>
      <c r="AM318" s="91"/>
      <c r="AN318" s="91"/>
      <c r="AO318" s="91"/>
      <c r="AP318" s="91"/>
      <c r="AQ318" s="91"/>
      <c r="AR318" s="91"/>
      <c r="AS318" s="91"/>
      <c r="AT318" s="92"/>
      <c r="AU318" s="93"/>
      <c r="AV318" s="1860">
        <f t="shared" si="204"/>
        <v>0</v>
      </c>
      <c r="AW318" s="1860">
        <f t="shared" si="205"/>
        <v>0</v>
      </c>
      <c r="AX318" s="1860">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281"/>
      <c r="C319" s="1282"/>
      <c r="D319" s="79"/>
      <c r="E319" s="86">
        <f t="shared" si="203"/>
        <v>0</v>
      </c>
      <c r="F319" s="87"/>
      <c r="G319" s="88">
        <f t="shared" si="178"/>
        <v>0</v>
      </c>
      <c r="H319" s="89">
        <f t="shared" si="179"/>
        <v>0</v>
      </c>
      <c r="I319" s="1284"/>
      <c r="J319" s="90"/>
      <c r="K319" s="1284"/>
      <c r="L319" s="90"/>
      <c r="M319" s="90"/>
      <c r="N319" s="90"/>
      <c r="O319" s="90"/>
      <c r="P319" s="90"/>
      <c r="Q319" s="90"/>
      <c r="R319" s="90"/>
      <c r="S319" s="90"/>
      <c r="T319" s="90"/>
      <c r="U319" s="90"/>
      <c r="V319" s="90"/>
      <c r="W319" s="90"/>
      <c r="X319" s="90"/>
      <c r="Y319" s="90"/>
      <c r="Z319" s="90"/>
      <c r="AA319" s="90"/>
      <c r="AB319" s="90"/>
      <c r="AC319" s="86">
        <f t="shared" si="180"/>
        <v>0</v>
      </c>
      <c r="AD319" s="91"/>
      <c r="AE319" s="91"/>
      <c r="AF319" s="1284"/>
      <c r="AG319" s="91"/>
      <c r="AH319" s="91"/>
      <c r="AI319" s="91"/>
      <c r="AJ319" s="91"/>
      <c r="AK319" s="91"/>
      <c r="AL319" s="91"/>
      <c r="AM319" s="91"/>
      <c r="AN319" s="91"/>
      <c r="AO319" s="91"/>
      <c r="AP319" s="91"/>
      <c r="AQ319" s="91"/>
      <c r="AR319" s="91"/>
      <c r="AS319" s="91"/>
      <c r="AT319" s="92"/>
      <c r="AU319" s="93"/>
      <c r="AV319" s="1860">
        <f t="shared" si="204"/>
        <v>0</v>
      </c>
      <c r="AW319" s="1860">
        <f t="shared" si="205"/>
        <v>0</v>
      </c>
      <c r="AX319" s="1860">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281"/>
      <c r="C320" s="1282"/>
      <c r="D320" s="79"/>
      <c r="E320" s="86">
        <f t="shared" si="203"/>
        <v>0</v>
      </c>
      <c r="F320" s="87"/>
      <c r="G320" s="88">
        <f t="shared" si="178"/>
        <v>0</v>
      </c>
      <c r="H320" s="89">
        <f t="shared" si="179"/>
        <v>0</v>
      </c>
      <c r="I320" s="1284"/>
      <c r="J320" s="90"/>
      <c r="K320" s="1284"/>
      <c r="L320" s="90"/>
      <c r="M320" s="90"/>
      <c r="N320" s="90"/>
      <c r="O320" s="90"/>
      <c r="P320" s="90"/>
      <c r="Q320" s="90"/>
      <c r="R320" s="90"/>
      <c r="S320" s="90"/>
      <c r="T320" s="90"/>
      <c r="U320" s="90"/>
      <c r="V320" s="90"/>
      <c r="W320" s="90"/>
      <c r="X320" s="90"/>
      <c r="Y320" s="90"/>
      <c r="Z320" s="90"/>
      <c r="AA320" s="90"/>
      <c r="AB320" s="90"/>
      <c r="AC320" s="86">
        <f t="shared" si="180"/>
        <v>0</v>
      </c>
      <c r="AD320" s="91"/>
      <c r="AE320" s="91"/>
      <c r="AF320" s="1284"/>
      <c r="AG320" s="91"/>
      <c r="AH320" s="91"/>
      <c r="AI320" s="91"/>
      <c r="AJ320" s="91"/>
      <c r="AK320" s="91"/>
      <c r="AL320" s="91"/>
      <c r="AM320" s="91"/>
      <c r="AN320" s="91"/>
      <c r="AO320" s="91"/>
      <c r="AP320" s="91"/>
      <c r="AQ320" s="91"/>
      <c r="AR320" s="91"/>
      <c r="AS320" s="91"/>
      <c r="AT320" s="92"/>
      <c r="AU320" s="93"/>
      <c r="AV320" s="1860">
        <f t="shared" si="204"/>
        <v>0</v>
      </c>
      <c r="AW320" s="1860">
        <f t="shared" si="205"/>
        <v>0</v>
      </c>
      <c r="AX320" s="1860">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281"/>
      <c r="C321" s="1282"/>
      <c r="D321" s="79"/>
      <c r="E321" s="86">
        <f t="shared" si="203"/>
        <v>0</v>
      </c>
      <c r="F321" s="87"/>
      <c r="G321" s="88">
        <f t="shared" si="178"/>
        <v>0</v>
      </c>
      <c r="H321" s="89">
        <f t="shared" si="179"/>
        <v>0</v>
      </c>
      <c r="I321" s="1284"/>
      <c r="J321" s="90"/>
      <c r="K321" s="1284"/>
      <c r="L321" s="90"/>
      <c r="M321" s="90"/>
      <c r="N321" s="90"/>
      <c r="O321" s="90"/>
      <c r="P321" s="90"/>
      <c r="Q321" s="90"/>
      <c r="R321" s="90"/>
      <c r="S321" s="90"/>
      <c r="T321" s="90"/>
      <c r="U321" s="90"/>
      <c r="V321" s="90"/>
      <c r="W321" s="90"/>
      <c r="X321" s="90"/>
      <c r="Y321" s="90"/>
      <c r="Z321" s="90"/>
      <c r="AA321" s="90"/>
      <c r="AB321" s="90"/>
      <c r="AC321" s="86">
        <f t="shared" si="180"/>
        <v>0</v>
      </c>
      <c r="AD321" s="91"/>
      <c r="AE321" s="91"/>
      <c r="AF321" s="1284"/>
      <c r="AG321" s="91"/>
      <c r="AH321" s="91"/>
      <c r="AI321" s="91"/>
      <c r="AJ321" s="91"/>
      <c r="AK321" s="91"/>
      <c r="AL321" s="91"/>
      <c r="AM321" s="91"/>
      <c r="AN321" s="91"/>
      <c r="AO321" s="91"/>
      <c r="AP321" s="91"/>
      <c r="AQ321" s="91"/>
      <c r="AR321" s="91"/>
      <c r="AS321" s="91"/>
      <c r="AT321" s="92"/>
      <c r="AU321" s="93"/>
      <c r="AV321" s="1860">
        <f t="shared" si="204"/>
        <v>0</v>
      </c>
      <c r="AW321" s="1860">
        <f t="shared" si="205"/>
        <v>0</v>
      </c>
      <c r="AX321" s="1860">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281"/>
      <c r="C322" s="1282"/>
      <c r="D322" s="79"/>
      <c r="E322" s="86">
        <f t="shared" si="203"/>
        <v>0</v>
      </c>
      <c r="F322" s="87"/>
      <c r="G322" s="88">
        <f t="shared" si="178"/>
        <v>0</v>
      </c>
      <c r="H322" s="89">
        <f t="shared" si="179"/>
        <v>0</v>
      </c>
      <c r="I322" s="1284"/>
      <c r="J322" s="90"/>
      <c r="K322" s="1284"/>
      <c r="L322" s="90"/>
      <c r="M322" s="90"/>
      <c r="N322" s="90"/>
      <c r="O322" s="90"/>
      <c r="P322" s="90"/>
      <c r="Q322" s="90"/>
      <c r="R322" s="90"/>
      <c r="S322" s="90"/>
      <c r="T322" s="90"/>
      <c r="U322" s="90"/>
      <c r="V322" s="90"/>
      <c r="W322" s="90"/>
      <c r="X322" s="90"/>
      <c r="Y322" s="90"/>
      <c r="Z322" s="90"/>
      <c r="AA322" s="90"/>
      <c r="AB322" s="90"/>
      <c r="AC322" s="86">
        <f t="shared" si="180"/>
        <v>0</v>
      </c>
      <c r="AD322" s="91"/>
      <c r="AE322" s="91"/>
      <c r="AF322" s="1284"/>
      <c r="AG322" s="91"/>
      <c r="AH322" s="91"/>
      <c r="AI322" s="91"/>
      <c r="AJ322" s="91"/>
      <c r="AK322" s="91"/>
      <c r="AL322" s="91"/>
      <c r="AM322" s="91"/>
      <c r="AN322" s="91"/>
      <c r="AO322" s="91"/>
      <c r="AP322" s="91"/>
      <c r="AQ322" s="91"/>
      <c r="AR322" s="91"/>
      <c r="AS322" s="91"/>
      <c r="AT322" s="92"/>
      <c r="AU322" s="93"/>
      <c r="AV322" s="1860">
        <f t="shared" si="204"/>
        <v>0</v>
      </c>
      <c r="AW322" s="1860">
        <f t="shared" si="205"/>
        <v>0</v>
      </c>
      <c r="AX322" s="1860">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281"/>
      <c r="C323" s="1282"/>
      <c r="D323" s="79"/>
      <c r="E323" s="86">
        <f t="shared" si="203"/>
        <v>0</v>
      </c>
      <c r="F323" s="87"/>
      <c r="G323" s="88">
        <f t="shared" si="178"/>
        <v>0</v>
      </c>
      <c r="H323" s="89">
        <f t="shared" si="179"/>
        <v>0</v>
      </c>
      <c r="I323" s="1284"/>
      <c r="J323" s="90"/>
      <c r="K323" s="1284"/>
      <c r="L323" s="90"/>
      <c r="M323" s="90"/>
      <c r="N323" s="90"/>
      <c r="O323" s="90"/>
      <c r="P323" s="90"/>
      <c r="Q323" s="90"/>
      <c r="R323" s="90"/>
      <c r="S323" s="90"/>
      <c r="T323" s="90"/>
      <c r="U323" s="90"/>
      <c r="V323" s="90"/>
      <c r="W323" s="90"/>
      <c r="X323" s="90"/>
      <c r="Y323" s="90"/>
      <c r="Z323" s="90"/>
      <c r="AA323" s="90"/>
      <c r="AB323" s="90"/>
      <c r="AC323" s="86">
        <f t="shared" si="180"/>
        <v>0</v>
      </c>
      <c r="AD323" s="91"/>
      <c r="AE323" s="91"/>
      <c r="AF323" s="1282"/>
      <c r="AG323" s="91"/>
      <c r="AH323" s="91"/>
      <c r="AI323" s="91"/>
      <c r="AJ323" s="91"/>
      <c r="AK323" s="91"/>
      <c r="AL323" s="91"/>
      <c r="AM323" s="91"/>
      <c r="AN323" s="91"/>
      <c r="AO323" s="91"/>
      <c r="AP323" s="91"/>
      <c r="AQ323" s="91"/>
      <c r="AR323" s="91"/>
      <c r="AS323" s="91"/>
      <c r="AT323" s="92"/>
      <c r="AU323" s="93"/>
      <c r="AV323" s="1860">
        <f t="shared" si="204"/>
        <v>0</v>
      </c>
      <c r="AW323" s="1860">
        <f t="shared" si="205"/>
        <v>0</v>
      </c>
      <c r="AX323" s="1860">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281"/>
      <c r="C324" s="1282"/>
      <c r="D324" s="79"/>
      <c r="E324" s="86">
        <f t="shared" si="203"/>
        <v>0</v>
      </c>
      <c r="F324" s="87"/>
      <c r="G324" s="88">
        <f t="shared" si="178"/>
        <v>0</v>
      </c>
      <c r="H324" s="89">
        <f t="shared" si="179"/>
        <v>0</v>
      </c>
      <c r="I324" s="1282"/>
      <c r="J324" s="90"/>
      <c r="K324" s="1282"/>
      <c r="L324" s="90"/>
      <c r="M324" s="90"/>
      <c r="N324" s="90"/>
      <c r="O324" s="90"/>
      <c r="P324" s="90"/>
      <c r="Q324" s="90"/>
      <c r="R324" s="90"/>
      <c r="S324" s="90"/>
      <c r="T324" s="90"/>
      <c r="U324" s="90"/>
      <c r="V324" s="90"/>
      <c r="W324" s="90"/>
      <c r="X324" s="90"/>
      <c r="Y324" s="90"/>
      <c r="Z324" s="90"/>
      <c r="AA324" s="90"/>
      <c r="AB324" s="90"/>
      <c r="AC324" s="86">
        <f t="shared" si="180"/>
        <v>0</v>
      </c>
      <c r="AD324" s="91"/>
      <c r="AE324" s="91"/>
      <c r="AF324" s="1282"/>
      <c r="AG324" s="91"/>
      <c r="AH324" s="91"/>
      <c r="AI324" s="91"/>
      <c r="AJ324" s="91"/>
      <c r="AK324" s="91"/>
      <c r="AL324" s="91"/>
      <c r="AM324" s="91"/>
      <c r="AN324" s="91"/>
      <c r="AO324" s="91"/>
      <c r="AP324" s="91"/>
      <c r="AQ324" s="91"/>
      <c r="AR324" s="91"/>
      <c r="AS324" s="91"/>
      <c r="AT324" s="92"/>
      <c r="AU324" s="93"/>
      <c r="AV324" s="1860">
        <f t="shared" si="204"/>
        <v>0</v>
      </c>
      <c r="AW324" s="1860">
        <f t="shared" si="205"/>
        <v>0</v>
      </c>
      <c r="AX324" s="1860">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281"/>
      <c r="C325" s="1282"/>
      <c r="D325" s="79"/>
      <c r="E325" s="86">
        <f t="shared" si="203"/>
        <v>0</v>
      </c>
      <c r="F325" s="87"/>
      <c r="G325" s="88">
        <f t="shared" si="178"/>
        <v>0</v>
      </c>
      <c r="H325" s="89">
        <f t="shared" si="179"/>
        <v>0</v>
      </c>
      <c r="I325" s="1282"/>
      <c r="J325" s="90"/>
      <c r="K325" s="1282"/>
      <c r="L325" s="90"/>
      <c r="M325" s="90"/>
      <c r="N325" s="90"/>
      <c r="O325" s="90"/>
      <c r="P325" s="90"/>
      <c r="Q325" s="90"/>
      <c r="R325" s="90"/>
      <c r="S325" s="90"/>
      <c r="T325" s="90"/>
      <c r="U325" s="90"/>
      <c r="V325" s="90"/>
      <c r="W325" s="90"/>
      <c r="X325" s="90"/>
      <c r="Y325" s="90"/>
      <c r="Z325" s="90"/>
      <c r="AA325" s="90"/>
      <c r="AB325" s="90"/>
      <c r="AC325" s="86">
        <f t="shared" si="180"/>
        <v>0</v>
      </c>
      <c r="AD325" s="91"/>
      <c r="AE325" s="91"/>
      <c r="AF325" s="1282"/>
      <c r="AG325" s="91"/>
      <c r="AH325" s="91"/>
      <c r="AI325" s="91"/>
      <c r="AJ325" s="91"/>
      <c r="AK325" s="91"/>
      <c r="AL325" s="91"/>
      <c r="AM325" s="91"/>
      <c r="AN325" s="91"/>
      <c r="AO325" s="91"/>
      <c r="AP325" s="91"/>
      <c r="AQ325" s="91"/>
      <c r="AR325" s="91"/>
      <c r="AS325" s="91"/>
      <c r="AT325" s="92"/>
      <c r="AU325" s="93"/>
      <c r="AV325" s="1860">
        <f t="shared" si="204"/>
        <v>0</v>
      </c>
      <c r="AW325" s="1860">
        <f t="shared" si="205"/>
        <v>0</v>
      </c>
      <c r="AX325" s="1860">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281"/>
      <c r="C326" s="1282"/>
      <c r="D326" s="79"/>
      <c r="E326" s="86">
        <f t="shared" si="203"/>
        <v>0</v>
      </c>
      <c r="F326" s="87"/>
      <c r="G326" s="88">
        <f t="shared" ref="G326:G357" si="207">H326+AC326+AT326</f>
        <v>0</v>
      </c>
      <c r="H326" s="89">
        <f t="shared" ref="H326:H357" si="208">SUMIF(I$12:AB$12,"总值",I326:AB326)</f>
        <v>0</v>
      </c>
      <c r="I326" s="1282"/>
      <c r="J326" s="90"/>
      <c r="K326" s="1282"/>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282"/>
      <c r="AG326" s="91"/>
      <c r="AH326" s="91"/>
      <c r="AI326" s="91"/>
      <c r="AJ326" s="91"/>
      <c r="AK326" s="91"/>
      <c r="AL326" s="91"/>
      <c r="AM326" s="91"/>
      <c r="AN326" s="91"/>
      <c r="AO326" s="91"/>
      <c r="AP326" s="91"/>
      <c r="AQ326" s="91"/>
      <c r="AR326" s="91"/>
      <c r="AS326" s="91"/>
      <c r="AT326" s="92"/>
      <c r="AU326" s="93"/>
      <c r="AV326" s="1860">
        <f t="shared" si="204"/>
        <v>0</v>
      </c>
      <c r="AW326" s="1860">
        <f t="shared" si="205"/>
        <v>0</v>
      </c>
      <c r="AX326" s="1860">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281"/>
      <c r="C327" s="1282"/>
      <c r="D327" s="79"/>
      <c r="E327" s="86">
        <f t="shared" si="203"/>
        <v>0</v>
      </c>
      <c r="F327" s="87"/>
      <c r="G327" s="88">
        <f t="shared" si="207"/>
        <v>0</v>
      </c>
      <c r="H327" s="89">
        <f t="shared" si="208"/>
        <v>0</v>
      </c>
      <c r="I327" s="1282"/>
      <c r="J327" s="90"/>
      <c r="K327" s="1282"/>
      <c r="L327" s="90"/>
      <c r="M327" s="90"/>
      <c r="N327" s="90"/>
      <c r="O327" s="90"/>
      <c r="P327" s="90"/>
      <c r="Q327" s="90"/>
      <c r="R327" s="90"/>
      <c r="S327" s="90"/>
      <c r="T327" s="90"/>
      <c r="U327" s="90"/>
      <c r="V327" s="90"/>
      <c r="W327" s="90"/>
      <c r="X327" s="90"/>
      <c r="Y327" s="90"/>
      <c r="Z327" s="90"/>
      <c r="AA327" s="90"/>
      <c r="AB327" s="90"/>
      <c r="AC327" s="86">
        <f t="shared" si="209"/>
        <v>0</v>
      </c>
      <c r="AD327" s="91"/>
      <c r="AE327" s="91"/>
      <c r="AF327" s="1282"/>
      <c r="AG327" s="91"/>
      <c r="AH327" s="91"/>
      <c r="AI327" s="91"/>
      <c r="AJ327" s="91"/>
      <c r="AK327" s="91"/>
      <c r="AL327" s="91"/>
      <c r="AM327" s="91"/>
      <c r="AN327" s="91"/>
      <c r="AO327" s="91"/>
      <c r="AP327" s="91"/>
      <c r="AQ327" s="91"/>
      <c r="AR327" s="91"/>
      <c r="AS327" s="91"/>
      <c r="AT327" s="92"/>
      <c r="AU327" s="93"/>
      <c r="AV327" s="1860">
        <f t="shared" si="204"/>
        <v>0</v>
      </c>
      <c r="AW327" s="1860">
        <f t="shared" si="205"/>
        <v>0</v>
      </c>
      <c r="AX327" s="1860">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281"/>
      <c r="C328" s="1282"/>
      <c r="D328" s="79"/>
      <c r="E328" s="86">
        <f t="shared" si="203"/>
        <v>0</v>
      </c>
      <c r="F328" s="87"/>
      <c r="G328" s="88">
        <f t="shared" si="207"/>
        <v>0</v>
      </c>
      <c r="H328" s="89">
        <f t="shared" si="208"/>
        <v>0</v>
      </c>
      <c r="I328" s="1282"/>
      <c r="J328" s="90"/>
      <c r="K328" s="1282"/>
      <c r="L328" s="90"/>
      <c r="M328" s="90"/>
      <c r="N328" s="90"/>
      <c r="O328" s="90"/>
      <c r="P328" s="90"/>
      <c r="Q328" s="90"/>
      <c r="R328" s="90"/>
      <c r="S328" s="90"/>
      <c r="T328" s="90"/>
      <c r="U328" s="90"/>
      <c r="V328" s="90"/>
      <c r="W328" s="90"/>
      <c r="X328" s="90"/>
      <c r="Y328" s="90"/>
      <c r="Z328" s="90"/>
      <c r="AA328" s="90"/>
      <c r="AB328" s="90"/>
      <c r="AC328" s="86">
        <f t="shared" si="209"/>
        <v>0</v>
      </c>
      <c r="AD328" s="91"/>
      <c r="AE328" s="91"/>
      <c r="AF328" s="1282"/>
      <c r="AG328" s="91"/>
      <c r="AH328" s="91"/>
      <c r="AI328" s="91"/>
      <c r="AJ328" s="91"/>
      <c r="AK328" s="91"/>
      <c r="AL328" s="91"/>
      <c r="AM328" s="91"/>
      <c r="AN328" s="91"/>
      <c r="AO328" s="91"/>
      <c r="AP328" s="91"/>
      <c r="AQ328" s="91"/>
      <c r="AR328" s="91"/>
      <c r="AS328" s="91"/>
      <c r="AT328" s="92"/>
      <c r="AU328" s="93"/>
      <c r="AV328" s="1860">
        <f t="shared" si="204"/>
        <v>0</v>
      </c>
      <c r="AW328" s="1860">
        <f t="shared" si="205"/>
        <v>0</v>
      </c>
      <c r="AX328" s="1860">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281"/>
      <c r="C329" s="1282"/>
      <c r="D329" s="79"/>
      <c r="E329" s="86">
        <f t="shared" ref="E329:E360" si="232">IF($C$3="是",ROUND($A$3*G329/$B$3,2),ROUND($A$3*(G329-AT329)/$B$3,2))</f>
        <v>0</v>
      </c>
      <c r="F329" s="87"/>
      <c r="G329" s="88">
        <f t="shared" si="207"/>
        <v>0</v>
      </c>
      <c r="H329" s="89">
        <f t="shared" si="208"/>
        <v>0</v>
      </c>
      <c r="I329" s="1282"/>
      <c r="J329" s="90"/>
      <c r="K329" s="1282"/>
      <c r="L329" s="90"/>
      <c r="M329" s="90"/>
      <c r="N329" s="90"/>
      <c r="O329" s="90"/>
      <c r="P329" s="90"/>
      <c r="Q329" s="90"/>
      <c r="R329" s="90"/>
      <c r="S329" s="90"/>
      <c r="T329" s="90"/>
      <c r="U329" s="90"/>
      <c r="V329" s="90"/>
      <c r="W329" s="90"/>
      <c r="X329" s="90"/>
      <c r="Y329" s="90"/>
      <c r="Z329" s="90"/>
      <c r="AA329" s="90"/>
      <c r="AB329" s="90"/>
      <c r="AC329" s="86">
        <f t="shared" si="209"/>
        <v>0</v>
      </c>
      <c r="AD329" s="91"/>
      <c r="AE329" s="91"/>
      <c r="AF329" s="1282"/>
      <c r="AG329" s="91"/>
      <c r="AH329" s="91"/>
      <c r="AI329" s="91"/>
      <c r="AJ329" s="91"/>
      <c r="AK329" s="91"/>
      <c r="AL329" s="91"/>
      <c r="AM329" s="91"/>
      <c r="AN329" s="91"/>
      <c r="AO329" s="91"/>
      <c r="AP329" s="91"/>
      <c r="AQ329" s="91"/>
      <c r="AR329" s="91"/>
      <c r="AS329" s="91"/>
      <c r="AT329" s="92"/>
      <c r="AU329" s="93"/>
      <c r="AV329" s="1860">
        <f t="shared" ref="AV329:AV360" si="233">A329</f>
        <v>0</v>
      </c>
      <c r="AW329" s="1860">
        <f t="shared" ref="AW329:AW360" si="234">B329</f>
        <v>0</v>
      </c>
      <c r="AX329" s="1860">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281"/>
      <c r="C330" s="1282"/>
      <c r="D330" s="79"/>
      <c r="E330" s="86">
        <f t="shared" si="232"/>
        <v>0</v>
      </c>
      <c r="F330" s="87"/>
      <c r="G330" s="88">
        <f t="shared" si="207"/>
        <v>0</v>
      </c>
      <c r="H330" s="89">
        <f t="shared" si="208"/>
        <v>0</v>
      </c>
      <c r="I330" s="1282"/>
      <c r="J330" s="90"/>
      <c r="K330" s="1282"/>
      <c r="L330" s="90"/>
      <c r="M330" s="90"/>
      <c r="N330" s="90"/>
      <c r="O330" s="90"/>
      <c r="P330" s="90"/>
      <c r="Q330" s="90"/>
      <c r="R330" s="90"/>
      <c r="S330" s="90"/>
      <c r="T330" s="90"/>
      <c r="U330" s="90"/>
      <c r="V330" s="90"/>
      <c r="W330" s="90"/>
      <c r="X330" s="90"/>
      <c r="Y330" s="90"/>
      <c r="Z330" s="90"/>
      <c r="AA330" s="90"/>
      <c r="AB330" s="90"/>
      <c r="AC330" s="86">
        <f t="shared" si="209"/>
        <v>0</v>
      </c>
      <c r="AD330" s="91"/>
      <c r="AE330" s="91"/>
      <c r="AF330" s="1282"/>
      <c r="AG330" s="91"/>
      <c r="AH330" s="91"/>
      <c r="AI330" s="91"/>
      <c r="AJ330" s="91"/>
      <c r="AK330" s="91"/>
      <c r="AL330" s="91"/>
      <c r="AM330" s="91"/>
      <c r="AN330" s="91"/>
      <c r="AO330" s="91"/>
      <c r="AP330" s="91"/>
      <c r="AQ330" s="91"/>
      <c r="AR330" s="91"/>
      <c r="AS330" s="91"/>
      <c r="AT330" s="92"/>
      <c r="AU330" s="93"/>
      <c r="AV330" s="1860">
        <f t="shared" si="233"/>
        <v>0</v>
      </c>
      <c r="AW330" s="1860">
        <f t="shared" si="234"/>
        <v>0</v>
      </c>
      <c r="AX330" s="1860">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283"/>
      <c r="C331" s="1284"/>
      <c r="D331" s="79"/>
      <c r="E331" s="86">
        <f t="shared" si="232"/>
        <v>0</v>
      </c>
      <c r="F331" s="87"/>
      <c r="G331" s="88">
        <f t="shared" si="207"/>
        <v>0</v>
      </c>
      <c r="H331" s="89">
        <f t="shared" si="208"/>
        <v>0</v>
      </c>
      <c r="I331" s="1282"/>
      <c r="J331" s="90"/>
      <c r="K331" s="1282"/>
      <c r="L331" s="90"/>
      <c r="M331" s="1282"/>
      <c r="N331" s="90"/>
      <c r="O331" s="90"/>
      <c r="P331" s="90"/>
      <c r="Q331" s="90"/>
      <c r="R331" s="90"/>
      <c r="S331" s="90"/>
      <c r="T331" s="90"/>
      <c r="U331" s="90"/>
      <c r="V331" s="90"/>
      <c r="W331" s="90"/>
      <c r="X331" s="90"/>
      <c r="Y331" s="90"/>
      <c r="Z331" s="90"/>
      <c r="AA331" s="90"/>
      <c r="AB331" s="90"/>
      <c r="AC331" s="86">
        <f t="shared" si="209"/>
        <v>0</v>
      </c>
      <c r="AD331" s="91"/>
      <c r="AE331" s="91"/>
      <c r="AF331" s="1282"/>
      <c r="AG331" s="91"/>
      <c r="AH331" s="91"/>
      <c r="AI331" s="91"/>
      <c r="AJ331" s="91"/>
      <c r="AK331" s="91"/>
      <c r="AL331" s="91"/>
      <c r="AM331" s="91"/>
      <c r="AN331" s="91"/>
      <c r="AO331" s="91"/>
      <c r="AP331" s="91"/>
      <c r="AQ331" s="91"/>
      <c r="AR331" s="91"/>
      <c r="AS331" s="91"/>
      <c r="AT331" s="92"/>
      <c r="AU331" s="93"/>
      <c r="AV331" s="1860">
        <f t="shared" si="233"/>
        <v>0</v>
      </c>
      <c r="AW331" s="1860">
        <f t="shared" si="234"/>
        <v>0</v>
      </c>
      <c r="AX331" s="1860">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60">
        <f t="shared" si="233"/>
        <v>0</v>
      </c>
      <c r="AW332" s="1860">
        <f t="shared" si="234"/>
        <v>0</v>
      </c>
      <c r="AX332" s="1860">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60">
        <f t="shared" si="233"/>
        <v>0</v>
      </c>
      <c r="AW333" s="1860">
        <f t="shared" si="234"/>
        <v>0</v>
      </c>
      <c r="AX333" s="1860">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60">
        <f t="shared" si="233"/>
        <v>0</v>
      </c>
      <c r="AW334" s="1860">
        <f t="shared" si="234"/>
        <v>0</v>
      </c>
      <c r="AX334" s="1860">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60">
        <f t="shared" si="233"/>
        <v>0</v>
      </c>
      <c r="AW335" s="1860">
        <f t="shared" si="234"/>
        <v>0</v>
      </c>
      <c r="AX335" s="1860">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60">
        <f t="shared" si="233"/>
        <v>0</v>
      </c>
      <c r="AW336" s="1860">
        <f t="shared" si="234"/>
        <v>0</v>
      </c>
      <c r="AX336" s="1860">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60">
        <f t="shared" si="233"/>
        <v>0</v>
      </c>
      <c r="AW337" s="1860">
        <f t="shared" si="234"/>
        <v>0</v>
      </c>
      <c r="AX337" s="1860">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60">
        <f t="shared" si="233"/>
        <v>0</v>
      </c>
      <c r="AW338" s="1860">
        <f t="shared" si="234"/>
        <v>0</v>
      </c>
      <c r="AX338" s="1860">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60">
        <f t="shared" si="233"/>
        <v>0</v>
      </c>
      <c r="AW339" s="1860">
        <f t="shared" si="234"/>
        <v>0</v>
      </c>
      <c r="AX339" s="1860">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60">
        <f t="shared" si="233"/>
        <v>0</v>
      </c>
      <c r="AW340" s="1860">
        <f t="shared" si="234"/>
        <v>0</v>
      </c>
      <c r="AX340" s="1860">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60">
        <f t="shared" si="233"/>
        <v>0</v>
      </c>
      <c r="AW341" s="1860">
        <f t="shared" si="234"/>
        <v>0</v>
      </c>
      <c r="AX341" s="1860">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60">
        <f t="shared" si="233"/>
        <v>0</v>
      </c>
      <c r="AW342" s="1860">
        <f t="shared" si="234"/>
        <v>0</v>
      </c>
      <c r="AX342" s="1860">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60">
        <f t="shared" si="233"/>
        <v>0</v>
      </c>
      <c r="AW343" s="1860">
        <f t="shared" si="234"/>
        <v>0</v>
      </c>
      <c r="AX343" s="1860">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60">
        <f t="shared" si="233"/>
        <v>0</v>
      </c>
      <c r="AW344" s="1860">
        <f t="shared" si="234"/>
        <v>0</v>
      </c>
      <c r="AX344" s="1860">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60">
        <f t="shared" si="233"/>
        <v>0</v>
      </c>
      <c r="AW345" s="1860">
        <f t="shared" si="234"/>
        <v>0</v>
      </c>
      <c r="AX345" s="1860">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60">
        <f t="shared" si="233"/>
        <v>0</v>
      </c>
      <c r="AW346" s="1860">
        <f t="shared" si="234"/>
        <v>0</v>
      </c>
      <c r="AX346" s="1860">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60">
        <f t="shared" si="233"/>
        <v>0</v>
      </c>
      <c r="AW347" s="1860">
        <f t="shared" si="234"/>
        <v>0</v>
      </c>
      <c r="AX347" s="1860">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60">
        <f t="shared" si="233"/>
        <v>0</v>
      </c>
      <c r="AW348" s="1860">
        <f t="shared" si="234"/>
        <v>0</v>
      </c>
      <c r="AX348" s="1860">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60">
        <f t="shared" si="233"/>
        <v>0</v>
      </c>
      <c r="AW349" s="1860">
        <f t="shared" si="234"/>
        <v>0</v>
      </c>
      <c r="AX349" s="1860">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60">
        <f t="shared" si="233"/>
        <v>0</v>
      </c>
      <c r="AW350" s="1860">
        <f t="shared" si="234"/>
        <v>0</v>
      </c>
      <c r="AX350" s="1860">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60">
        <f t="shared" si="233"/>
        <v>0</v>
      </c>
      <c r="AW351" s="1860">
        <f t="shared" si="234"/>
        <v>0</v>
      </c>
      <c r="AX351" s="1860">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60">
        <f t="shared" si="233"/>
        <v>0</v>
      </c>
      <c r="AW352" s="1860">
        <f t="shared" si="234"/>
        <v>0</v>
      </c>
      <c r="AX352" s="1860">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60">
        <f t="shared" si="233"/>
        <v>0</v>
      </c>
      <c r="AW353" s="1860">
        <f t="shared" si="234"/>
        <v>0</v>
      </c>
      <c r="AX353" s="1860">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60">
        <f t="shared" si="233"/>
        <v>0</v>
      </c>
      <c r="AW354" s="1860">
        <f t="shared" si="234"/>
        <v>0</v>
      </c>
      <c r="AX354" s="1860">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60">
        <f t="shared" si="233"/>
        <v>0</v>
      </c>
      <c r="AW355" s="1860">
        <f t="shared" si="234"/>
        <v>0</v>
      </c>
      <c r="AX355" s="1860">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60">
        <f t="shared" si="233"/>
        <v>0</v>
      </c>
      <c r="AW356" s="1860">
        <f t="shared" si="234"/>
        <v>0</v>
      </c>
      <c r="AX356" s="1860">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60">
        <f t="shared" si="233"/>
        <v>0</v>
      </c>
      <c r="AW357" s="1860">
        <f t="shared" si="234"/>
        <v>0</v>
      </c>
      <c r="AX357" s="1860">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60">
        <f t="shared" si="233"/>
        <v>0</v>
      </c>
      <c r="AW358" s="1860">
        <f t="shared" si="234"/>
        <v>0</v>
      </c>
      <c r="AX358" s="1860">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60">
        <f t="shared" si="233"/>
        <v>0</v>
      </c>
      <c r="AW359" s="1860">
        <f t="shared" si="234"/>
        <v>0</v>
      </c>
      <c r="AX359" s="1860">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60">
        <f t="shared" si="233"/>
        <v>0</v>
      </c>
      <c r="AW360" s="1860">
        <f t="shared" si="234"/>
        <v>0</v>
      </c>
      <c r="AX360" s="1860">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60">
        <f t="shared" ref="AV361:AV388" si="262">A361</f>
        <v>0</v>
      </c>
      <c r="AW361" s="1860">
        <f t="shared" ref="AW361:AW388" si="263">B361</f>
        <v>0</v>
      </c>
      <c r="AX361" s="1860">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60">
        <f t="shared" si="262"/>
        <v>0</v>
      </c>
      <c r="AW362" s="1860">
        <f t="shared" si="263"/>
        <v>0</v>
      </c>
      <c r="AX362" s="1860">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60">
        <f t="shared" si="262"/>
        <v>0</v>
      </c>
      <c r="AW363" s="1860">
        <f t="shared" si="263"/>
        <v>0</v>
      </c>
      <c r="AX363" s="1860">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60">
        <f t="shared" si="262"/>
        <v>0</v>
      </c>
      <c r="AW364" s="1860">
        <f t="shared" si="263"/>
        <v>0</v>
      </c>
      <c r="AX364" s="1860">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60">
        <f t="shared" si="262"/>
        <v>0</v>
      </c>
      <c r="AW365" s="1860">
        <f t="shared" si="263"/>
        <v>0</v>
      </c>
      <c r="AX365" s="1860">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60">
        <f t="shared" si="262"/>
        <v>0</v>
      </c>
      <c r="AW366" s="1860">
        <f t="shared" si="263"/>
        <v>0</v>
      </c>
      <c r="AX366" s="1860">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60">
        <f t="shared" si="262"/>
        <v>0</v>
      </c>
      <c r="AW367" s="1860">
        <f t="shared" si="263"/>
        <v>0</v>
      </c>
      <c r="AX367" s="1860">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60">
        <f t="shared" si="262"/>
        <v>0</v>
      </c>
      <c r="AW368" s="1860">
        <f t="shared" si="263"/>
        <v>0</v>
      </c>
      <c r="AX368" s="1860">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60">
        <f t="shared" si="262"/>
        <v>0</v>
      </c>
      <c r="AW369" s="1860">
        <f t="shared" si="263"/>
        <v>0</v>
      </c>
      <c r="AX369" s="1860">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60">
        <f t="shared" si="262"/>
        <v>0</v>
      </c>
      <c r="AW370" s="1860">
        <f t="shared" si="263"/>
        <v>0</v>
      </c>
      <c r="AX370" s="1860">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60">
        <f t="shared" si="262"/>
        <v>0</v>
      </c>
      <c r="AW371" s="1860">
        <f t="shared" si="263"/>
        <v>0</v>
      </c>
      <c r="AX371" s="1860">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60">
        <f t="shared" si="262"/>
        <v>0</v>
      </c>
      <c r="AW372" s="1860">
        <f t="shared" si="263"/>
        <v>0</v>
      </c>
      <c r="AX372" s="1860">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60">
        <f t="shared" si="262"/>
        <v>0</v>
      </c>
      <c r="AW373" s="1860">
        <f t="shared" si="263"/>
        <v>0</v>
      </c>
      <c r="AX373" s="1860">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60">
        <f t="shared" si="262"/>
        <v>0</v>
      </c>
      <c r="AW374" s="1860">
        <f t="shared" si="263"/>
        <v>0</v>
      </c>
      <c r="AX374" s="1860">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60">
        <f t="shared" si="262"/>
        <v>0</v>
      </c>
      <c r="AW375" s="1860">
        <f t="shared" si="263"/>
        <v>0</v>
      </c>
      <c r="AX375" s="1860">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60">
        <f t="shared" si="262"/>
        <v>0</v>
      </c>
      <c r="AW376" s="1860">
        <f t="shared" si="263"/>
        <v>0</v>
      </c>
      <c r="AX376" s="1860">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60">
        <f t="shared" si="262"/>
        <v>0</v>
      </c>
      <c r="AW377" s="1860">
        <f t="shared" si="263"/>
        <v>0</v>
      </c>
      <c r="AX377" s="1860">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60">
        <f t="shared" si="262"/>
        <v>0</v>
      </c>
      <c r="AW378" s="1860">
        <f t="shared" si="263"/>
        <v>0</v>
      </c>
      <c r="AX378" s="1860">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60">
        <f t="shared" si="262"/>
        <v>0</v>
      </c>
      <c r="AW379" s="1860">
        <f t="shared" si="263"/>
        <v>0</v>
      </c>
      <c r="AX379" s="1860">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60">
        <f t="shared" si="262"/>
        <v>0</v>
      </c>
      <c r="AW380" s="1860">
        <f t="shared" si="263"/>
        <v>0</v>
      </c>
      <c r="AX380" s="1860">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60">
        <f t="shared" si="262"/>
        <v>0</v>
      </c>
      <c r="AW381" s="1860">
        <f t="shared" si="263"/>
        <v>0</v>
      </c>
      <c r="AX381" s="1860">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60">
        <f t="shared" si="262"/>
        <v>0</v>
      </c>
      <c r="AW382" s="1860">
        <f t="shared" si="263"/>
        <v>0</v>
      </c>
      <c r="AX382" s="1860">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60">
        <f t="shared" si="262"/>
        <v>0</v>
      </c>
      <c r="AW383" s="1860">
        <f t="shared" si="263"/>
        <v>0</v>
      </c>
      <c r="AX383" s="1860">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60">
        <f t="shared" si="262"/>
        <v>0</v>
      </c>
      <c r="AW384" s="1860">
        <f t="shared" si="263"/>
        <v>0</v>
      </c>
      <c r="AX384" s="1860">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60">
        <f t="shared" si="262"/>
        <v>0</v>
      </c>
      <c r="AW385" s="1860">
        <f t="shared" si="263"/>
        <v>0</v>
      </c>
      <c r="AX385" s="1860">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60">
        <f t="shared" si="262"/>
        <v>0</v>
      </c>
      <c r="AW386" s="1860">
        <f t="shared" si="263"/>
        <v>0</v>
      </c>
      <c r="AX386" s="1860">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60">
        <f t="shared" si="262"/>
        <v>0</v>
      </c>
      <c r="AW387" s="1860">
        <f t="shared" si="263"/>
        <v>0</v>
      </c>
      <c r="AX387" s="1860">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60">
        <f t="shared" si="262"/>
        <v>0</v>
      </c>
      <c r="AW388" s="1860">
        <f t="shared" si="263"/>
        <v>0</v>
      </c>
      <c r="AX388" s="1860">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281"/>
      <c r="C389" s="1282"/>
      <c r="D389" s="79"/>
      <c r="E389" s="86">
        <f t="shared" ref="E389:E480" si="265">IF($C$3="是",ROUND($A$3*G389/$B$3,2),ROUND($A$3*(G389-AT389)/$B$3,2))</f>
        <v>0</v>
      </c>
      <c r="F389" s="87"/>
      <c r="G389" s="88">
        <f t="shared" ref="G389:G477" si="266">H389+AC389+AT389</f>
        <v>0</v>
      </c>
      <c r="H389" s="89">
        <f t="shared" ref="H389:H477" si="267">SUMIF(I$12:AB$12,"总值",I389:AB389)</f>
        <v>0</v>
      </c>
      <c r="I389" s="1284"/>
      <c r="J389" s="90"/>
      <c r="K389" s="1284"/>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285"/>
      <c r="AG389" s="91"/>
      <c r="AH389" s="91"/>
      <c r="AI389" s="91"/>
      <c r="AJ389" s="91"/>
      <c r="AK389" s="91"/>
      <c r="AL389" s="91"/>
      <c r="AM389" s="91"/>
      <c r="AN389" s="1252"/>
      <c r="AO389" s="91"/>
      <c r="AP389" s="91"/>
      <c r="AQ389" s="91"/>
      <c r="AR389" s="91"/>
      <c r="AS389" s="91"/>
      <c r="AT389" s="92"/>
      <c r="AU389" s="93"/>
      <c r="AV389" s="1860">
        <f t="shared" ref="AV389:AV480" si="269">A389</f>
        <v>0</v>
      </c>
      <c r="AW389" s="1860">
        <f t="shared" ref="AW389:AW480" si="270">B389</f>
        <v>0</v>
      </c>
      <c r="AX389" s="1860">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281"/>
      <c r="C390" s="1282"/>
      <c r="D390" s="79"/>
      <c r="E390" s="86">
        <f t="shared" si="265"/>
        <v>0</v>
      </c>
      <c r="F390" s="87"/>
      <c r="G390" s="88">
        <f t="shared" si="266"/>
        <v>0</v>
      </c>
      <c r="H390" s="89">
        <f t="shared" si="267"/>
        <v>0</v>
      </c>
      <c r="I390" s="1284"/>
      <c r="J390" s="90"/>
      <c r="K390" s="1284"/>
      <c r="L390" s="90"/>
      <c r="M390" s="1252"/>
      <c r="N390" s="90"/>
      <c r="O390" s="90"/>
      <c r="P390" s="90"/>
      <c r="Q390" s="90"/>
      <c r="R390" s="90"/>
      <c r="S390" s="90"/>
      <c r="T390" s="90"/>
      <c r="U390" s="90"/>
      <c r="V390" s="90"/>
      <c r="W390" s="90"/>
      <c r="X390" s="90"/>
      <c r="Y390" s="90"/>
      <c r="Z390" s="90"/>
      <c r="AA390" s="90"/>
      <c r="AB390" s="90"/>
      <c r="AC390" s="86">
        <f t="shared" si="268"/>
        <v>0</v>
      </c>
      <c r="AD390" s="1252"/>
      <c r="AE390" s="91"/>
      <c r="AF390" s="1285"/>
      <c r="AG390" s="91"/>
      <c r="AH390" s="91"/>
      <c r="AI390" s="91"/>
      <c r="AJ390" s="91"/>
      <c r="AK390" s="91"/>
      <c r="AL390" s="1252"/>
      <c r="AM390" s="91"/>
      <c r="AN390" s="1252"/>
      <c r="AO390" s="91"/>
      <c r="AP390" s="91"/>
      <c r="AQ390" s="91"/>
      <c r="AR390" s="91"/>
      <c r="AS390" s="91"/>
      <c r="AT390" s="92"/>
      <c r="AU390" s="93"/>
      <c r="AV390" s="1860">
        <f t="shared" si="269"/>
        <v>0</v>
      </c>
      <c r="AW390" s="1860">
        <f t="shared" si="270"/>
        <v>0</v>
      </c>
      <c r="AX390" s="1860">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281"/>
      <c r="C391" s="1282"/>
      <c r="D391" s="79"/>
      <c r="E391" s="86">
        <f t="shared" si="265"/>
        <v>0</v>
      </c>
      <c r="F391" s="87"/>
      <c r="G391" s="88">
        <f t="shared" si="266"/>
        <v>0</v>
      </c>
      <c r="H391" s="89">
        <f t="shared" si="267"/>
        <v>0</v>
      </c>
      <c r="I391" s="1284"/>
      <c r="J391" s="90"/>
      <c r="K391" s="1284"/>
      <c r="L391" s="90"/>
      <c r="M391" s="1252"/>
      <c r="N391" s="90"/>
      <c r="O391" s="90"/>
      <c r="P391" s="90"/>
      <c r="Q391" s="90"/>
      <c r="R391" s="90"/>
      <c r="S391" s="90"/>
      <c r="T391" s="90"/>
      <c r="U391" s="90"/>
      <c r="V391" s="90"/>
      <c r="W391" s="90"/>
      <c r="X391" s="90"/>
      <c r="Y391" s="90"/>
      <c r="Z391" s="90"/>
      <c r="AA391" s="90"/>
      <c r="AB391" s="90"/>
      <c r="AC391" s="86">
        <f t="shared" si="268"/>
        <v>0</v>
      </c>
      <c r="AD391" s="91"/>
      <c r="AE391" s="91"/>
      <c r="AF391" s="1285"/>
      <c r="AG391" s="91"/>
      <c r="AH391" s="91"/>
      <c r="AI391" s="91"/>
      <c r="AJ391" s="91"/>
      <c r="AK391" s="91"/>
      <c r="AL391" s="1252"/>
      <c r="AM391" s="91"/>
      <c r="AN391" s="1252"/>
      <c r="AO391" s="91"/>
      <c r="AP391" s="91"/>
      <c r="AQ391" s="91"/>
      <c r="AR391" s="91"/>
      <c r="AS391" s="91"/>
      <c r="AT391" s="92"/>
      <c r="AU391" s="93"/>
      <c r="AV391" s="1860">
        <f t="shared" si="269"/>
        <v>0</v>
      </c>
      <c r="AW391" s="1860">
        <f t="shared" si="270"/>
        <v>0</v>
      </c>
      <c r="AX391" s="1860">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281"/>
      <c r="C392" s="1282"/>
      <c r="D392" s="79"/>
      <c r="E392" s="86">
        <f t="shared" si="265"/>
        <v>0</v>
      </c>
      <c r="F392" s="87"/>
      <c r="G392" s="88">
        <f t="shared" si="266"/>
        <v>0</v>
      </c>
      <c r="H392" s="89">
        <f t="shared" si="267"/>
        <v>0</v>
      </c>
      <c r="I392" s="1284"/>
      <c r="J392" s="90"/>
      <c r="K392" s="1284"/>
      <c r="L392" s="90"/>
      <c r="M392" s="90"/>
      <c r="N392" s="90"/>
      <c r="O392" s="1252"/>
      <c r="P392" s="90"/>
      <c r="Q392" s="90"/>
      <c r="R392" s="90"/>
      <c r="S392" s="90"/>
      <c r="T392" s="90"/>
      <c r="U392" s="90"/>
      <c r="V392" s="90"/>
      <c r="W392" s="90"/>
      <c r="X392" s="90"/>
      <c r="Y392" s="90"/>
      <c r="Z392" s="90"/>
      <c r="AA392" s="90"/>
      <c r="AB392" s="90"/>
      <c r="AC392" s="86">
        <f t="shared" si="268"/>
        <v>0</v>
      </c>
      <c r="AD392" s="91"/>
      <c r="AE392" s="91"/>
      <c r="AF392" s="1285"/>
      <c r="AG392" s="91"/>
      <c r="AH392" s="91"/>
      <c r="AI392" s="91"/>
      <c r="AJ392" s="91"/>
      <c r="AK392" s="91"/>
      <c r="AL392" s="91"/>
      <c r="AM392" s="91"/>
      <c r="AN392" s="1252"/>
      <c r="AO392" s="91"/>
      <c r="AP392" s="91"/>
      <c r="AQ392" s="91"/>
      <c r="AR392" s="91"/>
      <c r="AS392" s="91"/>
      <c r="AT392" s="92"/>
      <c r="AU392" s="93"/>
      <c r="AV392" s="1860">
        <f t="shared" si="269"/>
        <v>0</v>
      </c>
      <c r="AW392" s="1860">
        <f t="shared" si="270"/>
        <v>0</v>
      </c>
      <c r="AX392" s="1860">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281"/>
      <c r="C393" s="1282"/>
      <c r="D393" s="79"/>
      <c r="E393" s="86">
        <f t="shared" si="265"/>
        <v>0</v>
      </c>
      <c r="F393" s="87"/>
      <c r="G393" s="88">
        <f t="shared" si="266"/>
        <v>0</v>
      </c>
      <c r="H393" s="89">
        <f t="shared" si="267"/>
        <v>0</v>
      </c>
      <c r="I393" s="1284"/>
      <c r="J393" s="90"/>
      <c r="K393" s="1284"/>
      <c r="L393" s="90"/>
      <c r="M393" s="90"/>
      <c r="N393" s="90"/>
      <c r="O393" s="90"/>
      <c r="P393" s="90"/>
      <c r="Q393" s="90"/>
      <c r="R393" s="90"/>
      <c r="S393" s="90"/>
      <c r="T393" s="90"/>
      <c r="U393" s="90"/>
      <c r="V393" s="90"/>
      <c r="W393" s="90"/>
      <c r="X393" s="90"/>
      <c r="Y393" s="90"/>
      <c r="Z393" s="90"/>
      <c r="AA393" s="90"/>
      <c r="AB393" s="90"/>
      <c r="AC393" s="86">
        <f t="shared" si="268"/>
        <v>0</v>
      </c>
      <c r="AD393" s="91"/>
      <c r="AE393" s="91"/>
      <c r="AF393" s="1285"/>
      <c r="AG393" s="91"/>
      <c r="AH393" s="91"/>
      <c r="AI393" s="91"/>
      <c r="AJ393" s="91"/>
      <c r="AK393" s="91"/>
      <c r="AL393" s="91"/>
      <c r="AM393" s="91"/>
      <c r="AN393" s="91"/>
      <c r="AO393" s="91"/>
      <c r="AP393" s="91"/>
      <c r="AQ393" s="91"/>
      <c r="AR393" s="91"/>
      <c r="AS393" s="91"/>
      <c r="AT393" s="92"/>
      <c r="AU393" s="93"/>
      <c r="AV393" s="1860">
        <f t="shared" si="269"/>
        <v>0</v>
      </c>
      <c r="AW393" s="1860">
        <f t="shared" si="270"/>
        <v>0</v>
      </c>
      <c r="AX393" s="1860">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281"/>
      <c r="C394" s="1282"/>
      <c r="D394" s="79"/>
      <c r="E394" s="86">
        <f t="shared" si="265"/>
        <v>0</v>
      </c>
      <c r="F394" s="87"/>
      <c r="G394" s="88">
        <f t="shared" si="266"/>
        <v>0</v>
      </c>
      <c r="H394" s="89">
        <f t="shared" si="267"/>
        <v>0</v>
      </c>
      <c r="I394" s="1284"/>
      <c r="J394" s="90"/>
      <c r="K394" s="1284"/>
      <c r="L394" s="90"/>
      <c r="M394" s="90"/>
      <c r="N394" s="90"/>
      <c r="O394" s="90"/>
      <c r="P394" s="90"/>
      <c r="Q394" s="90"/>
      <c r="R394" s="90"/>
      <c r="S394" s="90"/>
      <c r="T394" s="90"/>
      <c r="U394" s="90"/>
      <c r="V394" s="90"/>
      <c r="W394" s="90"/>
      <c r="X394" s="90"/>
      <c r="Y394" s="90"/>
      <c r="Z394" s="90"/>
      <c r="AA394" s="90"/>
      <c r="AB394" s="90"/>
      <c r="AC394" s="86">
        <f t="shared" si="268"/>
        <v>0</v>
      </c>
      <c r="AD394" s="91"/>
      <c r="AE394" s="91"/>
      <c r="AF394" s="1285"/>
      <c r="AG394" s="91"/>
      <c r="AH394" s="91"/>
      <c r="AI394" s="91"/>
      <c r="AJ394" s="91"/>
      <c r="AK394" s="91"/>
      <c r="AL394" s="91"/>
      <c r="AM394" s="91"/>
      <c r="AN394" s="91"/>
      <c r="AO394" s="91"/>
      <c r="AP394" s="91"/>
      <c r="AQ394" s="91"/>
      <c r="AR394" s="91"/>
      <c r="AS394" s="91"/>
      <c r="AT394" s="92"/>
      <c r="AU394" s="93"/>
      <c r="AV394" s="1860">
        <f t="shared" si="269"/>
        <v>0</v>
      </c>
      <c r="AW394" s="1860">
        <f t="shared" si="270"/>
        <v>0</v>
      </c>
      <c r="AX394" s="1860">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281"/>
      <c r="C395" s="1282"/>
      <c r="D395" s="79"/>
      <c r="E395" s="86">
        <f t="shared" si="265"/>
        <v>0</v>
      </c>
      <c r="F395" s="87"/>
      <c r="G395" s="88">
        <f t="shared" si="266"/>
        <v>0</v>
      </c>
      <c r="H395" s="89">
        <f t="shared" si="267"/>
        <v>0</v>
      </c>
      <c r="I395" s="1284"/>
      <c r="J395" s="90"/>
      <c r="K395" s="1284"/>
      <c r="L395" s="90"/>
      <c r="M395" s="90"/>
      <c r="N395" s="90"/>
      <c r="O395" s="90"/>
      <c r="P395" s="90"/>
      <c r="Q395" s="90"/>
      <c r="R395" s="90"/>
      <c r="S395" s="90"/>
      <c r="T395" s="90"/>
      <c r="U395" s="90"/>
      <c r="V395" s="90"/>
      <c r="W395" s="90"/>
      <c r="X395" s="90"/>
      <c r="Y395" s="90"/>
      <c r="Z395" s="90"/>
      <c r="AA395" s="90"/>
      <c r="AB395" s="90"/>
      <c r="AC395" s="86">
        <f t="shared" si="268"/>
        <v>0</v>
      </c>
      <c r="AD395" s="91"/>
      <c r="AE395" s="91"/>
      <c r="AF395" s="1285"/>
      <c r="AG395" s="91"/>
      <c r="AH395" s="91"/>
      <c r="AI395" s="91"/>
      <c r="AJ395" s="91"/>
      <c r="AK395" s="91"/>
      <c r="AL395" s="91"/>
      <c r="AM395" s="91"/>
      <c r="AN395" s="91"/>
      <c r="AO395" s="91"/>
      <c r="AP395" s="91"/>
      <c r="AQ395" s="91"/>
      <c r="AR395" s="91"/>
      <c r="AS395" s="91"/>
      <c r="AT395" s="92"/>
      <c r="AU395" s="93"/>
      <c r="AV395" s="1860">
        <f t="shared" si="269"/>
        <v>0</v>
      </c>
      <c r="AW395" s="1860">
        <f t="shared" si="270"/>
        <v>0</v>
      </c>
      <c r="AX395" s="1860">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281"/>
      <c r="C396" s="1282"/>
      <c r="D396" s="79"/>
      <c r="E396" s="86">
        <f t="shared" si="265"/>
        <v>0</v>
      </c>
      <c r="F396" s="87"/>
      <c r="G396" s="88">
        <f t="shared" si="266"/>
        <v>0</v>
      </c>
      <c r="H396" s="89">
        <f t="shared" si="267"/>
        <v>0</v>
      </c>
      <c r="I396" s="1284"/>
      <c r="J396" s="90"/>
      <c r="K396" s="1284"/>
      <c r="L396" s="90"/>
      <c r="M396" s="90"/>
      <c r="N396" s="90"/>
      <c r="O396" s="90"/>
      <c r="P396" s="90"/>
      <c r="Q396" s="90"/>
      <c r="R396" s="90"/>
      <c r="S396" s="90"/>
      <c r="T396" s="90"/>
      <c r="U396" s="90"/>
      <c r="V396" s="90"/>
      <c r="W396" s="90"/>
      <c r="X396" s="90"/>
      <c r="Y396" s="90"/>
      <c r="Z396" s="90"/>
      <c r="AA396" s="90"/>
      <c r="AB396" s="90"/>
      <c r="AC396" s="86">
        <f t="shared" si="268"/>
        <v>0</v>
      </c>
      <c r="AD396" s="91"/>
      <c r="AE396" s="91"/>
      <c r="AF396" s="1284"/>
      <c r="AG396" s="91"/>
      <c r="AH396" s="91"/>
      <c r="AI396" s="91"/>
      <c r="AJ396" s="91"/>
      <c r="AK396" s="91"/>
      <c r="AL396" s="91"/>
      <c r="AM396" s="91"/>
      <c r="AN396" s="91"/>
      <c r="AO396" s="91"/>
      <c r="AP396" s="91"/>
      <c r="AQ396" s="91"/>
      <c r="AR396" s="91"/>
      <c r="AS396" s="91"/>
      <c r="AT396" s="92"/>
      <c r="AU396" s="93"/>
      <c r="AV396" s="1860">
        <f t="shared" si="269"/>
        <v>0</v>
      </c>
      <c r="AW396" s="1860">
        <f t="shared" si="270"/>
        <v>0</v>
      </c>
      <c r="AX396" s="1860">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283"/>
      <c r="C397" s="1284"/>
      <c r="D397" s="79"/>
      <c r="E397" s="86">
        <f t="shared" si="265"/>
        <v>0</v>
      </c>
      <c r="F397" s="87"/>
      <c r="G397" s="88">
        <f t="shared" si="266"/>
        <v>0</v>
      </c>
      <c r="H397" s="89">
        <f t="shared" si="267"/>
        <v>0</v>
      </c>
      <c r="I397" s="1284"/>
      <c r="J397" s="90"/>
      <c r="K397" s="1284"/>
      <c r="L397" s="90"/>
      <c r="M397" s="90"/>
      <c r="N397" s="90"/>
      <c r="O397" s="90"/>
      <c r="P397" s="90"/>
      <c r="Q397" s="90"/>
      <c r="R397" s="90"/>
      <c r="S397" s="90"/>
      <c r="T397" s="90"/>
      <c r="U397" s="90"/>
      <c r="V397" s="90"/>
      <c r="W397" s="90"/>
      <c r="X397" s="90"/>
      <c r="Y397" s="90"/>
      <c r="Z397" s="90"/>
      <c r="AA397" s="90"/>
      <c r="AB397" s="90"/>
      <c r="AC397" s="86">
        <f t="shared" si="268"/>
        <v>0</v>
      </c>
      <c r="AD397" s="91"/>
      <c r="AE397" s="91"/>
      <c r="AF397" s="1284"/>
      <c r="AG397" s="91"/>
      <c r="AH397" s="91"/>
      <c r="AI397" s="91"/>
      <c r="AJ397" s="91"/>
      <c r="AK397" s="91"/>
      <c r="AL397" s="91"/>
      <c r="AM397" s="91"/>
      <c r="AN397" s="91"/>
      <c r="AO397" s="91"/>
      <c r="AP397" s="91"/>
      <c r="AQ397" s="91"/>
      <c r="AR397" s="91"/>
      <c r="AS397" s="91"/>
      <c r="AT397" s="92"/>
      <c r="AU397" s="93"/>
      <c r="AV397" s="1860">
        <f t="shared" si="269"/>
        <v>0</v>
      </c>
      <c r="AW397" s="1860">
        <f t="shared" si="270"/>
        <v>0</v>
      </c>
      <c r="AX397" s="1860">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281"/>
      <c r="C398" s="1282"/>
      <c r="D398" s="79"/>
      <c r="E398" s="86">
        <f t="shared" si="265"/>
        <v>0</v>
      </c>
      <c r="F398" s="87"/>
      <c r="G398" s="88">
        <f t="shared" si="266"/>
        <v>0</v>
      </c>
      <c r="H398" s="89">
        <f t="shared" si="267"/>
        <v>0</v>
      </c>
      <c r="I398" s="1284"/>
      <c r="J398" s="90"/>
      <c r="K398" s="1284"/>
      <c r="L398" s="90"/>
      <c r="M398" s="90"/>
      <c r="N398" s="90"/>
      <c r="O398" s="90"/>
      <c r="P398" s="90"/>
      <c r="Q398" s="90"/>
      <c r="R398" s="90"/>
      <c r="S398" s="90"/>
      <c r="T398" s="90"/>
      <c r="U398" s="90"/>
      <c r="V398" s="90"/>
      <c r="W398" s="90"/>
      <c r="X398" s="90"/>
      <c r="Y398" s="90"/>
      <c r="Z398" s="90"/>
      <c r="AA398" s="90"/>
      <c r="AB398" s="90"/>
      <c r="AC398" s="86">
        <f t="shared" si="268"/>
        <v>0</v>
      </c>
      <c r="AD398" s="91"/>
      <c r="AE398" s="91"/>
      <c r="AF398" s="1284"/>
      <c r="AG398" s="91"/>
      <c r="AH398" s="91"/>
      <c r="AI398" s="91"/>
      <c r="AJ398" s="91"/>
      <c r="AK398" s="91"/>
      <c r="AL398" s="91"/>
      <c r="AM398" s="91"/>
      <c r="AN398" s="91"/>
      <c r="AO398" s="91"/>
      <c r="AP398" s="91"/>
      <c r="AQ398" s="91"/>
      <c r="AR398" s="91"/>
      <c r="AS398" s="91"/>
      <c r="AT398" s="92"/>
      <c r="AU398" s="93"/>
      <c r="AV398" s="1860">
        <f t="shared" si="269"/>
        <v>0</v>
      </c>
      <c r="AW398" s="1860">
        <f t="shared" si="270"/>
        <v>0</v>
      </c>
      <c r="AX398" s="1860">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281"/>
      <c r="C399" s="1282"/>
      <c r="D399" s="79"/>
      <c r="E399" s="86">
        <f t="shared" si="265"/>
        <v>0</v>
      </c>
      <c r="F399" s="87"/>
      <c r="G399" s="88">
        <f t="shared" si="266"/>
        <v>0</v>
      </c>
      <c r="H399" s="89">
        <f t="shared" si="267"/>
        <v>0</v>
      </c>
      <c r="I399" s="1284"/>
      <c r="J399" s="90"/>
      <c r="K399" s="1284"/>
      <c r="L399" s="90"/>
      <c r="M399" s="90"/>
      <c r="N399" s="90"/>
      <c r="O399" s="90"/>
      <c r="P399" s="90"/>
      <c r="Q399" s="90"/>
      <c r="R399" s="90"/>
      <c r="S399" s="90"/>
      <c r="T399" s="90"/>
      <c r="U399" s="90"/>
      <c r="V399" s="90"/>
      <c r="W399" s="90"/>
      <c r="X399" s="90"/>
      <c r="Y399" s="90"/>
      <c r="Z399" s="90"/>
      <c r="AA399" s="90"/>
      <c r="AB399" s="90"/>
      <c r="AC399" s="86">
        <f t="shared" si="268"/>
        <v>0</v>
      </c>
      <c r="AD399" s="91"/>
      <c r="AE399" s="91"/>
      <c r="AF399" s="1284"/>
      <c r="AG399" s="91"/>
      <c r="AH399" s="91"/>
      <c r="AI399" s="91"/>
      <c r="AJ399" s="91"/>
      <c r="AK399" s="91"/>
      <c r="AL399" s="91"/>
      <c r="AM399" s="91"/>
      <c r="AN399" s="91"/>
      <c r="AO399" s="91"/>
      <c r="AP399" s="91"/>
      <c r="AQ399" s="91"/>
      <c r="AR399" s="91"/>
      <c r="AS399" s="91"/>
      <c r="AT399" s="92"/>
      <c r="AU399" s="93"/>
      <c r="AV399" s="1860">
        <f t="shared" si="269"/>
        <v>0</v>
      </c>
      <c r="AW399" s="1860">
        <f t="shared" si="270"/>
        <v>0</v>
      </c>
      <c r="AX399" s="1860">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281"/>
      <c r="C400" s="1282"/>
      <c r="D400" s="79"/>
      <c r="E400" s="86">
        <f t="shared" si="265"/>
        <v>0</v>
      </c>
      <c r="F400" s="87"/>
      <c r="G400" s="88">
        <f t="shared" si="266"/>
        <v>0</v>
      </c>
      <c r="H400" s="89">
        <f t="shared" si="267"/>
        <v>0</v>
      </c>
      <c r="I400" s="1284"/>
      <c r="J400" s="90"/>
      <c r="K400" s="1284"/>
      <c r="L400" s="90"/>
      <c r="M400" s="90"/>
      <c r="N400" s="90"/>
      <c r="O400" s="90"/>
      <c r="P400" s="90"/>
      <c r="Q400" s="90"/>
      <c r="R400" s="90"/>
      <c r="S400" s="90"/>
      <c r="T400" s="90"/>
      <c r="U400" s="90"/>
      <c r="V400" s="90"/>
      <c r="W400" s="90"/>
      <c r="X400" s="90"/>
      <c r="Y400" s="90"/>
      <c r="Z400" s="90"/>
      <c r="AA400" s="90"/>
      <c r="AB400" s="90"/>
      <c r="AC400" s="86">
        <f t="shared" si="268"/>
        <v>0</v>
      </c>
      <c r="AD400" s="91"/>
      <c r="AE400" s="91"/>
      <c r="AF400" s="1284"/>
      <c r="AG400" s="91"/>
      <c r="AH400" s="91"/>
      <c r="AI400" s="91"/>
      <c r="AJ400" s="91"/>
      <c r="AK400" s="91"/>
      <c r="AL400" s="91"/>
      <c r="AM400" s="91"/>
      <c r="AN400" s="91"/>
      <c r="AO400" s="91"/>
      <c r="AP400" s="91"/>
      <c r="AQ400" s="91"/>
      <c r="AR400" s="91"/>
      <c r="AS400" s="91"/>
      <c r="AT400" s="92"/>
      <c r="AU400" s="93"/>
      <c r="AV400" s="1860">
        <f t="shared" si="269"/>
        <v>0</v>
      </c>
      <c r="AW400" s="1860">
        <f t="shared" si="270"/>
        <v>0</v>
      </c>
      <c r="AX400" s="1860">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281"/>
      <c r="C401" s="1282"/>
      <c r="D401" s="79"/>
      <c r="E401" s="86">
        <f t="shared" si="265"/>
        <v>0</v>
      </c>
      <c r="F401" s="87"/>
      <c r="G401" s="88">
        <f t="shared" si="266"/>
        <v>0</v>
      </c>
      <c r="H401" s="89">
        <f t="shared" si="267"/>
        <v>0</v>
      </c>
      <c r="I401" s="1284"/>
      <c r="J401" s="90"/>
      <c r="K401" s="1284"/>
      <c r="L401" s="90"/>
      <c r="M401" s="90"/>
      <c r="N401" s="90"/>
      <c r="O401" s="90"/>
      <c r="P401" s="90"/>
      <c r="Q401" s="90"/>
      <c r="R401" s="90"/>
      <c r="S401" s="90"/>
      <c r="T401" s="90"/>
      <c r="U401" s="90"/>
      <c r="V401" s="90"/>
      <c r="W401" s="90"/>
      <c r="X401" s="90"/>
      <c r="Y401" s="90"/>
      <c r="Z401" s="90"/>
      <c r="AA401" s="90"/>
      <c r="AB401" s="90"/>
      <c r="AC401" s="86">
        <f t="shared" si="268"/>
        <v>0</v>
      </c>
      <c r="AD401" s="91"/>
      <c r="AE401" s="91"/>
      <c r="AF401" s="1284"/>
      <c r="AG401" s="91"/>
      <c r="AH401" s="91"/>
      <c r="AI401" s="91"/>
      <c r="AJ401" s="91"/>
      <c r="AK401" s="91"/>
      <c r="AL401" s="91"/>
      <c r="AM401" s="91"/>
      <c r="AN401" s="91"/>
      <c r="AO401" s="91"/>
      <c r="AP401" s="91"/>
      <c r="AQ401" s="91"/>
      <c r="AR401" s="91"/>
      <c r="AS401" s="91"/>
      <c r="AT401" s="92"/>
      <c r="AU401" s="93"/>
      <c r="AV401" s="1860">
        <f t="shared" si="269"/>
        <v>0</v>
      </c>
      <c r="AW401" s="1860">
        <f t="shared" si="270"/>
        <v>0</v>
      </c>
      <c r="AX401" s="1860">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281"/>
      <c r="C402" s="1282"/>
      <c r="D402" s="79"/>
      <c r="E402" s="86">
        <f t="shared" si="265"/>
        <v>0</v>
      </c>
      <c r="F402" s="87"/>
      <c r="G402" s="88">
        <f t="shared" si="266"/>
        <v>0</v>
      </c>
      <c r="H402" s="89">
        <f t="shared" si="267"/>
        <v>0</v>
      </c>
      <c r="I402" s="1284"/>
      <c r="J402" s="90"/>
      <c r="K402" s="1284"/>
      <c r="L402" s="90"/>
      <c r="M402" s="90"/>
      <c r="N402" s="90"/>
      <c r="O402" s="90"/>
      <c r="P402" s="90"/>
      <c r="Q402" s="90"/>
      <c r="R402" s="90"/>
      <c r="S402" s="90"/>
      <c r="T402" s="90"/>
      <c r="U402" s="90"/>
      <c r="V402" s="90"/>
      <c r="W402" s="90"/>
      <c r="X402" s="90"/>
      <c r="Y402" s="90"/>
      <c r="Z402" s="90"/>
      <c r="AA402" s="90"/>
      <c r="AB402" s="90"/>
      <c r="AC402" s="86">
        <f t="shared" si="268"/>
        <v>0</v>
      </c>
      <c r="AD402" s="91"/>
      <c r="AE402" s="91"/>
      <c r="AF402" s="1284"/>
      <c r="AG402" s="91"/>
      <c r="AH402" s="91"/>
      <c r="AI402" s="91"/>
      <c r="AJ402" s="91"/>
      <c r="AK402" s="91"/>
      <c r="AL402" s="91"/>
      <c r="AM402" s="91"/>
      <c r="AN402" s="91"/>
      <c r="AO402" s="91"/>
      <c r="AP402" s="91"/>
      <c r="AQ402" s="91"/>
      <c r="AR402" s="91"/>
      <c r="AS402" s="91"/>
      <c r="AT402" s="92"/>
      <c r="AU402" s="93"/>
      <c r="AV402" s="1860">
        <f t="shared" si="269"/>
        <v>0</v>
      </c>
      <c r="AW402" s="1860">
        <f t="shared" si="270"/>
        <v>0</v>
      </c>
      <c r="AX402" s="1860">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281"/>
      <c r="C403" s="1282"/>
      <c r="D403" s="79"/>
      <c r="E403" s="86">
        <f t="shared" si="265"/>
        <v>0</v>
      </c>
      <c r="F403" s="87"/>
      <c r="G403" s="88">
        <f t="shared" si="266"/>
        <v>0</v>
      </c>
      <c r="H403" s="89">
        <f t="shared" si="267"/>
        <v>0</v>
      </c>
      <c r="I403" s="1284"/>
      <c r="J403" s="90"/>
      <c r="K403" s="1284"/>
      <c r="L403" s="90"/>
      <c r="M403" s="90"/>
      <c r="N403" s="90"/>
      <c r="O403" s="90"/>
      <c r="P403" s="90"/>
      <c r="Q403" s="90"/>
      <c r="R403" s="90"/>
      <c r="S403" s="90"/>
      <c r="T403" s="90"/>
      <c r="U403" s="90"/>
      <c r="V403" s="90"/>
      <c r="W403" s="90"/>
      <c r="X403" s="90"/>
      <c r="Y403" s="90"/>
      <c r="Z403" s="90"/>
      <c r="AA403" s="90"/>
      <c r="AB403" s="90"/>
      <c r="AC403" s="86">
        <f t="shared" si="268"/>
        <v>0</v>
      </c>
      <c r="AD403" s="91"/>
      <c r="AE403" s="91"/>
      <c r="AF403" s="1284"/>
      <c r="AG403" s="91"/>
      <c r="AH403" s="91"/>
      <c r="AI403" s="91"/>
      <c r="AJ403" s="91"/>
      <c r="AK403" s="91"/>
      <c r="AL403" s="91"/>
      <c r="AM403" s="91"/>
      <c r="AN403" s="91"/>
      <c r="AO403" s="91"/>
      <c r="AP403" s="91"/>
      <c r="AQ403" s="91"/>
      <c r="AR403" s="91"/>
      <c r="AS403" s="91"/>
      <c r="AT403" s="92"/>
      <c r="AU403" s="93"/>
      <c r="AV403" s="1860">
        <f t="shared" si="269"/>
        <v>0</v>
      </c>
      <c r="AW403" s="1860">
        <f t="shared" si="270"/>
        <v>0</v>
      </c>
      <c r="AX403" s="1860">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281"/>
      <c r="C404" s="1282"/>
      <c r="D404" s="79"/>
      <c r="E404" s="86">
        <f t="shared" si="265"/>
        <v>0</v>
      </c>
      <c r="F404" s="87"/>
      <c r="G404" s="88">
        <f t="shared" si="266"/>
        <v>0</v>
      </c>
      <c r="H404" s="89">
        <f t="shared" si="267"/>
        <v>0</v>
      </c>
      <c r="I404" s="1284"/>
      <c r="J404" s="90"/>
      <c r="K404" s="1284"/>
      <c r="L404" s="90"/>
      <c r="M404" s="90"/>
      <c r="N404" s="90"/>
      <c r="O404" s="90"/>
      <c r="P404" s="90"/>
      <c r="Q404" s="90"/>
      <c r="R404" s="90"/>
      <c r="S404" s="90"/>
      <c r="T404" s="90"/>
      <c r="U404" s="90"/>
      <c r="V404" s="90"/>
      <c r="W404" s="90"/>
      <c r="X404" s="90"/>
      <c r="Y404" s="90"/>
      <c r="Z404" s="90"/>
      <c r="AA404" s="90"/>
      <c r="AB404" s="90"/>
      <c r="AC404" s="86">
        <f t="shared" si="268"/>
        <v>0</v>
      </c>
      <c r="AD404" s="91"/>
      <c r="AE404" s="91"/>
      <c r="AF404" s="1284"/>
      <c r="AG404" s="91"/>
      <c r="AH404" s="91"/>
      <c r="AI404" s="91"/>
      <c r="AJ404" s="91"/>
      <c r="AK404" s="91"/>
      <c r="AL404" s="91"/>
      <c r="AM404" s="91"/>
      <c r="AN404" s="91"/>
      <c r="AO404" s="91"/>
      <c r="AP404" s="91"/>
      <c r="AQ404" s="91"/>
      <c r="AR404" s="91"/>
      <c r="AS404" s="91"/>
      <c r="AT404" s="92"/>
      <c r="AU404" s="93"/>
      <c r="AV404" s="1860">
        <f t="shared" si="269"/>
        <v>0</v>
      </c>
      <c r="AW404" s="1860">
        <f t="shared" si="270"/>
        <v>0</v>
      </c>
      <c r="AX404" s="1860">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281"/>
      <c r="C405" s="1282"/>
      <c r="D405" s="79"/>
      <c r="E405" s="86">
        <f t="shared" si="265"/>
        <v>0</v>
      </c>
      <c r="F405" s="87"/>
      <c r="G405" s="88">
        <f t="shared" si="266"/>
        <v>0</v>
      </c>
      <c r="H405" s="89">
        <f t="shared" si="267"/>
        <v>0</v>
      </c>
      <c r="I405" s="1284"/>
      <c r="J405" s="90"/>
      <c r="K405" s="1284"/>
      <c r="L405" s="90"/>
      <c r="M405" s="90"/>
      <c r="N405" s="90"/>
      <c r="O405" s="90"/>
      <c r="P405" s="90"/>
      <c r="Q405" s="90"/>
      <c r="R405" s="90"/>
      <c r="S405" s="90"/>
      <c r="T405" s="90"/>
      <c r="U405" s="90"/>
      <c r="V405" s="90"/>
      <c r="W405" s="90"/>
      <c r="X405" s="90"/>
      <c r="Y405" s="90"/>
      <c r="Z405" s="90"/>
      <c r="AA405" s="90"/>
      <c r="AB405" s="90"/>
      <c r="AC405" s="86">
        <f t="shared" si="268"/>
        <v>0</v>
      </c>
      <c r="AD405" s="91"/>
      <c r="AE405" s="91"/>
      <c r="AF405" s="1284"/>
      <c r="AG405" s="91"/>
      <c r="AH405" s="91"/>
      <c r="AI405" s="91"/>
      <c r="AJ405" s="91"/>
      <c r="AK405" s="91"/>
      <c r="AL405" s="91"/>
      <c r="AM405" s="91"/>
      <c r="AN405" s="91"/>
      <c r="AO405" s="91"/>
      <c r="AP405" s="91"/>
      <c r="AQ405" s="91"/>
      <c r="AR405" s="91"/>
      <c r="AS405" s="91"/>
      <c r="AT405" s="92"/>
      <c r="AU405" s="93"/>
      <c r="AV405" s="1860">
        <f t="shared" si="269"/>
        <v>0</v>
      </c>
      <c r="AW405" s="1860">
        <f t="shared" si="270"/>
        <v>0</v>
      </c>
      <c r="AX405" s="1860">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281"/>
      <c r="C406" s="1282"/>
      <c r="D406" s="79"/>
      <c r="E406" s="86">
        <f t="shared" si="265"/>
        <v>0</v>
      </c>
      <c r="F406" s="87"/>
      <c r="G406" s="88">
        <f t="shared" si="266"/>
        <v>0</v>
      </c>
      <c r="H406" s="89">
        <f t="shared" si="267"/>
        <v>0</v>
      </c>
      <c r="I406" s="1284"/>
      <c r="J406" s="90"/>
      <c r="K406" s="1284"/>
      <c r="L406" s="90"/>
      <c r="M406" s="90"/>
      <c r="N406" s="90"/>
      <c r="O406" s="90"/>
      <c r="P406" s="90"/>
      <c r="Q406" s="90"/>
      <c r="R406" s="90"/>
      <c r="S406" s="90"/>
      <c r="T406" s="90"/>
      <c r="U406" s="90"/>
      <c r="V406" s="90"/>
      <c r="W406" s="90"/>
      <c r="X406" s="90"/>
      <c r="Y406" s="90"/>
      <c r="Z406" s="90"/>
      <c r="AA406" s="90"/>
      <c r="AB406" s="90"/>
      <c r="AC406" s="86">
        <f t="shared" si="268"/>
        <v>0</v>
      </c>
      <c r="AD406" s="91"/>
      <c r="AE406" s="91"/>
      <c r="AF406" s="1284"/>
      <c r="AG406" s="91"/>
      <c r="AH406" s="91"/>
      <c r="AI406" s="91"/>
      <c r="AJ406" s="91"/>
      <c r="AK406" s="91"/>
      <c r="AL406" s="91"/>
      <c r="AM406" s="91"/>
      <c r="AN406" s="91"/>
      <c r="AO406" s="91"/>
      <c r="AP406" s="91"/>
      <c r="AQ406" s="91"/>
      <c r="AR406" s="91"/>
      <c r="AS406" s="91"/>
      <c r="AT406" s="92"/>
      <c r="AU406" s="93"/>
      <c r="AV406" s="1860">
        <f t="shared" si="269"/>
        <v>0</v>
      </c>
      <c r="AW406" s="1860">
        <f t="shared" si="270"/>
        <v>0</v>
      </c>
      <c r="AX406" s="1860">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281"/>
      <c r="C407" s="1282"/>
      <c r="D407" s="79"/>
      <c r="E407" s="86">
        <f t="shared" si="265"/>
        <v>0</v>
      </c>
      <c r="F407" s="87"/>
      <c r="G407" s="88">
        <f t="shared" si="266"/>
        <v>0</v>
      </c>
      <c r="H407" s="89">
        <f t="shared" si="267"/>
        <v>0</v>
      </c>
      <c r="I407" s="1284"/>
      <c r="J407" s="90"/>
      <c r="K407" s="1284"/>
      <c r="L407" s="90"/>
      <c r="M407" s="90"/>
      <c r="N407" s="90"/>
      <c r="O407" s="90"/>
      <c r="P407" s="90"/>
      <c r="Q407" s="90"/>
      <c r="R407" s="90"/>
      <c r="S407" s="90"/>
      <c r="T407" s="90"/>
      <c r="U407" s="90"/>
      <c r="V407" s="90"/>
      <c r="W407" s="90"/>
      <c r="X407" s="90"/>
      <c r="Y407" s="90"/>
      <c r="Z407" s="90"/>
      <c r="AA407" s="90"/>
      <c r="AB407" s="90"/>
      <c r="AC407" s="86">
        <f t="shared" si="268"/>
        <v>0</v>
      </c>
      <c r="AD407" s="91"/>
      <c r="AE407" s="91"/>
      <c r="AF407" s="1284"/>
      <c r="AG407" s="91"/>
      <c r="AH407" s="91"/>
      <c r="AI407" s="91"/>
      <c r="AJ407" s="91"/>
      <c r="AK407" s="91"/>
      <c r="AL407" s="91"/>
      <c r="AM407" s="91"/>
      <c r="AN407" s="91"/>
      <c r="AO407" s="91"/>
      <c r="AP407" s="91"/>
      <c r="AQ407" s="91"/>
      <c r="AR407" s="91"/>
      <c r="AS407" s="91"/>
      <c r="AT407" s="92"/>
      <c r="AU407" s="93"/>
      <c r="AV407" s="1860">
        <f t="shared" si="269"/>
        <v>0</v>
      </c>
      <c r="AW407" s="1860">
        <f t="shared" si="270"/>
        <v>0</v>
      </c>
      <c r="AX407" s="1860">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281"/>
      <c r="C408" s="1282"/>
      <c r="D408" s="79"/>
      <c r="E408" s="86">
        <f t="shared" si="265"/>
        <v>0</v>
      </c>
      <c r="F408" s="87"/>
      <c r="G408" s="88">
        <f t="shared" si="266"/>
        <v>0</v>
      </c>
      <c r="H408" s="89">
        <f t="shared" si="267"/>
        <v>0</v>
      </c>
      <c r="I408" s="1284"/>
      <c r="J408" s="90"/>
      <c r="K408" s="1284"/>
      <c r="L408" s="90"/>
      <c r="M408" s="90"/>
      <c r="N408" s="90"/>
      <c r="O408" s="90"/>
      <c r="P408" s="90"/>
      <c r="Q408" s="90"/>
      <c r="R408" s="90"/>
      <c r="S408" s="90"/>
      <c r="T408" s="90"/>
      <c r="U408" s="90"/>
      <c r="V408" s="90"/>
      <c r="W408" s="90"/>
      <c r="X408" s="90"/>
      <c r="Y408" s="90"/>
      <c r="Z408" s="90"/>
      <c r="AA408" s="90"/>
      <c r="AB408" s="90"/>
      <c r="AC408" s="86">
        <f t="shared" si="268"/>
        <v>0</v>
      </c>
      <c r="AD408" s="91"/>
      <c r="AE408" s="91"/>
      <c r="AF408" s="1284"/>
      <c r="AG408" s="91"/>
      <c r="AH408" s="91"/>
      <c r="AI408" s="91"/>
      <c r="AJ408" s="91"/>
      <c r="AK408" s="91"/>
      <c r="AL408" s="91"/>
      <c r="AM408" s="91"/>
      <c r="AN408" s="91"/>
      <c r="AO408" s="91"/>
      <c r="AP408" s="91"/>
      <c r="AQ408" s="91"/>
      <c r="AR408" s="91"/>
      <c r="AS408" s="91"/>
      <c r="AT408" s="92"/>
      <c r="AU408" s="93"/>
      <c r="AV408" s="1860">
        <f t="shared" si="269"/>
        <v>0</v>
      </c>
      <c r="AW408" s="1860">
        <f t="shared" si="270"/>
        <v>0</v>
      </c>
      <c r="AX408" s="1860">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281"/>
      <c r="C409" s="1282"/>
      <c r="D409" s="79"/>
      <c r="E409" s="86">
        <f t="shared" si="265"/>
        <v>0</v>
      </c>
      <c r="F409" s="87"/>
      <c r="G409" s="88">
        <f t="shared" si="266"/>
        <v>0</v>
      </c>
      <c r="H409" s="89">
        <f t="shared" si="267"/>
        <v>0</v>
      </c>
      <c r="I409" s="1284"/>
      <c r="J409" s="90"/>
      <c r="K409" s="1284"/>
      <c r="L409" s="90"/>
      <c r="M409" s="90"/>
      <c r="N409" s="90"/>
      <c r="O409" s="90"/>
      <c r="P409" s="90"/>
      <c r="Q409" s="90"/>
      <c r="R409" s="90"/>
      <c r="S409" s="90"/>
      <c r="T409" s="90"/>
      <c r="U409" s="90"/>
      <c r="V409" s="90"/>
      <c r="W409" s="90"/>
      <c r="X409" s="90"/>
      <c r="Y409" s="90"/>
      <c r="Z409" s="90"/>
      <c r="AA409" s="90"/>
      <c r="AB409" s="90"/>
      <c r="AC409" s="86">
        <f t="shared" si="268"/>
        <v>0</v>
      </c>
      <c r="AD409" s="91"/>
      <c r="AE409" s="91"/>
      <c r="AF409" s="1284"/>
      <c r="AG409" s="91"/>
      <c r="AH409" s="91"/>
      <c r="AI409" s="91"/>
      <c r="AJ409" s="91"/>
      <c r="AK409" s="91"/>
      <c r="AL409" s="91"/>
      <c r="AM409" s="91"/>
      <c r="AN409" s="91"/>
      <c r="AO409" s="91"/>
      <c r="AP409" s="91"/>
      <c r="AQ409" s="91"/>
      <c r="AR409" s="91"/>
      <c r="AS409" s="91"/>
      <c r="AT409" s="92"/>
      <c r="AU409" s="93"/>
      <c r="AV409" s="1860">
        <f t="shared" si="269"/>
        <v>0</v>
      </c>
      <c r="AW409" s="1860">
        <f t="shared" si="270"/>
        <v>0</v>
      </c>
      <c r="AX409" s="1860">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281"/>
      <c r="C410" s="1282"/>
      <c r="D410" s="79"/>
      <c r="E410" s="86">
        <f t="shared" si="265"/>
        <v>0</v>
      </c>
      <c r="F410" s="87"/>
      <c r="G410" s="88">
        <f t="shared" si="266"/>
        <v>0</v>
      </c>
      <c r="H410" s="89">
        <f t="shared" si="267"/>
        <v>0</v>
      </c>
      <c r="I410" s="1284"/>
      <c r="J410" s="90"/>
      <c r="K410" s="1284"/>
      <c r="L410" s="90"/>
      <c r="M410" s="90"/>
      <c r="N410" s="90"/>
      <c r="O410" s="90"/>
      <c r="P410" s="90"/>
      <c r="Q410" s="90"/>
      <c r="R410" s="90"/>
      <c r="S410" s="90"/>
      <c r="T410" s="90"/>
      <c r="U410" s="90"/>
      <c r="V410" s="90"/>
      <c r="W410" s="90"/>
      <c r="X410" s="90"/>
      <c r="Y410" s="90"/>
      <c r="Z410" s="90"/>
      <c r="AA410" s="90"/>
      <c r="AB410" s="90"/>
      <c r="AC410" s="86">
        <f t="shared" si="268"/>
        <v>0</v>
      </c>
      <c r="AD410" s="91"/>
      <c r="AE410" s="91"/>
      <c r="AF410" s="1284"/>
      <c r="AG410" s="91"/>
      <c r="AH410" s="91"/>
      <c r="AI410" s="91"/>
      <c r="AJ410" s="91"/>
      <c r="AK410" s="91"/>
      <c r="AL410" s="91"/>
      <c r="AM410" s="91"/>
      <c r="AN410" s="91"/>
      <c r="AO410" s="91"/>
      <c r="AP410" s="91"/>
      <c r="AQ410" s="91"/>
      <c r="AR410" s="91"/>
      <c r="AS410" s="91"/>
      <c r="AT410" s="92"/>
      <c r="AU410" s="93"/>
      <c r="AV410" s="1860">
        <f t="shared" si="269"/>
        <v>0</v>
      </c>
      <c r="AW410" s="1860">
        <f t="shared" si="270"/>
        <v>0</v>
      </c>
      <c r="AX410" s="1860">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281"/>
      <c r="C411" s="1282"/>
      <c r="D411" s="79"/>
      <c r="E411" s="86">
        <f t="shared" si="265"/>
        <v>0</v>
      </c>
      <c r="F411" s="87"/>
      <c r="G411" s="88">
        <f t="shared" si="266"/>
        <v>0</v>
      </c>
      <c r="H411" s="89">
        <f t="shared" si="267"/>
        <v>0</v>
      </c>
      <c r="I411" s="1284"/>
      <c r="J411" s="90"/>
      <c r="K411" s="1284"/>
      <c r="L411" s="90"/>
      <c r="M411" s="90"/>
      <c r="N411" s="90"/>
      <c r="O411" s="90"/>
      <c r="P411" s="90"/>
      <c r="Q411" s="90"/>
      <c r="R411" s="90"/>
      <c r="S411" s="90"/>
      <c r="T411" s="90"/>
      <c r="U411" s="90"/>
      <c r="V411" s="90"/>
      <c r="W411" s="90"/>
      <c r="X411" s="90"/>
      <c r="Y411" s="90"/>
      <c r="Z411" s="90"/>
      <c r="AA411" s="90"/>
      <c r="AB411" s="90"/>
      <c r="AC411" s="86">
        <f t="shared" si="268"/>
        <v>0</v>
      </c>
      <c r="AD411" s="91"/>
      <c r="AE411" s="91"/>
      <c r="AF411" s="1284"/>
      <c r="AG411" s="91"/>
      <c r="AH411" s="91"/>
      <c r="AI411" s="91"/>
      <c r="AJ411" s="91"/>
      <c r="AK411" s="91"/>
      <c r="AL411" s="91"/>
      <c r="AM411" s="91"/>
      <c r="AN411" s="91"/>
      <c r="AO411" s="91"/>
      <c r="AP411" s="91"/>
      <c r="AQ411" s="91"/>
      <c r="AR411" s="91"/>
      <c r="AS411" s="91"/>
      <c r="AT411" s="92"/>
      <c r="AU411" s="93"/>
      <c r="AV411" s="1860">
        <f t="shared" si="269"/>
        <v>0</v>
      </c>
      <c r="AW411" s="1860">
        <f t="shared" si="270"/>
        <v>0</v>
      </c>
      <c r="AX411" s="1860">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281"/>
      <c r="C412" s="1282"/>
      <c r="D412" s="79"/>
      <c r="E412" s="86">
        <f t="shared" si="265"/>
        <v>0</v>
      </c>
      <c r="F412" s="87"/>
      <c r="G412" s="88">
        <f t="shared" si="266"/>
        <v>0</v>
      </c>
      <c r="H412" s="89">
        <f t="shared" si="267"/>
        <v>0</v>
      </c>
      <c r="I412" s="1284"/>
      <c r="J412" s="90"/>
      <c r="K412" s="1284"/>
      <c r="L412" s="90"/>
      <c r="M412" s="90"/>
      <c r="N412" s="90"/>
      <c r="O412" s="90"/>
      <c r="P412" s="90"/>
      <c r="Q412" s="90"/>
      <c r="R412" s="90"/>
      <c r="S412" s="90"/>
      <c r="T412" s="90"/>
      <c r="U412" s="90"/>
      <c r="V412" s="90"/>
      <c r="W412" s="90"/>
      <c r="X412" s="90"/>
      <c r="Y412" s="90"/>
      <c r="Z412" s="90"/>
      <c r="AA412" s="90"/>
      <c r="AB412" s="90"/>
      <c r="AC412" s="86">
        <f t="shared" si="268"/>
        <v>0</v>
      </c>
      <c r="AD412" s="91"/>
      <c r="AE412" s="91"/>
      <c r="AF412" s="1284"/>
      <c r="AG412" s="91"/>
      <c r="AH412" s="91"/>
      <c r="AI412" s="91"/>
      <c r="AJ412" s="91"/>
      <c r="AK412" s="91"/>
      <c r="AL412" s="91"/>
      <c r="AM412" s="91"/>
      <c r="AN412" s="91"/>
      <c r="AO412" s="91"/>
      <c r="AP412" s="91"/>
      <c r="AQ412" s="91"/>
      <c r="AR412" s="91"/>
      <c r="AS412" s="91"/>
      <c r="AT412" s="92"/>
      <c r="AU412" s="93"/>
      <c r="AV412" s="1860">
        <f t="shared" si="269"/>
        <v>0</v>
      </c>
      <c r="AW412" s="1860">
        <f t="shared" si="270"/>
        <v>0</v>
      </c>
      <c r="AX412" s="1860">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281"/>
      <c r="C413" s="1282"/>
      <c r="D413" s="79"/>
      <c r="E413" s="86">
        <f t="shared" si="265"/>
        <v>0</v>
      </c>
      <c r="F413" s="87"/>
      <c r="G413" s="88">
        <f t="shared" si="266"/>
        <v>0</v>
      </c>
      <c r="H413" s="89">
        <f t="shared" si="267"/>
        <v>0</v>
      </c>
      <c r="I413" s="1284"/>
      <c r="J413" s="90"/>
      <c r="K413" s="1284"/>
      <c r="L413" s="90"/>
      <c r="M413" s="90"/>
      <c r="N413" s="90"/>
      <c r="O413" s="90"/>
      <c r="P413" s="90"/>
      <c r="Q413" s="90"/>
      <c r="R413" s="90"/>
      <c r="S413" s="90"/>
      <c r="T413" s="90"/>
      <c r="U413" s="90"/>
      <c r="V413" s="90"/>
      <c r="W413" s="90"/>
      <c r="X413" s="90"/>
      <c r="Y413" s="90"/>
      <c r="Z413" s="90"/>
      <c r="AA413" s="90"/>
      <c r="AB413" s="90"/>
      <c r="AC413" s="86">
        <f t="shared" si="268"/>
        <v>0</v>
      </c>
      <c r="AD413" s="91"/>
      <c r="AE413" s="91"/>
      <c r="AF413" s="1284"/>
      <c r="AG413" s="91"/>
      <c r="AH413" s="91"/>
      <c r="AI413" s="91"/>
      <c r="AJ413" s="91"/>
      <c r="AK413" s="91"/>
      <c r="AL413" s="91"/>
      <c r="AM413" s="91"/>
      <c r="AN413" s="91"/>
      <c r="AO413" s="91"/>
      <c r="AP413" s="91"/>
      <c r="AQ413" s="91"/>
      <c r="AR413" s="91"/>
      <c r="AS413" s="91"/>
      <c r="AT413" s="92"/>
      <c r="AU413" s="93"/>
      <c r="AV413" s="1860">
        <f t="shared" si="269"/>
        <v>0</v>
      </c>
      <c r="AW413" s="1860">
        <f t="shared" si="270"/>
        <v>0</v>
      </c>
      <c r="AX413" s="1860">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281"/>
      <c r="C414" s="1282"/>
      <c r="D414" s="79"/>
      <c r="E414" s="86">
        <f t="shared" si="265"/>
        <v>0</v>
      </c>
      <c r="F414" s="87"/>
      <c r="G414" s="88">
        <f t="shared" si="266"/>
        <v>0</v>
      </c>
      <c r="H414" s="89">
        <f t="shared" si="267"/>
        <v>0</v>
      </c>
      <c r="I414" s="1284"/>
      <c r="J414" s="90"/>
      <c r="K414" s="1284"/>
      <c r="L414" s="90"/>
      <c r="M414" s="90"/>
      <c r="N414" s="90"/>
      <c r="O414" s="90"/>
      <c r="P414" s="90"/>
      <c r="Q414" s="90"/>
      <c r="R414" s="90"/>
      <c r="S414" s="90"/>
      <c r="T414" s="90"/>
      <c r="U414" s="90"/>
      <c r="V414" s="90"/>
      <c r="W414" s="90"/>
      <c r="X414" s="90"/>
      <c r="Y414" s="90"/>
      <c r="Z414" s="90"/>
      <c r="AA414" s="90"/>
      <c r="AB414" s="90"/>
      <c r="AC414" s="86">
        <f t="shared" si="268"/>
        <v>0</v>
      </c>
      <c r="AD414" s="91"/>
      <c r="AE414" s="91"/>
      <c r="AF414" s="1284"/>
      <c r="AG414" s="91"/>
      <c r="AH414" s="91"/>
      <c r="AI414" s="91"/>
      <c r="AJ414" s="91"/>
      <c r="AK414" s="91"/>
      <c r="AL414" s="91"/>
      <c r="AM414" s="91"/>
      <c r="AN414" s="91"/>
      <c r="AO414" s="91"/>
      <c r="AP414" s="91"/>
      <c r="AQ414" s="91"/>
      <c r="AR414" s="91"/>
      <c r="AS414" s="91"/>
      <c r="AT414" s="92"/>
      <c r="AU414" s="93"/>
      <c r="AV414" s="1860">
        <f t="shared" si="269"/>
        <v>0</v>
      </c>
      <c r="AW414" s="1860">
        <f t="shared" si="270"/>
        <v>0</v>
      </c>
      <c r="AX414" s="1860">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281"/>
      <c r="C415" s="1282"/>
      <c r="D415" s="79"/>
      <c r="E415" s="86">
        <f t="shared" si="265"/>
        <v>0</v>
      </c>
      <c r="F415" s="87"/>
      <c r="G415" s="88">
        <f t="shared" si="266"/>
        <v>0</v>
      </c>
      <c r="H415" s="89">
        <f t="shared" si="267"/>
        <v>0</v>
      </c>
      <c r="I415" s="1284"/>
      <c r="J415" s="90"/>
      <c r="K415" s="1284"/>
      <c r="L415" s="90"/>
      <c r="M415" s="90"/>
      <c r="N415" s="90"/>
      <c r="O415" s="90"/>
      <c r="P415" s="90"/>
      <c r="Q415" s="90"/>
      <c r="R415" s="90"/>
      <c r="S415" s="90"/>
      <c r="T415" s="90"/>
      <c r="U415" s="90"/>
      <c r="V415" s="90"/>
      <c r="W415" s="90"/>
      <c r="X415" s="90"/>
      <c r="Y415" s="90"/>
      <c r="Z415" s="90"/>
      <c r="AA415" s="90"/>
      <c r="AB415" s="90"/>
      <c r="AC415" s="86">
        <f t="shared" si="268"/>
        <v>0</v>
      </c>
      <c r="AD415" s="91"/>
      <c r="AE415" s="91"/>
      <c r="AF415" s="1282"/>
      <c r="AG415" s="91"/>
      <c r="AH415" s="91"/>
      <c r="AI415" s="91"/>
      <c r="AJ415" s="91"/>
      <c r="AK415" s="91"/>
      <c r="AL415" s="91"/>
      <c r="AM415" s="91"/>
      <c r="AN415" s="91"/>
      <c r="AO415" s="91"/>
      <c r="AP415" s="91"/>
      <c r="AQ415" s="91"/>
      <c r="AR415" s="91"/>
      <c r="AS415" s="91"/>
      <c r="AT415" s="92"/>
      <c r="AU415" s="93"/>
      <c r="AV415" s="1860">
        <f t="shared" si="269"/>
        <v>0</v>
      </c>
      <c r="AW415" s="1860">
        <f t="shared" si="270"/>
        <v>0</v>
      </c>
      <c r="AX415" s="1860">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281"/>
      <c r="C416" s="1282"/>
      <c r="D416" s="79"/>
      <c r="E416" s="86">
        <f t="shared" si="265"/>
        <v>0</v>
      </c>
      <c r="F416" s="87"/>
      <c r="G416" s="88">
        <f t="shared" si="266"/>
        <v>0</v>
      </c>
      <c r="H416" s="89">
        <f t="shared" si="267"/>
        <v>0</v>
      </c>
      <c r="I416" s="1282"/>
      <c r="J416" s="90"/>
      <c r="K416" s="1282"/>
      <c r="L416" s="90"/>
      <c r="M416" s="90"/>
      <c r="N416" s="90"/>
      <c r="O416" s="90"/>
      <c r="P416" s="90"/>
      <c r="Q416" s="90"/>
      <c r="R416" s="90"/>
      <c r="S416" s="90"/>
      <c r="T416" s="90"/>
      <c r="U416" s="90"/>
      <c r="V416" s="90"/>
      <c r="W416" s="90"/>
      <c r="X416" s="90"/>
      <c r="Y416" s="90"/>
      <c r="Z416" s="90"/>
      <c r="AA416" s="90"/>
      <c r="AB416" s="90"/>
      <c r="AC416" s="86">
        <f t="shared" si="268"/>
        <v>0</v>
      </c>
      <c r="AD416" s="91"/>
      <c r="AE416" s="91"/>
      <c r="AF416" s="1282"/>
      <c r="AG416" s="91"/>
      <c r="AH416" s="91"/>
      <c r="AI416" s="91"/>
      <c r="AJ416" s="91"/>
      <c r="AK416" s="91"/>
      <c r="AL416" s="91"/>
      <c r="AM416" s="91"/>
      <c r="AN416" s="91"/>
      <c r="AO416" s="91"/>
      <c r="AP416" s="91"/>
      <c r="AQ416" s="91"/>
      <c r="AR416" s="91"/>
      <c r="AS416" s="91"/>
      <c r="AT416" s="92"/>
      <c r="AU416" s="93"/>
      <c r="AV416" s="1860">
        <f t="shared" si="269"/>
        <v>0</v>
      </c>
      <c r="AW416" s="1860">
        <f t="shared" si="270"/>
        <v>0</v>
      </c>
      <c r="AX416" s="1860">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281"/>
      <c r="C417" s="1282"/>
      <c r="D417" s="79"/>
      <c r="E417" s="86">
        <f t="shared" si="265"/>
        <v>0</v>
      </c>
      <c r="F417" s="87"/>
      <c r="G417" s="88">
        <f t="shared" si="266"/>
        <v>0</v>
      </c>
      <c r="H417" s="89">
        <f t="shared" si="267"/>
        <v>0</v>
      </c>
      <c r="I417" s="1282"/>
      <c r="J417" s="90"/>
      <c r="K417" s="1282"/>
      <c r="L417" s="90"/>
      <c r="M417" s="90"/>
      <c r="N417" s="90"/>
      <c r="O417" s="90"/>
      <c r="P417" s="90"/>
      <c r="Q417" s="90"/>
      <c r="R417" s="90"/>
      <c r="S417" s="90"/>
      <c r="T417" s="90"/>
      <c r="U417" s="90"/>
      <c r="V417" s="90"/>
      <c r="W417" s="90"/>
      <c r="X417" s="90"/>
      <c r="Y417" s="90"/>
      <c r="Z417" s="90"/>
      <c r="AA417" s="90"/>
      <c r="AB417" s="90"/>
      <c r="AC417" s="86">
        <f t="shared" si="268"/>
        <v>0</v>
      </c>
      <c r="AD417" s="91"/>
      <c r="AE417" s="91"/>
      <c r="AF417" s="1282"/>
      <c r="AG417" s="91"/>
      <c r="AH417" s="91"/>
      <c r="AI417" s="91"/>
      <c r="AJ417" s="91"/>
      <c r="AK417" s="91"/>
      <c r="AL417" s="91"/>
      <c r="AM417" s="91"/>
      <c r="AN417" s="91"/>
      <c r="AO417" s="91"/>
      <c r="AP417" s="91"/>
      <c r="AQ417" s="91"/>
      <c r="AR417" s="91"/>
      <c r="AS417" s="91"/>
      <c r="AT417" s="92"/>
      <c r="AU417" s="93"/>
      <c r="AV417" s="1860">
        <f t="shared" si="269"/>
        <v>0</v>
      </c>
      <c r="AW417" s="1860">
        <f t="shared" si="270"/>
        <v>0</v>
      </c>
      <c r="AX417" s="1860">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281"/>
      <c r="C418" s="1282"/>
      <c r="D418" s="79"/>
      <c r="E418" s="86">
        <f t="shared" si="265"/>
        <v>0</v>
      </c>
      <c r="F418" s="87"/>
      <c r="G418" s="88">
        <f t="shared" si="266"/>
        <v>0</v>
      </c>
      <c r="H418" s="89">
        <f t="shared" si="267"/>
        <v>0</v>
      </c>
      <c r="I418" s="1282"/>
      <c r="J418" s="90"/>
      <c r="K418" s="1282"/>
      <c r="L418" s="90"/>
      <c r="M418" s="90"/>
      <c r="N418" s="90"/>
      <c r="O418" s="90"/>
      <c r="P418" s="90"/>
      <c r="Q418" s="90"/>
      <c r="R418" s="90"/>
      <c r="S418" s="90"/>
      <c r="T418" s="90"/>
      <c r="U418" s="90"/>
      <c r="V418" s="90"/>
      <c r="W418" s="90"/>
      <c r="X418" s="90"/>
      <c r="Y418" s="90"/>
      <c r="Z418" s="90"/>
      <c r="AA418" s="90"/>
      <c r="AB418" s="90"/>
      <c r="AC418" s="86">
        <f t="shared" si="268"/>
        <v>0</v>
      </c>
      <c r="AD418" s="91"/>
      <c r="AE418" s="91"/>
      <c r="AF418" s="1282"/>
      <c r="AG418" s="91"/>
      <c r="AH418" s="91"/>
      <c r="AI418" s="91"/>
      <c r="AJ418" s="91"/>
      <c r="AK418" s="91"/>
      <c r="AL418" s="91"/>
      <c r="AM418" s="91"/>
      <c r="AN418" s="91"/>
      <c r="AO418" s="91"/>
      <c r="AP418" s="91"/>
      <c r="AQ418" s="91"/>
      <c r="AR418" s="91"/>
      <c r="AS418" s="91"/>
      <c r="AT418" s="92"/>
      <c r="AU418" s="93"/>
      <c r="AV418" s="1860">
        <f t="shared" si="269"/>
        <v>0</v>
      </c>
      <c r="AW418" s="1860">
        <f t="shared" si="270"/>
        <v>0</v>
      </c>
      <c r="AX418" s="1860">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281"/>
      <c r="C419" s="1282"/>
      <c r="D419" s="79"/>
      <c r="E419" s="86">
        <f t="shared" si="265"/>
        <v>0</v>
      </c>
      <c r="F419" s="87"/>
      <c r="G419" s="88">
        <f t="shared" si="266"/>
        <v>0</v>
      </c>
      <c r="H419" s="89">
        <f t="shared" si="267"/>
        <v>0</v>
      </c>
      <c r="I419" s="1282"/>
      <c r="J419" s="90"/>
      <c r="K419" s="1282"/>
      <c r="L419" s="90"/>
      <c r="M419" s="90"/>
      <c r="N419" s="90"/>
      <c r="O419" s="90"/>
      <c r="P419" s="90"/>
      <c r="Q419" s="90"/>
      <c r="R419" s="90"/>
      <c r="S419" s="90"/>
      <c r="T419" s="90"/>
      <c r="U419" s="90"/>
      <c r="V419" s="90"/>
      <c r="W419" s="90"/>
      <c r="X419" s="90"/>
      <c r="Y419" s="90"/>
      <c r="Z419" s="90"/>
      <c r="AA419" s="90"/>
      <c r="AB419" s="90"/>
      <c r="AC419" s="86">
        <f t="shared" si="268"/>
        <v>0</v>
      </c>
      <c r="AD419" s="91"/>
      <c r="AE419" s="91"/>
      <c r="AF419" s="1282"/>
      <c r="AG419" s="91"/>
      <c r="AH419" s="91"/>
      <c r="AI419" s="91"/>
      <c r="AJ419" s="91"/>
      <c r="AK419" s="91"/>
      <c r="AL419" s="91"/>
      <c r="AM419" s="91"/>
      <c r="AN419" s="91"/>
      <c r="AO419" s="91"/>
      <c r="AP419" s="91"/>
      <c r="AQ419" s="91"/>
      <c r="AR419" s="91"/>
      <c r="AS419" s="91"/>
      <c r="AT419" s="92"/>
      <c r="AU419" s="93"/>
      <c r="AV419" s="1860">
        <f t="shared" si="269"/>
        <v>0</v>
      </c>
      <c r="AW419" s="1860">
        <f t="shared" si="270"/>
        <v>0</v>
      </c>
      <c r="AX419" s="1860">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281"/>
      <c r="C420" s="1282"/>
      <c r="D420" s="79"/>
      <c r="E420" s="86">
        <f t="shared" si="265"/>
        <v>0</v>
      </c>
      <c r="F420" s="87"/>
      <c r="G420" s="88">
        <f t="shared" si="266"/>
        <v>0</v>
      </c>
      <c r="H420" s="89">
        <f t="shared" si="267"/>
        <v>0</v>
      </c>
      <c r="I420" s="1282"/>
      <c r="J420" s="90"/>
      <c r="K420" s="1282"/>
      <c r="L420" s="90"/>
      <c r="M420" s="90"/>
      <c r="N420" s="90"/>
      <c r="O420" s="90"/>
      <c r="P420" s="90"/>
      <c r="Q420" s="90"/>
      <c r="R420" s="90"/>
      <c r="S420" s="90"/>
      <c r="T420" s="90"/>
      <c r="U420" s="90"/>
      <c r="V420" s="90"/>
      <c r="W420" s="90"/>
      <c r="X420" s="90"/>
      <c r="Y420" s="90"/>
      <c r="Z420" s="90"/>
      <c r="AA420" s="90"/>
      <c r="AB420" s="90"/>
      <c r="AC420" s="86">
        <f t="shared" si="268"/>
        <v>0</v>
      </c>
      <c r="AD420" s="91"/>
      <c r="AE420" s="91"/>
      <c r="AF420" s="1282"/>
      <c r="AG420" s="91"/>
      <c r="AH420" s="91"/>
      <c r="AI420" s="91"/>
      <c r="AJ420" s="91"/>
      <c r="AK420" s="91"/>
      <c r="AL420" s="91"/>
      <c r="AM420" s="91"/>
      <c r="AN420" s="91"/>
      <c r="AO420" s="91"/>
      <c r="AP420" s="91"/>
      <c r="AQ420" s="91"/>
      <c r="AR420" s="91"/>
      <c r="AS420" s="91"/>
      <c r="AT420" s="92"/>
      <c r="AU420" s="93"/>
      <c r="AV420" s="1860">
        <f t="shared" si="269"/>
        <v>0</v>
      </c>
      <c r="AW420" s="1860">
        <f t="shared" si="270"/>
        <v>0</v>
      </c>
      <c r="AX420" s="1860">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281"/>
      <c r="C421" s="1282"/>
      <c r="D421" s="79"/>
      <c r="E421" s="86">
        <f t="shared" si="265"/>
        <v>0</v>
      </c>
      <c r="F421" s="87"/>
      <c r="G421" s="88">
        <f t="shared" si="266"/>
        <v>0</v>
      </c>
      <c r="H421" s="89">
        <f t="shared" si="267"/>
        <v>0</v>
      </c>
      <c r="I421" s="1282"/>
      <c r="J421" s="90"/>
      <c r="K421" s="1282"/>
      <c r="L421" s="90"/>
      <c r="M421" s="90"/>
      <c r="N421" s="90"/>
      <c r="O421" s="90"/>
      <c r="P421" s="90"/>
      <c r="Q421" s="90"/>
      <c r="R421" s="90"/>
      <c r="S421" s="90"/>
      <c r="T421" s="90"/>
      <c r="U421" s="90"/>
      <c r="V421" s="90"/>
      <c r="W421" s="90"/>
      <c r="X421" s="90"/>
      <c r="Y421" s="90"/>
      <c r="Z421" s="90"/>
      <c r="AA421" s="90"/>
      <c r="AB421" s="90"/>
      <c r="AC421" s="86">
        <f t="shared" si="268"/>
        <v>0</v>
      </c>
      <c r="AD421" s="91"/>
      <c r="AE421" s="91"/>
      <c r="AF421" s="1282"/>
      <c r="AG421" s="91"/>
      <c r="AH421" s="91"/>
      <c r="AI421" s="91"/>
      <c r="AJ421" s="91"/>
      <c r="AK421" s="91"/>
      <c r="AL421" s="91"/>
      <c r="AM421" s="91"/>
      <c r="AN421" s="91"/>
      <c r="AO421" s="91"/>
      <c r="AP421" s="91"/>
      <c r="AQ421" s="91"/>
      <c r="AR421" s="91"/>
      <c r="AS421" s="91"/>
      <c r="AT421" s="92"/>
      <c r="AU421" s="93"/>
      <c r="AV421" s="1860">
        <f t="shared" si="269"/>
        <v>0</v>
      </c>
      <c r="AW421" s="1860">
        <f t="shared" si="270"/>
        <v>0</v>
      </c>
      <c r="AX421" s="1860">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281"/>
      <c r="C422" s="1282"/>
      <c r="D422" s="79"/>
      <c r="E422" s="86">
        <f t="shared" si="265"/>
        <v>0</v>
      </c>
      <c r="F422" s="87"/>
      <c r="G422" s="88">
        <f t="shared" si="266"/>
        <v>0</v>
      </c>
      <c r="H422" s="89">
        <f t="shared" si="267"/>
        <v>0</v>
      </c>
      <c r="I422" s="1282"/>
      <c r="J422" s="90"/>
      <c r="K422" s="1282"/>
      <c r="L422" s="90"/>
      <c r="M422" s="90"/>
      <c r="N422" s="90"/>
      <c r="O422" s="90"/>
      <c r="P422" s="90"/>
      <c r="Q422" s="90"/>
      <c r="R422" s="90"/>
      <c r="S422" s="90"/>
      <c r="T422" s="90"/>
      <c r="U422" s="90"/>
      <c r="V422" s="90"/>
      <c r="W422" s="90"/>
      <c r="X422" s="90"/>
      <c r="Y422" s="90"/>
      <c r="Z422" s="90"/>
      <c r="AA422" s="90"/>
      <c r="AB422" s="90"/>
      <c r="AC422" s="86">
        <f t="shared" si="268"/>
        <v>0</v>
      </c>
      <c r="AD422" s="91"/>
      <c r="AE422" s="91"/>
      <c r="AF422" s="1282"/>
      <c r="AG422" s="91"/>
      <c r="AH422" s="91"/>
      <c r="AI422" s="91"/>
      <c r="AJ422" s="91"/>
      <c r="AK422" s="91"/>
      <c r="AL422" s="91"/>
      <c r="AM422" s="91"/>
      <c r="AN422" s="91"/>
      <c r="AO422" s="91"/>
      <c r="AP422" s="91"/>
      <c r="AQ422" s="91"/>
      <c r="AR422" s="91"/>
      <c r="AS422" s="91"/>
      <c r="AT422" s="92"/>
      <c r="AU422" s="93"/>
      <c r="AV422" s="1860">
        <f t="shared" si="269"/>
        <v>0</v>
      </c>
      <c r="AW422" s="1860">
        <f t="shared" si="270"/>
        <v>0</v>
      </c>
      <c r="AX422" s="1860">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283"/>
      <c r="C423" s="1284"/>
      <c r="D423" s="79"/>
      <c r="E423" s="86">
        <f t="shared" si="265"/>
        <v>0</v>
      </c>
      <c r="F423" s="87"/>
      <c r="G423" s="88">
        <f t="shared" si="266"/>
        <v>0</v>
      </c>
      <c r="H423" s="89">
        <f t="shared" si="267"/>
        <v>0</v>
      </c>
      <c r="I423" s="1282"/>
      <c r="J423" s="90"/>
      <c r="K423" s="1282"/>
      <c r="L423" s="90"/>
      <c r="M423" s="1282"/>
      <c r="N423" s="90"/>
      <c r="O423" s="90"/>
      <c r="P423" s="90"/>
      <c r="Q423" s="90"/>
      <c r="R423" s="90"/>
      <c r="S423" s="90"/>
      <c r="T423" s="90"/>
      <c r="U423" s="90"/>
      <c r="V423" s="90"/>
      <c r="W423" s="90"/>
      <c r="X423" s="90"/>
      <c r="Y423" s="90"/>
      <c r="Z423" s="90"/>
      <c r="AA423" s="90"/>
      <c r="AB423" s="90"/>
      <c r="AC423" s="86">
        <f t="shared" si="268"/>
        <v>0</v>
      </c>
      <c r="AD423" s="91"/>
      <c r="AE423" s="91"/>
      <c r="AF423" s="1282"/>
      <c r="AG423" s="91"/>
      <c r="AH423" s="91"/>
      <c r="AI423" s="91"/>
      <c r="AJ423" s="91"/>
      <c r="AK423" s="91"/>
      <c r="AL423" s="91"/>
      <c r="AM423" s="91"/>
      <c r="AN423" s="91"/>
      <c r="AO423" s="91"/>
      <c r="AP423" s="91"/>
      <c r="AQ423" s="91"/>
      <c r="AR423" s="91"/>
      <c r="AS423" s="91"/>
      <c r="AT423" s="92"/>
      <c r="AU423" s="93"/>
      <c r="AV423" s="1860">
        <f t="shared" si="269"/>
        <v>0</v>
      </c>
      <c r="AW423" s="1860">
        <f t="shared" si="270"/>
        <v>0</v>
      </c>
      <c r="AX423" s="1860">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60">
        <f t="shared" si="269"/>
        <v>0</v>
      </c>
      <c r="AW424" s="1860">
        <f t="shared" si="270"/>
        <v>0</v>
      </c>
      <c r="AX424" s="1860">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60">
        <f t="shared" si="269"/>
        <v>0</v>
      </c>
      <c r="AW425" s="1860">
        <f t="shared" si="270"/>
        <v>0</v>
      </c>
      <c r="AX425" s="1860">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60">
        <f t="shared" si="269"/>
        <v>0</v>
      </c>
      <c r="AW426" s="1860">
        <f t="shared" si="270"/>
        <v>0</v>
      </c>
      <c r="AX426" s="1860">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60">
        <f t="shared" si="269"/>
        <v>0</v>
      </c>
      <c r="AW427" s="1860">
        <f t="shared" si="270"/>
        <v>0</v>
      </c>
      <c r="AX427" s="1860">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60">
        <f t="shared" si="269"/>
        <v>0</v>
      </c>
      <c r="AW428" s="1860">
        <f t="shared" si="270"/>
        <v>0</v>
      </c>
      <c r="AX428" s="1860">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60">
        <f t="shared" si="269"/>
        <v>0</v>
      </c>
      <c r="AW429" s="1860">
        <f t="shared" si="270"/>
        <v>0</v>
      </c>
      <c r="AX429" s="1860">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60">
        <f t="shared" si="269"/>
        <v>0</v>
      </c>
      <c r="AW430" s="1860">
        <f t="shared" si="270"/>
        <v>0</v>
      </c>
      <c r="AX430" s="1860">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60">
        <f t="shared" si="269"/>
        <v>0</v>
      </c>
      <c r="AW431" s="1860">
        <f t="shared" si="270"/>
        <v>0</v>
      </c>
      <c r="AX431" s="1860">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60">
        <f t="shared" si="269"/>
        <v>0</v>
      </c>
      <c r="AW432" s="1860">
        <f t="shared" si="270"/>
        <v>0</v>
      </c>
      <c r="AX432" s="1860">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60">
        <f t="shared" si="269"/>
        <v>0</v>
      </c>
      <c r="AW433" s="1860">
        <f t="shared" si="270"/>
        <v>0</v>
      </c>
      <c r="AX433" s="1860">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60">
        <f t="shared" si="269"/>
        <v>0</v>
      </c>
      <c r="AW434" s="1860">
        <f t="shared" si="270"/>
        <v>0</v>
      </c>
      <c r="AX434" s="1860">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60">
        <f t="shared" si="269"/>
        <v>0</v>
      </c>
      <c r="AW435" s="1860">
        <f t="shared" si="270"/>
        <v>0</v>
      </c>
      <c r="AX435" s="1860">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60">
        <f t="shared" si="269"/>
        <v>0</v>
      </c>
      <c r="AW436" s="1860">
        <f t="shared" si="270"/>
        <v>0</v>
      </c>
      <c r="AX436" s="1860">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60">
        <f t="shared" si="269"/>
        <v>0</v>
      </c>
      <c r="AW437" s="1860">
        <f t="shared" si="270"/>
        <v>0</v>
      </c>
      <c r="AX437" s="1860">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60">
        <f t="shared" si="269"/>
        <v>0</v>
      </c>
      <c r="AW438" s="1860">
        <f t="shared" si="270"/>
        <v>0</v>
      </c>
      <c r="AX438" s="1860">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60">
        <f t="shared" si="269"/>
        <v>0</v>
      </c>
      <c r="AW439" s="1860">
        <f t="shared" si="270"/>
        <v>0</v>
      </c>
      <c r="AX439" s="1860">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60">
        <f t="shared" si="269"/>
        <v>0</v>
      </c>
      <c r="AW440" s="1860">
        <f t="shared" si="270"/>
        <v>0</v>
      </c>
      <c r="AX440" s="1860">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60">
        <f t="shared" si="269"/>
        <v>0</v>
      </c>
      <c r="AW441" s="1860">
        <f t="shared" si="270"/>
        <v>0</v>
      </c>
      <c r="AX441" s="1860">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60">
        <f t="shared" si="269"/>
        <v>0</v>
      </c>
      <c r="AW442" s="1860">
        <f t="shared" si="270"/>
        <v>0</v>
      </c>
      <c r="AX442" s="1860">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60">
        <f t="shared" si="269"/>
        <v>0</v>
      </c>
      <c r="AW443" s="1860">
        <f t="shared" si="270"/>
        <v>0</v>
      </c>
      <c r="AX443" s="1860">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60">
        <f t="shared" si="269"/>
        <v>0</v>
      </c>
      <c r="AW444" s="1860">
        <f t="shared" si="270"/>
        <v>0</v>
      </c>
      <c r="AX444" s="1860">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60">
        <f t="shared" si="269"/>
        <v>0</v>
      </c>
      <c r="AW445" s="1860">
        <f t="shared" si="270"/>
        <v>0</v>
      </c>
      <c r="AX445" s="1860">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60">
        <f t="shared" si="269"/>
        <v>0</v>
      </c>
      <c r="AW446" s="1860">
        <f t="shared" si="270"/>
        <v>0</v>
      </c>
      <c r="AX446" s="1860">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60">
        <f t="shared" si="269"/>
        <v>0</v>
      </c>
      <c r="AW447" s="1860">
        <f t="shared" si="270"/>
        <v>0</v>
      </c>
      <c r="AX447" s="1860">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60">
        <f t="shared" si="269"/>
        <v>0</v>
      </c>
      <c r="AW448" s="1860">
        <f t="shared" si="270"/>
        <v>0</v>
      </c>
      <c r="AX448" s="1860">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60">
        <f t="shared" si="269"/>
        <v>0</v>
      </c>
      <c r="AW449" s="1860">
        <f t="shared" si="270"/>
        <v>0</v>
      </c>
      <c r="AX449" s="1860">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60">
        <f t="shared" si="269"/>
        <v>0</v>
      </c>
      <c r="AW450" s="1860">
        <f t="shared" si="270"/>
        <v>0</v>
      </c>
      <c r="AX450" s="1860">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60">
        <f t="shared" si="269"/>
        <v>0</v>
      </c>
      <c r="AW451" s="1860">
        <f t="shared" si="270"/>
        <v>0</v>
      </c>
      <c r="AX451" s="1860">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60">
        <f t="shared" si="269"/>
        <v>0</v>
      </c>
      <c r="AW452" s="1860">
        <f t="shared" si="270"/>
        <v>0</v>
      </c>
      <c r="AX452" s="1860">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60">
        <f t="shared" si="269"/>
        <v>0</v>
      </c>
      <c r="AW453" s="1860">
        <f t="shared" si="270"/>
        <v>0</v>
      </c>
      <c r="AX453" s="1860">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60">
        <f t="shared" si="269"/>
        <v>0</v>
      </c>
      <c r="AW454" s="1860">
        <f t="shared" si="270"/>
        <v>0</v>
      </c>
      <c r="AX454" s="1860">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60">
        <f t="shared" si="269"/>
        <v>0</v>
      </c>
      <c r="AW455" s="1860">
        <f t="shared" si="270"/>
        <v>0</v>
      </c>
      <c r="AX455" s="1860">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60">
        <f t="shared" si="269"/>
        <v>0</v>
      </c>
      <c r="AW456" s="1860">
        <f t="shared" si="270"/>
        <v>0</v>
      </c>
      <c r="AX456" s="1860">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60">
        <f t="shared" si="269"/>
        <v>0</v>
      </c>
      <c r="AW457" s="1860">
        <f t="shared" si="270"/>
        <v>0</v>
      </c>
      <c r="AX457" s="1860">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60">
        <f t="shared" si="269"/>
        <v>0</v>
      </c>
      <c r="AW458" s="1860">
        <f t="shared" si="270"/>
        <v>0</v>
      </c>
      <c r="AX458" s="1860">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60">
        <f t="shared" si="269"/>
        <v>0</v>
      </c>
      <c r="AW459" s="1860">
        <f t="shared" si="270"/>
        <v>0</v>
      </c>
      <c r="AX459" s="1860">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60">
        <f t="shared" si="269"/>
        <v>0</v>
      </c>
      <c r="AW460" s="1860">
        <f t="shared" si="270"/>
        <v>0</v>
      </c>
      <c r="AX460" s="1860">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60">
        <f t="shared" si="269"/>
        <v>0</v>
      </c>
      <c r="AW461" s="1860">
        <f t="shared" si="270"/>
        <v>0</v>
      </c>
      <c r="AX461" s="1860">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60">
        <f t="shared" si="269"/>
        <v>0</v>
      </c>
      <c r="AW462" s="1860">
        <f t="shared" si="270"/>
        <v>0</v>
      </c>
      <c r="AX462" s="1860">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60">
        <f t="shared" si="269"/>
        <v>0</v>
      </c>
      <c r="AW463" s="1860">
        <f t="shared" si="270"/>
        <v>0</v>
      </c>
      <c r="AX463" s="1860">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60">
        <f t="shared" si="269"/>
        <v>0</v>
      </c>
      <c r="AW464" s="1860">
        <f t="shared" si="270"/>
        <v>0</v>
      </c>
      <c r="AX464" s="1860">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60">
        <f t="shared" si="269"/>
        <v>0</v>
      </c>
      <c r="AW465" s="1860">
        <f t="shared" si="270"/>
        <v>0</v>
      </c>
      <c r="AX465" s="1860">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60">
        <f t="shared" si="269"/>
        <v>0</v>
      </c>
      <c r="AW466" s="1860">
        <f t="shared" si="270"/>
        <v>0</v>
      </c>
      <c r="AX466" s="1860">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60">
        <f t="shared" si="269"/>
        <v>0</v>
      </c>
      <c r="AW467" s="1860">
        <f t="shared" si="270"/>
        <v>0</v>
      </c>
      <c r="AX467" s="1860">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60">
        <f t="shared" si="269"/>
        <v>0</v>
      </c>
      <c r="AW468" s="1860">
        <f t="shared" si="270"/>
        <v>0</v>
      </c>
      <c r="AX468" s="1860">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60">
        <f t="shared" si="269"/>
        <v>0</v>
      </c>
      <c r="AW469" s="1860">
        <f t="shared" si="270"/>
        <v>0</v>
      </c>
      <c r="AX469" s="1860">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60">
        <f t="shared" si="269"/>
        <v>0</v>
      </c>
      <c r="AW470" s="1860">
        <f t="shared" si="270"/>
        <v>0</v>
      </c>
      <c r="AX470" s="1860">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60">
        <f t="shared" si="269"/>
        <v>0</v>
      </c>
      <c r="AW471" s="1860">
        <f t="shared" si="270"/>
        <v>0</v>
      </c>
      <c r="AX471" s="1860">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60">
        <f t="shared" si="269"/>
        <v>0</v>
      </c>
      <c r="AW472" s="1860">
        <f t="shared" si="270"/>
        <v>0</v>
      </c>
      <c r="AX472" s="1860">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60">
        <f t="shared" si="269"/>
        <v>0</v>
      </c>
      <c r="AW473" s="1860">
        <f t="shared" si="270"/>
        <v>0</v>
      </c>
      <c r="AX473" s="1860">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60">
        <f t="shared" si="269"/>
        <v>0</v>
      </c>
      <c r="AW474" s="1860">
        <f t="shared" si="270"/>
        <v>0</v>
      </c>
      <c r="AX474" s="1860">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60">
        <f t="shared" si="269"/>
        <v>0</v>
      </c>
      <c r="AW475" s="1860">
        <f t="shared" si="270"/>
        <v>0</v>
      </c>
      <c r="AX475" s="1860">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60">
        <f t="shared" si="269"/>
        <v>0</v>
      </c>
      <c r="AW476" s="1860">
        <f t="shared" si="270"/>
        <v>0</v>
      </c>
      <c r="AX476" s="1860">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60">
        <f t="shared" si="269"/>
        <v>0</v>
      </c>
      <c r="AW477" s="1860">
        <f t="shared" si="270"/>
        <v>0</v>
      </c>
      <c r="AX477" s="1860">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60">
        <f t="shared" si="269"/>
        <v>0</v>
      </c>
      <c r="AW478" s="1860">
        <f t="shared" si="270"/>
        <v>0</v>
      </c>
      <c r="AX478" s="1860">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60">
        <f t="shared" si="269"/>
        <v>0</v>
      </c>
      <c r="AW479" s="1860">
        <f t="shared" si="270"/>
        <v>0</v>
      </c>
      <c r="AX479" s="1860">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60">
        <f t="shared" si="269"/>
        <v>0</v>
      </c>
      <c r="AW480" s="1860">
        <f t="shared" si="270"/>
        <v>0</v>
      </c>
      <c r="AX480" s="1860">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281"/>
      <c r="C481" s="1282"/>
      <c r="D481" s="79"/>
      <c r="E481" s="86">
        <f t="shared" ref="E481:E504" si="319">IF($C$3="是",ROUND($A$3*G481/$B$3,2),ROUND($A$3*(G481-AT481)/$B$3,2))</f>
        <v>0</v>
      </c>
      <c r="F481" s="87"/>
      <c r="G481" s="88">
        <f t="shared" si="294"/>
        <v>0</v>
      </c>
      <c r="H481" s="89">
        <f t="shared" si="295"/>
        <v>0</v>
      </c>
      <c r="I481" s="1284"/>
      <c r="J481" s="90"/>
      <c r="K481" s="1284"/>
      <c r="L481" s="90"/>
      <c r="M481" s="90"/>
      <c r="N481" s="90"/>
      <c r="O481" s="90"/>
      <c r="P481" s="90"/>
      <c r="Q481" s="90"/>
      <c r="R481" s="90"/>
      <c r="S481" s="90"/>
      <c r="T481" s="90"/>
      <c r="U481" s="90"/>
      <c r="V481" s="90"/>
      <c r="W481" s="90"/>
      <c r="X481" s="90"/>
      <c r="Y481" s="90"/>
      <c r="Z481" s="90"/>
      <c r="AA481" s="90"/>
      <c r="AB481" s="90"/>
      <c r="AC481" s="86">
        <f t="shared" si="296"/>
        <v>0</v>
      </c>
      <c r="AD481" s="91"/>
      <c r="AE481" s="91"/>
      <c r="AF481" s="1285"/>
      <c r="AG481" s="91"/>
      <c r="AH481" s="91"/>
      <c r="AI481" s="91"/>
      <c r="AJ481" s="91"/>
      <c r="AK481" s="91"/>
      <c r="AL481" s="91"/>
      <c r="AM481" s="91"/>
      <c r="AN481" s="1252"/>
      <c r="AO481" s="91"/>
      <c r="AP481" s="91"/>
      <c r="AQ481" s="91"/>
      <c r="AR481" s="91"/>
      <c r="AS481" s="91"/>
      <c r="AT481" s="92"/>
      <c r="AU481" s="93"/>
      <c r="AV481" s="890">
        <f t="shared" ref="AV481:AV505" si="320">A481</f>
        <v>0</v>
      </c>
      <c r="AW481" s="890">
        <f t="shared" ref="AW481:AW505" si="321">B481</f>
        <v>0</v>
      </c>
      <c r="AX481" s="890">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281"/>
      <c r="C482" s="1282"/>
      <c r="D482" s="79"/>
      <c r="E482" s="86">
        <f t="shared" si="319"/>
        <v>0</v>
      </c>
      <c r="F482" s="87"/>
      <c r="G482" s="88">
        <f t="shared" si="294"/>
        <v>0</v>
      </c>
      <c r="H482" s="89">
        <f t="shared" si="295"/>
        <v>0</v>
      </c>
      <c r="I482" s="1284"/>
      <c r="J482" s="90"/>
      <c r="K482" s="1284"/>
      <c r="L482" s="90"/>
      <c r="M482" s="1252"/>
      <c r="N482" s="90"/>
      <c r="O482" s="90"/>
      <c r="P482" s="90"/>
      <c r="Q482" s="90"/>
      <c r="R482" s="90"/>
      <c r="S482" s="90"/>
      <c r="T482" s="90"/>
      <c r="U482" s="90"/>
      <c r="V482" s="90"/>
      <c r="W482" s="90"/>
      <c r="X482" s="90"/>
      <c r="Y482" s="90"/>
      <c r="Z482" s="90"/>
      <c r="AA482" s="90"/>
      <c r="AB482" s="90"/>
      <c r="AC482" s="86">
        <f t="shared" si="296"/>
        <v>0</v>
      </c>
      <c r="AD482" s="1252"/>
      <c r="AE482" s="91"/>
      <c r="AF482" s="1285"/>
      <c r="AG482" s="91"/>
      <c r="AH482" s="91"/>
      <c r="AI482" s="91"/>
      <c r="AJ482" s="91"/>
      <c r="AK482" s="91"/>
      <c r="AL482" s="1252"/>
      <c r="AM482" s="91"/>
      <c r="AN482" s="1252"/>
      <c r="AO482" s="91"/>
      <c r="AP482" s="91"/>
      <c r="AQ482" s="91"/>
      <c r="AR482" s="91"/>
      <c r="AS482" s="91"/>
      <c r="AT482" s="92"/>
      <c r="AU482" s="93"/>
      <c r="AV482" s="890">
        <f t="shared" si="320"/>
        <v>0</v>
      </c>
      <c r="AW482" s="890">
        <f t="shared" si="321"/>
        <v>0</v>
      </c>
      <c r="AX482" s="890">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281"/>
      <c r="C483" s="1282"/>
      <c r="D483" s="79"/>
      <c r="E483" s="86">
        <f t="shared" si="319"/>
        <v>0</v>
      </c>
      <c r="F483" s="87"/>
      <c r="G483" s="88">
        <f t="shared" si="294"/>
        <v>0</v>
      </c>
      <c r="H483" s="89">
        <f t="shared" si="295"/>
        <v>0</v>
      </c>
      <c r="I483" s="1284"/>
      <c r="J483" s="90"/>
      <c r="K483" s="1284"/>
      <c r="L483" s="90"/>
      <c r="M483" s="1252"/>
      <c r="N483" s="90"/>
      <c r="O483" s="90"/>
      <c r="P483" s="90"/>
      <c r="Q483" s="90"/>
      <c r="R483" s="90"/>
      <c r="S483" s="90"/>
      <c r="T483" s="90"/>
      <c r="U483" s="90"/>
      <c r="V483" s="90"/>
      <c r="W483" s="90"/>
      <c r="X483" s="90"/>
      <c r="Y483" s="90"/>
      <c r="Z483" s="90"/>
      <c r="AA483" s="90"/>
      <c r="AB483" s="90"/>
      <c r="AC483" s="86">
        <f t="shared" si="296"/>
        <v>0</v>
      </c>
      <c r="AD483" s="91"/>
      <c r="AE483" s="91"/>
      <c r="AF483" s="1285"/>
      <c r="AG483" s="91"/>
      <c r="AH483" s="91"/>
      <c r="AI483" s="91"/>
      <c r="AJ483" s="91"/>
      <c r="AK483" s="91"/>
      <c r="AL483" s="1252"/>
      <c r="AM483" s="91"/>
      <c r="AN483" s="1252"/>
      <c r="AO483" s="91"/>
      <c r="AP483" s="91"/>
      <c r="AQ483" s="91"/>
      <c r="AR483" s="91"/>
      <c r="AS483" s="91"/>
      <c r="AT483" s="92"/>
      <c r="AU483" s="93"/>
      <c r="AV483" s="890">
        <f t="shared" si="320"/>
        <v>0</v>
      </c>
      <c r="AW483" s="890">
        <f t="shared" si="321"/>
        <v>0</v>
      </c>
      <c r="AX483" s="890">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281"/>
      <c r="C484" s="1282"/>
      <c r="D484" s="79"/>
      <c r="E484" s="86">
        <f t="shared" si="319"/>
        <v>0</v>
      </c>
      <c r="F484" s="87"/>
      <c r="G484" s="88">
        <f t="shared" si="294"/>
        <v>0</v>
      </c>
      <c r="H484" s="89">
        <f t="shared" si="295"/>
        <v>0</v>
      </c>
      <c r="I484" s="1284"/>
      <c r="J484" s="90"/>
      <c r="K484" s="1284"/>
      <c r="L484" s="90"/>
      <c r="M484" s="90"/>
      <c r="N484" s="90"/>
      <c r="O484" s="1252"/>
      <c r="P484" s="90"/>
      <c r="Q484" s="90"/>
      <c r="R484" s="90"/>
      <c r="S484" s="90"/>
      <c r="T484" s="90"/>
      <c r="U484" s="90"/>
      <c r="V484" s="90"/>
      <c r="W484" s="90"/>
      <c r="X484" s="90"/>
      <c r="Y484" s="90"/>
      <c r="Z484" s="90"/>
      <c r="AA484" s="90"/>
      <c r="AB484" s="90"/>
      <c r="AC484" s="86">
        <f t="shared" si="296"/>
        <v>0</v>
      </c>
      <c r="AD484" s="91"/>
      <c r="AE484" s="91"/>
      <c r="AF484" s="1285"/>
      <c r="AG484" s="91"/>
      <c r="AH484" s="91"/>
      <c r="AI484" s="91"/>
      <c r="AJ484" s="91"/>
      <c r="AK484" s="91"/>
      <c r="AL484" s="91"/>
      <c r="AM484" s="91"/>
      <c r="AN484" s="1252"/>
      <c r="AO484" s="91"/>
      <c r="AP484" s="91"/>
      <c r="AQ484" s="91"/>
      <c r="AR484" s="91"/>
      <c r="AS484" s="91"/>
      <c r="AT484" s="92"/>
      <c r="AU484" s="93"/>
      <c r="AV484" s="890">
        <f t="shared" si="320"/>
        <v>0</v>
      </c>
      <c r="AW484" s="890">
        <f t="shared" si="321"/>
        <v>0</v>
      </c>
      <c r="AX484" s="890">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281"/>
      <c r="C485" s="1282"/>
      <c r="D485" s="79"/>
      <c r="E485" s="86">
        <f t="shared" si="319"/>
        <v>0</v>
      </c>
      <c r="F485" s="87"/>
      <c r="G485" s="88">
        <f t="shared" si="294"/>
        <v>0</v>
      </c>
      <c r="H485" s="89">
        <f t="shared" si="295"/>
        <v>0</v>
      </c>
      <c r="I485" s="1284"/>
      <c r="J485" s="90"/>
      <c r="K485" s="1284"/>
      <c r="L485" s="90"/>
      <c r="M485" s="90"/>
      <c r="N485" s="90"/>
      <c r="O485" s="90"/>
      <c r="P485" s="90"/>
      <c r="Q485" s="90"/>
      <c r="R485" s="90"/>
      <c r="S485" s="90"/>
      <c r="T485" s="90"/>
      <c r="U485" s="90"/>
      <c r="V485" s="90"/>
      <c r="W485" s="90"/>
      <c r="X485" s="90"/>
      <c r="Y485" s="90"/>
      <c r="Z485" s="90"/>
      <c r="AA485" s="90"/>
      <c r="AB485" s="90"/>
      <c r="AC485" s="86">
        <f t="shared" si="296"/>
        <v>0</v>
      </c>
      <c r="AD485" s="91"/>
      <c r="AE485" s="91"/>
      <c r="AF485" s="1285"/>
      <c r="AG485" s="91"/>
      <c r="AH485" s="91"/>
      <c r="AI485" s="91"/>
      <c r="AJ485" s="91"/>
      <c r="AK485" s="91"/>
      <c r="AL485" s="91"/>
      <c r="AM485" s="91"/>
      <c r="AN485" s="91"/>
      <c r="AO485" s="91"/>
      <c r="AP485" s="91"/>
      <c r="AQ485" s="91"/>
      <c r="AR485" s="91"/>
      <c r="AS485" s="91"/>
      <c r="AT485" s="92"/>
      <c r="AU485" s="93"/>
      <c r="AV485" s="890">
        <f t="shared" si="320"/>
        <v>0</v>
      </c>
      <c r="AW485" s="890">
        <f t="shared" si="321"/>
        <v>0</v>
      </c>
      <c r="AX485" s="890">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281"/>
      <c r="C486" s="1282"/>
      <c r="D486" s="79"/>
      <c r="E486" s="86">
        <f t="shared" si="319"/>
        <v>0</v>
      </c>
      <c r="F486" s="87"/>
      <c r="G486" s="88">
        <f t="shared" si="294"/>
        <v>0</v>
      </c>
      <c r="H486" s="89">
        <f t="shared" si="295"/>
        <v>0</v>
      </c>
      <c r="I486" s="1284"/>
      <c r="J486" s="90"/>
      <c r="K486" s="1284"/>
      <c r="L486" s="90"/>
      <c r="M486" s="90"/>
      <c r="N486" s="90"/>
      <c r="O486" s="90"/>
      <c r="P486" s="90"/>
      <c r="Q486" s="90"/>
      <c r="R486" s="90"/>
      <c r="S486" s="90"/>
      <c r="T486" s="90"/>
      <c r="U486" s="90"/>
      <c r="V486" s="90"/>
      <c r="W486" s="90"/>
      <c r="X486" s="90"/>
      <c r="Y486" s="90"/>
      <c r="Z486" s="90"/>
      <c r="AA486" s="90"/>
      <c r="AB486" s="90"/>
      <c r="AC486" s="86">
        <f t="shared" si="296"/>
        <v>0</v>
      </c>
      <c r="AD486" s="91"/>
      <c r="AE486" s="91"/>
      <c r="AF486" s="1285"/>
      <c r="AG486" s="91"/>
      <c r="AH486" s="91"/>
      <c r="AI486" s="91"/>
      <c r="AJ486" s="91"/>
      <c r="AK486" s="91"/>
      <c r="AL486" s="91"/>
      <c r="AM486" s="91"/>
      <c r="AN486" s="91"/>
      <c r="AO486" s="91"/>
      <c r="AP486" s="91"/>
      <c r="AQ486" s="91"/>
      <c r="AR486" s="91"/>
      <c r="AS486" s="91"/>
      <c r="AT486" s="92"/>
      <c r="AU486" s="93"/>
      <c r="AV486" s="890">
        <f t="shared" si="320"/>
        <v>0</v>
      </c>
      <c r="AW486" s="890">
        <f t="shared" si="321"/>
        <v>0</v>
      </c>
      <c r="AX486" s="890">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281"/>
      <c r="C487" s="1282"/>
      <c r="D487" s="79"/>
      <c r="E487" s="86">
        <f t="shared" si="319"/>
        <v>0</v>
      </c>
      <c r="F487" s="87"/>
      <c r="G487" s="88">
        <f t="shared" si="294"/>
        <v>0</v>
      </c>
      <c r="H487" s="89">
        <f t="shared" si="295"/>
        <v>0</v>
      </c>
      <c r="I487" s="1284"/>
      <c r="J487" s="90"/>
      <c r="K487" s="1284"/>
      <c r="L487" s="90"/>
      <c r="M487" s="90"/>
      <c r="N487" s="90"/>
      <c r="O487" s="90"/>
      <c r="P487" s="90"/>
      <c r="Q487" s="90"/>
      <c r="R487" s="90"/>
      <c r="S487" s="90"/>
      <c r="T487" s="90"/>
      <c r="U487" s="90"/>
      <c r="V487" s="90"/>
      <c r="W487" s="90"/>
      <c r="X487" s="90"/>
      <c r="Y487" s="90"/>
      <c r="Z487" s="90"/>
      <c r="AA487" s="90"/>
      <c r="AB487" s="90"/>
      <c r="AC487" s="86">
        <f t="shared" si="296"/>
        <v>0</v>
      </c>
      <c r="AD487" s="91"/>
      <c r="AE487" s="91"/>
      <c r="AF487" s="1285"/>
      <c r="AG487" s="91"/>
      <c r="AH487" s="91"/>
      <c r="AI487" s="91"/>
      <c r="AJ487" s="91"/>
      <c r="AK487" s="91"/>
      <c r="AL487" s="91"/>
      <c r="AM487" s="91"/>
      <c r="AN487" s="91"/>
      <c r="AO487" s="91"/>
      <c r="AP487" s="91"/>
      <c r="AQ487" s="91"/>
      <c r="AR487" s="91"/>
      <c r="AS487" s="91"/>
      <c r="AT487" s="92"/>
      <c r="AU487" s="93"/>
      <c r="AV487" s="890">
        <f t="shared" si="320"/>
        <v>0</v>
      </c>
      <c r="AW487" s="890">
        <f t="shared" si="321"/>
        <v>0</v>
      </c>
      <c r="AX487" s="890">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281"/>
      <c r="C488" s="1282"/>
      <c r="D488" s="79"/>
      <c r="E488" s="86">
        <f t="shared" si="319"/>
        <v>0</v>
      </c>
      <c r="F488" s="87"/>
      <c r="G488" s="88">
        <f t="shared" si="294"/>
        <v>0</v>
      </c>
      <c r="H488" s="89">
        <f t="shared" si="295"/>
        <v>0</v>
      </c>
      <c r="I488" s="1284"/>
      <c r="J488" s="90"/>
      <c r="K488" s="1284"/>
      <c r="L488" s="90"/>
      <c r="M488" s="90"/>
      <c r="N488" s="90"/>
      <c r="O488" s="90"/>
      <c r="P488" s="90"/>
      <c r="Q488" s="90"/>
      <c r="R488" s="90"/>
      <c r="S488" s="90"/>
      <c r="T488" s="90"/>
      <c r="U488" s="90"/>
      <c r="V488" s="90"/>
      <c r="W488" s="90"/>
      <c r="X488" s="90"/>
      <c r="Y488" s="90"/>
      <c r="Z488" s="90"/>
      <c r="AA488" s="90"/>
      <c r="AB488" s="90"/>
      <c r="AC488" s="86">
        <f t="shared" si="296"/>
        <v>0</v>
      </c>
      <c r="AD488" s="91"/>
      <c r="AE488" s="91"/>
      <c r="AF488" s="1284"/>
      <c r="AG488" s="91"/>
      <c r="AH488" s="91"/>
      <c r="AI488" s="91"/>
      <c r="AJ488" s="91"/>
      <c r="AK488" s="91"/>
      <c r="AL488" s="91"/>
      <c r="AM488" s="91"/>
      <c r="AN488" s="91"/>
      <c r="AO488" s="91"/>
      <c r="AP488" s="91"/>
      <c r="AQ488" s="91"/>
      <c r="AR488" s="91"/>
      <c r="AS488" s="91"/>
      <c r="AT488" s="92"/>
      <c r="AU488" s="93"/>
      <c r="AV488" s="890">
        <f t="shared" si="320"/>
        <v>0</v>
      </c>
      <c r="AW488" s="890">
        <f t="shared" si="321"/>
        <v>0</v>
      </c>
      <c r="AX488" s="890">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283"/>
      <c r="C489" s="1284"/>
      <c r="D489" s="79"/>
      <c r="E489" s="86">
        <f t="shared" si="319"/>
        <v>0</v>
      </c>
      <c r="F489" s="87"/>
      <c r="G489" s="88">
        <f t="shared" si="294"/>
        <v>0</v>
      </c>
      <c r="H489" s="89">
        <f t="shared" si="295"/>
        <v>0</v>
      </c>
      <c r="I489" s="1284"/>
      <c r="J489" s="90"/>
      <c r="K489" s="1284"/>
      <c r="L489" s="90"/>
      <c r="M489" s="90"/>
      <c r="N489" s="90"/>
      <c r="O489" s="90"/>
      <c r="P489" s="90"/>
      <c r="Q489" s="90"/>
      <c r="R489" s="90"/>
      <c r="S489" s="90"/>
      <c r="T489" s="90"/>
      <c r="U489" s="90"/>
      <c r="V489" s="90"/>
      <c r="W489" s="90"/>
      <c r="X489" s="90"/>
      <c r="Y489" s="90"/>
      <c r="Z489" s="90"/>
      <c r="AA489" s="90"/>
      <c r="AB489" s="90"/>
      <c r="AC489" s="86">
        <f t="shared" si="296"/>
        <v>0</v>
      </c>
      <c r="AD489" s="91"/>
      <c r="AE489" s="91"/>
      <c r="AF489" s="1284"/>
      <c r="AG489" s="91"/>
      <c r="AH489" s="91"/>
      <c r="AI489" s="91"/>
      <c r="AJ489" s="91"/>
      <c r="AK489" s="91"/>
      <c r="AL489" s="91"/>
      <c r="AM489" s="91"/>
      <c r="AN489" s="91"/>
      <c r="AO489" s="91"/>
      <c r="AP489" s="91"/>
      <c r="AQ489" s="91"/>
      <c r="AR489" s="91"/>
      <c r="AS489" s="91"/>
      <c r="AT489" s="92"/>
      <c r="AU489" s="93"/>
      <c r="AV489" s="890">
        <f t="shared" si="320"/>
        <v>0</v>
      </c>
      <c r="AW489" s="890">
        <f t="shared" si="321"/>
        <v>0</v>
      </c>
      <c r="AX489" s="890">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281"/>
      <c r="C490" s="1282"/>
      <c r="D490" s="79"/>
      <c r="E490" s="86">
        <f t="shared" si="319"/>
        <v>0</v>
      </c>
      <c r="F490" s="87"/>
      <c r="G490" s="88">
        <f t="shared" si="294"/>
        <v>0</v>
      </c>
      <c r="H490" s="89">
        <f t="shared" si="295"/>
        <v>0</v>
      </c>
      <c r="I490" s="1284"/>
      <c r="J490" s="90"/>
      <c r="K490" s="1284"/>
      <c r="L490" s="90"/>
      <c r="M490" s="90"/>
      <c r="N490" s="90"/>
      <c r="O490" s="90"/>
      <c r="P490" s="90"/>
      <c r="Q490" s="90"/>
      <c r="R490" s="90"/>
      <c r="S490" s="90"/>
      <c r="T490" s="90"/>
      <c r="U490" s="90"/>
      <c r="V490" s="90"/>
      <c r="W490" s="90"/>
      <c r="X490" s="90"/>
      <c r="Y490" s="90"/>
      <c r="Z490" s="90"/>
      <c r="AA490" s="90"/>
      <c r="AB490" s="90"/>
      <c r="AC490" s="86">
        <f t="shared" si="296"/>
        <v>0</v>
      </c>
      <c r="AD490" s="91"/>
      <c r="AE490" s="91"/>
      <c r="AF490" s="1284"/>
      <c r="AG490" s="91"/>
      <c r="AH490" s="91"/>
      <c r="AI490" s="91"/>
      <c r="AJ490" s="91"/>
      <c r="AK490" s="91"/>
      <c r="AL490" s="91"/>
      <c r="AM490" s="91"/>
      <c r="AN490" s="91"/>
      <c r="AO490" s="91"/>
      <c r="AP490" s="91"/>
      <c r="AQ490" s="91"/>
      <c r="AR490" s="91"/>
      <c r="AS490" s="91"/>
      <c r="AT490" s="92"/>
      <c r="AU490" s="93"/>
      <c r="AV490" s="890">
        <f t="shared" si="320"/>
        <v>0</v>
      </c>
      <c r="AW490" s="890">
        <f t="shared" si="321"/>
        <v>0</v>
      </c>
      <c r="AX490" s="890">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281"/>
      <c r="C491" s="1282"/>
      <c r="D491" s="79"/>
      <c r="E491" s="86">
        <f t="shared" si="319"/>
        <v>0</v>
      </c>
      <c r="F491" s="87"/>
      <c r="G491" s="88">
        <f t="shared" si="294"/>
        <v>0</v>
      </c>
      <c r="H491" s="89">
        <f t="shared" si="295"/>
        <v>0</v>
      </c>
      <c r="I491" s="1284"/>
      <c r="J491" s="90"/>
      <c r="K491" s="1284"/>
      <c r="L491" s="90"/>
      <c r="M491" s="90"/>
      <c r="N491" s="90"/>
      <c r="O491" s="90"/>
      <c r="P491" s="90"/>
      <c r="Q491" s="90"/>
      <c r="R491" s="90"/>
      <c r="S491" s="90"/>
      <c r="T491" s="90"/>
      <c r="U491" s="90"/>
      <c r="V491" s="90"/>
      <c r="W491" s="90"/>
      <c r="X491" s="90"/>
      <c r="Y491" s="90"/>
      <c r="Z491" s="90"/>
      <c r="AA491" s="90"/>
      <c r="AB491" s="90"/>
      <c r="AC491" s="86">
        <f t="shared" si="296"/>
        <v>0</v>
      </c>
      <c r="AD491" s="91"/>
      <c r="AE491" s="91"/>
      <c r="AF491" s="1284"/>
      <c r="AG491" s="91"/>
      <c r="AH491" s="91"/>
      <c r="AI491" s="91"/>
      <c r="AJ491" s="91"/>
      <c r="AK491" s="91"/>
      <c r="AL491" s="91"/>
      <c r="AM491" s="91"/>
      <c r="AN491" s="91"/>
      <c r="AO491" s="91"/>
      <c r="AP491" s="91"/>
      <c r="AQ491" s="91"/>
      <c r="AR491" s="91"/>
      <c r="AS491" s="91"/>
      <c r="AT491" s="92"/>
      <c r="AU491" s="93"/>
      <c r="AV491" s="890">
        <f t="shared" si="320"/>
        <v>0</v>
      </c>
      <c r="AW491" s="890">
        <f t="shared" si="321"/>
        <v>0</v>
      </c>
      <c r="AX491" s="890">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281"/>
      <c r="C492" s="1282"/>
      <c r="D492" s="79"/>
      <c r="E492" s="86">
        <f t="shared" si="319"/>
        <v>0</v>
      </c>
      <c r="F492" s="87"/>
      <c r="G492" s="88">
        <f t="shared" si="294"/>
        <v>0</v>
      </c>
      <c r="H492" s="89">
        <f t="shared" si="295"/>
        <v>0</v>
      </c>
      <c r="I492" s="1284"/>
      <c r="J492" s="90"/>
      <c r="K492" s="1284"/>
      <c r="L492" s="90"/>
      <c r="M492" s="90"/>
      <c r="N492" s="90"/>
      <c r="O492" s="90"/>
      <c r="P492" s="90"/>
      <c r="Q492" s="90"/>
      <c r="R492" s="90"/>
      <c r="S492" s="90"/>
      <c r="T492" s="90"/>
      <c r="U492" s="90"/>
      <c r="V492" s="90"/>
      <c r="W492" s="90"/>
      <c r="X492" s="90"/>
      <c r="Y492" s="90"/>
      <c r="Z492" s="90"/>
      <c r="AA492" s="90"/>
      <c r="AB492" s="90"/>
      <c r="AC492" s="86">
        <f t="shared" si="296"/>
        <v>0</v>
      </c>
      <c r="AD492" s="91"/>
      <c r="AE492" s="91"/>
      <c r="AF492" s="1284"/>
      <c r="AG492" s="91"/>
      <c r="AH492" s="91"/>
      <c r="AI492" s="91"/>
      <c r="AJ492" s="91"/>
      <c r="AK492" s="91"/>
      <c r="AL492" s="91"/>
      <c r="AM492" s="91"/>
      <c r="AN492" s="91"/>
      <c r="AO492" s="91"/>
      <c r="AP492" s="91"/>
      <c r="AQ492" s="91"/>
      <c r="AR492" s="91"/>
      <c r="AS492" s="91"/>
      <c r="AT492" s="92"/>
      <c r="AU492" s="93"/>
      <c r="AV492" s="890">
        <f t="shared" si="320"/>
        <v>0</v>
      </c>
      <c r="AW492" s="890">
        <f t="shared" si="321"/>
        <v>0</v>
      </c>
      <c r="AX492" s="890">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281"/>
      <c r="C493" s="1282"/>
      <c r="D493" s="79"/>
      <c r="E493" s="86">
        <f t="shared" si="319"/>
        <v>0</v>
      </c>
      <c r="F493" s="87"/>
      <c r="G493" s="88">
        <f t="shared" si="294"/>
        <v>0</v>
      </c>
      <c r="H493" s="89">
        <f t="shared" si="295"/>
        <v>0</v>
      </c>
      <c r="I493" s="1284"/>
      <c r="J493" s="90"/>
      <c r="K493" s="1284"/>
      <c r="L493" s="90"/>
      <c r="M493" s="90"/>
      <c r="N493" s="90"/>
      <c r="O493" s="90"/>
      <c r="P493" s="90"/>
      <c r="Q493" s="90"/>
      <c r="R493" s="90"/>
      <c r="S493" s="90"/>
      <c r="T493" s="90"/>
      <c r="U493" s="90"/>
      <c r="V493" s="90"/>
      <c r="W493" s="90"/>
      <c r="X493" s="90"/>
      <c r="Y493" s="90"/>
      <c r="Z493" s="90"/>
      <c r="AA493" s="90"/>
      <c r="AB493" s="90"/>
      <c r="AC493" s="86">
        <f t="shared" si="296"/>
        <v>0</v>
      </c>
      <c r="AD493" s="91"/>
      <c r="AE493" s="91"/>
      <c r="AF493" s="1284"/>
      <c r="AG493" s="91"/>
      <c r="AH493" s="91"/>
      <c r="AI493" s="91"/>
      <c r="AJ493" s="91"/>
      <c r="AK493" s="91"/>
      <c r="AL493" s="91"/>
      <c r="AM493" s="91"/>
      <c r="AN493" s="91"/>
      <c r="AO493" s="91"/>
      <c r="AP493" s="91"/>
      <c r="AQ493" s="91"/>
      <c r="AR493" s="91"/>
      <c r="AS493" s="91"/>
      <c r="AT493" s="92"/>
      <c r="AU493" s="93"/>
      <c r="AV493" s="890">
        <f t="shared" si="320"/>
        <v>0</v>
      </c>
      <c r="AW493" s="890">
        <f t="shared" si="321"/>
        <v>0</v>
      </c>
      <c r="AX493" s="890">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281"/>
      <c r="C494" s="1282"/>
      <c r="D494" s="79"/>
      <c r="E494" s="86">
        <f t="shared" si="319"/>
        <v>0</v>
      </c>
      <c r="F494" s="87"/>
      <c r="G494" s="88">
        <f t="shared" si="294"/>
        <v>0</v>
      </c>
      <c r="H494" s="89">
        <f t="shared" si="295"/>
        <v>0</v>
      </c>
      <c r="I494" s="1284"/>
      <c r="J494" s="90"/>
      <c r="K494" s="1284"/>
      <c r="L494" s="90"/>
      <c r="M494" s="90"/>
      <c r="N494" s="90"/>
      <c r="O494" s="90"/>
      <c r="P494" s="90"/>
      <c r="Q494" s="90"/>
      <c r="R494" s="90"/>
      <c r="S494" s="90"/>
      <c r="T494" s="90"/>
      <c r="U494" s="90"/>
      <c r="V494" s="90"/>
      <c r="W494" s="90"/>
      <c r="X494" s="90"/>
      <c r="Y494" s="90"/>
      <c r="Z494" s="90"/>
      <c r="AA494" s="90"/>
      <c r="AB494" s="90"/>
      <c r="AC494" s="86">
        <f t="shared" si="296"/>
        <v>0</v>
      </c>
      <c r="AD494" s="91"/>
      <c r="AE494" s="91"/>
      <c r="AF494" s="1284"/>
      <c r="AG494" s="91"/>
      <c r="AH494" s="91"/>
      <c r="AI494" s="91"/>
      <c r="AJ494" s="91"/>
      <c r="AK494" s="91"/>
      <c r="AL494" s="91"/>
      <c r="AM494" s="91"/>
      <c r="AN494" s="91"/>
      <c r="AO494" s="91"/>
      <c r="AP494" s="91"/>
      <c r="AQ494" s="91"/>
      <c r="AR494" s="91"/>
      <c r="AS494" s="91"/>
      <c r="AT494" s="92"/>
      <c r="AU494" s="93"/>
      <c r="AV494" s="890">
        <f t="shared" si="320"/>
        <v>0</v>
      </c>
      <c r="AW494" s="890">
        <f t="shared" si="321"/>
        <v>0</v>
      </c>
      <c r="AX494" s="890">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281"/>
      <c r="C495" s="1282"/>
      <c r="D495" s="79"/>
      <c r="E495" s="86">
        <f t="shared" si="319"/>
        <v>0</v>
      </c>
      <c r="F495" s="87"/>
      <c r="G495" s="88">
        <f t="shared" si="294"/>
        <v>0</v>
      </c>
      <c r="H495" s="89">
        <f t="shared" si="295"/>
        <v>0</v>
      </c>
      <c r="I495" s="1284"/>
      <c r="J495" s="90"/>
      <c r="K495" s="1284"/>
      <c r="L495" s="90"/>
      <c r="M495" s="90"/>
      <c r="N495" s="90"/>
      <c r="O495" s="90"/>
      <c r="P495" s="90"/>
      <c r="Q495" s="90"/>
      <c r="R495" s="90"/>
      <c r="S495" s="90"/>
      <c r="T495" s="90"/>
      <c r="U495" s="90"/>
      <c r="V495" s="90"/>
      <c r="W495" s="90"/>
      <c r="X495" s="90"/>
      <c r="Y495" s="90"/>
      <c r="Z495" s="90"/>
      <c r="AA495" s="90"/>
      <c r="AB495" s="90"/>
      <c r="AC495" s="86">
        <f t="shared" si="296"/>
        <v>0</v>
      </c>
      <c r="AD495" s="91"/>
      <c r="AE495" s="91"/>
      <c r="AF495" s="1284"/>
      <c r="AG495" s="91"/>
      <c r="AH495" s="91"/>
      <c r="AI495" s="91"/>
      <c r="AJ495" s="91"/>
      <c r="AK495" s="91"/>
      <c r="AL495" s="91"/>
      <c r="AM495" s="91"/>
      <c r="AN495" s="91"/>
      <c r="AO495" s="91"/>
      <c r="AP495" s="91"/>
      <c r="AQ495" s="91"/>
      <c r="AR495" s="91"/>
      <c r="AS495" s="91"/>
      <c r="AT495" s="92"/>
      <c r="AU495" s="93"/>
      <c r="AV495" s="890">
        <f t="shared" si="320"/>
        <v>0</v>
      </c>
      <c r="AW495" s="890">
        <f t="shared" si="321"/>
        <v>0</v>
      </c>
      <c r="AX495" s="890">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281"/>
      <c r="C496" s="1282"/>
      <c r="D496" s="79"/>
      <c r="E496" s="86">
        <f t="shared" si="319"/>
        <v>0</v>
      </c>
      <c r="F496" s="87"/>
      <c r="G496" s="88">
        <f t="shared" si="294"/>
        <v>0</v>
      </c>
      <c r="H496" s="89">
        <f t="shared" si="295"/>
        <v>0</v>
      </c>
      <c r="I496" s="1284"/>
      <c r="J496" s="90"/>
      <c r="K496" s="1284"/>
      <c r="L496" s="90"/>
      <c r="M496" s="90"/>
      <c r="N496" s="90"/>
      <c r="O496" s="90"/>
      <c r="P496" s="90"/>
      <c r="Q496" s="90"/>
      <c r="R496" s="90"/>
      <c r="S496" s="90"/>
      <c r="T496" s="90"/>
      <c r="U496" s="90"/>
      <c r="V496" s="90"/>
      <c r="W496" s="90"/>
      <c r="X496" s="90"/>
      <c r="Y496" s="90"/>
      <c r="Z496" s="90"/>
      <c r="AA496" s="90"/>
      <c r="AB496" s="90"/>
      <c r="AC496" s="86">
        <f t="shared" si="296"/>
        <v>0</v>
      </c>
      <c r="AD496" s="91"/>
      <c r="AE496" s="91"/>
      <c r="AF496" s="1284"/>
      <c r="AG496" s="91"/>
      <c r="AH496" s="91"/>
      <c r="AI496" s="91"/>
      <c r="AJ496" s="91"/>
      <c r="AK496" s="91"/>
      <c r="AL496" s="91"/>
      <c r="AM496" s="91"/>
      <c r="AN496" s="91"/>
      <c r="AO496" s="91"/>
      <c r="AP496" s="91"/>
      <c r="AQ496" s="91"/>
      <c r="AR496" s="91"/>
      <c r="AS496" s="91"/>
      <c r="AT496" s="92"/>
      <c r="AU496" s="93"/>
      <c r="AV496" s="890">
        <f t="shared" si="320"/>
        <v>0</v>
      </c>
      <c r="AW496" s="890">
        <f t="shared" si="321"/>
        <v>0</v>
      </c>
      <c r="AX496" s="890">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281"/>
      <c r="C497" s="1282"/>
      <c r="D497" s="79"/>
      <c r="E497" s="86">
        <f t="shared" si="319"/>
        <v>0</v>
      </c>
      <c r="F497" s="87"/>
      <c r="G497" s="88">
        <f t="shared" si="294"/>
        <v>0</v>
      </c>
      <c r="H497" s="89">
        <f t="shared" si="295"/>
        <v>0</v>
      </c>
      <c r="I497" s="1284"/>
      <c r="J497" s="90"/>
      <c r="K497" s="1284"/>
      <c r="L497" s="90"/>
      <c r="M497" s="90"/>
      <c r="N497" s="90"/>
      <c r="O497" s="90"/>
      <c r="P497" s="90"/>
      <c r="Q497" s="90"/>
      <c r="R497" s="90"/>
      <c r="S497" s="90"/>
      <c r="T497" s="90"/>
      <c r="U497" s="90"/>
      <c r="V497" s="90"/>
      <c r="W497" s="90"/>
      <c r="X497" s="90"/>
      <c r="Y497" s="90"/>
      <c r="Z497" s="90"/>
      <c r="AA497" s="90"/>
      <c r="AB497" s="90"/>
      <c r="AC497" s="86">
        <f t="shared" si="296"/>
        <v>0</v>
      </c>
      <c r="AD497" s="91"/>
      <c r="AE497" s="91"/>
      <c r="AF497" s="1284"/>
      <c r="AG497" s="91"/>
      <c r="AH497" s="91"/>
      <c r="AI497" s="91"/>
      <c r="AJ497" s="91"/>
      <c r="AK497" s="91"/>
      <c r="AL497" s="91"/>
      <c r="AM497" s="91"/>
      <c r="AN497" s="91"/>
      <c r="AO497" s="91"/>
      <c r="AP497" s="91"/>
      <c r="AQ497" s="91"/>
      <c r="AR497" s="91"/>
      <c r="AS497" s="91"/>
      <c r="AT497" s="92"/>
      <c r="AU497" s="93"/>
      <c r="AV497" s="890">
        <f t="shared" si="320"/>
        <v>0</v>
      </c>
      <c r="AW497" s="890">
        <f t="shared" si="321"/>
        <v>0</v>
      </c>
      <c r="AX497" s="890">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281"/>
      <c r="C498" s="1282"/>
      <c r="D498" s="79"/>
      <c r="E498" s="86">
        <f t="shared" si="319"/>
        <v>0</v>
      </c>
      <c r="F498" s="87"/>
      <c r="G498" s="88">
        <f t="shared" si="294"/>
        <v>0</v>
      </c>
      <c r="H498" s="89">
        <f t="shared" si="295"/>
        <v>0</v>
      </c>
      <c r="I498" s="1284"/>
      <c r="J498" s="90"/>
      <c r="K498" s="1284"/>
      <c r="L498" s="90"/>
      <c r="M498" s="90"/>
      <c r="N498" s="90"/>
      <c r="O498" s="90"/>
      <c r="P498" s="90"/>
      <c r="Q498" s="90"/>
      <c r="R498" s="90"/>
      <c r="S498" s="90"/>
      <c r="T498" s="90"/>
      <c r="U498" s="90"/>
      <c r="V498" s="90"/>
      <c r="W498" s="90"/>
      <c r="X498" s="90"/>
      <c r="Y498" s="90"/>
      <c r="Z498" s="90"/>
      <c r="AA498" s="90"/>
      <c r="AB498" s="90"/>
      <c r="AC498" s="86">
        <f t="shared" si="296"/>
        <v>0</v>
      </c>
      <c r="AD498" s="91"/>
      <c r="AE498" s="91"/>
      <c r="AF498" s="1284"/>
      <c r="AG498" s="91"/>
      <c r="AH498" s="91"/>
      <c r="AI498" s="91"/>
      <c r="AJ498" s="91"/>
      <c r="AK498" s="91"/>
      <c r="AL498" s="91"/>
      <c r="AM498" s="91"/>
      <c r="AN498" s="91"/>
      <c r="AO498" s="91"/>
      <c r="AP498" s="91"/>
      <c r="AQ498" s="91"/>
      <c r="AR498" s="91"/>
      <c r="AS498" s="91"/>
      <c r="AT498" s="92"/>
      <c r="AU498" s="93"/>
      <c r="AV498" s="890">
        <f t="shared" si="320"/>
        <v>0</v>
      </c>
      <c r="AW498" s="890">
        <f t="shared" si="321"/>
        <v>0</v>
      </c>
      <c r="AX498" s="890">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281"/>
      <c r="C499" s="1282"/>
      <c r="D499" s="79"/>
      <c r="E499" s="86">
        <f t="shared" si="319"/>
        <v>0</v>
      </c>
      <c r="F499" s="87"/>
      <c r="G499" s="88">
        <f t="shared" si="294"/>
        <v>0</v>
      </c>
      <c r="H499" s="89">
        <f t="shared" si="295"/>
        <v>0</v>
      </c>
      <c r="I499" s="1284"/>
      <c r="J499" s="90"/>
      <c r="K499" s="1284"/>
      <c r="L499" s="90"/>
      <c r="M499" s="90"/>
      <c r="N499" s="90"/>
      <c r="O499" s="90"/>
      <c r="P499" s="90"/>
      <c r="Q499" s="90"/>
      <c r="R499" s="90"/>
      <c r="S499" s="90"/>
      <c r="T499" s="90"/>
      <c r="U499" s="90"/>
      <c r="V499" s="90"/>
      <c r="W499" s="90"/>
      <c r="X499" s="90"/>
      <c r="Y499" s="90"/>
      <c r="Z499" s="90"/>
      <c r="AA499" s="90"/>
      <c r="AB499" s="90"/>
      <c r="AC499" s="86">
        <f t="shared" si="296"/>
        <v>0</v>
      </c>
      <c r="AD499" s="91"/>
      <c r="AE499" s="91"/>
      <c r="AF499" s="1284"/>
      <c r="AG499" s="91"/>
      <c r="AH499" s="91"/>
      <c r="AI499" s="91"/>
      <c r="AJ499" s="91"/>
      <c r="AK499" s="91"/>
      <c r="AL499" s="91"/>
      <c r="AM499" s="91"/>
      <c r="AN499" s="91"/>
      <c r="AO499" s="91"/>
      <c r="AP499" s="91"/>
      <c r="AQ499" s="91"/>
      <c r="AR499" s="91"/>
      <c r="AS499" s="91"/>
      <c r="AT499" s="92"/>
      <c r="AU499" s="93"/>
      <c r="AV499" s="890">
        <f t="shared" si="320"/>
        <v>0</v>
      </c>
      <c r="AW499" s="890">
        <f t="shared" si="321"/>
        <v>0</v>
      </c>
      <c r="AX499" s="890">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281"/>
      <c r="C500" s="1282"/>
      <c r="D500" s="79"/>
      <c r="E500" s="86">
        <f t="shared" si="319"/>
        <v>0</v>
      </c>
      <c r="F500" s="87"/>
      <c r="G500" s="88">
        <f t="shared" si="294"/>
        <v>0</v>
      </c>
      <c r="H500" s="89">
        <f t="shared" si="295"/>
        <v>0</v>
      </c>
      <c r="I500" s="1284"/>
      <c r="J500" s="90"/>
      <c r="K500" s="1284"/>
      <c r="L500" s="90"/>
      <c r="M500" s="90"/>
      <c r="N500" s="90"/>
      <c r="O500" s="90"/>
      <c r="P500" s="90"/>
      <c r="Q500" s="90"/>
      <c r="R500" s="90"/>
      <c r="S500" s="90"/>
      <c r="T500" s="90"/>
      <c r="U500" s="90"/>
      <c r="V500" s="90"/>
      <c r="W500" s="90"/>
      <c r="X500" s="90"/>
      <c r="Y500" s="90"/>
      <c r="Z500" s="90"/>
      <c r="AA500" s="90"/>
      <c r="AB500" s="90"/>
      <c r="AC500" s="86">
        <f t="shared" si="296"/>
        <v>0</v>
      </c>
      <c r="AD500" s="91"/>
      <c r="AE500" s="91"/>
      <c r="AF500" s="1284"/>
      <c r="AG500" s="91"/>
      <c r="AH500" s="91"/>
      <c r="AI500" s="91"/>
      <c r="AJ500" s="91"/>
      <c r="AK500" s="91"/>
      <c r="AL500" s="91"/>
      <c r="AM500" s="91"/>
      <c r="AN500" s="91"/>
      <c r="AO500" s="91"/>
      <c r="AP500" s="91"/>
      <c r="AQ500" s="91"/>
      <c r="AR500" s="91"/>
      <c r="AS500" s="91"/>
      <c r="AT500" s="92"/>
      <c r="AU500" s="93"/>
      <c r="AV500" s="890">
        <f t="shared" si="320"/>
        <v>0</v>
      </c>
      <c r="AW500" s="890">
        <f t="shared" si="321"/>
        <v>0</v>
      </c>
      <c r="AX500" s="890">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281"/>
      <c r="C501" s="1282"/>
      <c r="D501" s="79"/>
      <c r="E501" s="86">
        <f t="shared" si="319"/>
        <v>0</v>
      </c>
      <c r="F501" s="87"/>
      <c r="G501" s="88">
        <f t="shared" si="294"/>
        <v>0</v>
      </c>
      <c r="H501" s="89">
        <f t="shared" si="295"/>
        <v>0</v>
      </c>
      <c r="I501" s="1284"/>
      <c r="J501" s="90"/>
      <c r="K501" s="1284"/>
      <c r="L501" s="90"/>
      <c r="M501" s="90"/>
      <c r="N501" s="90"/>
      <c r="O501" s="90"/>
      <c r="P501" s="90"/>
      <c r="Q501" s="90"/>
      <c r="R501" s="90"/>
      <c r="S501" s="90"/>
      <c r="T501" s="90"/>
      <c r="U501" s="90"/>
      <c r="V501" s="90"/>
      <c r="W501" s="90"/>
      <c r="X501" s="90"/>
      <c r="Y501" s="90"/>
      <c r="Z501" s="90"/>
      <c r="AA501" s="90"/>
      <c r="AB501" s="90"/>
      <c r="AC501" s="86">
        <f t="shared" si="296"/>
        <v>0</v>
      </c>
      <c r="AD501" s="91"/>
      <c r="AE501" s="91"/>
      <c r="AF501" s="1284"/>
      <c r="AG501" s="91"/>
      <c r="AH501" s="91"/>
      <c r="AI501" s="91"/>
      <c r="AJ501" s="91"/>
      <c r="AK501" s="91"/>
      <c r="AL501" s="91"/>
      <c r="AM501" s="91"/>
      <c r="AN501" s="91"/>
      <c r="AO501" s="91"/>
      <c r="AP501" s="91"/>
      <c r="AQ501" s="91"/>
      <c r="AR501" s="91"/>
      <c r="AS501" s="91"/>
      <c r="AT501" s="92"/>
      <c r="AU501" s="93"/>
      <c r="AV501" s="890">
        <f t="shared" si="320"/>
        <v>0</v>
      </c>
      <c r="AW501" s="890">
        <f t="shared" si="321"/>
        <v>0</v>
      </c>
      <c r="AX501" s="890">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281"/>
      <c r="C502" s="1282"/>
      <c r="D502" s="79"/>
      <c r="E502" s="86">
        <f t="shared" si="319"/>
        <v>0</v>
      </c>
      <c r="F502" s="87"/>
      <c r="G502" s="88">
        <f t="shared" si="294"/>
        <v>0</v>
      </c>
      <c r="H502" s="89">
        <f t="shared" si="295"/>
        <v>0</v>
      </c>
      <c r="I502" s="1284"/>
      <c r="J502" s="90"/>
      <c r="K502" s="1284"/>
      <c r="L502" s="90"/>
      <c r="M502" s="90"/>
      <c r="N502" s="90"/>
      <c r="O502" s="90"/>
      <c r="P502" s="90"/>
      <c r="Q502" s="90"/>
      <c r="R502" s="90"/>
      <c r="S502" s="90"/>
      <c r="T502" s="90"/>
      <c r="U502" s="90"/>
      <c r="V502" s="90"/>
      <c r="W502" s="90"/>
      <c r="X502" s="90"/>
      <c r="Y502" s="90"/>
      <c r="Z502" s="90"/>
      <c r="AA502" s="90"/>
      <c r="AB502" s="90"/>
      <c r="AC502" s="86">
        <f t="shared" si="296"/>
        <v>0</v>
      </c>
      <c r="AD502" s="91"/>
      <c r="AE502" s="91"/>
      <c r="AF502" s="1284"/>
      <c r="AG502" s="91"/>
      <c r="AH502" s="91"/>
      <c r="AI502" s="91"/>
      <c r="AJ502" s="91"/>
      <c r="AK502" s="91"/>
      <c r="AL502" s="91"/>
      <c r="AM502" s="91"/>
      <c r="AN502" s="91"/>
      <c r="AO502" s="91"/>
      <c r="AP502" s="91"/>
      <c r="AQ502" s="91"/>
      <c r="AR502" s="91"/>
      <c r="AS502" s="91"/>
      <c r="AT502" s="92"/>
      <c r="AU502" s="93"/>
      <c r="AV502" s="890">
        <f t="shared" si="320"/>
        <v>0</v>
      </c>
      <c r="AW502" s="890">
        <f t="shared" si="321"/>
        <v>0</v>
      </c>
      <c r="AX502" s="890">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281"/>
      <c r="C503" s="1282"/>
      <c r="D503" s="79"/>
      <c r="E503" s="86">
        <f t="shared" si="319"/>
        <v>0</v>
      </c>
      <c r="F503" s="87"/>
      <c r="G503" s="88">
        <f t="shared" si="294"/>
        <v>0</v>
      </c>
      <c r="H503" s="89">
        <f t="shared" si="295"/>
        <v>0</v>
      </c>
      <c r="I503" s="1284"/>
      <c r="J503" s="90"/>
      <c r="K503" s="1284"/>
      <c r="L503" s="90"/>
      <c r="M503" s="90"/>
      <c r="N503" s="90"/>
      <c r="O503" s="90"/>
      <c r="P503" s="90"/>
      <c r="Q503" s="90"/>
      <c r="R503" s="90"/>
      <c r="S503" s="90"/>
      <c r="T503" s="90"/>
      <c r="U503" s="90"/>
      <c r="V503" s="90"/>
      <c r="W503" s="90"/>
      <c r="X503" s="90"/>
      <c r="Y503" s="90"/>
      <c r="Z503" s="90"/>
      <c r="AA503" s="90"/>
      <c r="AB503" s="90"/>
      <c r="AC503" s="86">
        <f t="shared" si="296"/>
        <v>0</v>
      </c>
      <c r="AD503" s="91"/>
      <c r="AE503" s="91"/>
      <c r="AF503" s="1284"/>
      <c r="AG503" s="91"/>
      <c r="AH503" s="91"/>
      <c r="AI503" s="91"/>
      <c r="AJ503" s="91"/>
      <c r="AK503" s="91"/>
      <c r="AL503" s="91"/>
      <c r="AM503" s="91"/>
      <c r="AN503" s="91"/>
      <c r="AO503" s="91"/>
      <c r="AP503" s="91"/>
      <c r="AQ503" s="91"/>
      <c r="AR503" s="91"/>
      <c r="AS503" s="91"/>
      <c r="AT503" s="92"/>
      <c r="AU503" s="93"/>
      <c r="AV503" s="890">
        <f t="shared" si="320"/>
        <v>0</v>
      </c>
      <c r="AW503" s="890">
        <f t="shared" si="321"/>
        <v>0</v>
      </c>
      <c r="AX503" s="890">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281"/>
      <c r="C504" s="1282"/>
      <c r="D504" s="79"/>
      <c r="E504" s="86">
        <f t="shared" si="319"/>
        <v>0</v>
      </c>
      <c r="F504" s="87"/>
      <c r="G504" s="88">
        <f t="shared" si="294"/>
        <v>0</v>
      </c>
      <c r="H504" s="89">
        <f t="shared" si="295"/>
        <v>0</v>
      </c>
      <c r="I504" s="1284"/>
      <c r="J504" s="90"/>
      <c r="K504" s="1284"/>
      <c r="L504" s="90"/>
      <c r="M504" s="90"/>
      <c r="N504" s="90"/>
      <c r="O504" s="90"/>
      <c r="P504" s="90"/>
      <c r="Q504" s="90"/>
      <c r="R504" s="90"/>
      <c r="S504" s="90"/>
      <c r="T504" s="90"/>
      <c r="U504" s="90"/>
      <c r="V504" s="90"/>
      <c r="W504" s="90"/>
      <c r="X504" s="90"/>
      <c r="Y504" s="90"/>
      <c r="Z504" s="90"/>
      <c r="AA504" s="90"/>
      <c r="AB504" s="90"/>
      <c r="AC504" s="86">
        <f t="shared" si="296"/>
        <v>0</v>
      </c>
      <c r="AD504" s="91"/>
      <c r="AE504" s="91"/>
      <c r="AF504" s="1284"/>
      <c r="AG504" s="91"/>
      <c r="AH504" s="91"/>
      <c r="AI504" s="91"/>
      <c r="AJ504" s="91"/>
      <c r="AK504" s="91"/>
      <c r="AL504" s="91"/>
      <c r="AM504" s="91"/>
      <c r="AN504" s="91"/>
      <c r="AO504" s="91"/>
      <c r="AP504" s="91"/>
      <c r="AQ504" s="91"/>
      <c r="AR504" s="91"/>
      <c r="AS504" s="91"/>
      <c r="AT504" s="92"/>
      <c r="AU504" s="93"/>
      <c r="AV504" s="890">
        <f t="shared" si="320"/>
        <v>0</v>
      </c>
      <c r="AW504" s="890">
        <f t="shared" si="321"/>
        <v>0</v>
      </c>
      <c r="AX504" s="890">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281"/>
      <c r="C505" s="1282"/>
      <c r="D505" s="79"/>
      <c r="E505" s="86">
        <f t="shared" ref="E505:E536" si="323">IF($C$3="是",ROUND($A$3*G505/$B$3,2),ROUND($A$3*(G505-AT505)/$B$3,2))</f>
        <v>0</v>
      </c>
      <c r="F505" s="87"/>
      <c r="G505" s="88">
        <f t="shared" si="294"/>
        <v>0</v>
      </c>
      <c r="H505" s="89">
        <f t="shared" si="295"/>
        <v>0</v>
      </c>
      <c r="I505" s="1284"/>
      <c r="J505" s="90"/>
      <c r="K505" s="1284"/>
      <c r="L505" s="90"/>
      <c r="M505" s="90"/>
      <c r="N505" s="90"/>
      <c r="O505" s="90"/>
      <c r="P505" s="90"/>
      <c r="Q505" s="90"/>
      <c r="R505" s="90"/>
      <c r="S505" s="90"/>
      <c r="T505" s="90"/>
      <c r="U505" s="90"/>
      <c r="V505" s="90"/>
      <c r="W505" s="90"/>
      <c r="X505" s="90"/>
      <c r="Y505" s="90"/>
      <c r="Z505" s="90"/>
      <c r="AA505" s="90"/>
      <c r="AB505" s="90"/>
      <c r="AC505" s="86">
        <f t="shared" si="296"/>
        <v>0</v>
      </c>
      <c r="AD505" s="91"/>
      <c r="AE505" s="91"/>
      <c r="AF505" s="1284"/>
      <c r="AG505" s="91"/>
      <c r="AH505" s="91"/>
      <c r="AI505" s="91"/>
      <c r="AJ505" s="91"/>
      <c r="AK505" s="91"/>
      <c r="AL505" s="91"/>
      <c r="AM505" s="91"/>
      <c r="AN505" s="91"/>
      <c r="AO505" s="91"/>
      <c r="AP505" s="91"/>
      <c r="AQ505" s="91"/>
      <c r="AR505" s="91"/>
      <c r="AS505" s="91"/>
      <c r="AT505" s="92"/>
      <c r="AU505" s="93"/>
      <c r="AV505" s="890">
        <f t="shared" si="320"/>
        <v>0</v>
      </c>
      <c r="AW505" s="890">
        <f t="shared" si="321"/>
        <v>0</v>
      </c>
      <c r="AX505" s="890">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281"/>
      <c r="C506" s="1282"/>
      <c r="D506" s="79"/>
      <c r="E506" s="86">
        <f t="shared" si="323"/>
        <v>0</v>
      </c>
      <c r="F506" s="87"/>
      <c r="G506" s="88">
        <f t="shared" si="294"/>
        <v>0</v>
      </c>
      <c r="H506" s="89">
        <f t="shared" si="295"/>
        <v>0</v>
      </c>
      <c r="I506" s="1284"/>
      <c r="J506" s="90"/>
      <c r="K506" s="1284"/>
      <c r="L506" s="90"/>
      <c r="M506" s="90"/>
      <c r="N506" s="90"/>
      <c r="O506" s="90"/>
      <c r="P506" s="90"/>
      <c r="Q506" s="90"/>
      <c r="R506" s="90"/>
      <c r="S506" s="90"/>
      <c r="T506" s="90"/>
      <c r="U506" s="90"/>
      <c r="V506" s="90"/>
      <c r="W506" s="90"/>
      <c r="X506" s="90"/>
      <c r="Y506" s="90"/>
      <c r="Z506" s="90"/>
      <c r="AA506" s="90"/>
      <c r="AB506" s="90"/>
      <c r="AC506" s="86">
        <f t="shared" si="296"/>
        <v>0</v>
      </c>
      <c r="AD506" s="91"/>
      <c r="AE506" s="91"/>
      <c r="AF506" s="1284"/>
      <c r="AG506" s="91"/>
      <c r="AH506" s="91"/>
      <c r="AI506" s="91"/>
      <c r="AJ506" s="91"/>
      <c r="AK506" s="91"/>
      <c r="AL506" s="91"/>
      <c r="AM506" s="91"/>
      <c r="AN506" s="91"/>
      <c r="AO506" s="91"/>
      <c r="AP506" s="91"/>
      <c r="AQ506" s="91"/>
      <c r="AR506" s="91"/>
      <c r="AS506" s="91"/>
      <c r="AT506" s="92"/>
      <c r="AU506" s="93"/>
      <c r="AV506" s="890">
        <f t="shared" ref="AV506:AV537" si="324">A506</f>
        <v>0</v>
      </c>
      <c r="AW506" s="890">
        <f t="shared" ref="AW506:AW537" si="325">B506</f>
        <v>0</v>
      </c>
      <c r="AX506" s="890">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281"/>
      <c r="C507" s="1282"/>
      <c r="D507" s="79"/>
      <c r="E507" s="86">
        <f t="shared" si="323"/>
        <v>0</v>
      </c>
      <c r="F507" s="87"/>
      <c r="G507" s="88">
        <f t="shared" si="294"/>
        <v>0</v>
      </c>
      <c r="H507" s="89">
        <f t="shared" si="295"/>
        <v>0</v>
      </c>
      <c r="I507" s="1284"/>
      <c r="J507" s="90"/>
      <c r="K507" s="1284"/>
      <c r="L507" s="90"/>
      <c r="M507" s="90"/>
      <c r="N507" s="90"/>
      <c r="O507" s="90"/>
      <c r="P507" s="90"/>
      <c r="Q507" s="90"/>
      <c r="R507" s="90"/>
      <c r="S507" s="90"/>
      <c r="T507" s="90"/>
      <c r="U507" s="90"/>
      <c r="V507" s="90"/>
      <c r="W507" s="90"/>
      <c r="X507" s="90"/>
      <c r="Y507" s="90"/>
      <c r="Z507" s="90"/>
      <c r="AA507" s="90"/>
      <c r="AB507" s="90"/>
      <c r="AC507" s="86">
        <f t="shared" si="296"/>
        <v>0</v>
      </c>
      <c r="AD507" s="91"/>
      <c r="AE507" s="91"/>
      <c r="AF507" s="1282"/>
      <c r="AG507" s="91"/>
      <c r="AH507" s="91"/>
      <c r="AI507" s="91"/>
      <c r="AJ507" s="91"/>
      <c r="AK507" s="91"/>
      <c r="AL507" s="91"/>
      <c r="AM507" s="91"/>
      <c r="AN507" s="91"/>
      <c r="AO507" s="91"/>
      <c r="AP507" s="91"/>
      <c r="AQ507" s="91"/>
      <c r="AR507" s="91"/>
      <c r="AS507" s="91"/>
      <c r="AT507" s="92"/>
      <c r="AU507" s="93"/>
      <c r="AV507" s="890">
        <f t="shared" si="324"/>
        <v>0</v>
      </c>
      <c r="AW507" s="890">
        <f t="shared" si="325"/>
        <v>0</v>
      </c>
      <c r="AX507" s="890">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281"/>
      <c r="C508" s="1282"/>
      <c r="D508" s="79"/>
      <c r="E508" s="86">
        <f t="shared" si="323"/>
        <v>0</v>
      </c>
      <c r="F508" s="87"/>
      <c r="G508" s="88">
        <f t="shared" si="294"/>
        <v>0</v>
      </c>
      <c r="H508" s="89">
        <f t="shared" si="295"/>
        <v>0</v>
      </c>
      <c r="I508" s="1282"/>
      <c r="J508" s="90"/>
      <c r="K508" s="1282"/>
      <c r="L508" s="90"/>
      <c r="M508" s="90"/>
      <c r="N508" s="90"/>
      <c r="O508" s="90"/>
      <c r="P508" s="90"/>
      <c r="Q508" s="90"/>
      <c r="R508" s="90"/>
      <c r="S508" s="90"/>
      <c r="T508" s="90"/>
      <c r="U508" s="90"/>
      <c r="V508" s="90"/>
      <c r="W508" s="90"/>
      <c r="X508" s="90"/>
      <c r="Y508" s="90"/>
      <c r="Z508" s="90"/>
      <c r="AA508" s="90"/>
      <c r="AB508" s="90"/>
      <c r="AC508" s="86">
        <f t="shared" si="296"/>
        <v>0</v>
      </c>
      <c r="AD508" s="91"/>
      <c r="AE508" s="91"/>
      <c r="AF508" s="1282"/>
      <c r="AG508" s="91"/>
      <c r="AH508" s="91"/>
      <c r="AI508" s="91"/>
      <c r="AJ508" s="91"/>
      <c r="AK508" s="91"/>
      <c r="AL508" s="91"/>
      <c r="AM508" s="91"/>
      <c r="AN508" s="91"/>
      <c r="AO508" s="91"/>
      <c r="AP508" s="91"/>
      <c r="AQ508" s="91"/>
      <c r="AR508" s="91"/>
      <c r="AS508" s="91"/>
      <c r="AT508" s="92"/>
      <c r="AU508" s="93"/>
      <c r="AV508" s="890">
        <f t="shared" si="324"/>
        <v>0</v>
      </c>
      <c r="AW508" s="890">
        <f t="shared" si="325"/>
        <v>0</v>
      </c>
      <c r="AX508" s="890">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281"/>
      <c r="C509" s="1282"/>
      <c r="D509" s="79"/>
      <c r="E509" s="86">
        <f t="shared" si="323"/>
        <v>0</v>
      </c>
      <c r="F509" s="87"/>
      <c r="G509" s="88">
        <f t="shared" si="294"/>
        <v>0</v>
      </c>
      <c r="H509" s="89">
        <f t="shared" si="295"/>
        <v>0</v>
      </c>
      <c r="I509" s="1282"/>
      <c r="J509" s="90"/>
      <c r="K509" s="1282"/>
      <c r="L509" s="90"/>
      <c r="M509" s="90"/>
      <c r="N509" s="90"/>
      <c r="O509" s="90"/>
      <c r="P509" s="90"/>
      <c r="Q509" s="90"/>
      <c r="R509" s="90"/>
      <c r="S509" s="90"/>
      <c r="T509" s="90"/>
      <c r="U509" s="90"/>
      <c r="V509" s="90"/>
      <c r="W509" s="90"/>
      <c r="X509" s="90"/>
      <c r="Y509" s="90"/>
      <c r="Z509" s="90"/>
      <c r="AA509" s="90"/>
      <c r="AB509" s="90"/>
      <c r="AC509" s="86">
        <f t="shared" si="296"/>
        <v>0</v>
      </c>
      <c r="AD509" s="91"/>
      <c r="AE509" s="91"/>
      <c r="AF509" s="1282"/>
      <c r="AG509" s="91"/>
      <c r="AH509" s="91"/>
      <c r="AI509" s="91"/>
      <c r="AJ509" s="91"/>
      <c r="AK509" s="91"/>
      <c r="AL509" s="91"/>
      <c r="AM509" s="91"/>
      <c r="AN509" s="91"/>
      <c r="AO509" s="91"/>
      <c r="AP509" s="91"/>
      <c r="AQ509" s="91"/>
      <c r="AR509" s="91"/>
      <c r="AS509" s="91"/>
      <c r="AT509" s="92"/>
      <c r="AU509" s="93"/>
      <c r="AV509" s="890">
        <f t="shared" si="324"/>
        <v>0</v>
      </c>
      <c r="AW509" s="890">
        <f t="shared" si="325"/>
        <v>0</v>
      </c>
      <c r="AX509" s="890">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281"/>
      <c r="C510" s="1282"/>
      <c r="D510" s="79"/>
      <c r="E510" s="86">
        <f t="shared" si="323"/>
        <v>0</v>
      </c>
      <c r="F510" s="87"/>
      <c r="G510" s="88">
        <f t="shared" ref="G510:G537" si="327">H510+AC510+AT510</f>
        <v>0</v>
      </c>
      <c r="H510" s="89">
        <f t="shared" ref="H510:H537" si="328">SUMIF(I$12:AB$12,"总值",I510:AB510)</f>
        <v>0</v>
      </c>
      <c r="I510" s="1282"/>
      <c r="J510" s="90"/>
      <c r="K510" s="1282"/>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282"/>
      <c r="AG510" s="91"/>
      <c r="AH510" s="91"/>
      <c r="AI510" s="91"/>
      <c r="AJ510" s="91"/>
      <c r="AK510" s="91"/>
      <c r="AL510" s="91"/>
      <c r="AM510" s="91"/>
      <c r="AN510" s="91"/>
      <c r="AO510" s="91"/>
      <c r="AP510" s="91"/>
      <c r="AQ510" s="91"/>
      <c r="AR510" s="91"/>
      <c r="AS510" s="91"/>
      <c r="AT510" s="92"/>
      <c r="AU510" s="93"/>
      <c r="AV510" s="890">
        <f t="shared" si="324"/>
        <v>0</v>
      </c>
      <c r="AW510" s="890">
        <f t="shared" si="325"/>
        <v>0</v>
      </c>
      <c r="AX510" s="890">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281"/>
      <c r="C511" s="1282"/>
      <c r="D511" s="79"/>
      <c r="E511" s="86">
        <f t="shared" si="323"/>
        <v>0</v>
      </c>
      <c r="F511" s="87"/>
      <c r="G511" s="88">
        <f t="shared" si="327"/>
        <v>0</v>
      </c>
      <c r="H511" s="89">
        <f t="shared" si="328"/>
        <v>0</v>
      </c>
      <c r="I511" s="1282"/>
      <c r="J511" s="90"/>
      <c r="K511" s="1282"/>
      <c r="L511" s="90"/>
      <c r="M511" s="90"/>
      <c r="N511" s="90"/>
      <c r="O511" s="90"/>
      <c r="P511" s="90"/>
      <c r="Q511" s="90"/>
      <c r="R511" s="90"/>
      <c r="S511" s="90"/>
      <c r="T511" s="90"/>
      <c r="U511" s="90"/>
      <c r="V511" s="90"/>
      <c r="W511" s="90"/>
      <c r="X511" s="90"/>
      <c r="Y511" s="90"/>
      <c r="Z511" s="90"/>
      <c r="AA511" s="90"/>
      <c r="AB511" s="90"/>
      <c r="AC511" s="86">
        <f t="shared" si="329"/>
        <v>0</v>
      </c>
      <c r="AD511" s="91"/>
      <c r="AE511" s="91"/>
      <c r="AF511" s="1282"/>
      <c r="AG511" s="91"/>
      <c r="AH511" s="91"/>
      <c r="AI511" s="91"/>
      <c r="AJ511" s="91"/>
      <c r="AK511" s="91"/>
      <c r="AL511" s="91"/>
      <c r="AM511" s="91"/>
      <c r="AN511" s="91"/>
      <c r="AO511" s="91"/>
      <c r="AP511" s="91"/>
      <c r="AQ511" s="91"/>
      <c r="AR511" s="91"/>
      <c r="AS511" s="91"/>
      <c r="AT511" s="92"/>
      <c r="AU511" s="93"/>
      <c r="AV511" s="890">
        <f t="shared" si="324"/>
        <v>0</v>
      </c>
      <c r="AW511" s="890">
        <f t="shared" si="325"/>
        <v>0</v>
      </c>
      <c r="AX511" s="890">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281"/>
      <c r="C512" s="1282"/>
      <c r="D512" s="79"/>
      <c r="E512" s="86">
        <f t="shared" si="323"/>
        <v>0</v>
      </c>
      <c r="F512" s="87"/>
      <c r="G512" s="88">
        <f t="shared" si="327"/>
        <v>0</v>
      </c>
      <c r="H512" s="89">
        <f t="shared" si="328"/>
        <v>0</v>
      </c>
      <c r="I512" s="1282"/>
      <c r="J512" s="90"/>
      <c r="K512" s="1282"/>
      <c r="L512" s="90"/>
      <c r="M512" s="90"/>
      <c r="N512" s="90"/>
      <c r="O512" s="90"/>
      <c r="P512" s="90"/>
      <c r="Q512" s="90"/>
      <c r="R512" s="90"/>
      <c r="S512" s="90"/>
      <c r="T512" s="90"/>
      <c r="U512" s="90"/>
      <c r="V512" s="90"/>
      <c r="W512" s="90"/>
      <c r="X512" s="90"/>
      <c r="Y512" s="90"/>
      <c r="Z512" s="90"/>
      <c r="AA512" s="90"/>
      <c r="AB512" s="90"/>
      <c r="AC512" s="86">
        <f t="shared" si="329"/>
        <v>0</v>
      </c>
      <c r="AD512" s="91"/>
      <c r="AE512" s="91"/>
      <c r="AF512" s="1282"/>
      <c r="AG512" s="91"/>
      <c r="AH512" s="91"/>
      <c r="AI512" s="91"/>
      <c r="AJ512" s="91"/>
      <c r="AK512" s="91"/>
      <c r="AL512" s="91"/>
      <c r="AM512" s="91"/>
      <c r="AN512" s="91"/>
      <c r="AO512" s="91"/>
      <c r="AP512" s="91"/>
      <c r="AQ512" s="91"/>
      <c r="AR512" s="91"/>
      <c r="AS512" s="91"/>
      <c r="AT512" s="92"/>
      <c r="AU512" s="93"/>
      <c r="AV512" s="890">
        <f t="shared" si="324"/>
        <v>0</v>
      </c>
      <c r="AW512" s="890">
        <f t="shared" si="325"/>
        <v>0</v>
      </c>
      <c r="AX512" s="890">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281"/>
      <c r="C513" s="1282"/>
      <c r="D513" s="79"/>
      <c r="E513" s="86">
        <f t="shared" si="323"/>
        <v>0</v>
      </c>
      <c r="F513" s="87"/>
      <c r="G513" s="88">
        <f t="shared" si="327"/>
        <v>0</v>
      </c>
      <c r="H513" s="89">
        <f t="shared" si="328"/>
        <v>0</v>
      </c>
      <c r="I513" s="1282"/>
      <c r="J513" s="90"/>
      <c r="K513" s="1282"/>
      <c r="L513" s="90"/>
      <c r="M513" s="90"/>
      <c r="N513" s="90"/>
      <c r="O513" s="90"/>
      <c r="P513" s="90"/>
      <c r="Q513" s="90"/>
      <c r="R513" s="90"/>
      <c r="S513" s="90"/>
      <c r="T513" s="90"/>
      <c r="U513" s="90"/>
      <c r="V513" s="90"/>
      <c r="W513" s="90"/>
      <c r="X513" s="90"/>
      <c r="Y513" s="90"/>
      <c r="Z513" s="90"/>
      <c r="AA513" s="90"/>
      <c r="AB513" s="90"/>
      <c r="AC513" s="86">
        <f t="shared" si="329"/>
        <v>0</v>
      </c>
      <c r="AD513" s="91"/>
      <c r="AE513" s="91"/>
      <c r="AF513" s="1282"/>
      <c r="AG513" s="91"/>
      <c r="AH513" s="91"/>
      <c r="AI513" s="91"/>
      <c r="AJ513" s="91"/>
      <c r="AK513" s="91"/>
      <c r="AL513" s="91"/>
      <c r="AM513" s="91"/>
      <c r="AN513" s="91"/>
      <c r="AO513" s="91"/>
      <c r="AP513" s="91"/>
      <c r="AQ513" s="91"/>
      <c r="AR513" s="91"/>
      <c r="AS513" s="91"/>
      <c r="AT513" s="92"/>
      <c r="AU513" s="93"/>
      <c r="AV513" s="890">
        <f t="shared" si="324"/>
        <v>0</v>
      </c>
      <c r="AW513" s="890">
        <f t="shared" si="325"/>
        <v>0</v>
      </c>
      <c r="AX513" s="890">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281"/>
      <c r="C514" s="1282"/>
      <c r="D514" s="79"/>
      <c r="E514" s="86">
        <f t="shared" si="323"/>
        <v>0</v>
      </c>
      <c r="F514" s="87"/>
      <c r="G514" s="88">
        <f t="shared" si="327"/>
        <v>0</v>
      </c>
      <c r="H514" s="89">
        <f t="shared" si="328"/>
        <v>0</v>
      </c>
      <c r="I514" s="1282"/>
      <c r="J514" s="90"/>
      <c r="K514" s="1282"/>
      <c r="L514" s="90"/>
      <c r="M514" s="90"/>
      <c r="N514" s="90"/>
      <c r="O514" s="90"/>
      <c r="P514" s="90"/>
      <c r="Q514" s="90"/>
      <c r="R514" s="90"/>
      <c r="S514" s="90"/>
      <c r="T514" s="90"/>
      <c r="U514" s="90"/>
      <c r="V514" s="90"/>
      <c r="W514" s="90"/>
      <c r="X514" s="90"/>
      <c r="Y514" s="90"/>
      <c r="Z514" s="90"/>
      <c r="AA514" s="90"/>
      <c r="AB514" s="90"/>
      <c r="AC514" s="86">
        <f t="shared" si="329"/>
        <v>0</v>
      </c>
      <c r="AD514" s="91"/>
      <c r="AE514" s="91"/>
      <c r="AF514" s="1282"/>
      <c r="AG514" s="91"/>
      <c r="AH514" s="91"/>
      <c r="AI514" s="91"/>
      <c r="AJ514" s="91"/>
      <c r="AK514" s="91"/>
      <c r="AL514" s="91"/>
      <c r="AM514" s="91"/>
      <c r="AN514" s="91"/>
      <c r="AO514" s="91"/>
      <c r="AP514" s="91"/>
      <c r="AQ514" s="91"/>
      <c r="AR514" s="91"/>
      <c r="AS514" s="91"/>
      <c r="AT514" s="92"/>
      <c r="AU514" s="93"/>
      <c r="AV514" s="890">
        <f t="shared" si="324"/>
        <v>0</v>
      </c>
      <c r="AW514" s="890">
        <f t="shared" si="325"/>
        <v>0</v>
      </c>
      <c r="AX514" s="890">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283"/>
      <c r="C515" s="1284"/>
      <c r="D515" s="79"/>
      <c r="E515" s="86">
        <f t="shared" si="323"/>
        <v>0</v>
      </c>
      <c r="F515" s="87"/>
      <c r="G515" s="88">
        <f t="shared" si="327"/>
        <v>0</v>
      </c>
      <c r="H515" s="89">
        <f t="shared" si="328"/>
        <v>0</v>
      </c>
      <c r="I515" s="1282"/>
      <c r="J515" s="90"/>
      <c r="K515" s="1282"/>
      <c r="L515" s="90"/>
      <c r="M515" s="1282"/>
      <c r="N515" s="90"/>
      <c r="O515" s="90"/>
      <c r="P515" s="90"/>
      <c r="Q515" s="90"/>
      <c r="R515" s="90"/>
      <c r="S515" s="90"/>
      <c r="T515" s="90"/>
      <c r="U515" s="90"/>
      <c r="V515" s="90"/>
      <c r="W515" s="90"/>
      <c r="X515" s="90"/>
      <c r="Y515" s="90"/>
      <c r="Z515" s="90"/>
      <c r="AA515" s="90"/>
      <c r="AB515" s="90"/>
      <c r="AC515" s="86">
        <f t="shared" si="329"/>
        <v>0</v>
      </c>
      <c r="AD515" s="91"/>
      <c r="AE515" s="91"/>
      <c r="AF515" s="1282"/>
      <c r="AG515" s="91"/>
      <c r="AH515" s="91"/>
      <c r="AI515" s="91"/>
      <c r="AJ515" s="91"/>
      <c r="AK515" s="91"/>
      <c r="AL515" s="91"/>
      <c r="AM515" s="91"/>
      <c r="AN515" s="91"/>
      <c r="AO515" s="91"/>
      <c r="AP515" s="91"/>
      <c r="AQ515" s="91"/>
      <c r="AR515" s="91"/>
      <c r="AS515" s="91"/>
      <c r="AT515" s="92"/>
      <c r="AU515" s="93"/>
      <c r="AV515" s="890">
        <f t="shared" si="324"/>
        <v>0</v>
      </c>
      <c r="AW515" s="890">
        <f t="shared" si="325"/>
        <v>0</v>
      </c>
      <c r="AX515" s="890">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890">
        <f t="shared" si="324"/>
        <v>0</v>
      </c>
      <c r="AW516" s="890">
        <f t="shared" si="325"/>
        <v>0</v>
      </c>
      <c r="AX516" s="890">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890">
        <f t="shared" si="324"/>
        <v>0</v>
      </c>
      <c r="AW517" s="890">
        <f t="shared" si="325"/>
        <v>0</v>
      </c>
      <c r="AX517" s="890">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890">
        <f t="shared" si="324"/>
        <v>0</v>
      </c>
      <c r="AW518" s="890">
        <f t="shared" si="325"/>
        <v>0</v>
      </c>
      <c r="AX518" s="890">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890">
        <f t="shared" si="324"/>
        <v>0</v>
      </c>
      <c r="AW519" s="890">
        <f t="shared" si="325"/>
        <v>0</v>
      </c>
      <c r="AX519" s="890">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890">
        <f t="shared" si="324"/>
        <v>0</v>
      </c>
      <c r="AW520" s="890">
        <f t="shared" si="325"/>
        <v>0</v>
      </c>
      <c r="AX520" s="890">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890">
        <f t="shared" si="324"/>
        <v>0</v>
      </c>
      <c r="AW521" s="890">
        <f t="shared" si="325"/>
        <v>0</v>
      </c>
      <c r="AX521" s="890">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890">
        <f t="shared" si="324"/>
        <v>0</v>
      </c>
      <c r="AW522" s="890">
        <f t="shared" si="325"/>
        <v>0</v>
      </c>
      <c r="AX522" s="890">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890">
        <f t="shared" si="324"/>
        <v>0</v>
      </c>
      <c r="AW523" s="890">
        <f t="shared" si="325"/>
        <v>0</v>
      </c>
      <c r="AX523" s="890">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890">
        <f t="shared" si="324"/>
        <v>0</v>
      </c>
      <c r="AW524" s="890">
        <f t="shared" si="325"/>
        <v>0</v>
      </c>
      <c r="AX524" s="890">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890">
        <f t="shared" si="324"/>
        <v>0</v>
      </c>
      <c r="AW525" s="890">
        <f t="shared" si="325"/>
        <v>0</v>
      </c>
      <c r="AX525" s="890">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890">
        <f t="shared" si="324"/>
        <v>0</v>
      </c>
      <c r="AW526" s="890">
        <f t="shared" si="325"/>
        <v>0</v>
      </c>
      <c r="AX526" s="890">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890">
        <f t="shared" si="324"/>
        <v>0</v>
      </c>
      <c r="AW527" s="890">
        <f t="shared" si="325"/>
        <v>0</v>
      </c>
      <c r="AX527" s="890">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890">
        <f t="shared" si="324"/>
        <v>0</v>
      </c>
      <c r="AW528" s="890">
        <f t="shared" si="325"/>
        <v>0</v>
      </c>
      <c r="AX528" s="890">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890">
        <f t="shared" si="324"/>
        <v>0</v>
      </c>
      <c r="AW529" s="890">
        <f t="shared" si="325"/>
        <v>0</v>
      </c>
      <c r="AX529" s="890">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890">
        <f t="shared" si="324"/>
        <v>0</v>
      </c>
      <c r="AW530" s="890">
        <f t="shared" si="325"/>
        <v>0</v>
      </c>
      <c r="AX530" s="890">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890">
        <f t="shared" si="324"/>
        <v>0</v>
      </c>
      <c r="AW531" s="890">
        <f t="shared" si="325"/>
        <v>0</v>
      </c>
      <c r="AX531" s="890">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890">
        <f t="shared" si="324"/>
        <v>0</v>
      </c>
      <c r="AW532" s="890">
        <f t="shared" si="325"/>
        <v>0</v>
      </c>
      <c r="AX532" s="890">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890">
        <f t="shared" si="324"/>
        <v>0</v>
      </c>
      <c r="AW533" s="890">
        <f t="shared" si="325"/>
        <v>0</v>
      </c>
      <c r="AX533" s="890">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890">
        <f t="shared" si="324"/>
        <v>0</v>
      </c>
      <c r="AW534" s="890">
        <f t="shared" si="325"/>
        <v>0</v>
      </c>
      <c r="AX534" s="890">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890">
        <f t="shared" si="324"/>
        <v>0</v>
      </c>
      <c r="AW535" s="890">
        <f t="shared" si="325"/>
        <v>0</v>
      </c>
      <c r="AX535" s="890">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890">
        <f t="shared" si="324"/>
        <v>0</v>
      </c>
      <c r="AW536" s="890">
        <f t="shared" si="325"/>
        <v>0</v>
      </c>
      <c r="AX536" s="890">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890">
        <f t="shared" si="324"/>
        <v>0</v>
      </c>
      <c r="AW537" s="890">
        <f t="shared" si="325"/>
        <v>0</v>
      </c>
      <c r="AX537" s="890">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890">
        <f t="shared" ref="AV538:AV572" si="356">A538</f>
        <v>0</v>
      </c>
      <c r="AW538" s="890">
        <f t="shared" ref="AW538:AW572" si="357">B538</f>
        <v>0</v>
      </c>
      <c r="AX538" s="890">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890">
        <f t="shared" si="356"/>
        <v>0</v>
      </c>
      <c r="AW539" s="890">
        <f t="shared" si="357"/>
        <v>0</v>
      </c>
      <c r="AX539" s="890">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890">
        <f t="shared" si="356"/>
        <v>0</v>
      </c>
      <c r="AW540" s="890">
        <f t="shared" si="357"/>
        <v>0</v>
      </c>
      <c r="AX540" s="890">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890">
        <f t="shared" si="356"/>
        <v>0</v>
      </c>
      <c r="AW541" s="890">
        <f t="shared" si="357"/>
        <v>0</v>
      </c>
      <c r="AX541" s="890">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890">
        <f t="shared" si="356"/>
        <v>0</v>
      </c>
      <c r="AW542" s="890">
        <f t="shared" si="357"/>
        <v>0</v>
      </c>
      <c r="AX542" s="890">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890">
        <f t="shared" si="356"/>
        <v>0</v>
      </c>
      <c r="AW543" s="890">
        <f t="shared" si="357"/>
        <v>0</v>
      </c>
      <c r="AX543" s="890">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890">
        <f t="shared" si="356"/>
        <v>0</v>
      </c>
      <c r="AW544" s="890">
        <f t="shared" si="357"/>
        <v>0</v>
      </c>
      <c r="AX544" s="890">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890">
        <f t="shared" si="356"/>
        <v>0</v>
      </c>
      <c r="AW545" s="890">
        <f t="shared" si="357"/>
        <v>0</v>
      </c>
      <c r="AX545" s="890">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890">
        <f t="shared" si="356"/>
        <v>0</v>
      </c>
      <c r="AW546" s="890">
        <f t="shared" si="357"/>
        <v>0</v>
      </c>
      <c r="AX546" s="890">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890">
        <f t="shared" si="356"/>
        <v>0</v>
      </c>
      <c r="AW547" s="890">
        <f t="shared" si="357"/>
        <v>0</v>
      </c>
      <c r="AX547" s="890">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890">
        <f t="shared" si="356"/>
        <v>0</v>
      </c>
      <c r="AW548" s="890">
        <f t="shared" si="357"/>
        <v>0</v>
      </c>
      <c r="AX548" s="890">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890">
        <f t="shared" si="356"/>
        <v>0</v>
      </c>
      <c r="AW549" s="890">
        <f t="shared" si="357"/>
        <v>0</v>
      </c>
      <c r="AX549" s="890">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890">
        <f t="shared" si="356"/>
        <v>0</v>
      </c>
      <c r="AW550" s="890">
        <f t="shared" si="357"/>
        <v>0</v>
      </c>
      <c r="AX550" s="890">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890">
        <f t="shared" si="356"/>
        <v>0</v>
      </c>
      <c r="AW551" s="890">
        <f t="shared" si="357"/>
        <v>0</v>
      </c>
      <c r="AX551" s="890">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890">
        <f t="shared" si="356"/>
        <v>0</v>
      </c>
      <c r="AW552" s="890">
        <f t="shared" si="357"/>
        <v>0</v>
      </c>
      <c r="AX552" s="890">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890">
        <f t="shared" si="356"/>
        <v>0</v>
      </c>
      <c r="AW553" s="890">
        <f t="shared" si="357"/>
        <v>0</v>
      </c>
      <c r="AX553" s="890">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890">
        <f t="shared" si="356"/>
        <v>0</v>
      </c>
      <c r="AW554" s="890">
        <f t="shared" si="357"/>
        <v>0</v>
      </c>
      <c r="AX554" s="890">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890">
        <f t="shared" si="356"/>
        <v>0</v>
      </c>
      <c r="AW555" s="890">
        <f t="shared" si="357"/>
        <v>0</v>
      </c>
      <c r="AX555" s="890">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890">
        <f t="shared" si="356"/>
        <v>0</v>
      </c>
      <c r="AW556" s="890">
        <f t="shared" si="357"/>
        <v>0</v>
      </c>
      <c r="AX556" s="890">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890">
        <f t="shared" si="356"/>
        <v>0</v>
      </c>
      <c r="AW557" s="890">
        <f t="shared" si="357"/>
        <v>0</v>
      </c>
      <c r="AX557" s="890">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890">
        <f t="shared" si="356"/>
        <v>0</v>
      </c>
      <c r="AW558" s="890">
        <f t="shared" si="357"/>
        <v>0</v>
      </c>
      <c r="AX558" s="890">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890">
        <f t="shared" si="356"/>
        <v>0</v>
      </c>
      <c r="AW559" s="890">
        <f t="shared" si="357"/>
        <v>0</v>
      </c>
      <c r="AX559" s="890">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890">
        <f t="shared" si="356"/>
        <v>0</v>
      </c>
      <c r="AW560" s="890">
        <f t="shared" si="357"/>
        <v>0</v>
      </c>
      <c r="AX560" s="890">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890">
        <f t="shared" si="356"/>
        <v>0</v>
      </c>
      <c r="AW561" s="890">
        <f t="shared" si="357"/>
        <v>0</v>
      </c>
      <c r="AX561" s="890">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890">
        <f t="shared" si="356"/>
        <v>0</v>
      </c>
      <c r="AW562" s="890">
        <f t="shared" si="357"/>
        <v>0</v>
      </c>
      <c r="AX562" s="890">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890">
        <f t="shared" si="356"/>
        <v>0</v>
      </c>
      <c r="AW563" s="890">
        <f t="shared" si="357"/>
        <v>0</v>
      </c>
      <c r="AX563" s="890">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890">
        <f t="shared" si="356"/>
        <v>0</v>
      </c>
      <c r="AW564" s="890">
        <f t="shared" si="357"/>
        <v>0</v>
      </c>
      <c r="AX564" s="890">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890">
        <f t="shared" si="356"/>
        <v>0</v>
      </c>
      <c r="AW565" s="890">
        <f t="shared" si="357"/>
        <v>0</v>
      </c>
      <c r="AX565" s="890">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890">
        <f t="shared" si="356"/>
        <v>0</v>
      </c>
      <c r="AW566" s="890">
        <f t="shared" si="357"/>
        <v>0</v>
      </c>
      <c r="AX566" s="890">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890">
        <f t="shared" si="356"/>
        <v>0</v>
      </c>
      <c r="AW567" s="890">
        <f t="shared" si="357"/>
        <v>0</v>
      </c>
      <c r="AX567" s="890">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890">
        <f t="shared" si="356"/>
        <v>0</v>
      </c>
      <c r="AW568" s="890">
        <f t="shared" si="357"/>
        <v>0</v>
      </c>
      <c r="AX568" s="890">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890">
        <f t="shared" si="356"/>
        <v>0</v>
      </c>
      <c r="AW569" s="890">
        <f t="shared" si="357"/>
        <v>0</v>
      </c>
      <c r="AX569" s="890">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890">
        <f t="shared" si="356"/>
        <v>0</v>
      </c>
      <c r="AW570" s="890">
        <f t="shared" si="357"/>
        <v>0</v>
      </c>
      <c r="AX570" s="890">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890">
        <f t="shared" si="356"/>
        <v>0</v>
      </c>
      <c r="AW571" s="890">
        <f t="shared" si="357"/>
        <v>0</v>
      </c>
      <c r="AX571" s="890">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890">
        <f t="shared" si="356"/>
        <v>0</v>
      </c>
      <c r="AW572" s="890">
        <f t="shared" si="357"/>
        <v>0</v>
      </c>
      <c r="AX572" s="890">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75" t="s">
        <v>0</v>
      </c>
      <c r="B1" s="3275" t="s">
        <v>4</v>
      </c>
      <c r="C1" s="3275" t="s">
        <v>5</v>
      </c>
      <c r="D1" s="3276" t="s">
        <v>40</v>
      </c>
      <c r="E1" s="3276" t="s">
        <v>41</v>
      </c>
      <c r="F1" s="3276"/>
      <c r="G1" s="3276"/>
      <c r="H1" s="3276"/>
      <c r="I1" s="3276"/>
      <c r="J1" s="3276"/>
      <c r="K1" s="3276"/>
      <c r="L1" s="3276"/>
      <c r="M1" s="3276"/>
    </row>
    <row r="2" spans="1:13" ht="27" customHeight="1">
      <c r="A2" s="3275"/>
      <c r="B2" s="3275"/>
      <c r="C2" s="3275"/>
      <c r="D2" s="3276"/>
      <c r="E2" s="3276" t="s">
        <v>24</v>
      </c>
      <c r="F2" s="3276" t="s">
        <v>25</v>
      </c>
      <c r="G2" s="3276"/>
      <c r="H2" s="3276"/>
      <c r="I2" s="3276"/>
      <c r="J2" s="3276" t="s">
        <v>26</v>
      </c>
      <c r="K2" s="3276"/>
      <c r="L2" s="3276"/>
      <c r="M2" s="3276"/>
    </row>
    <row r="3" spans="1:13" ht="28.5">
      <c r="A3" s="3275"/>
      <c r="B3" s="3275"/>
      <c r="C3" s="3275"/>
      <c r="D3" s="3276"/>
      <c r="E3" s="3276"/>
      <c r="F3" s="2" t="s">
        <v>27</v>
      </c>
      <c r="G3" s="2" t="s">
        <v>22</v>
      </c>
      <c r="H3" s="2" t="s">
        <v>23</v>
      </c>
      <c r="I3" s="2" t="s">
        <v>36</v>
      </c>
      <c r="J3" s="2" t="s">
        <v>27</v>
      </c>
      <c r="K3" s="2" t="s">
        <v>38</v>
      </c>
      <c r="L3" s="2" t="s">
        <v>37</v>
      </c>
      <c r="M3" s="2" t="s">
        <v>39</v>
      </c>
    </row>
    <row r="4" spans="1:13" ht="42.75">
      <c r="A4" s="2" t="s">
        <v>28</v>
      </c>
      <c r="B4" s="2" t="s">
        <v>29</v>
      </c>
      <c r="C4" s="2" t="s">
        <v>30</v>
      </c>
      <c r="D4" s="3">
        <v>3807.94</v>
      </c>
      <c r="E4" s="3">
        <v>20666.91</v>
      </c>
      <c r="F4" s="3">
        <v>19673</v>
      </c>
      <c r="G4" s="3">
        <v>0</v>
      </c>
      <c r="H4" s="3">
        <v>19673</v>
      </c>
      <c r="I4" s="3">
        <v>0</v>
      </c>
      <c r="J4" s="3">
        <v>993.90999999999985</v>
      </c>
      <c r="K4" s="3">
        <v>0</v>
      </c>
      <c r="L4" s="3">
        <v>0</v>
      </c>
      <c r="M4" s="3">
        <v>993.90999999999985</v>
      </c>
    </row>
    <row r="5" spans="1:13" ht="42.75">
      <c r="A5" s="2" t="s">
        <v>28</v>
      </c>
      <c r="B5" s="2" t="s">
        <v>31</v>
      </c>
      <c r="C5" s="2" t="s">
        <v>32</v>
      </c>
      <c r="D5" s="3">
        <v>3667.86</v>
      </c>
      <c r="E5" s="3">
        <v>19906.61</v>
      </c>
      <c r="F5" s="3">
        <v>18792.87</v>
      </c>
      <c r="G5" s="3">
        <v>18792.87</v>
      </c>
      <c r="H5" s="3">
        <v>0</v>
      </c>
      <c r="I5" s="3">
        <v>0</v>
      </c>
      <c r="J5" s="3">
        <v>1113.74</v>
      </c>
      <c r="K5" s="3">
        <v>55.59</v>
      </c>
      <c r="L5" s="3">
        <v>0</v>
      </c>
      <c r="M5" s="3">
        <v>1058.1500000000001</v>
      </c>
    </row>
    <row r="6" spans="1:13" ht="42.75">
      <c r="A6" s="2" t="s">
        <v>28</v>
      </c>
      <c r="B6" s="2" t="s">
        <v>31</v>
      </c>
      <c r="C6" s="2" t="s">
        <v>33</v>
      </c>
      <c r="D6" s="3">
        <v>2067.52</v>
      </c>
      <c r="E6" s="3">
        <v>11221.06</v>
      </c>
      <c r="F6" s="3">
        <v>9934.1299999999992</v>
      </c>
      <c r="G6" s="3">
        <v>9934.1299999999992</v>
      </c>
      <c r="H6" s="3">
        <v>0</v>
      </c>
      <c r="I6" s="3">
        <v>0</v>
      </c>
      <c r="J6" s="3">
        <v>1286.93</v>
      </c>
      <c r="K6" s="3">
        <v>0</v>
      </c>
      <c r="L6" s="3">
        <v>0</v>
      </c>
      <c r="M6" s="3">
        <v>1286.93</v>
      </c>
    </row>
    <row r="7" spans="1:13" ht="42.75">
      <c r="A7" s="2" t="s">
        <v>28</v>
      </c>
      <c r="B7" s="2" t="s">
        <v>31</v>
      </c>
      <c r="C7" s="2" t="s">
        <v>34</v>
      </c>
      <c r="D7" s="3">
        <v>8.18</v>
      </c>
      <c r="E7" s="3">
        <v>44.41</v>
      </c>
      <c r="F7" s="3">
        <v>0</v>
      </c>
      <c r="G7" s="3">
        <v>0</v>
      </c>
      <c r="H7" s="3">
        <v>0</v>
      </c>
      <c r="I7" s="3">
        <v>0</v>
      </c>
      <c r="J7" s="3">
        <v>44.41</v>
      </c>
      <c r="K7" s="3">
        <v>44.41</v>
      </c>
      <c r="L7" s="3">
        <v>0</v>
      </c>
      <c r="M7" s="3">
        <v>0</v>
      </c>
    </row>
    <row r="8" spans="1:13" ht="42.75">
      <c r="A8" s="2" t="s">
        <v>28</v>
      </c>
      <c r="B8" s="2" t="s">
        <v>31</v>
      </c>
      <c r="C8" s="2" t="s">
        <v>35</v>
      </c>
      <c r="D8" s="3">
        <v>2455.5300000000002</v>
      </c>
      <c r="E8" s="3">
        <v>13326.96</v>
      </c>
      <c r="F8" s="3">
        <v>9231.0499999999993</v>
      </c>
      <c r="G8" s="3">
        <v>0</v>
      </c>
      <c r="H8" s="3">
        <v>0</v>
      </c>
      <c r="I8" s="3">
        <v>9231.0499999999993</v>
      </c>
      <c r="J8" s="3">
        <v>4095.91</v>
      </c>
      <c r="K8" s="3">
        <v>0</v>
      </c>
      <c r="L8" s="3">
        <v>3320.79</v>
      </c>
      <c r="M8" s="3">
        <v>775.12</v>
      </c>
    </row>
    <row r="9" spans="1:13" ht="27" customHeight="1">
      <c r="A9" s="3276" t="s">
        <v>42</v>
      </c>
      <c r="B9" s="3276"/>
      <c r="C9" s="327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40" zoomScaleSheetLayoutView="85" workbookViewId="0">
      <selection activeCell="E57" sqref="E57"/>
    </sheetView>
  </sheetViews>
  <sheetFormatPr defaultColWidth="9.25" defaultRowHeight="14.25"/>
  <cols>
    <col min="1" max="1" width="8.25" style="1866" customWidth="1"/>
    <col min="2" max="2" width="10.25" style="1866" customWidth="1"/>
    <col min="3" max="3" width="18.5" style="1866" customWidth="1"/>
    <col min="4" max="4" width="11.125" style="1866" customWidth="1"/>
    <col min="5" max="5" width="13.375" style="1866" customWidth="1"/>
    <col min="6" max="8" width="11.5" style="1866" customWidth="1"/>
    <col min="9" max="9" width="10.375" style="1866" customWidth="1"/>
    <col min="10" max="10" width="3.125" style="1866" customWidth="1"/>
    <col min="11" max="16" width="11.625" style="1866" customWidth="1"/>
    <col min="17" max="17" width="3.375" style="1866" customWidth="1"/>
    <col min="18" max="18" width="9.375" style="1866" bestFit="1" customWidth="1"/>
    <col min="19" max="19" width="9.625" style="1866" bestFit="1" customWidth="1"/>
    <col min="20" max="16384" width="9.25" style="1866"/>
  </cols>
  <sheetData>
    <row r="1" spans="1:16" ht="18.75">
      <c r="A1" s="103" t="s">
        <v>202</v>
      </c>
      <c r="B1" s="1865"/>
      <c r="C1" s="1865"/>
      <c r="D1" s="1865"/>
      <c r="E1" s="1865"/>
      <c r="F1" s="1865"/>
      <c r="G1" s="1865"/>
      <c r="H1" s="1865"/>
      <c r="I1" s="1865"/>
      <c r="J1" s="1865"/>
      <c r="K1" s="1865"/>
      <c r="L1" s="1865"/>
    </row>
    <row r="2" spans="1:16" ht="15">
      <c r="A2" s="3286" t="s">
        <v>203</v>
      </c>
      <c r="B2" s="3286"/>
      <c r="C2" s="3286"/>
      <c r="D2" s="1856" t="s">
        <v>204</v>
      </c>
      <c r="E2" s="105" t="s">
        <v>205</v>
      </c>
      <c r="F2" s="1865"/>
      <c r="G2" s="1096"/>
      <c r="H2" s="1097"/>
      <c r="I2" s="1098" t="s">
        <v>796</v>
      </c>
      <c r="J2" s="1865"/>
      <c r="K2" s="1865"/>
      <c r="L2" s="1865"/>
    </row>
    <row r="3" spans="1:16" ht="15.75" thickBot="1">
      <c r="A3" s="3287" t="s">
        <v>206</v>
      </c>
      <c r="B3" s="3287"/>
      <c r="C3" s="3287"/>
      <c r="D3" s="106">
        <f>'数据-基础表'!AY6</f>
        <v>33431.800000000003</v>
      </c>
      <c r="E3" s="106">
        <f>'数据-基础表'!AZ5</f>
        <v>78389</v>
      </c>
      <c r="F3" s="1865"/>
      <c r="G3" s="184" t="s">
        <v>797</v>
      </c>
      <c r="H3" s="179" t="s">
        <v>798</v>
      </c>
      <c r="I3" s="1857">
        <f>ROUND('数据-基础表'!B3/'数据-基础表'!A3,2)</f>
        <v>2.34</v>
      </c>
      <c r="J3" s="1865"/>
      <c r="K3" s="1865"/>
      <c r="L3" s="1865"/>
    </row>
    <row r="4" spans="1:16" ht="15">
      <c r="A4" s="3288"/>
      <c r="B4" s="3289"/>
      <c r="C4" s="3290"/>
      <c r="D4" s="107" t="s">
        <v>204</v>
      </c>
      <c r="E4" s="108" t="s">
        <v>205</v>
      </c>
      <c r="F4" s="1865"/>
      <c r="G4" s="1099"/>
      <c r="H4" s="179" t="s">
        <v>799</v>
      </c>
      <c r="I4" s="1857">
        <f>ROUND(SUMIF('数据-基础表'!I9:AS9,"地上",'数据-基础表'!I5:AS5)/'数据-基础表'!A3,2)</f>
        <v>1.8</v>
      </c>
      <c r="J4" s="1865"/>
      <c r="K4" s="1865"/>
      <c r="L4" s="1865"/>
    </row>
    <row r="5" spans="1:16">
      <c r="A5" s="109" t="s">
        <v>207</v>
      </c>
      <c r="B5" s="3291" t="s">
        <v>230</v>
      </c>
      <c r="C5" s="3291"/>
      <c r="D5" s="110">
        <f>ROUND($D$3*E5/$E$3,2)</f>
        <v>24581.37</v>
      </c>
      <c r="E5" s="111">
        <f>SUMIF('数据-基础表'!$11:$11,"住宅",'数据-基础表'!$5:$5)</f>
        <v>57637</v>
      </c>
      <c r="F5" s="1865"/>
      <c r="G5" s="184" t="s">
        <v>800</v>
      </c>
      <c r="H5" s="179" t="s">
        <v>798</v>
      </c>
      <c r="I5" s="1857">
        <f>ROUND(E31/D31,2)</f>
        <v>2.34</v>
      </c>
      <c r="J5" s="1865"/>
      <c r="K5" s="1865"/>
      <c r="L5" s="1865"/>
    </row>
    <row r="6" spans="1:16" ht="15" thickBot="1">
      <c r="A6" s="112"/>
      <c r="B6" s="3291" t="s">
        <v>208</v>
      </c>
      <c r="C6" s="3291"/>
      <c r="D6" s="110">
        <f>ROUND($D$3*E6/$E$3,2)</f>
        <v>8850.43</v>
      </c>
      <c r="E6" s="111">
        <f>E3-E5</f>
        <v>20752</v>
      </c>
      <c r="F6" s="1865"/>
      <c r="G6" s="1099"/>
      <c r="H6" s="179" t="s">
        <v>799</v>
      </c>
      <c r="I6" s="1857">
        <f>ROUND(F31/D31,2)</f>
        <v>1.8</v>
      </c>
      <c r="J6" s="1865"/>
      <c r="K6" s="1865"/>
      <c r="L6" s="1865"/>
    </row>
    <row r="7" spans="1:16" ht="15">
      <c r="A7" s="3283"/>
      <c r="B7" s="3284"/>
      <c r="C7" s="3285"/>
      <c r="D7" s="107" t="s">
        <v>204</v>
      </c>
      <c r="E7" s="113" t="s">
        <v>231</v>
      </c>
      <c r="F7" s="1865"/>
      <c r="G7" s="1054" t="s">
        <v>1578</v>
      </c>
      <c r="H7" s="1055"/>
      <c r="I7" s="1727"/>
      <c r="J7" s="1865"/>
      <c r="K7" s="1865"/>
      <c r="L7" s="1865"/>
    </row>
    <row r="8" spans="1:16" ht="15" thickBot="1">
      <c r="A8" s="109" t="s">
        <v>209</v>
      </c>
      <c r="B8" s="114" t="s">
        <v>210</v>
      </c>
      <c r="C8" s="110" t="s">
        <v>211</v>
      </c>
      <c r="D8" s="110">
        <f t="shared" ref="D8:D15" si="0">ROUND($D$3*E8/$E$3,2)</f>
        <v>24760.92</v>
      </c>
      <c r="E8" s="115">
        <f>SUMIF('数据-基础表'!BB10:BK10,"地上",'数据-基础表'!BB5:BK5)</f>
        <v>58058</v>
      </c>
      <c r="F8" s="1865"/>
      <c r="G8" s="1867"/>
      <c r="H8" s="1867"/>
      <c r="I8" s="1865"/>
      <c r="J8" s="1865"/>
      <c r="K8" s="1865"/>
      <c r="L8" s="1865"/>
    </row>
    <row r="9" spans="1:16" hidden="1">
      <c r="A9" s="116"/>
      <c r="B9" s="117"/>
      <c r="C9" s="110" t="s">
        <v>212</v>
      </c>
      <c r="D9" s="110">
        <f t="shared" si="0"/>
        <v>0</v>
      </c>
      <c r="E9" s="118">
        <v>0</v>
      </c>
      <c r="F9" s="1865"/>
      <c r="G9" s="1867"/>
      <c r="H9" s="1867"/>
      <c r="I9" s="1865"/>
      <c r="J9" s="1865"/>
      <c r="K9" s="1865"/>
      <c r="L9" s="1865"/>
    </row>
    <row r="10" spans="1:16" hidden="1">
      <c r="A10" s="116"/>
      <c r="B10" s="117"/>
      <c r="C10" s="110" t="s">
        <v>213</v>
      </c>
      <c r="D10" s="110">
        <f t="shared" si="0"/>
        <v>0</v>
      </c>
      <c r="E10" s="115">
        <f>SUMPRODUCT(('数据-基础表'!BB10:BK10="地下")*('数据-基础表'!BB11:BK11="商业")*('数据-基础表'!BB5:BK5))</f>
        <v>0</v>
      </c>
      <c r="F10" s="1865"/>
      <c r="G10" s="1867"/>
      <c r="H10" s="1867"/>
      <c r="I10" s="1865"/>
      <c r="J10" s="1865"/>
      <c r="K10" s="1865"/>
      <c r="L10" s="1865"/>
    </row>
    <row r="11" spans="1:16" hidden="1">
      <c r="A11" s="116"/>
      <c r="B11" s="117"/>
      <c r="C11" s="2181" t="s">
        <v>2258</v>
      </c>
      <c r="D11" s="110">
        <f t="shared" si="0"/>
        <v>0</v>
      </c>
      <c r="E11" s="115">
        <f>SUMPRODUCT(('数据-基础表'!BB10:BK10="地下")*('数据-基础表'!BB11:BK11="办公")*('数据-基础表'!BB5:BK5))+'数据-基础表'!AJ5</f>
        <v>0</v>
      </c>
      <c r="F11" s="1865"/>
      <c r="G11" s="1867"/>
      <c r="H11" s="1867"/>
      <c r="I11" s="1865"/>
      <c r="J11" s="1865"/>
      <c r="K11" s="1865"/>
      <c r="L11" s="1865"/>
    </row>
    <row r="12" spans="1:16" hidden="1">
      <c r="A12" s="116"/>
      <c r="B12" s="117"/>
      <c r="C12" s="110" t="s">
        <v>214</v>
      </c>
      <c r="D12" s="110">
        <f t="shared" si="0"/>
        <v>0</v>
      </c>
      <c r="E12" s="115">
        <f>SUMPRODUCT(('数据-基础表'!BB10:BK10="地下")*('数据-基础表'!BB11:BK11="仓储")*('数据-基础表'!BB5:BK5))</f>
        <v>0</v>
      </c>
      <c r="F12" s="1865"/>
      <c r="G12" s="1867"/>
      <c r="H12" s="1867"/>
      <c r="I12" s="1865"/>
      <c r="J12" s="1865"/>
      <c r="K12" s="1865"/>
      <c r="L12" s="1865"/>
    </row>
    <row r="13" spans="1:16" hidden="1">
      <c r="A13" s="116"/>
      <c r="B13" s="117"/>
      <c r="C13" s="2181" t="s">
        <v>2265</v>
      </c>
      <c r="D13" s="110">
        <f t="shared" si="0"/>
        <v>6169.97</v>
      </c>
      <c r="E13" s="115">
        <f>SUMPRODUCT(('数据-基础表'!BB10:BK10="地下")*('数据-基础表'!BB11:BK11="车库")*('数据-基础表'!BB5:BK5))</f>
        <v>14467</v>
      </c>
      <c r="F13" s="1865"/>
      <c r="G13" s="1867"/>
      <c r="H13" s="1867"/>
      <c r="I13" s="1865"/>
      <c r="J13" s="1865"/>
      <c r="K13" s="1865"/>
      <c r="L13" s="1865"/>
    </row>
    <row r="14" spans="1:16" hidden="1">
      <c r="A14" s="116"/>
      <c r="B14" s="117"/>
      <c r="C14" s="110" t="s">
        <v>232</v>
      </c>
      <c r="D14" s="110">
        <f t="shared" si="0"/>
        <v>0</v>
      </c>
      <c r="E14" s="115">
        <f>SUMPRODUCT(('数据-基础表'!BB10:BK10="地下")*('数据-基础表'!BB11:BK11="车库—商业")*('数据-基础表'!BB5:BK5))</f>
        <v>0</v>
      </c>
      <c r="F14" s="1865"/>
      <c r="G14" s="1867"/>
      <c r="H14" s="1867"/>
      <c r="I14" s="1865"/>
      <c r="J14" s="1865"/>
      <c r="K14" s="1865"/>
      <c r="L14" s="1865"/>
    </row>
    <row r="15" spans="1:16" ht="15" hidden="1" thickBot="1">
      <c r="A15" s="116"/>
      <c r="B15" s="117"/>
      <c r="C15" s="110" t="s">
        <v>233</v>
      </c>
      <c r="D15" s="110">
        <f t="shared" si="0"/>
        <v>0</v>
      </c>
      <c r="E15" s="115">
        <f>SUMPRODUCT(('数据-基础表'!BB10:BK10="地下")*('数据-基础表'!BB11:BK11="车库—办公")*('数据-基础表'!BB5:BK5))</f>
        <v>0</v>
      </c>
      <c r="F15" s="1865"/>
      <c r="G15" s="1867"/>
      <c r="H15" s="1867"/>
      <c r="I15" s="1865"/>
      <c r="J15" s="1865"/>
      <c r="K15" s="1865"/>
      <c r="L15" s="1865"/>
    </row>
    <row r="16" spans="1:16" ht="15.75" thickBot="1">
      <c r="A16" s="112"/>
      <c r="B16" s="117"/>
      <c r="C16" s="114" t="s">
        <v>215</v>
      </c>
      <c r="D16" s="114">
        <f>SUM(D8:D15)</f>
        <v>30930.89</v>
      </c>
      <c r="E16" s="119">
        <f>SUM(E8:E15)</f>
        <v>72525</v>
      </c>
      <c r="F16" s="1865"/>
      <c r="G16" s="1867"/>
      <c r="H16" s="868" t="s">
        <v>219</v>
      </c>
      <c r="I16" s="869"/>
      <c r="J16" s="1865"/>
      <c r="K16" s="3277" t="s">
        <v>2494</v>
      </c>
      <c r="L16" s="3278"/>
      <c r="M16" s="3278"/>
      <c r="N16" s="3278"/>
      <c r="O16" s="3278"/>
      <c r="P16" s="3279"/>
    </row>
    <row r="17" spans="1:19" ht="15">
      <c r="A17" s="120" t="s">
        <v>216</v>
      </c>
      <c r="B17" s="121" t="s">
        <v>217</v>
      </c>
      <c r="C17" s="2170" t="s">
        <v>2244</v>
      </c>
      <c r="D17" s="107" t="s">
        <v>204</v>
      </c>
      <c r="E17" s="122" t="s">
        <v>205</v>
      </c>
      <c r="F17" s="123"/>
      <c r="G17" s="1254"/>
      <c r="H17" s="870" t="s">
        <v>218</v>
      </c>
      <c r="I17" s="871" t="s">
        <v>2243</v>
      </c>
      <c r="J17" s="1865"/>
      <c r="K17" s="3280" t="s">
        <v>2495</v>
      </c>
      <c r="L17" s="3281"/>
      <c r="M17" s="3282"/>
      <c r="N17" s="3280" t="s">
        <v>2496</v>
      </c>
      <c r="O17" s="3281"/>
      <c r="P17" s="3282"/>
      <c r="R17" s="2171" t="s">
        <v>2242</v>
      </c>
      <c r="S17" s="140"/>
    </row>
    <row r="18" spans="1:19" ht="15">
      <c r="A18" s="116"/>
      <c r="B18" s="126"/>
      <c r="C18" s="127"/>
      <c r="D18" s="2506"/>
      <c r="E18" s="128" t="s">
        <v>220</v>
      </c>
      <c r="F18" s="129" t="s">
        <v>221</v>
      </c>
      <c r="G18" s="1255" t="s">
        <v>222</v>
      </c>
      <c r="H18" s="872" t="s">
        <v>223</v>
      </c>
      <c r="I18" s="873" t="s">
        <v>224</v>
      </c>
      <c r="J18" s="1865"/>
      <c r="K18" s="2470" t="s">
        <v>2497</v>
      </c>
      <c r="L18" s="2471" t="s">
        <v>2498</v>
      </c>
      <c r="M18" s="2472" t="s">
        <v>2499</v>
      </c>
      <c r="N18" s="2470" t="s">
        <v>2497</v>
      </c>
      <c r="O18" s="2471" t="s">
        <v>2498</v>
      </c>
      <c r="P18" s="2472" t="s">
        <v>2499</v>
      </c>
      <c r="R18" s="2172" t="s">
        <v>2240</v>
      </c>
      <c r="S18" s="2172" t="s">
        <v>2241</v>
      </c>
    </row>
    <row r="19" spans="1:19">
      <c r="A19" s="130"/>
      <c r="B19" s="114" t="s">
        <v>225</v>
      </c>
      <c r="C19" s="2889" t="s">
        <v>2924</v>
      </c>
      <c r="D19" s="110">
        <f t="shared" ref="D19:D26" si="1">ROUND($D$3*E19/$E$3,2)</f>
        <v>24581.37</v>
      </c>
      <c r="E19" s="131">
        <f t="shared" ref="E19:E26" si="2">SUM(F19:G19)</f>
        <v>57637</v>
      </c>
      <c r="F19" s="132">
        <f>'数据-基础表'!BB5</f>
        <v>57637</v>
      </c>
      <c r="G19" s="1256">
        <v>0</v>
      </c>
      <c r="H19" s="874">
        <f>ROUND($D$3*I19/$E$3,2)</f>
        <v>2101.69</v>
      </c>
      <c r="I19" s="115">
        <f>IF($I$17="自定义",P19,M19)</f>
        <v>4927.92</v>
      </c>
      <c r="J19" s="1865"/>
      <c r="K19" s="2473">
        <f t="shared" ref="K19:K26" si="3">ROUND(E$28*E19/E$27,2)</f>
        <v>3623.92</v>
      </c>
      <c r="L19" s="179">
        <f t="shared" ref="L19:L26" si="4">ROUND(IF(COUNTIF(C19,"*住宅*")&gt;0,E$29*E19/E$32,0),2)</f>
        <v>1304</v>
      </c>
      <c r="M19" s="2474">
        <f>K19+L19</f>
        <v>4927.92</v>
      </c>
      <c r="N19" s="2475"/>
      <c r="O19" s="2476"/>
      <c r="P19" s="2477">
        <f>N19+O19</f>
        <v>0</v>
      </c>
      <c r="R19" s="179">
        <f t="shared" ref="R19:S26" si="5">D19+H19</f>
        <v>26683.059999999998</v>
      </c>
      <c r="S19" s="2173">
        <f t="shared" si="5"/>
        <v>62564.92</v>
      </c>
    </row>
    <row r="20" spans="1:19">
      <c r="A20" s="135"/>
      <c r="B20" s="114" t="s">
        <v>226</v>
      </c>
      <c r="C20" s="2889" t="s">
        <v>2925</v>
      </c>
      <c r="D20" s="110">
        <f t="shared" si="1"/>
        <v>179.55</v>
      </c>
      <c r="E20" s="131">
        <f t="shared" si="2"/>
        <v>421</v>
      </c>
      <c r="F20" s="132">
        <f>'数据-基础表'!BC5</f>
        <v>421</v>
      </c>
      <c r="G20" s="1256">
        <v>0</v>
      </c>
      <c r="H20" s="874">
        <f t="shared" ref="H20:H26" si="6">ROUND($D$3*I20/$E$3,2)</f>
        <v>11.29</v>
      </c>
      <c r="I20" s="115">
        <f t="shared" ref="I20:I26" si="7">IF($I$17="自定义",P20,M20)</f>
        <v>26.47</v>
      </c>
      <c r="J20" s="1865"/>
      <c r="K20" s="2473">
        <f t="shared" si="3"/>
        <v>26.47</v>
      </c>
      <c r="L20" s="179">
        <f t="shared" si="4"/>
        <v>0</v>
      </c>
      <c r="M20" s="2474">
        <f t="shared" ref="M20:M26" si="8">K20+L20</f>
        <v>26.47</v>
      </c>
      <c r="N20" s="2475"/>
      <c r="O20" s="2476"/>
      <c r="P20" s="2477">
        <f t="shared" ref="P20:P26" si="9">N20+O20</f>
        <v>0</v>
      </c>
      <c r="R20" s="179">
        <f t="shared" si="5"/>
        <v>190.84</v>
      </c>
      <c r="S20" s="2173">
        <f t="shared" si="5"/>
        <v>447.47</v>
      </c>
    </row>
    <row r="21" spans="1:19">
      <c r="A21" s="135"/>
      <c r="B21" s="114" t="s">
        <v>226</v>
      </c>
      <c r="C21" s="2889" t="s">
        <v>3190</v>
      </c>
      <c r="D21" s="110">
        <f t="shared" si="1"/>
        <v>6169.97</v>
      </c>
      <c r="E21" s="131">
        <f t="shared" si="2"/>
        <v>14467</v>
      </c>
      <c r="F21" s="132">
        <v>0</v>
      </c>
      <c r="G21" s="1256">
        <f>'数据-基础表'!M5</f>
        <v>14467</v>
      </c>
      <c r="H21" s="874">
        <f t="shared" si="6"/>
        <v>387.94</v>
      </c>
      <c r="I21" s="115">
        <f t="shared" si="7"/>
        <v>909.61</v>
      </c>
      <c r="J21" s="1865"/>
      <c r="K21" s="2473">
        <f t="shared" si="3"/>
        <v>909.61</v>
      </c>
      <c r="L21" s="179">
        <f t="shared" si="4"/>
        <v>0</v>
      </c>
      <c r="M21" s="2474">
        <f t="shared" si="8"/>
        <v>909.61</v>
      </c>
      <c r="N21" s="2475"/>
      <c r="O21" s="2476"/>
      <c r="P21" s="2477">
        <f t="shared" si="9"/>
        <v>0</v>
      </c>
      <c r="R21" s="179">
        <f t="shared" si="5"/>
        <v>6557.91</v>
      </c>
      <c r="S21" s="2173">
        <f t="shared" si="5"/>
        <v>15376.61</v>
      </c>
    </row>
    <row r="22" spans="1:19" hidden="1">
      <c r="A22" s="135"/>
      <c r="B22" s="114" t="s">
        <v>226</v>
      </c>
      <c r="C22" s="1253"/>
      <c r="D22" s="110">
        <f t="shared" si="1"/>
        <v>0</v>
      </c>
      <c r="E22" s="131">
        <f t="shared" si="2"/>
        <v>0</v>
      </c>
      <c r="F22" s="137"/>
      <c r="G22" s="1257"/>
      <c r="H22" s="874">
        <f t="shared" si="6"/>
        <v>0</v>
      </c>
      <c r="I22" s="115">
        <f t="shared" si="7"/>
        <v>0</v>
      </c>
      <c r="J22" s="1865"/>
      <c r="K22" s="2473">
        <f t="shared" si="3"/>
        <v>0</v>
      </c>
      <c r="L22" s="179">
        <f t="shared" si="4"/>
        <v>0</v>
      </c>
      <c r="M22" s="2474">
        <f t="shared" si="8"/>
        <v>0</v>
      </c>
      <c r="N22" s="2475"/>
      <c r="O22" s="2476"/>
      <c r="P22" s="2477">
        <f t="shared" si="9"/>
        <v>0</v>
      </c>
      <c r="R22" s="179">
        <f t="shared" si="5"/>
        <v>0</v>
      </c>
      <c r="S22" s="2173">
        <f t="shared" si="5"/>
        <v>0</v>
      </c>
    </row>
    <row r="23" spans="1:19" hidden="1">
      <c r="A23" s="135"/>
      <c r="B23" s="114" t="s">
        <v>226</v>
      </c>
      <c r="C23" s="136"/>
      <c r="D23" s="110">
        <f>ROUND($D$3*E23/$E$3,2)</f>
        <v>0</v>
      </c>
      <c r="E23" s="131">
        <f>SUM(F23:G23)</f>
        <v>0</v>
      </c>
      <c r="F23" s="137"/>
      <c r="G23" s="1257"/>
      <c r="H23" s="874">
        <f>ROUND($D$3*I23/$E$3,2)</f>
        <v>0</v>
      </c>
      <c r="I23" s="115">
        <f t="shared" si="7"/>
        <v>0</v>
      </c>
      <c r="J23" s="1865"/>
      <c r="K23" s="2473">
        <f t="shared" si="3"/>
        <v>0</v>
      </c>
      <c r="L23" s="179">
        <f t="shared" si="4"/>
        <v>0</v>
      </c>
      <c r="M23" s="2474">
        <f t="shared" si="8"/>
        <v>0</v>
      </c>
      <c r="N23" s="2475"/>
      <c r="O23" s="2476"/>
      <c r="P23" s="2477">
        <f t="shared" si="9"/>
        <v>0</v>
      </c>
      <c r="R23" s="179">
        <f t="shared" si="5"/>
        <v>0</v>
      </c>
      <c r="S23" s="2173">
        <f t="shared" si="5"/>
        <v>0</v>
      </c>
    </row>
    <row r="24" spans="1:19" hidden="1">
      <c r="A24" s="135"/>
      <c r="B24" s="114" t="s">
        <v>226</v>
      </c>
      <c r="C24" s="136"/>
      <c r="D24" s="110">
        <f>ROUND($D$3*E24/$E$3,2)</f>
        <v>0</v>
      </c>
      <c r="E24" s="131">
        <f>SUM(F24:G24)</f>
        <v>0</v>
      </c>
      <c r="F24" s="137"/>
      <c r="G24" s="1257"/>
      <c r="H24" s="874">
        <f>ROUND($D$3*I24/$E$3,2)</f>
        <v>0</v>
      </c>
      <c r="I24" s="115">
        <f t="shared" si="7"/>
        <v>0</v>
      </c>
      <c r="J24" s="1865"/>
      <c r="K24" s="2473">
        <f t="shared" si="3"/>
        <v>0</v>
      </c>
      <c r="L24" s="179">
        <f t="shared" si="4"/>
        <v>0</v>
      </c>
      <c r="M24" s="2474">
        <f t="shared" si="8"/>
        <v>0</v>
      </c>
      <c r="N24" s="2475"/>
      <c r="O24" s="2476"/>
      <c r="P24" s="2477">
        <f t="shared" si="9"/>
        <v>0</v>
      </c>
      <c r="R24" s="179">
        <f t="shared" si="5"/>
        <v>0</v>
      </c>
      <c r="S24" s="2173">
        <f t="shared" si="5"/>
        <v>0</v>
      </c>
    </row>
    <row r="25" spans="1:19" hidden="1">
      <c r="A25" s="135"/>
      <c r="B25" s="114" t="s">
        <v>226</v>
      </c>
      <c r="C25" s="136"/>
      <c r="D25" s="110">
        <f t="shared" si="1"/>
        <v>0</v>
      </c>
      <c r="E25" s="131">
        <f t="shared" si="2"/>
        <v>0</v>
      </c>
      <c r="F25" s="137"/>
      <c r="G25" s="1257"/>
      <c r="H25" s="109">
        <f t="shared" si="6"/>
        <v>0</v>
      </c>
      <c r="I25" s="115">
        <f t="shared" si="7"/>
        <v>0</v>
      </c>
      <c r="J25" s="1865"/>
      <c r="K25" s="2473">
        <f t="shared" si="3"/>
        <v>0</v>
      </c>
      <c r="L25" s="179">
        <f t="shared" si="4"/>
        <v>0</v>
      </c>
      <c r="M25" s="2474">
        <f t="shared" si="8"/>
        <v>0</v>
      </c>
      <c r="N25" s="2475"/>
      <c r="O25" s="2476"/>
      <c r="P25" s="2477">
        <f t="shared" si="9"/>
        <v>0</v>
      </c>
      <c r="R25" s="179">
        <f t="shared" si="5"/>
        <v>0</v>
      </c>
      <c r="S25" s="2173">
        <f t="shared" si="5"/>
        <v>0</v>
      </c>
    </row>
    <row r="26" spans="1:19" hidden="1">
      <c r="A26" s="135"/>
      <c r="B26" s="114" t="s">
        <v>226</v>
      </c>
      <c r="C26" s="138"/>
      <c r="D26" s="110">
        <f t="shared" si="1"/>
        <v>0</v>
      </c>
      <c r="E26" s="131">
        <f t="shared" si="2"/>
        <v>0</v>
      </c>
      <c r="F26" s="137"/>
      <c r="G26" s="1257"/>
      <c r="H26" s="109">
        <f t="shared" si="6"/>
        <v>0</v>
      </c>
      <c r="I26" s="115">
        <f t="shared" si="7"/>
        <v>0</v>
      </c>
      <c r="J26" s="1865"/>
      <c r="K26" s="2478">
        <f t="shared" si="3"/>
        <v>0</v>
      </c>
      <c r="L26" s="184">
        <f t="shared" si="4"/>
        <v>0</v>
      </c>
      <c r="M26" s="142">
        <f t="shared" si="8"/>
        <v>0</v>
      </c>
      <c r="N26" s="2479"/>
      <c r="O26" s="2480"/>
      <c r="P26" s="2481">
        <f t="shared" si="9"/>
        <v>0</v>
      </c>
      <c r="R26" s="179">
        <f t="shared" si="5"/>
        <v>0</v>
      </c>
      <c r="S26" s="2173">
        <f t="shared" si="5"/>
        <v>0</v>
      </c>
    </row>
    <row r="27" spans="1:19" ht="29.25" thickBot="1">
      <c r="A27" s="135"/>
      <c r="B27" s="110"/>
      <c r="C27" s="125" t="s">
        <v>215</v>
      </c>
      <c r="D27" s="131">
        <f>SUM(D19:D26)</f>
        <v>30930.89</v>
      </c>
      <c r="E27" s="139">
        <f>IF(SUM(E19:E26)='数据-基础表'!BA5,SUM(E19:E26),IF(F27="地上面积有误","面积有误","地下面积有误"))</f>
        <v>72525</v>
      </c>
      <c r="F27" s="131">
        <f>IF(SUM(F19:F26)=E8,SUM(F19:F26),"地上面积有误")</f>
        <v>58058</v>
      </c>
      <c r="G27" s="111">
        <f>SUM(G19:G26)</f>
        <v>14467</v>
      </c>
      <c r="H27" s="875">
        <f>SUM(H19:H26)</f>
        <v>2500.92</v>
      </c>
      <c r="I27" s="876">
        <f>SUM(I19:I26)</f>
        <v>5864</v>
      </c>
      <c r="J27" s="1865"/>
      <c r="K27" s="2482">
        <f t="shared" ref="K27:P27" si="10">SUM(K19:K26)</f>
        <v>4560</v>
      </c>
      <c r="L27" s="2483">
        <f t="shared" si="10"/>
        <v>1304</v>
      </c>
      <c r="M27" s="2484">
        <f t="shared" si="10"/>
        <v>5864</v>
      </c>
      <c r="N27" s="2482">
        <f t="shared" si="10"/>
        <v>0</v>
      </c>
      <c r="O27" s="2483">
        <f t="shared" si="10"/>
        <v>0</v>
      </c>
      <c r="P27" s="2485">
        <f t="shared" si="10"/>
        <v>0</v>
      </c>
      <c r="R27" s="2174" t="str">
        <f>IF(SUM(R19:R26)=$D$3,SUM(R19:R26),SUM(R19:R26)&amp;"误差"&amp;ROUND(SUM(R19:R26)-$D$3,2))</f>
        <v>33431.81误差0.01</v>
      </c>
      <c r="S27" s="179">
        <f>IF(SUM(S19:S26)=$E$3,SUM(S19:S26),SUM(S19:S26)&amp;"误差"&amp;ROUND(SUM(S19:S26)-E3,2))</f>
        <v>78389</v>
      </c>
    </row>
    <row r="28" spans="1:19">
      <c r="A28" s="135"/>
      <c r="B28" s="114" t="s">
        <v>227</v>
      </c>
      <c r="C28" s="133" t="s">
        <v>228</v>
      </c>
      <c r="D28" s="110">
        <f>ROUND($D$3*E28/$E$3,2)</f>
        <v>1944.78</v>
      </c>
      <c r="E28" s="131">
        <f>SUM(F28:G28)</f>
        <v>4560</v>
      </c>
      <c r="F28" s="140">
        <f>'数据-基础表'!BQ5+'数据-基础表'!BS5</f>
        <v>816</v>
      </c>
      <c r="G28" s="141">
        <f>'数据-基础表'!BR5+'数据-基础表'!BT5</f>
        <v>3744</v>
      </c>
      <c r="H28" s="1865"/>
      <c r="I28" s="1865"/>
      <c r="J28" s="1865"/>
      <c r="K28" s="1865"/>
      <c r="L28" s="1865"/>
    </row>
    <row r="29" spans="1:19">
      <c r="A29" s="135"/>
      <c r="B29" s="114" t="s">
        <v>227</v>
      </c>
      <c r="C29" s="2175" t="s">
        <v>2251</v>
      </c>
      <c r="D29" s="110">
        <f>ROUND($D$3*E29/$E$3,2)</f>
        <v>556.14</v>
      </c>
      <c r="E29" s="131">
        <f>SUM(F29:G29)</f>
        <v>1304</v>
      </c>
      <c r="F29" s="140">
        <f>'数据-基础表'!BM5+'数据-基础表'!BO5</f>
        <v>1304</v>
      </c>
      <c r="G29" s="142">
        <f>'数据-基础表'!BN5+'数据-基础表'!BP5</f>
        <v>0</v>
      </c>
      <c r="H29" s="1865"/>
      <c r="I29" s="1865"/>
      <c r="J29" s="1865"/>
      <c r="K29" s="1865"/>
      <c r="L29" s="1865"/>
    </row>
    <row r="30" spans="1:19">
      <c r="A30" s="135"/>
      <c r="B30" s="110"/>
      <c r="C30" s="143" t="s">
        <v>215</v>
      </c>
      <c r="D30" s="131">
        <f>SUM(D28:D29)</f>
        <v>2500.92</v>
      </c>
      <c r="E30" s="131">
        <f>SUM(E28:E29)</f>
        <v>5864</v>
      </c>
      <c r="F30" s="131">
        <f>SUM(F28:F29)</f>
        <v>2120</v>
      </c>
      <c r="G30" s="111">
        <f>SUM(G28:G29)</f>
        <v>3744</v>
      </c>
      <c r="H30" s="1865"/>
      <c r="I30" s="1865"/>
      <c r="J30" s="1865"/>
      <c r="K30" s="1865"/>
      <c r="L30" s="1865"/>
    </row>
    <row r="31" spans="1:19" ht="32.25" customHeight="1" thickBot="1">
      <c r="A31" s="1258"/>
      <c r="B31" s="1259" t="s">
        <v>229</v>
      </c>
      <c r="C31" s="2180" t="s">
        <v>2253</v>
      </c>
      <c r="D31" s="1260">
        <f>D27+D30</f>
        <v>33431.81</v>
      </c>
      <c r="E31" s="1260">
        <f>E27+E30</f>
        <v>78389</v>
      </c>
      <c r="F31" s="1261">
        <f>F27+F30</f>
        <v>60178</v>
      </c>
      <c r="G31" s="1262">
        <f>G27+G30</f>
        <v>18211</v>
      </c>
      <c r="H31" s="1865"/>
      <c r="I31" s="1865"/>
      <c r="J31" s="1865"/>
      <c r="K31" s="1865"/>
      <c r="L31" s="1865"/>
    </row>
    <row r="32" spans="1:19">
      <c r="A32" s="1865"/>
      <c r="B32" s="2211" t="s">
        <v>2252</v>
      </c>
      <c r="C32" s="2511"/>
      <c r="D32" s="1099"/>
      <c r="E32" s="1099">
        <f>SUMIF(C19:C26,"*住宅*",E19:E26)</f>
        <v>57637</v>
      </c>
      <c r="F32" s="1099"/>
      <c r="G32" s="1099"/>
    </row>
    <row r="33" spans="4:4">
      <c r="D33" s="186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view="pageBreakPreview" zoomScale="70" zoomScaleNormal="90" zoomScaleSheetLayoutView="70" workbookViewId="0">
      <pane xSplit="3" ySplit="5" topLeftCell="D6" activePane="bottomRight" state="frozen"/>
      <selection pane="topRight" activeCell="D1" sqref="D1"/>
      <selection pane="bottomLeft" activeCell="A4" sqref="A4"/>
      <selection pane="bottomRight" activeCell="I43" sqref="I43"/>
    </sheetView>
  </sheetViews>
  <sheetFormatPr defaultColWidth="13.75" defaultRowHeight="12.75"/>
  <cols>
    <col min="1" max="1" width="20.875" style="1105" customWidth="1"/>
    <col min="2" max="3" width="12" style="1101" customWidth="1"/>
    <col min="4" max="4" width="9.125" style="1106" customWidth="1"/>
    <col min="5" max="5" width="15" style="1101" bestFit="1" customWidth="1"/>
    <col min="6" max="10" width="8.875" style="1101" customWidth="1"/>
    <col min="11" max="12" width="12.375" style="1107"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hidden="1" customWidth="1"/>
    <col min="31" max="31" width="6.5" style="1101" hidden="1" customWidth="1"/>
    <col min="32" max="33" width="7.25" style="1101" hidden="1" customWidth="1"/>
    <col min="34" max="34" width="7.25" style="1101" customWidth="1"/>
    <col min="35" max="39" width="8" style="1101" customWidth="1"/>
    <col min="40" max="41" width="13.75" style="1874"/>
    <col min="42" max="42" width="0" style="1874" hidden="1" customWidth="1"/>
    <col min="43" max="83" width="13.75" style="1874"/>
    <col min="84" max="16384" width="13.75" style="1101"/>
  </cols>
  <sheetData>
    <row r="1" spans="1:83" ht="19.5" thickBot="1">
      <c r="A1" s="144" t="s">
        <v>234</v>
      </c>
      <c r="B1" s="1100"/>
      <c r="C1" s="1869"/>
      <c r="D1" s="1870"/>
      <c r="E1" s="1869"/>
      <c r="F1" s="1869"/>
      <c r="G1" s="1869"/>
      <c r="H1" s="1869"/>
      <c r="I1" s="1869"/>
      <c r="J1" s="1869"/>
      <c r="K1" s="1871"/>
      <c r="L1" s="1871"/>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c r="AM1" s="1869"/>
    </row>
    <row r="2" spans="1:83" ht="13.5" thickBot="1">
      <c r="A2" s="3012" t="s">
        <v>2928</v>
      </c>
      <c r="B2" s="3013">
        <f>项目基本情况!D3</f>
        <v>43240</v>
      </c>
      <c r="C2" s="1869"/>
      <c r="D2" s="1870"/>
      <c r="E2" s="1869"/>
      <c r="F2" s="1869"/>
      <c r="G2" s="1869"/>
      <c r="H2" s="1869"/>
      <c r="I2" s="1869"/>
      <c r="J2" s="1869"/>
      <c r="K2" s="1871"/>
      <c r="L2" s="1871"/>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row>
    <row r="3" spans="1:83" ht="13.5" thickBot="1">
      <c r="A3" s="3014"/>
      <c r="B3" s="1100"/>
      <c r="C3" s="1869"/>
      <c r="D3" s="1870"/>
      <c r="E3" s="1869"/>
      <c r="F3" s="1869"/>
      <c r="G3" s="1869"/>
      <c r="H3" s="1869"/>
      <c r="I3" s="1869"/>
      <c r="J3" s="1869"/>
      <c r="K3" s="1871"/>
      <c r="L3" s="1871"/>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row>
    <row r="4" spans="1:83" ht="13.5" thickBot="1">
      <c r="A4" s="3015" t="s">
        <v>2929</v>
      </c>
      <c r="B4" s="3016"/>
      <c r="C4" s="3017"/>
      <c r="D4" s="3018"/>
      <c r="E4" s="3019" t="s">
        <v>801</v>
      </c>
      <c r="F4" s="3017"/>
      <c r="G4" s="3017"/>
      <c r="H4" s="3017"/>
      <c r="I4" s="3017"/>
      <c r="J4" s="3020"/>
      <c r="K4" s="3021"/>
      <c r="L4" s="3022"/>
      <c r="M4" s="3017"/>
      <c r="N4" s="3019" t="s">
        <v>802</v>
      </c>
      <c r="O4" s="3017"/>
      <c r="P4" s="3017"/>
      <c r="Q4" s="3017"/>
      <c r="R4" s="3017"/>
      <c r="S4" s="3020"/>
      <c r="T4" s="3023" t="str">
        <f>'数据-汇总表'!I17</f>
        <v>按面积比例</v>
      </c>
      <c r="U4" s="3016" t="s">
        <v>2930</v>
      </c>
      <c r="V4" s="3017"/>
      <c r="W4" s="3017"/>
      <c r="X4" s="3017"/>
      <c r="Y4" s="3020"/>
      <c r="Z4" s="3024" t="s">
        <v>2931</v>
      </c>
      <c r="AA4" s="3024"/>
      <c r="AB4" s="3024"/>
      <c r="AC4" s="3024"/>
      <c r="AD4" s="3024"/>
      <c r="AE4" s="3025" t="s">
        <v>2932</v>
      </c>
      <c r="AF4" s="3024"/>
      <c r="AG4" s="177"/>
      <c r="AH4" s="3016"/>
      <c r="AI4" s="3017"/>
      <c r="AJ4" s="3017"/>
      <c r="AK4" s="3017"/>
      <c r="AL4" s="3017"/>
      <c r="AM4" s="3020"/>
    </row>
    <row r="5" spans="1:83" s="1105" customFormat="1" ht="36">
      <c r="A5" s="3026" t="s">
        <v>2255</v>
      </c>
      <c r="B5" s="3027" t="s">
        <v>2933</v>
      </c>
      <c r="C5" s="3028" t="s">
        <v>2934</v>
      </c>
      <c r="D5" s="3029" t="s">
        <v>2935</v>
      </c>
      <c r="E5" s="3030" t="s">
        <v>2936</v>
      </c>
      <c r="F5" s="3031" t="s">
        <v>2937</v>
      </c>
      <c r="G5" s="3030" t="s">
        <v>2938</v>
      </c>
      <c r="H5" s="3030" t="s">
        <v>2939</v>
      </c>
      <c r="I5" s="3030" t="s">
        <v>2940</v>
      </c>
      <c r="J5" s="3032" t="s">
        <v>2941</v>
      </c>
      <c r="K5" s="3033" t="s">
        <v>2942</v>
      </c>
      <c r="L5" s="3034" t="s">
        <v>2943</v>
      </c>
      <c r="M5" s="3035" t="s">
        <v>2944</v>
      </c>
      <c r="N5" s="3036" t="s">
        <v>2756</v>
      </c>
      <c r="O5" s="3034" t="s">
        <v>2945</v>
      </c>
      <c r="P5" s="3037" t="s">
        <v>2946</v>
      </c>
      <c r="Q5" s="3038" t="s">
        <v>2947</v>
      </c>
      <c r="R5" s="3039" t="s">
        <v>2948</v>
      </c>
      <c r="S5" s="3040" t="s">
        <v>2500</v>
      </c>
      <c r="T5" s="3041" t="s">
        <v>2949</v>
      </c>
      <c r="U5" s="27" t="s">
        <v>2950</v>
      </c>
      <c r="V5" s="3030" t="s">
        <v>2951</v>
      </c>
      <c r="W5" s="3030" t="s">
        <v>2952</v>
      </c>
      <c r="X5" s="3042"/>
      <c r="Y5" s="3043" t="s">
        <v>2953</v>
      </c>
      <c r="Z5" s="3044" t="s">
        <v>2950</v>
      </c>
      <c r="AA5" s="3030" t="s">
        <v>2951</v>
      </c>
      <c r="AB5" s="3030" t="s">
        <v>2952</v>
      </c>
      <c r="AC5" s="3045"/>
      <c r="AD5" s="3046" t="s">
        <v>2953</v>
      </c>
      <c r="AE5" s="3047" t="s">
        <v>803</v>
      </c>
      <c r="AF5" s="3030" t="s">
        <v>2954</v>
      </c>
      <c r="AG5" s="3043" t="s">
        <v>2955</v>
      </c>
      <c r="AH5" s="3045" t="s">
        <v>2254</v>
      </c>
      <c r="AI5" s="3044" t="s">
        <v>2956</v>
      </c>
      <c r="AJ5" s="3044" t="s">
        <v>2957</v>
      </c>
      <c r="AK5" s="3030" t="s">
        <v>2958</v>
      </c>
      <c r="AL5" s="3030" t="s">
        <v>2959</v>
      </c>
      <c r="AM5" s="3046" t="s">
        <v>2960</v>
      </c>
      <c r="AN5" s="3048" t="s">
        <v>2301</v>
      </c>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row>
    <row r="6" spans="1:83">
      <c r="A6" s="3049" t="str">
        <f>'数据-汇总表'!C19</f>
        <v>住宅</v>
      </c>
      <c r="B6" s="3050" t="str">
        <f>IF(A6=0,"","经营性")</f>
        <v>经营性</v>
      </c>
      <c r="C6" s="3051" t="s">
        <v>855</v>
      </c>
      <c r="D6" s="3052">
        <f>SUMIF(项目基本情况!D$15:I$15,C6,项目基本情况!D$18:I$18)</f>
        <v>70</v>
      </c>
      <c r="E6" s="3053">
        <f>IF(B6="","",SUMIF(项目基本情况!D$15:I$15,C6,项目基本情况!D$17:I$17))</f>
        <v>68782</v>
      </c>
      <c r="F6" s="3054">
        <f>SUMIF(项目基本情况!D$15:I$15,C6,项目基本情况!D$19:I$19)</f>
        <v>69.97</v>
      </c>
      <c r="G6" s="3055">
        <f t="shared" ref="G6:G13" si="0">IF(ISERROR(ROUND(POWER(1+H6,D6-F6)*(POWER(1+H6,F6)-1)/(POWER(1+H6,D6)-1),3)),0,ROUND(POWER(1+H6,D6-F6)*(POWER(1+H6,F6)-1)/(POWER(1+H6,D6)-1),3))</f>
        <v>1</v>
      </c>
      <c r="H6" s="2890">
        <v>0.04</v>
      </c>
      <c r="I6" s="2890">
        <v>4.4999999999999998E-2</v>
      </c>
      <c r="J6" s="3056">
        <v>8.5000000000000006E-2</v>
      </c>
      <c r="K6" s="3057">
        <f>SUMIF('数据-汇总表'!C$19:C$33,'数据-取费表'!A6,'数据-汇总表'!E$19:E$33)</f>
        <v>57637</v>
      </c>
      <c r="L6" s="2891">
        <v>1700</v>
      </c>
      <c r="M6" s="3058">
        <f t="shared" ref="M6:M14" si="1">ROUND(K6*L6/10000,0)</f>
        <v>9798</v>
      </c>
      <c r="N6" s="2892">
        <v>0</v>
      </c>
      <c r="O6" s="3058">
        <f>IF($N$5="成新度","——",ROUND(M6*N6,0))</f>
        <v>0</v>
      </c>
      <c r="P6" s="3059">
        <f>IF($N$5="成新度","——",M6-O6)</f>
        <v>9798</v>
      </c>
      <c r="Q6" s="3199">
        <v>0.05</v>
      </c>
      <c r="R6" s="3057">
        <f>SUMIF('数据-汇总表'!C$19:C$33,A6,'数据-汇总表'!R$19:R$33)</f>
        <v>26683.059999999998</v>
      </c>
      <c r="S6" s="78">
        <f>IF('数据-汇总表'!$I$17="按面积比例",SUMIF('数据-汇总表'!C$19:C$33,A6,'数据-汇总表'!K$19:K$33),SUMIF('数据-汇总表'!C$19:C$33,A6,'数据-汇总表'!N$19:N$33))</f>
        <v>3623.92</v>
      </c>
      <c r="T6" s="3060">
        <f>IF($T$4="按面积比例",IF(ISERROR(ROUND($M$14*S6/S$16,0)),"0",ROUND($M$14*S6/S$16,0)),"需自行计算录入")</f>
        <v>725</v>
      </c>
      <c r="U6" s="3061"/>
      <c r="V6" s="3062"/>
      <c r="W6" s="3062"/>
      <c r="X6" s="3063"/>
      <c r="Y6" s="3064">
        <v>1</v>
      </c>
      <c r="Z6" s="3065"/>
      <c r="AA6" s="3056"/>
      <c r="AB6" s="3056"/>
      <c r="AC6" s="3066"/>
      <c r="AD6" s="3067"/>
      <c r="AE6" s="3068">
        <f ca="1">IF(AN6="",0,SUMIF(INDIRECT("'"&amp;AN6&amp;"'"&amp;"!E:E"),$AE$5,INDIRECT("'"&amp;AN6&amp;"'"&amp;"!F:F")))</f>
        <v>0</v>
      </c>
      <c r="AF6" s="134"/>
      <c r="AG6" s="3069">
        <f>IF(AF6="",0,AE6-AF6)</f>
        <v>0</v>
      </c>
      <c r="AH6" s="134"/>
      <c r="AI6" s="149"/>
      <c r="AJ6" s="3070"/>
      <c r="AK6" s="3071"/>
      <c r="AL6" s="3072"/>
      <c r="AM6" s="3073"/>
      <c r="AN6" s="3074"/>
      <c r="AP6" s="1100">
        <f>ROUND(1-1/(1+H6)^F6,3)</f>
        <v>0.93600000000000005</v>
      </c>
    </row>
    <row r="7" spans="1:83">
      <c r="A7" s="3049" t="str">
        <f>'数据-汇总表'!C20</f>
        <v>底商</v>
      </c>
      <c r="B7" s="3050" t="str">
        <f t="shared" ref="B7:B13" si="2">IF(A7=0,"","经营性")</f>
        <v>经营性</v>
      </c>
      <c r="C7" s="3051" t="s">
        <v>2912</v>
      </c>
      <c r="D7" s="3052">
        <f>SUMIF(项目基本情况!D$15:I$15,C7,项目基本情况!D$18:I$18)</f>
        <v>40</v>
      </c>
      <c r="E7" s="3053">
        <f>IF(B7="","",SUMIF(项目基本情况!D$15:I$15,C7,项目基本情况!D$17:I$17))</f>
        <v>57824</v>
      </c>
      <c r="F7" s="3054">
        <f>SUMIF(项目基本情况!D$15:I$15,C7,项目基本情况!D$19:I$19)</f>
        <v>39.950000000000003</v>
      </c>
      <c r="G7" s="3055">
        <f t="shared" si="0"/>
        <v>1</v>
      </c>
      <c r="H7" s="2890">
        <v>0.05</v>
      </c>
      <c r="I7" s="2890">
        <v>5.5E-2</v>
      </c>
      <c r="J7" s="3056">
        <v>8.5000000000000006E-2</v>
      </c>
      <c r="K7" s="3057">
        <f>SUMIF('数据-汇总表'!C$19:C$33,'数据-取费表'!A7,'数据-汇总表'!E$19:E$33)</f>
        <v>421</v>
      </c>
      <c r="L7" s="2891">
        <f>L6</f>
        <v>1700</v>
      </c>
      <c r="M7" s="3058">
        <f t="shared" si="1"/>
        <v>72</v>
      </c>
      <c r="N7" s="2892">
        <v>0</v>
      </c>
      <c r="O7" s="3058">
        <f t="shared" ref="O7:O14" si="3">IF($N$5="成新度","——",ROUND(M7*N7,0))</f>
        <v>0</v>
      </c>
      <c r="P7" s="3059">
        <f t="shared" ref="P7:P14" si="4">IF($N$5="成新度","——",M7-O7)</f>
        <v>72</v>
      </c>
      <c r="Q7" s="3199">
        <v>0.05</v>
      </c>
      <c r="R7" s="3057">
        <f>SUMIF('数据-汇总表'!C$19:C$33,A7,'数据-汇总表'!R$19:R$33)</f>
        <v>190.84</v>
      </c>
      <c r="S7" s="78">
        <f>IF('数据-汇总表'!$I$17="按面积比例",SUMIF('数据-汇总表'!C$19:C$33,A7,'数据-汇总表'!K$19:K$33),SUMIF('数据-汇总表'!C$19:C$33,A7,'数据-汇总表'!N$19:N$33))</f>
        <v>26.47</v>
      </c>
      <c r="T7" s="3060">
        <f t="shared" ref="T7:T13" si="5">IF($T$4="按面积比例",IF(ISERROR(ROUND($M$14*S7/S$16,0)),"0",ROUND($M$14*S7/S$16,0)),"需自行计算录入")</f>
        <v>5</v>
      </c>
      <c r="U7" s="3061">
        <v>2.5</v>
      </c>
      <c r="V7" s="3062">
        <v>0.03</v>
      </c>
      <c r="W7" s="3062">
        <v>0.05</v>
      </c>
      <c r="X7" s="3063"/>
      <c r="Y7" s="3064">
        <v>1</v>
      </c>
      <c r="Z7" s="3065"/>
      <c r="AA7" s="3056"/>
      <c r="AB7" s="3056"/>
      <c r="AC7" s="3066"/>
      <c r="AD7" s="3067"/>
      <c r="AE7" s="3068">
        <f t="shared" ref="AE7:AE13" ca="1" si="6">IF(AN7="",0,SUMIF(INDIRECT("'"&amp;AN7&amp;"'"&amp;"!E:E"),$AE$5,INDIRECT("'"&amp;AN7&amp;"'"&amp;"!F:F")))</f>
        <v>38.950000000000003</v>
      </c>
      <c r="AF7" s="134"/>
      <c r="AG7" s="3069">
        <f t="shared" ref="AG7:AG13" si="7">IF(AF7="",0,AE7-AF7)</f>
        <v>0</v>
      </c>
      <c r="AH7" s="134"/>
      <c r="AI7" s="149">
        <v>365</v>
      </c>
      <c r="AJ7" s="3070"/>
      <c r="AK7" s="3071">
        <v>1.4999999999999999E-2</v>
      </c>
      <c r="AL7" s="3072">
        <v>1.5E-3</v>
      </c>
      <c r="AM7" s="3075">
        <v>0.01</v>
      </c>
      <c r="AN7" s="3074" t="s">
        <v>3005</v>
      </c>
      <c r="AP7" s="1100">
        <f t="shared" ref="AP7:AP13" si="8">ROUND(1-1/(1+H7)^F7,3)</f>
        <v>0.85799999999999998</v>
      </c>
    </row>
    <row r="8" spans="1:83">
      <c r="A8" s="3049" t="str">
        <f>'数据-汇总表'!C21</f>
        <v>地下车库</v>
      </c>
      <c r="B8" s="3050" t="str">
        <f t="shared" si="2"/>
        <v>经营性</v>
      </c>
      <c r="C8" s="3051" t="s">
        <v>2927</v>
      </c>
      <c r="D8" s="3052">
        <f>SUMIF(项目基本情况!D$15:I$15,C8,项目基本情况!D$18:I$18)</f>
        <v>40</v>
      </c>
      <c r="E8" s="3053">
        <f>IF(B8="","",SUMIF(项目基本情况!D$15:I$15,C8,项目基本情况!D$17:I$17))</f>
        <v>57824</v>
      </c>
      <c r="F8" s="3054">
        <f>SUMIF(项目基本情况!D$15:I$15,C8,项目基本情况!D$19:I$19)</f>
        <v>39.950000000000003</v>
      </c>
      <c r="G8" s="3055">
        <f t="shared" si="0"/>
        <v>1</v>
      </c>
      <c r="H8" s="2890">
        <v>4.4999999999999998E-2</v>
      </c>
      <c r="I8" s="2890">
        <v>0.05</v>
      </c>
      <c r="J8" s="3056">
        <v>8.5000000000000006E-2</v>
      </c>
      <c r="K8" s="3057">
        <f>SUMIF('数据-汇总表'!C$19:C$33,'数据-取费表'!A8,'数据-汇总表'!E$19:E$33)</f>
        <v>14467</v>
      </c>
      <c r="L8" s="2891">
        <v>2000</v>
      </c>
      <c r="M8" s="3058">
        <f>ROUND(K8*L8/10000,0)</f>
        <v>2893</v>
      </c>
      <c r="N8" s="2892">
        <v>0</v>
      </c>
      <c r="O8" s="3058">
        <f t="shared" si="3"/>
        <v>0</v>
      </c>
      <c r="P8" s="3059">
        <f t="shared" si="4"/>
        <v>2893</v>
      </c>
      <c r="Q8" s="3199">
        <v>0.03</v>
      </c>
      <c r="R8" s="3057">
        <f>SUMIF('数据-汇总表'!C$19:C$33,A8,'数据-汇总表'!R$19:R$33)</f>
        <v>6557.91</v>
      </c>
      <c r="S8" s="78">
        <f>IF('数据-汇总表'!$I$17="按面积比例",SUMIF('数据-汇总表'!C$19:C$33,A8,'数据-汇总表'!K$19:K$33),SUMIF('数据-汇总表'!C$19:C$33,A8,'数据-汇总表'!N$19:N$33))</f>
        <v>909.61</v>
      </c>
      <c r="T8" s="3060">
        <f t="shared" si="5"/>
        <v>182</v>
      </c>
      <c r="U8" s="3061">
        <v>560</v>
      </c>
      <c r="V8" s="3062">
        <v>0.03</v>
      </c>
      <c r="W8" s="3062">
        <v>0.1</v>
      </c>
      <c r="X8" s="3063"/>
      <c r="Y8" s="3064">
        <v>1</v>
      </c>
      <c r="Z8" s="3065"/>
      <c r="AA8" s="3056"/>
      <c r="AB8" s="3056"/>
      <c r="AC8" s="3066"/>
      <c r="AD8" s="3067"/>
      <c r="AE8" s="3068">
        <f t="shared" ca="1" si="6"/>
        <v>38.950000000000003</v>
      </c>
      <c r="AF8" s="134"/>
      <c r="AG8" s="3069">
        <f t="shared" si="7"/>
        <v>0</v>
      </c>
      <c r="AH8" s="134">
        <v>476</v>
      </c>
      <c r="AI8" s="149">
        <v>12</v>
      </c>
      <c r="AJ8" s="3070"/>
      <c r="AK8" s="3071">
        <v>1.4999999999999999E-2</v>
      </c>
      <c r="AL8" s="3072">
        <v>1.5E-3</v>
      </c>
      <c r="AM8" s="3075">
        <v>0.01</v>
      </c>
      <c r="AN8" s="3074" t="s">
        <v>3267</v>
      </c>
      <c r="AP8" s="1100">
        <f t="shared" si="8"/>
        <v>0.82799999999999996</v>
      </c>
    </row>
    <row r="9" spans="1:83" hidden="1">
      <c r="A9" s="3049">
        <f>'数据-汇总表'!C22</f>
        <v>0</v>
      </c>
      <c r="B9" s="3050" t="str">
        <f t="shared" si="2"/>
        <v/>
      </c>
      <c r="C9" s="3051"/>
      <c r="D9" s="3052">
        <f>SUMIF(项目基本情况!D$15:I$15,C9,项目基本情况!D$18:I$18)</f>
        <v>0</v>
      </c>
      <c r="E9" s="3053" t="str">
        <f>IF(B9="","",SUMIF(项目基本情况!D$15:I$15,C9,项目基本情况!D$17:I$17))</f>
        <v/>
      </c>
      <c r="F9" s="3054">
        <f>SUMIF(项目基本情况!D$15:I$15,C9,项目基本情况!D$19:I$19)</f>
        <v>0</v>
      </c>
      <c r="G9" s="3055">
        <f t="shared" si="0"/>
        <v>0</v>
      </c>
      <c r="H9" s="3056"/>
      <c r="I9" s="3056"/>
      <c r="J9" s="3056"/>
      <c r="K9" s="3057">
        <f>SUMIF('数据-汇总表'!C$19:C$33,'数据-取费表'!A9,'数据-汇总表'!E$19:E$33)</f>
        <v>0</v>
      </c>
      <c r="L9" s="2891"/>
      <c r="M9" s="3058">
        <f t="shared" si="1"/>
        <v>0</v>
      </c>
      <c r="N9" s="2892"/>
      <c r="O9" s="3058">
        <f t="shared" si="3"/>
        <v>0</v>
      </c>
      <c r="P9" s="3059">
        <f t="shared" si="4"/>
        <v>0</v>
      </c>
      <c r="Q9" s="2893"/>
      <c r="R9" s="3057">
        <f>SUMIF('数据-汇总表'!C$19:C$33,A9,'数据-汇总表'!R$19:R$33)</f>
        <v>0</v>
      </c>
      <c r="S9" s="78">
        <f>IF('数据-汇总表'!$I$17="按面积比例",SUMIF('数据-汇总表'!C$19:C$33,A9,'数据-汇总表'!K$19:K$33),SUMIF('数据-汇总表'!C$19:C$33,A9,'数据-汇总表'!N$19:N$33))</f>
        <v>0</v>
      </c>
      <c r="T9" s="3060">
        <f t="shared" si="5"/>
        <v>0</v>
      </c>
      <c r="U9" s="3061"/>
      <c r="V9" s="3062"/>
      <c r="W9" s="3062"/>
      <c r="X9" s="3063"/>
      <c r="Y9" s="3064"/>
      <c r="Z9" s="3065"/>
      <c r="AA9" s="3056"/>
      <c r="AB9" s="3056"/>
      <c r="AC9" s="3066"/>
      <c r="AD9" s="3067"/>
      <c r="AE9" s="3068">
        <f t="shared" ca="1" si="6"/>
        <v>0</v>
      </c>
      <c r="AF9" s="134"/>
      <c r="AG9" s="3069">
        <f t="shared" si="7"/>
        <v>0</v>
      </c>
      <c r="AH9" s="134"/>
      <c r="AI9" s="149"/>
      <c r="AJ9" s="3070"/>
      <c r="AK9" s="3071"/>
      <c r="AL9" s="3072"/>
      <c r="AM9" s="3075"/>
      <c r="AN9" s="3074"/>
      <c r="AP9" s="1100">
        <f t="shared" si="8"/>
        <v>0</v>
      </c>
    </row>
    <row r="10" spans="1:83" hidden="1">
      <c r="A10" s="3049">
        <f>'数据-汇总表'!C23</f>
        <v>0</v>
      </c>
      <c r="B10" s="3050" t="str">
        <f t="shared" si="2"/>
        <v/>
      </c>
      <c r="C10" s="3051"/>
      <c r="D10" s="3052">
        <f>SUMIF(项目基本情况!D$15:I$15,C10,项目基本情况!D$18:I$18)</f>
        <v>0</v>
      </c>
      <c r="E10" s="3053" t="str">
        <f>IF(B10="","",SUMIF(项目基本情况!D$15:I$15,C10,项目基本情况!D$17:I$17))</f>
        <v/>
      </c>
      <c r="F10" s="3054">
        <f>SUMIF(项目基本情况!D$15:I$15,C10,项目基本情况!D$19:I$19)</f>
        <v>0</v>
      </c>
      <c r="G10" s="3055">
        <f t="shared" si="0"/>
        <v>0</v>
      </c>
      <c r="H10" s="3056"/>
      <c r="I10" s="3056"/>
      <c r="J10" s="3056"/>
      <c r="K10" s="3057">
        <f>SUMIF('数据-汇总表'!C$19:C$33,'数据-取费表'!A10,'数据-汇总表'!E$19:E$33)</f>
        <v>0</v>
      </c>
      <c r="L10" s="2891"/>
      <c r="M10" s="3058">
        <f t="shared" si="1"/>
        <v>0</v>
      </c>
      <c r="N10" s="2892"/>
      <c r="O10" s="3058">
        <f t="shared" si="3"/>
        <v>0</v>
      </c>
      <c r="P10" s="3059">
        <f t="shared" si="4"/>
        <v>0</v>
      </c>
      <c r="Q10" s="2893"/>
      <c r="R10" s="3057">
        <f>SUMIF('数据-汇总表'!C$19:C$33,A10,'数据-汇总表'!R$19:R$33)</f>
        <v>0</v>
      </c>
      <c r="S10" s="78">
        <f>IF('数据-汇总表'!$I$17="按面积比例",SUMIF('数据-汇总表'!C$19:C$33,A10,'数据-汇总表'!K$19:K$33),SUMIF('数据-汇总表'!C$19:C$33,A10,'数据-汇总表'!N$19:N$33))</f>
        <v>0</v>
      </c>
      <c r="T10" s="3060">
        <f t="shared" si="5"/>
        <v>0</v>
      </c>
      <c r="U10" s="3061"/>
      <c r="V10" s="3062"/>
      <c r="W10" s="3062"/>
      <c r="X10" s="3063"/>
      <c r="Y10" s="3064"/>
      <c r="Z10" s="3065"/>
      <c r="AA10" s="3056"/>
      <c r="AB10" s="3056"/>
      <c r="AC10" s="3066"/>
      <c r="AD10" s="3067"/>
      <c r="AE10" s="3068">
        <f t="shared" ca="1" si="6"/>
        <v>0</v>
      </c>
      <c r="AF10" s="134"/>
      <c r="AG10" s="3069">
        <f t="shared" si="7"/>
        <v>0</v>
      </c>
      <c r="AH10" s="134"/>
      <c r="AI10" s="149"/>
      <c r="AJ10" s="3070"/>
      <c r="AK10" s="3071"/>
      <c r="AL10" s="3072"/>
      <c r="AM10" s="3075"/>
      <c r="AN10" s="3074"/>
      <c r="AP10" s="1100">
        <f t="shared" si="8"/>
        <v>0</v>
      </c>
    </row>
    <row r="11" spans="1:83" hidden="1">
      <c r="A11" s="3049">
        <f>'数据-汇总表'!C24</f>
        <v>0</v>
      </c>
      <c r="B11" s="3050" t="str">
        <f t="shared" si="2"/>
        <v/>
      </c>
      <c r="C11" s="3051"/>
      <c r="D11" s="3052">
        <f>SUMIF(项目基本情况!D$15:I$15,C11,项目基本情况!D$18:I$18)</f>
        <v>0</v>
      </c>
      <c r="E11" s="3053" t="str">
        <f>IF(B11="","",SUMIF(项目基本情况!D$15:I$15,C11,项目基本情况!D$17:I$17))</f>
        <v/>
      </c>
      <c r="F11" s="3054">
        <f>SUMIF(项目基本情况!D$15:I$15,C11,项目基本情况!D$19:I$19)</f>
        <v>0</v>
      </c>
      <c r="G11" s="3055">
        <f t="shared" si="0"/>
        <v>0</v>
      </c>
      <c r="H11" s="3056"/>
      <c r="I11" s="3056"/>
      <c r="J11" s="3056"/>
      <c r="K11" s="3057">
        <f>SUMIF('数据-汇总表'!C$19:C$33,'数据-取费表'!A11,'数据-汇总表'!E$19:E$33)</f>
        <v>0</v>
      </c>
      <c r="L11" s="2891"/>
      <c r="M11" s="3058">
        <f t="shared" si="1"/>
        <v>0</v>
      </c>
      <c r="N11" s="2892"/>
      <c r="O11" s="3058">
        <f t="shared" si="3"/>
        <v>0</v>
      </c>
      <c r="P11" s="3059">
        <f t="shared" si="4"/>
        <v>0</v>
      </c>
      <c r="Q11" s="2893"/>
      <c r="R11" s="3057">
        <f>SUMIF('数据-汇总表'!C$19:C$33,A11,'数据-汇总表'!R$19:R$33)</f>
        <v>0</v>
      </c>
      <c r="S11" s="78">
        <f>IF('数据-汇总表'!$I$17="按面积比例",SUMIF('数据-汇总表'!C$19:C$33,A11,'数据-汇总表'!K$19:K$33),SUMIF('数据-汇总表'!C$19:C$33,A11,'数据-汇总表'!N$19:N$33))</f>
        <v>0</v>
      </c>
      <c r="T11" s="3060">
        <f t="shared" si="5"/>
        <v>0</v>
      </c>
      <c r="U11" s="3076"/>
      <c r="V11" s="3056"/>
      <c r="W11" s="3056"/>
      <c r="X11" s="3066"/>
      <c r="Y11" s="3064"/>
      <c r="Z11" s="3077"/>
      <c r="AA11" s="3056"/>
      <c r="AB11" s="3056"/>
      <c r="AC11" s="3066"/>
      <c r="AD11" s="3067"/>
      <c r="AE11" s="3068">
        <f t="shared" ca="1" si="6"/>
        <v>0</v>
      </c>
      <c r="AF11" s="134"/>
      <c r="AG11" s="3069">
        <f t="shared" si="7"/>
        <v>0</v>
      </c>
      <c r="AH11" s="134"/>
      <c r="AI11" s="149"/>
      <c r="AJ11" s="3070"/>
      <c r="AK11" s="3078"/>
      <c r="AL11" s="3079"/>
      <c r="AM11" s="3080"/>
      <c r="AN11" s="3074"/>
      <c r="AP11" s="1100">
        <f t="shared" si="8"/>
        <v>0</v>
      </c>
    </row>
    <row r="12" spans="1:83" hidden="1">
      <c r="A12" s="3049">
        <f>'数据-汇总表'!C25</f>
        <v>0</v>
      </c>
      <c r="B12" s="3050" t="str">
        <f t="shared" si="2"/>
        <v/>
      </c>
      <c r="C12" s="3051"/>
      <c r="D12" s="3052">
        <f>SUMIF(项目基本情况!D$15:I$15,C12,项目基本情况!D$18:I$18)</f>
        <v>0</v>
      </c>
      <c r="E12" s="3053" t="str">
        <f>IF(B12="","",SUMIF(项目基本情况!D$15:I$15,C12,项目基本情况!D$17:I$17))</f>
        <v/>
      </c>
      <c r="F12" s="3054">
        <f>SUMIF(项目基本情况!D$15:I$15,C12,项目基本情况!D$19:I$19)</f>
        <v>0</v>
      </c>
      <c r="G12" s="3055">
        <f t="shared" si="0"/>
        <v>0</v>
      </c>
      <c r="H12" s="3056"/>
      <c r="I12" s="3056"/>
      <c r="J12" s="3056"/>
      <c r="K12" s="3057">
        <f>SUMIF('数据-汇总表'!C$19:C$33,'数据-取费表'!A12,'数据-汇总表'!E$19:E$33)</f>
        <v>0</v>
      </c>
      <c r="L12" s="2891"/>
      <c r="M12" s="3058">
        <f>ROUND(K12*L12/10000,0)</f>
        <v>0</v>
      </c>
      <c r="N12" s="2892"/>
      <c r="O12" s="3058">
        <f t="shared" si="3"/>
        <v>0</v>
      </c>
      <c r="P12" s="3059">
        <f t="shared" si="4"/>
        <v>0</v>
      </c>
      <c r="Q12" s="2893"/>
      <c r="R12" s="3057">
        <f>SUMIF('数据-汇总表'!C$19:C$33,A12,'数据-汇总表'!R$19:R$33)</f>
        <v>0</v>
      </c>
      <c r="S12" s="78">
        <f>IF('数据-汇总表'!$I$17="按面积比例",SUMIF('数据-汇总表'!C$19:C$33,A12,'数据-汇总表'!K$19:K$33),SUMIF('数据-汇总表'!C$19:C$33,A12,'数据-汇总表'!N$19:N$33))</f>
        <v>0</v>
      </c>
      <c r="T12" s="3060">
        <f t="shared" si="5"/>
        <v>0</v>
      </c>
      <c r="U12" s="3076"/>
      <c r="V12" s="3056"/>
      <c r="W12" s="3056"/>
      <c r="X12" s="3066"/>
      <c r="Y12" s="3064"/>
      <c r="Z12" s="3077"/>
      <c r="AA12" s="3056"/>
      <c r="AB12" s="3056"/>
      <c r="AC12" s="3066"/>
      <c r="AD12" s="3067"/>
      <c r="AE12" s="3068">
        <f t="shared" ca="1" si="6"/>
        <v>0</v>
      </c>
      <c r="AF12" s="134"/>
      <c r="AG12" s="3069">
        <f t="shared" si="7"/>
        <v>0</v>
      </c>
      <c r="AH12" s="134"/>
      <c r="AI12" s="149"/>
      <c r="AJ12" s="3070"/>
      <c r="AK12" s="3078"/>
      <c r="AL12" s="3079"/>
      <c r="AM12" s="3080"/>
      <c r="AN12" s="3074"/>
      <c r="AP12" s="1100">
        <f t="shared" si="8"/>
        <v>0</v>
      </c>
    </row>
    <row r="13" spans="1:83" hidden="1">
      <c r="A13" s="3049">
        <f>'数据-汇总表'!C26</f>
        <v>0</v>
      </c>
      <c r="B13" s="3050" t="str">
        <f t="shared" si="2"/>
        <v/>
      </c>
      <c r="C13" s="3051"/>
      <c r="D13" s="3052">
        <f>SUMIF(项目基本情况!D$15:I$15,C13,项目基本情况!D$18:I$18)</f>
        <v>0</v>
      </c>
      <c r="E13" s="3053" t="str">
        <f>IF(B13="","",SUMIF(项目基本情况!D$15:I$15,C13,项目基本情况!D$17:I$17))</f>
        <v/>
      </c>
      <c r="F13" s="3054">
        <f>SUMIF(项目基本情况!D$15:I$15,C13,项目基本情况!D$19:I$19)</f>
        <v>0</v>
      </c>
      <c r="G13" s="3055">
        <f t="shared" si="0"/>
        <v>0</v>
      </c>
      <c r="H13" s="3056"/>
      <c r="I13" s="3056"/>
      <c r="J13" s="3056"/>
      <c r="K13" s="3057">
        <f>SUMIF('数据-汇总表'!C$19:C$33,'数据-取费表'!A13,'数据-汇总表'!E$19:E$33)</f>
        <v>0</v>
      </c>
      <c r="L13" s="2891"/>
      <c r="M13" s="3058">
        <f>ROUND(K13*L13/10000,0)</f>
        <v>0</v>
      </c>
      <c r="N13" s="2892"/>
      <c r="O13" s="3058">
        <f t="shared" si="3"/>
        <v>0</v>
      </c>
      <c r="P13" s="3059">
        <f t="shared" si="4"/>
        <v>0</v>
      </c>
      <c r="Q13" s="2893"/>
      <c r="R13" s="3057">
        <f>SUMIF('数据-汇总表'!C$19:C$33,A13,'数据-汇总表'!R$19:R$33)</f>
        <v>0</v>
      </c>
      <c r="S13" s="78">
        <f>IF('数据-汇总表'!$I$17="按面积比例",SUMIF('数据-汇总表'!C$19:C$33,A13,'数据-汇总表'!K$19:K$33),SUMIF('数据-汇总表'!C$19:C$33,A13,'数据-汇总表'!N$19:N$33))</f>
        <v>0</v>
      </c>
      <c r="T13" s="3060">
        <f t="shared" si="5"/>
        <v>0</v>
      </c>
      <c r="U13" s="3061"/>
      <c r="V13" s="3062"/>
      <c r="W13" s="3062"/>
      <c r="X13" s="3063"/>
      <c r="Y13" s="3064"/>
      <c r="Z13" s="3065"/>
      <c r="AA13" s="3056"/>
      <c r="AB13" s="3056"/>
      <c r="AC13" s="3066"/>
      <c r="AD13" s="3067"/>
      <c r="AE13" s="3068">
        <f t="shared" ca="1" si="6"/>
        <v>0</v>
      </c>
      <c r="AF13" s="134"/>
      <c r="AG13" s="3069">
        <f t="shared" si="7"/>
        <v>0</v>
      </c>
      <c r="AH13" s="134"/>
      <c r="AI13" s="149"/>
      <c r="AJ13" s="3070"/>
      <c r="AK13" s="3071"/>
      <c r="AL13" s="3072"/>
      <c r="AM13" s="3075"/>
      <c r="AN13" s="3074"/>
      <c r="AP13" s="1100">
        <f t="shared" si="8"/>
        <v>0</v>
      </c>
    </row>
    <row r="14" spans="1:83">
      <c r="A14" s="3081" t="s">
        <v>2245</v>
      </c>
      <c r="B14" s="375" t="s">
        <v>1612</v>
      </c>
      <c r="C14" s="3082" t="s">
        <v>2245</v>
      </c>
      <c r="D14" s="3052"/>
      <c r="E14" s="3053"/>
      <c r="F14" s="3054"/>
      <c r="G14" s="3055"/>
      <c r="H14" s="3083"/>
      <c r="I14" s="3083"/>
      <c r="J14" s="3083"/>
      <c r="K14" s="3057">
        <f>SUMIF('数据-汇总表'!C$19:C$33,'数据-取费表'!A14,'数据-汇总表'!E$19:E$33)</f>
        <v>4560</v>
      </c>
      <c r="L14" s="2891">
        <f>L8</f>
        <v>2000</v>
      </c>
      <c r="M14" s="3058">
        <f t="shared" si="1"/>
        <v>912</v>
      </c>
      <c r="N14" s="2892">
        <v>0</v>
      </c>
      <c r="O14" s="3058">
        <f t="shared" si="3"/>
        <v>0</v>
      </c>
      <c r="P14" s="3059">
        <f t="shared" si="4"/>
        <v>912</v>
      </c>
      <c r="Q14" s="3084"/>
      <c r="R14" s="3057"/>
      <c r="S14" s="78"/>
      <c r="T14" s="3085"/>
      <c r="U14" s="3086"/>
      <c r="V14" s="3087"/>
      <c r="W14" s="3087"/>
      <c r="X14" s="3063"/>
      <c r="Y14" s="3088"/>
      <c r="Z14" s="3089"/>
      <c r="AA14" s="3090"/>
      <c r="AB14" s="3090"/>
      <c r="AC14" s="3066"/>
      <c r="AD14" s="3063"/>
      <c r="AE14" s="3068"/>
      <c r="AF14" s="52"/>
      <c r="AG14" s="3069"/>
      <c r="AH14" s="52"/>
      <c r="AI14" s="390"/>
      <c r="AJ14" s="390"/>
      <c r="AK14" s="260"/>
      <c r="AL14" s="3091"/>
      <c r="AM14" s="709"/>
      <c r="AP14" s="1101"/>
    </row>
    <row r="15" spans="1:83">
      <c r="A15" s="3092" t="s">
        <v>2247</v>
      </c>
      <c r="B15" s="375" t="s">
        <v>1612</v>
      </c>
      <c r="C15" s="3082" t="s">
        <v>2246</v>
      </c>
      <c r="D15" s="3052"/>
      <c r="E15" s="3053"/>
      <c r="F15" s="3054"/>
      <c r="G15" s="3055"/>
      <c r="H15" s="3083"/>
      <c r="I15" s="3083"/>
      <c r="J15" s="3083"/>
      <c r="K15" s="3057">
        <f>SUMIF('数据-汇总表'!C$19:C$33,'数据-取费表'!A15,'数据-汇总表'!E$19:E$33)</f>
        <v>1304</v>
      </c>
      <c r="L15" s="2713"/>
      <c r="M15" s="3058"/>
      <c r="N15" s="2714"/>
      <c r="O15" s="3058"/>
      <c r="P15" s="3059"/>
      <c r="Q15" s="3084"/>
      <c r="R15" s="3057"/>
      <c r="S15" s="78"/>
      <c r="T15" s="3085"/>
      <c r="U15" s="3086"/>
      <c r="V15" s="3087"/>
      <c r="W15" s="3087"/>
      <c r="X15" s="3063"/>
      <c r="Y15" s="3088"/>
      <c r="Z15" s="3089"/>
      <c r="AA15" s="3090"/>
      <c r="AB15" s="3090"/>
      <c r="AC15" s="3066"/>
      <c r="AD15" s="3063"/>
      <c r="AE15" s="3068"/>
      <c r="AF15" s="52"/>
      <c r="AG15" s="3069"/>
      <c r="AH15" s="52"/>
      <c r="AI15" s="390"/>
      <c r="AJ15" s="390"/>
      <c r="AK15" s="260"/>
      <c r="AL15" s="3091"/>
      <c r="AM15" s="709"/>
      <c r="AP15" s="1101"/>
    </row>
    <row r="16" spans="1:83" ht="13.5" thickBot="1">
      <c r="A16" s="3093" t="s">
        <v>2961</v>
      </c>
      <c r="B16" s="3094"/>
      <c r="C16" s="3095"/>
      <c r="D16" s="3096"/>
      <c r="E16" s="3094"/>
      <c r="F16" s="3094"/>
      <c r="G16" s="3097">
        <f>ROUND(SUMPRODUCT(G6:G13,K6:K13)/SUMPRODUCT((G6:G13&gt;0)*(K6:K13)),3)</f>
        <v>1</v>
      </c>
      <c r="H16" s="3098">
        <f>ROUND(SUMPRODUCT(H6:H13,K6:K13)/SUMPRODUCT((H6:H13&gt;0)*(K6:K13)),3)</f>
        <v>4.1000000000000002E-2</v>
      </c>
      <c r="I16" s="3099"/>
      <c r="J16" s="3099"/>
      <c r="K16" s="3100">
        <f>SUM(K6:K15)</f>
        <v>78389</v>
      </c>
      <c r="L16" s="3101">
        <f>ROUND(M16*10000/SUM(K6:K14),0)</f>
        <v>1774</v>
      </c>
      <c r="M16" s="3101">
        <f>SUM(M6:M14)</f>
        <v>13675</v>
      </c>
      <c r="N16" s="3102">
        <f>ROUND(SUMPRODUCT(M6:M14,N6:N14)/M16,3)</f>
        <v>0</v>
      </c>
      <c r="O16" s="3101">
        <f>SUM(O6:O14)</f>
        <v>0</v>
      </c>
      <c r="P16" s="3101">
        <f>SUM(P6:P14)</f>
        <v>13675</v>
      </c>
      <c r="Q16" s="3103">
        <f>ROUND(SUMPRODUCT(Q6:Q13,K6:K13)/SUMPRODUCT((Q6:Q13&gt;0)*(K6:K13)),2)</f>
        <v>0.05</v>
      </c>
      <c r="R16" s="3104">
        <f>SUM(R6:R13)</f>
        <v>33431.81</v>
      </c>
      <c r="S16" s="3105">
        <f>SUM(S6:S13)</f>
        <v>4560</v>
      </c>
      <c r="T16" s="3106">
        <f>IF(SUMIF(T6:T13,"&lt;9E307")=M14,SUMIF(T6:T13,"&lt;9E307"),"有误，请检查")</f>
        <v>912</v>
      </c>
      <c r="U16" s="3107"/>
      <c r="V16" s="726"/>
      <c r="W16" s="726"/>
      <c r="X16" s="2687"/>
      <c r="Y16" s="3108"/>
      <c r="Z16" s="3109"/>
      <c r="AA16" s="726"/>
      <c r="AB16" s="726"/>
      <c r="AC16" s="2687"/>
      <c r="AD16" s="2687"/>
      <c r="AE16" s="3107"/>
      <c r="AF16" s="726"/>
      <c r="AG16" s="3108"/>
      <c r="AH16" s="726"/>
      <c r="AI16" s="3109"/>
      <c r="AJ16" s="3109"/>
      <c r="AK16" s="726"/>
      <c r="AL16" s="726"/>
      <c r="AM16" s="3108"/>
      <c r="AP16" s="1100">
        <f>ROUND(SUMPRODUCT(AP6:AP13,K6:K13)/SUMPRODUCT((AP6:AP13&gt;0)*(K6:K13)),3)</f>
        <v>0.91400000000000003</v>
      </c>
    </row>
    <row r="17" spans="1:83" ht="13.5" thickBot="1">
      <c r="A17" s="1103"/>
      <c r="B17" s="1100"/>
      <c r="C17" s="1869"/>
      <c r="D17" s="1870"/>
      <c r="E17" s="1870"/>
      <c r="F17" s="1869"/>
      <c r="G17" s="1869"/>
      <c r="H17" s="1869"/>
      <c r="I17" s="1869"/>
      <c r="J17" s="1869"/>
      <c r="K17" s="1871"/>
      <c r="L17" s="1871"/>
      <c r="M17" s="1869"/>
      <c r="N17" s="1869"/>
      <c r="O17" s="1869"/>
      <c r="P17" s="1869"/>
      <c r="Q17" s="1869"/>
      <c r="R17" s="1869"/>
      <c r="S17" s="1869"/>
      <c r="T17" s="1869"/>
      <c r="U17" s="1869">
        <f ca="1">'不动产收益法 (地下车库)'!C43*30</f>
        <v>91290</v>
      </c>
      <c r="V17" s="1869"/>
      <c r="W17" s="1869"/>
      <c r="X17" s="1869"/>
      <c r="Y17" s="1869"/>
      <c r="Z17" s="1869"/>
      <c r="AA17" s="1869"/>
      <c r="AB17" s="1869"/>
      <c r="AC17" s="1869"/>
      <c r="AD17" s="1869"/>
      <c r="AE17" s="1869"/>
      <c r="AF17" s="1869"/>
      <c r="AG17" s="1869"/>
      <c r="AH17" s="1869"/>
      <c r="AI17" s="1869"/>
      <c r="AJ17" s="1869"/>
      <c r="AK17" s="1869"/>
      <c r="AL17" s="1869"/>
      <c r="AM17" s="1869"/>
    </row>
    <row r="18" spans="1:83" ht="13.5" thickBot="1">
      <c r="A18" s="3015" t="s">
        <v>2962</v>
      </c>
      <c r="B18" s="1100"/>
      <c r="C18" s="1869"/>
      <c r="D18" s="1870"/>
      <c r="E18" s="1869"/>
      <c r="F18" s="1869"/>
      <c r="G18" s="1869"/>
      <c r="H18" s="1869"/>
      <c r="I18" s="1869"/>
      <c r="J18" s="1869"/>
      <c r="K18" s="3196" t="s">
        <v>3279</v>
      </c>
      <c r="L18" s="3197"/>
      <c r="M18" s="3198"/>
      <c r="N18" s="1869"/>
      <c r="O18" s="1869"/>
      <c r="P18" s="1869"/>
      <c r="Q18" s="1869"/>
      <c r="R18" s="1869"/>
      <c r="S18" s="1869"/>
      <c r="T18" s="1869"/>
      <c r="U18" s="1869"/>
      <c r="V18" s="1869"/>
      <c r="W18" s="1869"/>
      <c r="X18" s="1869"/>
      <c r="Y18" s="1869"/>
      <c r="Z18" s="1869"/>
      <c r="AA18" s="1869"/>
      <c r="AB18" s="1869"/>
      <c r="AC18" s="1869"/>
      <c r="AD18" s="1869"/>
      <c r="AE18" s="1869"/>
      <c r="AF18" s="1869"/>
      <c r="AG18" s="1869"/>
      <c r="AH18" s="1869"/>
      <c r="AI18" s="1869"/>
      <c r="AJ18" s="1869"/>
      <c r="AK18" s="1869"/>
      <c r="AL18" s="1869"/>
      <c r="AM18" s="1869"/>
    </row>
    <row r="19" spans="1:83">
      <c r="A19" s="3110" t="s">
        <v>2963</v>
      </c>
      <c r="B19" s="3111">
        <v>0</v>
      </c>
      <c r="C19" s="3112" t="s">
        <v>2267</v>
      </c>
      <c r="D19" s="1870"/>
      <c r="E19" s="1869"/>
      <c r="F19" s="1869"/>
      <c r="G19" s="1869"/>
      <c r="H19" s="1869"/>
      <c r="I19" s="1869"/>
      <c r="J19" s="1869"/>
      <c r="K19" s="1871"/>
      <c r="L19" s="1871"/>
      <c r="M19" s="1869"/>
      <c r="N19" s="1869"/>
      <c r="O19" s="1869"/>
      <c r="P19" s="1869"/>
      <c r="Q19" s="1869"/>
      <c r="R19" s="1869"/>
      <c r="S19" s="1869"/>
      <c r="T19" s="1869"/>
      <c r="U19" s="1869"/>
      <c r="V19" s="1869"/>
      <c r="W19" s="1869"/>
      <c r="X19" s="1869"/>
      <c r="Y19" s="1869"/>
      <c r="Z19" s="1869"/>
      <c r="AA19" s="1869"/>
      <c r="AB19" s="1869"/>
      <c r="AC19" s="1869"/>
      <c r="AD19" s="1869"/>
      <c r="AE19" s="1869"/>
      <c r="AF19" s="1869"/>
      <c r="AG19" s="1869"/>
      <c r="AH19" s="1869"/>
      <c r="AI19" s="1869"/>
      <c r="AJ19" s="1869"/>
      <c r="AK19" s="1869"/>
      <c r="AL19" s="1869"/>
      <c r="AM19" s="1869"/>
    </row>
    <row r="20" spans="1:83">
      <c r="A20" s="3113" t="s">
        <v>2964</v>
      </c>
      <c r="B20" s="3188">
        <v>1</v>
      </c>
      <c r="C20" s="3112" t="s">
        <v>2266</v>
      </c>
      <c r="D20" s="1870"/>
      <c r="E20" s="1869"/>
      <c r="F20" s="1869"/>
      <c r="G20" s="1869"/>
      <c r="H20" s="1869"/>
      <c r="I20" s="1869"/>
      <c r="J20" s="1869"/>
      <c r="K20" s="3292" t="s">
        <v>3273</v>
      </c>
      <c r="L20" s="3293" t="s">
        <v>3274</v>
      </c>
      <c r="M20" s="3294"/>
      <c r="N20" s="3295"/>
      <c r="O20" s="1869"/>
      <c r="P20" s="1869"/>
      <c r="Q20" s="1869"/>
      <c r="R20" s="1869"/>
      <c r="S20" s="1869"/>
      <c r="T20" s="1869"/>
      <c r="U20" s="1869"/>
      <c r="V20" s="1869"/>
      <c r="W20" s="1869"/>
      <c r="X20" s="1869"/>
      <c r="Y20" s="1869"/>
      <c r="Z20" s="1869"/>
      <c r="AA20" s="1869"/>
      <c r="AB20" s="1869"/>
      <c r="AC20" s="1869"/>
      <c r="AD20" s="1869"/>
      <c r="AE20" s="1869"/>
      <c r="AF20" s="1869"/>
      <c r="AG20" s="1869"/>
      <c r="AH20" s="1869"/>
      <c r="AI20" s="1869"/>
      <c r="AJ20" s="1869"/>
      <c r="AK20" s="1869"/>
      <c r="AL20" s="1869"/>
      <c r="AM20" s="1869"/>
    </row>
    <row r="21" spans="1:83">
      <c r="A21" s="3115" t="s">
        <v>2965</v>
      </c>
      <c r="B21" s="3114">
        <v>0</v>
      </c>
      <c r="C21" s="1869"/>
      <c r="D21" s="1870"/>
      <c r="E21" s="1869"/>
      <c r="F21" s="1869"/>
      <c r="G21" s="1869"/>
      <c r="H21" s="1869"/>
      <c r="I21" s="1869"/>
      <c r="J21" s="1869"/>
      <c r="K21" s="3292"/>
      <c r="L21" s="3189" t="s">
        <v>3275</v>
      </c>
      <c r="M21" s="3190" t="s">
        <v>3276</v>
      </c>
      <c r="N21" s="3191" t="s">
        <v>3235</v>
      </c>
      <c r="O21" s="1869"/>
      <c r="P21" s="1869"/>
      <c r="Q21" s="1869"/>
      <c r="R21" s="1869"/>
      <c r="S21" s="1869"/>
      <c r="T21" s="1869"/>
      <c r="U21" s="1869"/>
      <c r="V21" s="1869"/>
      <c r="W21" s="1869"/>
      <c r="X21" s="1869"/>
      <c r="Y21" s="1869"/>
      <c r="Z21" s="1869"/>
      <c r="AA21" s="1869"/>
      <c r="AB21" s="1869"/>
      <c r="AC21" s="1869"/>
      <c r="AD21" s="1869"/>
      <c r="AE21" s="1869"/>
      <c r="AF21" s="1869"/>
      <c r="AG21" s="1869"/>
      <c r="AH21" s="1869"/>
      <c r="AI21" s="1869"/>
      <c r="AJ21" s="1869"/>
      <c r="AK21" s="1869"/>
      <c r="AL21" s="1869"/>
      <c r="AM21" s="1869"/>
    </row>
    <row r="22" spans="1:83">
      <c r="A22" s="3113" t="s">
        <v>2966</v>
      </c>
      <c r="B22" s="3116">
        <f>B19+B20</f>
        <v>1</v>
      </c>
      <c r="C22" s="1869"/>
      <c r="D22" s="1870"/>
      <c r="E22" s="1869"/>
      <c r="F22" s="1869"/>
      <c r="G22" s="1869"/>
      <c r="H22" s="1869"/>
      <c r="I22" s="1869"/>
      <c r="J22" s="1869"/>
      <c r="K22" s="3192" t="s">
        <v>3277</v>
      </c>
      <c r="L22" s="3193" t="s">
        <v>3278</v>
      </c>
      <c r="M22" s="3194">
        <v>1744</v>
      </c>
      <c r="N22" s="3195">
        <v>1713</v>
      </c>
      <c r="O22" s="1869"/>
      <c r="P22" s="1869"/>
      <c r="Q22" s="1869"/>
      <c r="R22" s="1869"/>
      <c r="S22" s="1869"/>
      <c r="T22" s="1869"/>
      <c r="U22" s="1869"/>
      <c r="V22" s="1869"/>
      <c r="W22" s="1869"/>
      <c r="X22" s="1869"/>
      <c r="Y22" s="1869"/>
      <c r="Z22" s="1869"/>
      <c r="AA22" s="1869"/>
      <c r="AB22" s="1869"/>
      <c r="AC22" s="1869"/>
      <c r="AD22" s="1869"/>
      <c r="AE22" s="1869"/>
      <c r="AF22" s="1869"/>
      <c r="AG22" s="1869"/>
      <c r="AH22" s="1869"/>
      <c r="AI22" s="1869"/>
      <c r="AJ22" s="1869"/>
      <c r="AK22" s="1869"/>
      <c r="AL22" s="1869"/>
      <c r="AM22" s="1869"/>
    </row>
    <row r="23" spans="1:83">
      <c r="A23" s="3115" t="s">
        <v>2967</v>
      </c>
      <c r="B23" s="3116">
        <f>B19+B21</f>
        <v>0</v>
      </c>
      <c r="C23" s="1869"/>
      <c r="D23" s="1870"/>
      <c r="E23" s="1869"/>
      <c r="F23" s="1869"/>
      <c r="G23" s="1869"/>
      <c r="H23" s="1869"/>
      <c r="I23" s="1869"/>
      <c r="J23" s="1869"/>
      <c r="K23" s="1871"/>
      <c r="L23" s="1871"/>
      <c r="M23" s="1869"/>
      <c r="N23" s="1869"/>
      <c r="O23" s="1869"/>
      <c r="P23" s="1869"/>
      <c r="Q23" s="1869"/>
      <c r="R23" s="1869"/>
      <c r="S23" s="1869"/>
      <c r="T23" s="1869"/>
      <c r="U23" s="1869"/>
      <c r="V23" s="1869"/>
      <c r="W23" s="1869"/>
      <c r="X23" s="1869"/>
      <c r="Y23" s="1869"/>
      <c r="Z23" s="1869"/>
      <c r="AA23" s="1869"/>
      <c r="AB23" s="1869"/>
      <c r="AC23" s="1869"/>
      <c r="AD23" s="1869"/>
      <c r="AE23" s="1869"/>
      <c r="AF23" s="1869"/>
      <c r="AG23" s="1869"/>
      <c r="AH23" s="1869"/>
      <c r="AI23" s="1869"/>
      <c r="AJ23" s="1869"/>
      <c r="AK23" s="1869"/>
      <c r="AL23" s="1869"/>
      <c r="AM23" s="1869"/>
    </row>
    <row r="24" spans="1:83" ht="13.5" thickBot="1">
      <c r="A24" s="3117" t="s">
        <v>2968</v>
      </c>
      <c r="B24" s="3118">
        <f>B20-B21</f>
        <v>1</v>
      </c>
      <c r="C24" s="1869"/>
      <c r="D24" s="1870"/>
      <c r="E24" s="1869"/>
      <c r="F24" s="1869"/>
      <c r="G24" s="1869"/>
      <c r="H24" s="1869"/>
      <c r="I24" s="1869"/>
      <c r="J24" s="1869"/>
      <c r="K24" s="1871"/>
      <c r="L24" s="1871"/>
      <c r="M24" s="1869"/>
      <c r="N24" s="1869"/>
      <c r="O24" s="1869"/>
      <c r="P24" s="1869"/>
      <c r="Q24" s="1869"/>
      <c r="R24" s="1869"/>
      <c r="S24" s="1869"/>
      <c r="T24" s="1869"/>
      <c r="U24" s="1869"/>
      <c r="V24" s="1869"/>
      <c r="W24" s="1869"/>
      <c r="X24" s="1869"/>
      <c r="Y24" s="1869"/>
      <c r="Z24" s="1869"/>
      <c r="AA24" s="1869"/>
      <c r="AB24" s="1869"/>
      <c r="AC24" s="1869"/>
      <c r="AD24" s="1869"/>
      <c r="AE24" s="1869"/>
      <c r="AF24" s="1869"/>
      <c r="AG24" s="1869"/>
      <c r="AH24" s="1869"/>
      <c r="AI24" s="1869"/>
      <c r="AJ24" s="1869"/>
      <c r="AK24" s="1869"/>
      <c r="AL24" s="1869"/>
      <c r="AM24" s="1869"/>
    </row>
    <row r="25" spans="1:83" ht="13.5" thickBot="1">
      <c r="A25" s="3014"/>
      <c r="B25" s="1100"/>
      <c r="C25" s="1869"/>
      <c r="D25" s="1870"/>
      <c r="E25" s="1869"/>
      <c r="F25" s="1869"/>
      <c r="G25" s="1869"/>
      <c r="H25" s="1869"/>
      <c r="I25" s="1869"/>
      <c r="J25" s="1869"/>
      <c r="K25" s="1871"/>
      <c r="L25" s="1871"/>
      <c r="M25" s="1869"/>
      <c r="N25" s="1869"/>
      <c r="O25" s="1869"/>
      <c r="P25" s="1869"/>
      <c r="Q25" s="1869"/>
      <c r="R25" s="1869"/>
      <c r="S25" s="1869"/>
      <c r="T25" s="1869"/>
      <c r="U25" s="1869"/>
      <c r="V25" s="1869"/>
      <c r="W25" s="1869"/>
      <c r="X25" s="1869"/>
      <c r="Y25" s="1869"/>
      <c r="Z25" s="1869"/>
      <c r="AA25" s="1869"/>
      <c r="AB25" s="1869"/>
      <c r="AC25" s="1869"/>
      <c r="AD25" s="1869"/>
      <c r="AE25" s="1869"/>
      <c r="AF25" s="1869"/>
      <c r="AG25" s="1869"/>
      <c r="AH25" s="1869"/>
      <c r="AI25" s="1869"/>
      <c r="AJ25" s="1869"/>
      <c r="AK25" s="1869"/>
      <c r="AL25" s="1869"/>
      <c r="AM25" s="1869"/>
    </row>
    <row r="26" spans="1:83" ht="13.5" thickBot="1">
      <c r="A26" s="3012" t="s">
        <v>2969</v>
      </c>
      <c r="B26" s="3119" t="s">
        <v>2970</v>
      </c>
      <c r="C26" s="3120" t="s">
        <v>2971</v>
      </c>
      <c r="D26" s="1870"/>
      <c r="E26" s="1869"/>
      <c r="F26" s="1869"/>
      <c r="G26" s="1869"/>
      <c r="H26" s="1869"/>
      <c r="I26" s="1869"/>
      <c r="J26" s="1869"/>
      <c r="K26" s="1871"/>
      <c r="L26" s="1871"/>
      <c r="M26" s="1869"/>
      <c r="N26" s="1869"/>
      <c r="O26" s="1869"/>
      <c r="P26" s="1869"/>
      <c r="Q26" s="1869"/>
      <c r="R26" s="1869"/>
      <c r="S26" s="1869"/>
      <c r="T26" s="1869"/>
      <c r="U26" s="1869"/>
      <c r="V26" s="1869"/>
      <c r="W26" s="1869"/>
      <c r="X26" s="1869"/>
      <c r="Y26" s="1869"/>
      <c r="Z26" s="1869"/>
      <c r="AA26" s="1869"/>
      <c r="AB26" s="1869"/>
      <c r="AC26" s="1869"/>
      <c r="AD26" s="1869"/>
      <c r="AE26" s="1869"/>
      <c r="AF26" s="1869"/>
      <c r="AG26" s="1869"/>
      <c r="AH26" s="1869"/>
      <c r="AI26" s="1869"/>
      <c r="AJ26" s="1869"/>
      <c r="AK26" s="1869"/>
      <c r="AL26" s="1869"/>
      <c r="AM26" s="1869"/>
    </row>
    <row r="27" spans="1:83" s="1104" customFormat="1">
      <c r="A27" s="3121" t="s">
        <v>2972</v>
      </c>
      <c r="B27" s="151">
        <v>30</v>
      </c>
      <c r="C27" s="3122" t="s">
        <v>2973</v>
      </c>
      <c r="D27" s="3123"/>
      <c r="E27" s="1871"/>
      <c r="F27" s="1871"/>
      <c r="G27" s="1869"/>
      <c r="H27" s="1869"/>
      <c r="I27" s="1869"/>
      <c r="J27" s="1869"/>
      <c r="K27" s="1871"/>
      <c r="L27" s="1871"/>
      <c r="M27" s="1869"/>
      <c r="N27" s="1869"/>
      <c r="O27" s="1869"/>
      <c r="P27" s="1869"/>
      <c r="Q27" s="1869"/>
      <c r="R27" s="1869"/>
      <c r="S27" s="1869"/>
      <c r="T27" s="1869"/>
      <c r="U27" s="1869"/>
      <c r="V27" s="1869"/>
      <c r="W27" s="1869"/>
      <c r="X27" s="1869"/>
      <c r="Y27" s="1869"/>
      <c r="Z27" s="1869"/>
      <c r="AA27" s="1869"/>
      <c r="AB27" s="1869"/>
      <c r="AC27" s="1869"/>
      <c r="AD27" s="1869"/>
      <c r="AE27" s="1869"/>
      <c r="AF27" s="1869"/>
      <c r="AG27" s="1869"/>
      <c r="AH27" s="1869"/>
      <c r="AI27" s="1869"/>
      <c r="AJ27" s="1869"/>
      <c r="AK27" s="1869"/>
      <c r="AL27" s="1869"/>
      <c r="AM27" s="1869"/>
      <c r="AN27" s="1873"/>
      <c r="AO27" s="1873"/>
      <c r="AP27" s="1873"/>
      <c r="AQ27" s="1873"/>
      <c r="AR27" s="1873"/>
      <c r="AS27" s="1873"/>
      <c r="AT27" s="1873"/>
      <c r="AU27" s="1873"/>
      <c r="AV27" s="1873"/>
      <c r="AW27" s="1873"/>
      <c r="AX27" s="1873"/>
      <c r="AY27" s="1873"/>
      <c r="AZ27" s="1873"/>
      <c r="BA27" s="1873"/>
      <c r="BB27" s="1873"/>
      <c r="BC27" s="1873"/>
      <c r="BD27" s="1873"/>
      <c r="BE27" s="1873"/>
      <c r="BF27" s="1873"/>
      <c r="BG27" s="1873"/>
      <c r="BH27" s="1873"/>
      <c r="BI27" s="1873"/>
      <c r="BJ27" s="1873"/>
      <c r="BK27" s="1873"/>
      <c r="BL27" s="1873"/>
      <c r="BM27" s="1873"/>
      <c r="BN27" s="1873"/>
      <c r="BO27" s="1873"/>
      <c r="BP27" s="1873"/>
      <c r="BQ27" s="1873"/>
      <c r="BR27" s="1873"/>
      <c r="BS27" s="1873"/>
      <c r="BT27" s="1873"/>
      <c r="BU27" s="1873"/>
      <c r="BV27" s="1873"/>
      <c r="BW27" s="1873"/>
      <c r="BX27" s="1873"/>
      <c r="BY27" s="1873"/>
      <c r="BZ27" s="1873"/>
      <c r="CA27" s="1873"/>
      <c r="CB27" s="1873"/>
      <c r="CC27" s="1873"/>
      <c r="CD27" s="1873"/>
      <c r="CE27" s="1873"/>
    </row>
    <row r="28" spans="1:83" s="1104" customFormat="1" ht="24.75">
      <c r="A28" s="3124" t="s">
        <v>2974</v>
      </c>
      <c r="B28" s="152">
        <v>80</v>
      </c>
      <c r="C28" s="3122" t="s">
        <v>3006</v>
      </c>
      <c r="D28" s="3123"/>
      <c r="E28" s="1871"/>
      <c r="F28" s="1871"/>
      <c r="G28" s="1869"/>
      <c r="H28" s="1869"/>
      <c r="I28" s="1869"/>
      <c r="J28" s="1869"/>
      <c r="K28" s="1871"/>
      <c r="L28" s="1871"/>
      <c r="M28" s="1869"/>
      <c r="N28" s="1869"/>
      <c r="O28" s="1869"/>
      <c r="P28" s="1869"/>
      <c r="Q28" s="1869"/>
      <c r="R28" s="1869"/>
      <c r="S28" s="1869"/>
      <c r="T28" s="1869"/>
      <c r="U28" s="1869"/>
      <c r="V28" s="1869"/>
      <c r="W28" s="1869"/>
      <c r="X28" s="1869"/>
      <c r="Y28" s="1869"/>
      <c r="Z28" s="1869"/>
      <c r="AA28" s="1869"/>
      <c r="AB28" s="1869"/>
      <c r="AC28" s="1869"/>
      <c r="AD28" s="1869"/>
      <c r="AE28" s="1869"/>
      <c r="AF28" s="1869"/>
      <c r="AG28" s="1869"/>
      <c r="AH28" s="1869"/>
      <c r="AI28" s="1869"/>
      <c r="AJ28" s="1869"/>
      <c r="AK28" s="1869"/>
      <c r="AL28" s="1869"/>
      <c r="AM28" s="1869"/>
      <c r="AN28" s="1873"/>
      <c r="AO28" s="1873"/>
      <c r="AP28" s="1873"/>
      <c r="AQ28" s="1873"/>
      <c r="AR28" s="1873"/>
      <c r="AS28" s="1873"/>
      <c r="AT28" s="1873"/>
      <c r="AU28" s="1873"/>
      <c r="AV28" s="1873"/>
      <c r="AW28" s="1873"/>
      <c r="AX28" s="1873"/>
      <c r="AY28" s="1873"/>
      <c r="AZ28" s="1873"/>
      <c r="BA28" s="1873"/>
      <c r="BB28" s="1873"/>
      <c r="BC28" s="1873"/>
      <c r="BD28" s="1873"/>
      <c r="BE28" s="1873"/>
      <c r="BF28" s="1873"/>
      <c r="BG28" s="1873"/>
      <c r="BH28" s="1873"/>
      <c r="BI28" s="1873"/>
      <c r="BJ28" s="1873"/>
      <c r="BK28" s="1873"/>
      <c r="BL28" s="1873"/>
      <c r="BM28" s="1873"/>
      <c r="BN28" s="1873"/>
      <c r="BO28" s="1873"/>
      <c r="BP28" s="1873"/>
      <c r="BQ28" s="1873"/>
      <c r="BR28" s="1873"/>
      <c r="BS28" s="1873"/>
      <c r="BT28" s="1873"/>
      <c r="BU28" s="1873"/>
      <c r="BV28" s="1873"/>
      <c r="BW28" s="1873"/>
      <c r="BX28" s="1873"/>
      <c r="BY28" s="1873"/>
      <c r="BZ28" s="1873"/>
      <c r="CA28" s="1873"/>
      <c r="CB28" s="1873"/>
      <c r="CC28" s="1873"/>
      <c r="CD28" s="1873"/>
      <c r="CE28" s="1873"/>
    </row>
    <row r="29" spans="1:83" s="1104" customFormat="1" ht="25.5" thickBot="1">
      <c r="A29" s="3126" t="s">
        <v>2975</v>
      </c>
      <c r="B29" s="153">
        <v>0</v>
      </c>
      <c r="C29" s="3127" t="s">
        <v>2268</v>
      </c>
      <c r="D29" s="3123"/>
      <c r="E29" s="1871"/>
      <c r="F29" s="1871"/>
      <c r="G29" s="1869"/>
      <c r="H29" s="1869"/>
      <c r="I29" s="1869"/>
      <c r="J29" s="1869"/>
      <c r="K29" s="1871"/>
      <c r="L29" s="1871"/>
      <c r="M29" s="1869"/>
      <c r="N29" s="1869"/>
      <c r="O29" s="1869"/>
      <c r="P29" s="1869"/>
      <c r="Q29" s="1869"/>
      <c r="R29" s="1869"/>
      <c r="S29" s="1869"/>
      <c r="T29" s="1869"/>
      <c r="U29" s="1869"/>
      <c r="V29" s="1869"/>
      <c r="W29" s="1869"/>
      <c r="X29" s="1869"/>
      <c r="Y29" s="1869"/>
      <c r="Z29" s="1869"/>
      <c r="AA29" s="1869"/>
      <c r="AB29" s="1869"/>
      <c r="AC29" s="1869"/>
      <c r="AD29" s="1869"/>
      <c r="AE29" s="1869"/>
      <c r="AF29" s="1869"/>
      <c r="AG29" s="1869"/>
      <c r="AH29" s="1869"/>
      <c r="AI29" s="1869"/>
      <c r="AJ29" s="1869"/>
      <c r="AK29" s="1869"/>
      <c r="AL29" s="1869"/>
      <c r="AM29" s="1869"/>
      <c r="AN29" s="1873"/>
      <c r="AO29" s="1873"/>
      <c r="AP29" s="1873"/>
      <c r="AQ29" s="1873"/>
      <c r="AR29" s="1873"/>
      <c r="AS29" s="1873"/>
      <c r="AT29" s="1873"/>
      <c r="AU29" s="1873"/>
      <c r="AV29" s="1873"/>
      <c r="AW29" s="1873"/>
      <c r="AX29" s="1873"/>
      <c r="AY29" s="1873"/>
      <c r="AZ29" s="1873"/>
      <c r="BA29" s="1873"/>
      <c r="BB29" s="1873"/>
      <c r="BC29" s="1873"/>
      <c r="BD29" s="1873"/>
      <c r="BE29" s="1873"/>
      <c r="BF29" s="1873"/>
      <c r="BG29" s="1873"/>
      <c r="BH29" s="1873"/>
      <c r="BI29" s="1873"/>
      <c r="BJ29" s="1873"/>
      <c r="BK29" s="1873"/>
      <c r="BL29" s="1873"/>
      <c r="BM29" s="1873"/>
      <c r="BN29" s="1873"/>
      <c r="BO29" s="1873"/>
      <c r="BP29" s="1873"/>
      <c r="BQ29" s="1873"/>
      <c r="BR29" s="1873"/>
      <c r="BS29" s="1873"/>
      <c r="BT29" s="1873"/>
      <c r="BU29" s="1873"/>
      <c r="BV29" s="1873"/>
      <c r="BW29" s="1873"/>
      <c r="BX29" s="1873"/>
      <c r="BY29" s="1873"/>
      <c r="BZ29" s="1873"/>
      <c r="CA29" s="1873"/>
      <c r="CB29" s="1873"/>
      <c r="CC29" s="1873"/>
      <c r="CD29" s="1873"/>
      <c r="CE29" s="1873"/>
    </row>
    <row r="30" spans="1:83" s="1104" customFormat="1" ht="24">
      <c r="A30" s="3128" t="s">
        <v>2976</v>
      </c>
      <c r="B30" s="877">
        <v>200</v>
      </c>
      <c r="C30" s="3125"/>
      <c r="D30" s="3123"/>
      <c r="E30" s="1871"/>
      <c r="F30" s="1871"/>
      <c r="G30" s="1869"/>
      <c r="H30" s="1869"/>
      <c r="I30" s="1869"/>
      <c r="J30" s="1869"/>
      <c r="K30" s="1871"/>
      <c r="L30" s="1871"/>
      <c r="M30" s="1869"/>
      <c r="N30" s="1869"/>
      <c r="O30" s="1869"/>
      <c r="P30" s="1869"/>
      <c r="Q30" s="1869"/>
      <c r="R30" s="1869"/>
      <c r="S30" s="1869"/>
      <c r="T30" s="1869"/>
      <c r="U30" s="1869"/>
      <c r="V30" s="1869"/>
      <c r="W30" s="1869"/>
      <c r="X30" s="1869"/>
      <c r="Y30" s="1869"/>
      <c r="Z30" s="1869"/>
      <c r="AA30" s="1869"/>
      <c r="AB30" s="1869"/>
      <c r="AC30" s="1869"/>
      <c r="AD30" s="1869"/>
      <c r="AE30" s="1869"/>
      <c r="AF30" s="1869"/>
      <c r="AG30" s="1869"/>
      <c r="AH30" s="1869"/>
      <c r="AI30" s="1869"/>
      <c r="AJ30" s="1869"/>
      <c r="AK30" s="1869"/>
      <c r="AL30" s="1869"/>
      <c r="AM30" s="1869"/>
      <c r="AN30" s="1873"/>
      <c r="AO30" s="1873"/>
      <c r="AP30" s="1873"/>
      <c r="AQ30" s="1873"/>
      <c r="AR30" s="1873"/>
      <c r="AS30" s="1873"/>
      <c r="AT30" s="1873"/>
      <c r="AU30" s="1873"/>
      <c r="AV30" s="1873"/>
      <c r="AW30" s="1873"/>
      <c r="AX30" s="1873"/>
      <c r="AY30" s="1873"/>
      <c r="AZ30" s="1873"/>
      <c r="BA30" s="1873"/>
      <c r="BB30" s="1873"/>
      <c r="BC30" s="1873"/>
      <c r="BD30" s="1873"/>
      <c r="BE30" s="1873"/>
      <c r="BF30" s="1873"/>
      <c r="BG30" s="1873"/>
      <c r="BH30" s="1873"/>
      <c r="BI30" s="1873"/>
      <c r="BJ30" s="1873"/>
      <c r="BK30" s="1873"/>
      <c r="BL30" s="1873"/>
      <c r="BM30" s="1873"/>
      <c r="BN30" s="1873"/>
      <c r="BO30" s="1873"/>
      <c r="BP30" s="1873"/>
      <c r="BQ30" s="1873"/>
      <c r="BR30" s="1873"/>
      <c r="BS30" s="1873"/>
      <c r="BT30" s="1873"/>
      <c r="BU30" s="1873"/>
      <c r="BV30" s="1873"/>
      <c r="BW30" s="1873"/>
      <c r="BX30" s="1873"/>
      <c r="BY30" s="1873"/>
      <c r="BZ30" s="1873"/>
      <c r="CA30" s="1873"/>
      <c r="CB30" s="1873"/>
      <c r="CC30" s="1873"/>
      <c r="CD30" s="1873"/>
      <c r="CE30" s="1873"/>
    </row>
    <row r="31" spans="1:83" s="1104" customFormat="1" ht="24">
      <c r="A31" s="3124" t="s">
        <v>2977</v>
      </c>
      <c r="B31" s="3129">
        <f>B30-B32</f>
        <v>100</v>
      </c>
      <c r="C31" s="3122"/>
      <c r="D31" s="3123"/>
      <c r="E31" s="1871"/>
      <c r="F31" s="1871"/>
      <c r="G31" s="1869"/>
      <c r="H31" s="1869"/>
      <c r="I31" s="1869"/>
      <c r="J31" s="1869"/>
      <c r="K31" s="1871"/>
      <c r="L31" s="1871"/>
      <c r="M31" s="1869"/>
      <c r="N31" s="1869"/>
      <c r="O31" s="1869"/>
      <c r="P31" s="1869"/>
      <c r="Q31" s="1869"/>
      <c r="R31" s="1869"/>
      <c r="S31" s="1869"/>
      <c r="T31" s="1869"/>
      <c r="U31" s="1869"/>
      <c r="V31" s="1869"/>
      <c r="W31" s="1869"/>
      <c r="X31" s="1869"/>
      <c r="Y31" s="1869"/>
      <c r="Z31" s="1869"/>
      <c r="AA31" s="1869"/>
      <c r="AB31" s="1869"/>
      <c r="AC31" s="1869"/>
      <c r="AD31" s="1869"/>
      <c r="AE31" s="1869"/>
      <c r="AF31" s="1869"/>
      <c r="AG31" s="1869"/>
      <c r="AH31" s="1869"/>
      <c r="AI31" s="1869"/>
      <c r="AJ31" s="1869"/>
      <c r="AK31" s="1869"/>
      <c r="AL31" s="1869"/>
      <c r="AM31" s="1869"/>
      <c r="AN31" s="1873"/>
      <c r="AO31" s="1873"/>
      <c r="AP31" s="1873"/>
      <c r="AQ31" s="1873"/>
      <c r="AR31" s="1873"/>
      <c r="AS31" s="1873"/>
      <c r="AT31" s="1873"/>
      <c r="AU31" s="1873"/>
      <c r="AV31" s="1873"/>
      <c r="AW31" s="1873"/>
      <c r="AX31" s="1873"/>
      <c r="AY31" s="1873"/>
      <c r="AZ31" s="1873"/>
      <c r="BA31" s="1873"/>
      <c r="BB31" s="1873"/>
      <c r="BC31" s="1873"/>
      <c r="BD31" s="1873"/>
      <c r="BE31" s="1873"/>
      <c r="BF31" s="1873"/>
      <c r="BG31" s="1873"/>
      <c r="BH31" s="1873"/>
      <c r="BI31" s="1873"/>
      <c r="BJ31" s="1873"/>
      <c r="BK31" s="1873"/>
      <c r="BL31" s="1873"/>
      <c r="BM31" s="1873"/>
      <c r="BN31" s="1873"/>
      <c r="BO31" s="1873"/>
      <c r="BP31" s="1873"/>
      <c r="BQ31" s="1873"/>
      <c r="BR31" s="1873"/>
      <c r="BS31" s="1873"/>
      <c r="BT31" s="1873"/>
      <c r="BU31" s="1873"/>
      <c r="BV31" s="1873"/>
      <c r="BW31" s="1873"/>
      <c r="BX31" s="1873"/>
      <c r="BY31" s="1873"/>
      <c r="BZ31" s="1873"/>
      <c r="CA31" s="1873"/>
      <c r="CB31" s="1873"/>
      <c r="CC31" s="1873"/>
      <c r="CD31" s="1873"/>
      <c r="CE31" s="1873"/>
    </row>
    <row r="32" spans="1:83" s="1104" customFormat="1" ht="24.75" thickBot="1">
      <c r="A32" s="3130" t="s">
        <v>2978</v>
      </c>
      <c r="B32" s="1265">
        <v>100</v>
      </c>
      <c r="C32" s="3125"/>
      <c r="D32" s="1870"/>
      <c r="E32" s="1869"/>
      <c r="F32" s="1869"/>
      <c r="G32" s="1869"/>
      <c r="H32" s="1869"/>
      <c r="I32" s="1869"/>
      <c r="J32" s="1869"/>
      <c r="K32" s="1871"/>
      <c r="L32" s="1871"/>
      <c r="M32" s="1869"/>
      <c r="N32" s="1869"/>
      <c r="O32" s="1869"/>
      <c r="P32" s="1869"/>
      <c r="Q32" s="1869"/>
      <c r="R32" s="1869"/>
      <c r="S32" s="1869"/>
      <c r="T32" s="1869"/>
      <c r="U32" s="1869"/>
      <c r="V32" s="1869"/>
      <c r="W32" s="1869"/>
      <c r="X32" s="1869"/>
      <c r="Y32" s="1869"/>
      <c r="Z32" s="1869"/>
      <c r="AA32" s="1869"/>
      <c r="AB32" s="1869"/>
      <c r="AC32" s="1869"/>
      <c r="AD32" s="1869"/>
      <c r="AE32" s="1869"/>
      <c r="AF32" s="1869"/>
      <c r="AG32" s="1869"/>
      <c r="AH32" s="1869"/>
      <c r="AI32" s="1869"/>
      <c r="AJ32" s="1869"/>
      <c r="AK32" s="1869"/>
      <c r="AL32" s="1869"/>
      <c r="AM32" s="1869"/>
      <c r="AN32" s="1873"/>
      <c r="AO32" s="1873"/>
      <c r="AP32" s="1873"/>
      <c r="AQ32" s="1873"/>
      <c r="AR32" s="1873"/>
      <c r="AS32" s="1873"/>
      <c r="AT32" s="1873"/>
      <c r="AU32" s="1873"/>
      <c r="AV32" s="1873"/>
      <c r="AW32" s="1873"/>
      <c r="AX32" s="1873"/>
      <c r="AY32" s="1873"/>
      <c r="AZ32" s="1873"/>
      <c r="BA32" s="1873"/>
      <c r="BB32" s="1873"/>
      <c r="BC32" s="1873"/>
      <c r="BD32" s="1873"/>
      <c r="BE32" s="1873"/>
      <c r="BF32" s="1873"/>
      <c r="BG32" s="1873"/>
      <c r="BH32" s="1873"/>
      <c r="BI32" s="1873"/>
      <c r="BJ32" s="1873"/>
      <c r="BK32" s="1873"/>
      <c r="BL32" s="1873"/>
      <c r="BM32" s="1873"/>
      <c r="BN32" s="1873"/>
      <c r="BO32" s="1873"/>
      <c r="BP32" s="1873"/>
      <c r="BQ32" s="1873"/>
      <c r="BR32" s="1873"/>
      <c r="BS32" s="1873"/>
      <c r="BT32" s="1873"/>
      <c r="BU32" s="1873"/>
      <c r="BV32" s="1873"/>
      <c r="BW32" s="1873"/>
      <c r="BX32" s="1873"/>
      <c r="BY32" s="1873"/>
      <c r="BZ32" s="1873"/>
      <c r="CA32" s="1873"/>
      <c r="CB32" s="1873"/>
      <c r="CC32" s="1873"/>
      <c r="CD32" s="1873"/>
      <c r="CE32" s="1873"/>
    </row>
    <row r="33" spans="1:83" s="1104" customFormat="1">
      <c r="A33" s="3121" t="s">
        <v>2979</v>
      </c>
      <c r="B33" s="1266">
        <v>0.03</v>
      </c>
      <c r="C33" s="2212" t="s">
        <v>2980</v>
      </c>
      <c r="D33" s="3123"/>
      <c r="E33" s="1871"/>
      <c r="F33" s="1871"/>
      <c r="G33" s="1869"/>
      <c r="H33" s="1869"/>
      <c r="I33" s="1869"/>
      <c r="J33" s="1869"/>
      <c r="K33" s="1871"/>
      <c r="L33" s="1871"/>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1869"/>
      <c r="AM33" s="1869"/>
      <c r="AN33" s="1873"/>
      <c r="AO33" s="1873"/>
      <c r="AP33" s="1873"/>
      <c r="AQ33" s="1873"/>
      <c r="AR33" s="1873"/>
      <c r="AS33" s="1873"/>
      <c r="AT33" s="1873"/>
      <c r="AU33" s="1873"/>
      <c r="AV33" s="1873"/>
      <c r="AW33" s="1873"/>
      <c r="AX33" s="1873"/>
      <c r="AY33" s="1873"/>
      <c r="AZ33" s="1873"/>
      <c r="BA33" s="1873"/>
      <c r="BB33" s="1873"/>
      <c r="BC33" s="1873"/>
      <c r="BD33" s="1873"/>
      <c r="BE33" s="1873"/>
      <c r="BF33" s="1873"/>
      <c r="BG33" s="1873"/>
      <c r="BH33" s="1873"/>
      <c r="BI33" s="1873"/>
      <c r="BJ33" s="1873"/>
      <c r="BK33" s="1873"/>
      <c r="BL33" s="1873"/>
      <c r="BM33" s="1873"/>
      <c r="BN33" s="1873"/>
      <c r="BO33" s="1873"/>
      <c r="BP33" s="1873"/>
      <c r="BQ33" s="1873"/>
      <c r="BR33" s="1873"/>
      <c r="BS33" s="1873"/>
      <c r="BT33" s="1873"/>
      <c r="BU33" s="1873"/>
      <c r="BV33" s="1873"/>
      <c r="BW33" s="1873"/>
      <c r="BX33" s="1873"/>
      <c r="BY33" s="1873"/>
      <c r="BZ33" s="1873"/>
      <c r="CA33" s="1873"/>
      <c r="CB33" s="1873"/>
      <c r="CC33" s="1873"/>
      <c r="CD33" s="1873"/>
      <c r="CE33" s="1873"/>
    </row>
    <row r="34" spans="1:83">
      <c r="A34" s="3124" t="s">
        <v>2981</v>
      </c>
      <c r="B34" s="154">
        <v>0.03</v>
      </c>
      <c r="C34" s="2212" t="s">
        <v>2818</v>
      </c>
      <c r="D34" s="1870" t="s">
        <v>2982</v>
      </c>
      <c r="E34" s="1869"/>
      <c r="F34" s="1869"/>
      <c r="G34" s="1869"/>
      <c r="H34" s="1869"/>
      <c r="I34" s="1869"/>
      <c r="J34" s="1869"/>
      <c r="K34" s="1871"/>
      <c r="L34" s="1871"/>
      <c r="M34" s="1869"/>
      <c r="N34" s="1869"/>
      <c r="O34" s="1869"/>
      <c r="P34" s="1869"/>
      <c r="Q34" s="1869"/>
      <c r="R34" s="1869"/>
      <c r="S34" s="1869"/>
      <c r="T34" s="1869"/>
      <c r="U34" s="1869"/>
      <c r="V34" s="1869"/>
      <c r="W34" s="1869"/>
      <c r="X34" s="1869"/>
      <c r="Y34" s="1869"/>
      <c r="Z34" s="1869"/>
      <c r="AA34" s="1869"/>
      <c r="AB34" s="1869"/>
      <c r="AC34" s="1869"/>
      <c r="AD34" s="1869"/>
      <c r="AE34" s="1869"/>
      <c r="AF34" s="1869"/>
      <c r="AG34" s="1869"/>
      <c r="AH34" s="1869"/>
      <c r="AI34" s="1869"/>
      <c r="AJ34" s="1869"/>
      <c r="AK34" s="1869"/>
      <c r="AL34" s="1869"/>
      <c r="AM34" s="1869"/>
    </row>
    <row r="35" spans="1:83">
      <c r="A35" s="3124" t="s">
        <v>2983</v>
      </c>
      <c r="B35" s="152">
        <v>200</v>
      </c>
      <c r="C35" s="2212" t="s">
        <v>2819</v>
      </c>
      <c r="D35" s="1870"/>
      <c r="E35" s="1869"/>
      <c r="F35" s="1869"/>
      <c r="G35" s="1869"/>
      <c r="H35" s="1869"/>
      <c r="I35" s="1869"/>
      <c r="J35" s="1869"/>
      <c r="K35" s="1871"/>
      <c r="L35" s="1871"/>
      <c r="M35" s="1869"/>
      <c r="N35" s="1869"/>
      <c r="O35" s="1869"/>
      <c r="P35" s="1869"/>
      <c r="Q35" s="1869"/>
      <c r="R35" s="1869"/>
      <c r="S35" s="1869"/>
      <c r="T35" s="1869"/>
      <c r="U35" s="1869"/>
      <c r="V35" s="1869"/>
      <c r="W35" s="1869"/>
      <c r="X35" s="1869"/>
      <c r="Y35" s="1869"/>
      <c r="Z35" s="1869"/>
      <c r="AA35" s="1869"/>
      <c r="AB35" s="1869"/>
      <c r="AC35" s="1869"/>
      <c r="AD35" s="1869"/>
      <c r="AE35" s="1869"/>
      <c r="AF35" s="1869"/>
      <c r="AG35" s="1869"/>
      <c r="AH35" s="1869"/>
      <c r="AI35" s="1869"/>
      <c r="AJ35" s="1869"/>
      <c r="AK35" s="1869"/>
      <c r="AL35" s="1869"/>
      <c r="AM35" s="1869"/>
    </row>
    <row r="36" spans="1:83" ht="13.5" thickBot="1">
      <c r="A36" s="3126" t="s">
        <v>2984</v>
      </c>
      <c r="B36" s="155">
        <v>1.4999999999999999E-2</v>
      </c>
      <c r="C36" s="2212" t="s">
        <v>2820</v>
      </c>
      <c r="D36" s="1870"/>
      <c r="E36" s="1100"/>
      <c r="F36" s="1869"/>
      <c r="G36" s="1869"/>
      <c r="H36" s="1869"/>
      <c r="I36" s="1869"/>
      <c r="J36" s="1869"/>
      <c r="K36" s="1871"/>
      <c r="L36" s="1871"/>
      <c r="M36" s="1869"/>
      <c r="N36" s="1869"/>
      <c r="O36" s="1869"/>
      <c r="P36" s="1869"/>
      <c r="Q36" s="1869"/>
      <c r="R36" s="1869"/>
      <c r="S36" s="1869"/>
      <c r="T36" s="1869"/>
      <c r="U36" s="1869"/>
      <c r="V36" s="1869"/>
      <c r="W36" s="1869"/>
      <c r="X36" s="1869"/>
      <c r="Y36" s="1869"/>
      <c r="Z36" s="1869"/>
      <c r="AA36" s="1869"/>
      <c r="AB36" s="1869"/>
      <c r="AC36" s="1869"/>
      <c r="AD36" s="1869"/>
      <c r="AE36" s="1869"/>
      <c r="AF36" s="1869"/>
      <c r="AG36" s="1869"/>
      <c r="AH36" s="1869"/>
      <c r="AI36" s="1869"/>
      <c r="AJ36" s="1869"/>
      <c r="AK36" s="1869"/>
      <c r="AL36" s="1869"/>
      <c r="AM36" s="1869"/>
    </row>
    <row r="37" spans="1:83">
      <c r="A37" s="3128" t="s">
        <v>2985</v>
      </c>
      <c r="B37" s="156">
        <v>0.01</v>
      </c>
      <c r="C37" s="2212" t="s">
        <v>2986</v>
      </c>
      <c r="D37" s="1870"/>
      <c r="E37" s="1869"/>
      <c r="F37" s="1869"/>
      <c r="G37" s="1869"/>
      <c r="H37" s="1869"/>
      <c r="I37" s="1869"/>
      <c r="J37" s="1869"/>
      <c r="K37" s="1871"/>
      <c r="L37" s="1871"/>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c r="AL37" s="1869"/>
      <c r="AM37" s="1869"/>
    </row>
    <row r="38" spans="1:83">
      <c r="A38" s="3124" t="s">
        <v>2987</v>
      </c>
      <c r="B38" s="154">
        <v>0.01</v>
      </c>
      <c r="C38" s="2212" t="s">
        <v>2821</v>
      </c>
      <c r="D38" s="1870"/>
      <c r="E38" s="1869"/>
      <c r="F38" s="1869"/>
      <c r="G38" s="1869"/>
      <c r="H38" s="1869"/>
      <c r="I38" s="1869"/>
      <c r="J38" s="1869"/>
      <c r="K38" s="1871"/>
      <c r="L38" s="1871"/>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c r="AL38" s="1869"/>
      <c r="AM38" s="1869"/>
    </row>
    <row r="39" spans="1:83">
      <c r="A39" s="3131" t="s">
        <v>2384</v>
      </c>
      <c r="B39" s="700">
        <f ca="1">存贷款利率!C4</f>
        <v>1.4999999999999999E-2</v>
      </c>
      <c r="C39" s="2212"/>
      <c r="D39" s="1870"/>
      <c r="E39" s="1869"/>
      <c r="F39" s="1869"/>
      <c r="G39" s="1869"/>
      <c r="H39" s="1869"/>
      <c r="I39" s="1869"/>
      <c r="J39" s="1869"/>
      <c r="K39" s="1871"/>
      <c r="L39" s="1871"/>
      <c r="M39" s="1869"/>
      <c r="N39" s="1869"/>
      <c r="O39" s="1869"/>
      <c r="P39" s="1869"/>
      <c r="Q39" s="1869"/>
      <c r="R39" s="1869"/>
      <c r="S39" s="1869"/>
      <c r="T39" s="1869"/>
      <c r="U39" s="1869"/>
      <c r="V39" s="1869"/>
      <c r="W39" s="1869"/>
      <c r="X39" s="1869"/>
      <c r="Y39" s="1869"/>
      <c r="Z39" s="1869"/>
      <c r="AA39" s="1869"/>
      <c r="AB39" s="1869"/>
      <c r="AC39" s="1869"/>
      <c r="AD39" s="1869"/>
      <c r="AE39" s="1869"/>
      <c r="AF39" s="1869"/>
      <c r="AG39" s="1869"/>
      <c r="AH39" s="1869"/>
      <c r="AI39" s="1869"/>
      <c r="AJ39" s="1869"/>
      <c r="AK39" s="1869"/>
      <c r="AL39" s="1869"/>
      <c r="AM39" s="1869"/>
    </row>
    <row r="40" spans="1:83" ht="13.5" thickBot="1">
      <c r="A40" s="3131" t="s">
        <v>2385</v>
      </c>
      <c r="B40" s="2347">
        <f ca="1">存贷款利率!E2</f>
        <v>4.3499999999999997E-2</v>
      </c>
      <c r="C40" s="2212" t="s">
        <v>2269</v>
      </c>
      <c r="D40" s="1870"/>
      <c r="E40" s="1869"/>
      <c r="F40" s="1869"/>
      <c r="G40" s="1869"/>
      <c r="H40" s="1869"/>
      <c r="I40" s="1869"/>
      <c r="J40" s="1869"/>
      <c r="K40" s="1871"/>
      <c r="L40" s="1871"/>
      <c r="M40" s="1869"/>
      <c r="N40" s="1869"/>
      <c r="O40" s="1869"/>
      <c r="P40" s="1869"/>
      <c r="Q40" s="1869"/>
      <c r="R40" s="1869"/>
      <c r="S40" s="1869"/>
      <c r="T40" s="1869"/>
      <c r="U40" s="1869"/>
      <c r="V40" s="1869"/>
      <c r="W40" s="1869"/>
      <c r="X40" s="1869"/>
      <c r="Y40" s="1869"/>
      <c r="Z40" s="1869"/>
      <c r="AA40" s="1869"/>
      <c r="AB40" s="1869"/>
      <c r="AC40" s="1869"/>
      <c r="AD40" s="1869"/>
      <c r="AE40" s="1869"/>
      <c r="AF40" s="1869"/>
      <c r="AG40" s="1869"/>
      <c r="AH40" s="1869"/>
      <c r="AI40" s="1869"/>
      <c r="AJ40" s="1869"/>
      <c r="AK40" s="1869"/>
      <c r="AL40" s="1869"/>
      <c r="AM40" s="1869"/>
    </row>
    <row r="41" spans="1:83">
      <c r="A41" s="3121" t="s">
        <v>2988</v>
      </c>
      <c r="B41" s="3132">
        <f>B42+B43</f>
        <v>5.5000000000000007E-2</v>
      </c>
      <c r="C41" s="3122"/>
      <c r="D41" s="1870"/>
      <c r="E41" s="1869"/>
      <c r="F41" s="1869"/>
      <c r="G41" s="1869"/>
      <c r="H41" s="1869"/>
      <c r="I41" s="1869"/>
      <c r="J41" s="1869"/>
      <c r="K41" s="1871"/>
      <c r="L41" s="1871"/>
      <c r="M41" s="1869"/>
      <c r="N41" s="1869"/>
      <c r="O41" s="1869"/>
      <c r="P41" s="1869"/>
      <c r="Q41" s="1869"/>
      <c r="R41" s="1869"/>
      <c r="S41" s="1869"/>
      <c r="T41" s="1869"/>
      <c r="U41" s="1869"/>
      <c r="V41" s="1869"/>
      <c r="W41" s="1869"/>
      <c r="X41" s="1869"/>
      <c r="Y41" s="1869"/>
      <c r="Z41" s="1869"/>
      <c r="AA41" s="1869"/>
      <c r="AB41" s="1869"/>
      <c r="AC41" s="1869"/>
      <c r="AD41" s="1869"/>
      <c r="AE41" s="1869"/>
      <c r="AF41" s="1869"/>
      <c r="AG41" s="1869"/>
      <c r="AH41" s="1869"/>
      <c r="AI41" s="1869"/>
      <c r="AJ41" s="1869"/>
      <c r="AK41" s="1869"/>
      <c r="AL41" s="1869"/>
      <c r="AM41" s="1869"/>
    </row>
    <row r="42" spans="1:83">
      <c r="A42" s="3010" t="s">
        <v>2989</v>
      </c>
      <c r="B42" s="3133">
        <v>0.05</v>
      </c>
      <c r="C42" s="3134">
        <f>IF(B2&lt;DATE(2016,5,1),0,B42)</f>
        <v>0.05</v>
      </c>
      <c r="D42" s="1870"/>
      <c r="E42" s="1869"/>
      <c r="F42" s="1869"/>
      <c r="G42" s="1869"/>
      <c r="H42" s="1869"/>
      <c r="I42" s="1869"/>
      <c r="J42" s="1869"/>
      <c r="K42" s="1871"/>
      <c r="L42" s="1871"/>
      <c r="M42" s="1869"/>
      <c r="N42" s="1869"/>
      <c r="O42" s="1869"/>
      <c r="P42" s="1869"/>
      <c r="Q42" s="1869"/>
      <c r="R42" s="1869"/>
      <c r="S42" s="1869"/>
      <c r="T42" s="1869"/>
      <c r="U42" s="1869"/>
      <c r="V42" s="1869"/>
      <c r="W42" s="1869"/>
      <c r="X42" s="1869"/>
      <c r="Y42" s="1869"/>
      <c r="Z42" s="1869"/>
      <c r="AA42" s="1869"/>
      <c r="AB42" s="1869"/>
      <c r="AC42" s="1869"/>
      <c r="AD42" s="1869"/>
      <c r="AE42" s="1869"/>
      <c r="AF42" s="1869"/>
      <c r="AG42" s="1869"/>
      <c r="AH42" s="1869"/>
      <c r="AI42" s="1869"/>
      <c r="AJ42" s="1869"/>
      <c r="AK42" s="1869"/>
      <c r="AL42" s="1869"/>
      <c r="AM42" s="1869"/>
    </row>
    <row r="43" spans="1:83">
      <c r="A43" s="3010" t="s">
        <v>2990</v>
      </c>
      <c r="B43" s="3135">
        <f>B42*(B44+B45+B46)+B47</f>
        <v>5.000000000000001E-3</v>
      </c>
      <c r="C43" s="3122"/>
      <c r="D43" s="1870"/>
      <c r="E43" s="1869"/>
      <c r="F43" s="1869"/>
      <c r="G43" s="1869"/>
      <c r="H43" s="1869"/>
      <c r="I43" s="1869"/>
      <c r="J43" s="1869"/>
      <c r="K43" s="1871"/>
      <c r="L43" s="1871"/>
      <c r="M43" s="1869"/>
      <c r="N43" s="1869"/>
      <c r="O43" s="1869"/>
      <c r="P43" s="1869"/>
      <c r="Q43" s="1869"/>
      <c r="R43" s="1869"/>
      <c r="S43" s="1869"/>
      <c r="T43" s="1869"/>
      <c r="U43" s="1869"/>
      <c r="V43" s="1869"/>
      <c r="W43" s="1869"/>
      <c r="X43" s="1869"/>
      <c r="Y43" s="1869"/>
      <c r="Z43" s="1869"/>
      <c r="AA43" s="1869"/>
      <c r="AB43" s="1869"/>
      <c r="AC43" s="1869"/>
      <c r="AD43" s="1869"/>
      <c r="AE43" s="1869"/>
      <c r="AF43" s="1869"/>
      <c r="AG43" s="1869"/>
      <c r="AH43" s="1869"/>
      <c r="AI43" s="1869"/>
      <c r="AJ43" s="1869"/>
      <c r="AK43" s="1869"/>
      <c r="AL43" s="1869"/>
      <c r="AM43" s="1869"/>
    </row>
    <row r="44" spans="1:83">
      <c r="A44" s="252" t="s">
        <v>2991</v>
      </c>
      <c r="B44" s="3136">
        <v>0.05</v>
      </c>
      <c r="C44" s="2212" t="s">
        <v>2822</v>
      </c>
      <c r="D44" s="1870"/>
      <c r="E44" s="1869"/>
      <c r="F44" s="1869"/>
      <c r="G44" s="1869"/>
      <c r="H44" s="1869"/>
      <c r="I44" s="1869"/>
      <c r="J44" s="1869"/>
      <c r="K44" s="1871"/>
      <c r="L44" s="1871"/>
      <c r="M44" s="1869"/>
      <c r="N44" s="1869"/>
      <c r="O44" s="1869"/>
      <c r="P44" s="1869"/>
      <c r="Q44" s="1869"/>
      <c r="R44" s="1869"/>
      <c r="S44" s="1869"/>
      <c r="T44" s="1869"/>
      <c r="U44" s="1869"/>
      <c r="V44" s="1869"/>
      <c r="W44" s="1869"/>
      <c r="X44" s="1869"/>
      <c r="Y44" s="1869"/>
      <c r="Z44" s="1869"/>
      <c r="AA44" s="1869"/>
      <c r="AB44" s="1869"/>
      <c r="AC44" s="1869"/>
      <c r="AD44" s="1869"/>
      <c r="AE44" s="1869"/>
      <c r="AF44" s="1869"/>
      <c r="AG44" s="1869"/>
      <c r="AH44" s="1869"/>
      <c r="AI44" s="1869"/>
      <c r="AJ44" s="1869"/>
      <c r="AK44" s="1869"/>
      <c r="AL44" s="1869"/>
      <c r="AM44" s="1869"/>
    </row>
    <row r="45" spans="1:83">
      <c r="A45" s="252" t="s">
        <v>2992</v>
      </c>
      <c r="B45" s="3133">
        <v>0.03</v>
      </c>
      <c r="C45" s="3122" t="s">
        <v>2993</v>
      </c>
      <c r="D45" s="1870"/>
      <c r="E45" s="1869"/>
      <c r="F45" s="1869"/>
      <c r="G45" s="1869"/>
      <c r="H45" s="1869"/>
      <c r="I45" s="1869"/>
      <c r="J45" s="1869"/>
      <c r="K45" s="1871"/>
      <c r="L45" s="1871"/>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c r="AM45" s="1869"/>
    </row>
    <row r="46" spans="1:83">
      <c r="A46" s="252" t="s">
        <v>2994</v>
      </c>
      <c r="B46" s="3133">
        <v>0.02</v>
      </c>
      <c r="C46" s="3122" t="s">
        <v>2995</v>
      </c>
      <c r="D46" s="1870"/>
      <c r="E46" s="1869"/>
      <c r="F46" s="1869"/>
      <c r="G46" s="1869"/>
      <c r="H46" s="1869"/>
      <c r="I46" s="1869"/>
      <c r="J46" s="1869"/>
      <c r="K46" s="1871"/>
      <c r="L46" s="1871"/>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c r="AM46" s="1869"/>
    </row>
    <row r="47" spans="1:83" ht="13.5" thickBot="1">
      <c r="A47" s="3137" t="s">
        <v>2996</v>
      </c>
      <c r="B47" s="3138">
        <v>0</v>
      </c>
      <c r="C47" s="3139" t="s">
        <v>2823</v>
      </c>
      <c r="D47" s="1870"/>
      <c r="E47" s="1869"/>
      <c r="F47" s="1869"/>
      <c r="G47" s="1869"/>
      <c r="H47" s="1869"/>
      <c r="I47" s="1869"/>
      <c r="J47" s="1869"/>
      <c r="K47" s="1871"/>
      <c r="L47" s="1871"/>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c r="AM47" s="1869"/>
    </row>
    <row r="48" spans="1:83">
      <c r="A48" s="3140" t="s">
        <v>2997</v>
      </c>
      <c r="B48" s="3141">
        <v>0.04</v>
      </c>
      <c r="C48" s="1957" t="s">
        <v>2998</v>
      </c>
      <c r="D48" s="1870"/>
      <c r="E48" s="1869"/>
      <c r="F48" s="1869"/>
      <c r="G48" s="1869"/>
      <c r="H48" s="1869"/>
      <c r="I48" s="1869"/>
      <c r="J48" s="1869"/>
      <c r="K48" s="1871"/>
      <c r="L48" s="1871"/>
      <c r="M48" s="1869"/>
      <c r="N48" s="1869"/>
      <c r="O48" s="1869"/>
      <c r="P48" s="1869"/>
      <c r="Q48" s="1869"/>
      <c r="R48" s="1869"/>
      <c r="S48" s="1869"/>
      <c r="T48" s="1869"/>
      <c r="U48" s="1869"/>
      <c r="V48" s="1869"/>
      <c r="W48" s="1869"/>
      <c r="X48" s="1869"/>
      <c r="Y48" s="1869"/>
      <c r="Z48" s="1869"/>
      <c r="AA48" s="1869"/>
      <c r="AB48" s="1869"/>
      <c r="AC48" s="1869"/>
      <c r="AD48" s="1869"/>
      <c r="AE48" s="1869"/>
      <c r="AF48" s="1869"/>
      <c r="AG48" s="1869"/>
      <c r="AH48" s="1869"/>
      <c r="AI48" s="1869"/>
      <c r="AJ48" s="1869"/>
      <c r="AK48" s="1869"/>
      <c r="AL48" s="1869"/>
      <c r="AM48" s="1869"/>
    </row>
    <row r="49" spans="1:39" ht="13.5" thickBot="1">
      <c r="A49" s="3130" t="s">
        <v>2999</v>
      </c>
      <c r="B49" s="3133">
        <v>5.0000000000000001E-4</v>
      </c>
      <c r="C49" s="1957" t="s">
        <v>3000</v>
      </c>
      <c r="D49" s="1870"/>
      <c r="E49" s="1869"/>
      <c r="F49" s="1869"/>
      <c r="G49" s="1869"/>
      <c r="H49" s="1869"/>
      <c r="I49" s="1869"/>
      <c r="J49" s="1869"/>
      <c r="K49" s="1871"/>
      <c r="L49" s="1871"/>
      <c r="M49" s="1869"/>
      <c r="N49" s="1869"/>
      <c r="O49" s="1869"/>
      <c r="P49" s="1869"/>
      <c r="Q49" s="1869"/>
      <c r="R49" s="1869"/>
      <c r="S49" s="1869"/>
      <c r="T49" s="1869"/>
      <c r="U49" s="1869"/>
      <c r="V49" s="1869"/>
      <c r="W49" s="1869"/>
      <c r="X49" s="1869"/>
      <c r="Y49" s="1869"/>
      <c r="Z49" s="1869"/>
      <c r="AA49" s="1869"/>
      <c r="AB49" s="1869"/>
      <c r="AC49" s="1869"/>
      <c r="AD49" s="1869"/>
      <c r="AE49" s="1869"/>
      <c r="AF49" s="1869"/>
      <c r="AG49" s="1869"/>
      <c r="AH49" s="1869"/>
      <c r="AI49" s="1869"/>
      <c r="AJ49" s="1869"/>
      <c r="AK49" s="1869"/>
      <c r="AL49" s="1869"/>
      <c r="AM49" s="1869"/>
    </row>
    <row r="50" spans="1:39">
      <c r="A50" s="3142" t="s">
        <v>3001</v>
      </c>
      <c r="B50" s="3143">
        <v>1.2E-2</v>
      </c>
      <c r="C50" s="3125"/>
      <c r="D50" s="1870"/>
      <c r="E50" s="1869"/>
      <c r="F50" s="1869"/>
      <c r="G50" s="1869"/>
      <c r="H50" s="1869"/>
      <c r="I50" s="1869"/>
      <c r="J50" s="1869"/>
      <c r="K50" s="1871"/>
      <c r="L50" s="1871"/>
      <c r="M50" s="1869"/>
      <c r="N50" s="1869"/>
      <c r="O50" s="1869"/>
      <c r="P50" s="1869"/>
      <c r="Q50" s="1869"/>
      <c r="R50" s="1869"/>
      <c r="S50" s="1869"/>
      <c r="T50" s="1869"/>
      <c r="U50" s="1869"/>
      <c r="V50" s="1869"/>
      <c r="W50" s="1869"/>
      <c r="X50" s="1869"/>
      <c r="Y50" s="1869"/>
      <c r="Z50" s="1869"/>
      <c r="AA50" s="1869"/>
      <c r="AB50" s="1869"/>
      <c r="AC50" s="1869"/>
      <c r="AD50" s="1869"/>
      <c r="AE50" s="1869"/>
      <c r="AF50" s="1869"/>
      <c r="AG50" s="1869"/>
      <c r="AH50" s="1869"/>
      <c r="AI50" s="1869"/>
      <c r="AJ50" s="1869"/>
      <c r="AK50" s="1869"/>
      <c r="AL50" s="1869"/>
      <c r="AM50" s="1869"/>
    </row>
    <row r="51" spans="1:39" ht="13.5" thickBot="1">
      <c r="A51" s="3126" t="s">
        <v>3002</v>
      </c>
      <c r="B51" s="3144">
        <v>0.12</v>
      </c>
      <c r="C51" s="3125"/>
      <c r="D51" s="1870"/>
      <c r="E51" s="1869"/>
      <c r="F51" s="1869"/>
      <c r="G51" s="1869"/>
      <c r="H51" s="1869"/>
      <c r="I51" s="1869"/>
      <c r="J51" s="1869"/>
      <c r="K51" s="1871"/>
      <c r="L51" s="1871"/>
      <c r="M51" s="1869"/>
      <c r="N51" s="1869"/>
      <c r="O51" s="1869"/>
      <c r="P51" s="1869"/>
      <c r="Q51" s="1869"/>
      <c r="R51" s="1869"/>
      <c r="S51" s="1869"/>
      <c r="T51" s="1869"/>
      <c r="U51" s="1869"/>
      <c r="V51" s="1869"/>
      <c r="W51" s="1869"/>
      <c r="X51" s="1869"/>
      <c r="Y51" s="1869"/>
      <c r="Z51" s="1869"/>
      <c r="AA51" s="1869"/>
      <c r="AB51" s="1869"/>
      <c r="AC51" s="1869"/>
      <c r="AD51" s="1869"/>
      <c r="AE51" s="1869"/>
      <c r="AF51" s="1869"/>
      <c r="AG51" s="1869"/>
      <c r="AH51" s="1869"/>
      <c r="AI51" s="1869"/>
      <c r="AJ51" s="1869"/>
      <c r="AK51" s="1869"/>
      <c r="AL51" s="1869"/>
      <c r="AM51" s="1869"/>
    </row>
    <row r="52" spans="1:39">
      <c r="A52" s="3142" t="s">
        <v>3003</v>
      </c>
      <c r="B52" s="3145">
        <f>SUMIF(A54:A63,B53,B54:B63)</f>
        <v>4</v>
      </c>
      <c r="C52" s="3125"/>
      <c r="D52" s="1870"/>
      <c r="E52" s="1869"/>
      <c r="F52" s="1869"/>
      <c r="G52" s="1869"/>
      <c r="H52" s="1869"/>
      <c r="I52" s="1869"/>
      <c r="J52" s="1869"/>
      <c r="K52" s="1871"/>
      <c r="L52" s="1871"/>
      <c r="M52" s="1869"/>
      <c r="N52" s="1869"/>
      <c r="O52" s="1869"/>
      <c r="P52" s="1869"/>
      <c r="Q52" s="1869"/>
      <c r="R52" s="1869"/>
      <c r="S52" s="1869"/>
      <c r="T52" s="1869"/>
      <c r="U52" s="1869"/>
      <c r="V52" s="1869"/>
      <c r="W52" s="1869"/>
      <c r="X52" s="1869"/>
      <c r="Y52" s="1869"/>
      <c r="Z52" s="1869"/>
      <c r="AA52" s="1869"/>
      <c r="AB52" s="1869"/>
      <c r="AC52" s="1869"/>
      <c r="AD52" s="1869"/>
      <c r="AE52" s="1869"/>
      <c r="AF52" s="1869"/>
      <c r="AG52" s="1869"/>
      <c r="AH52" s="1869"/>
      <c r="AI52" s="1869"/>
      <c r="AJ52" s="1869"/>
      <c r="AK52" s="1869"/>
      <c r="AL52" s="1869"/>
      <c r="AM52" s="1869"/>
    </row>
    <row r="53" spans="1:39" ht="24">
      <c r="A53" s="3124" t="s">
        <v>3004</v>
      </c>
      <c r="B53" s="3146" t="s">
        <v>1259</v>
      </c>
      <c r="C53" s="3147" t="s">
        <v>2824</v>
      </c>
      <c r="D53" s="3148" t="s">
        <v>2825</v>
      </c>
      <c r="E53" s="1869"/>
      <c r="F53" s="1869"/>
      <c r="G53" s="1869"/>
      <c r="H53" s="1869"/>
      <c r="I53" s="1869"/>
      <c r="J53" s="1869"/>
      <c r="K53" s="1871"/>
      <c r="L53" s="1871"/>
      <c r="M53" s="1869"/>
      <c r="N53" s="1869"/>
      <c r="O53" s="1869"/>
      <c r="P53" s="1869"/>
      <c r="Q53" s="1869"/>
      <c r="R53" s="1869"/>
      <c r="S53" s="1869"/>
      <c r="T53" s="1869"/>
      <c r="U53" s="1869"/>
      <c r="V53" s="1869"/>
      <c r="W53" s="1869"/>
      <c r="X53" s="1869"/>
      <c r="Y53" s="1869"/>
      <c r="Z53" s="1869"/>
      <c r="AA53" s="1869"/>
      <c r="AB53" s="1869"/>
      <c r="AC53" s="1869"/>
      <c r="AD53" s="1869"/>
      <c r="AE53" s="1869"/>
      <c r="AF53" s="1869"/>
      <c r="AG53" s="1869"/>
      <c r="AH53" s="1869"/>
      <c r="AI53" s="1869"/>
      <c r="AJ53" s="1869"/>
      <c r="AK53" s="1869"/>
      <c r="AL53" s="1869"/>
      <c r="AM53" s="1869"/>
    </row>
    <row r="54" spans="1:39">
      <c r="A54" s="3149" t="s">
        <v>2826</v>
      </c>
      <c r="B54" s="3150"/>
      <c r="C54" s="1871">
        <v>30</v>
      </c>
      <c r="D54" s="3151"/>
      <c r="E54" s="1869"/>
      <c r="F54" s="1869"/>
      <c r="G54" s="1869"/>
      <c r="H54" s="1869"/>
      <c r="I54" s="1869"/>
      <c r="J54" s="1869"/>
      <c r="K54" s="1871"/>
      <c r="L54" s="1871"/>
      <c r="M54" s="1869"/>
      <c r="N54" s="1869"/>
      <c r="O54" s="1869"/>
      <c r="P54" s="1869"/>
      <c r="Q54" s="1869"/>
      <c r="R54" s="1869"/>
      <c r="S54" s="1869"/>
      <c r="T54" s="1869"/>
      <c r="U54" s="1869"/>
      <c r="V54" s="1869"/>
      <c r="W54" s="1869"/>
      <c r="X54" s="1869"/>
      <c r="Y54" s="1869"/>
      <c r="Z54" s="1869"/>
      <c r="AA54" s="1869"/>
      <c r="AB54" s="1869"/>
      <c r="AC54" s="1869"/>
      <c r="AD54" s="1869"/>
      <c r="AE54" s="1869"/>
      <c r="AF54" s="1869"/>
      <c r="AG54" s="1869"/>
      <c r="AH54" s="1869"/>
      <c r="AI54" s="1869"/>
      <c r="AJ54" s="1869"/>
      <c r="AK54" s="1869"/>
      <c r="AL54" s="1869"/>
      <c r="AM54" s="1869"/>
    </row>
    <row r="55" spans="1:39">
      <c r="A55" s="3149" t="s">
        <v>2827</v>
      </c>
      <c r="B55" s="3150"/>
      <c r="C55" s="1871">
        <v>24</v>
      </c>
      <c r="D55" s="3151"/>
      <c r="E55" s="1869"/>
      <c r="F55" s="1869"/>
      <c r="G55" s="1869"/>
      <c r="H55" s="1869"/>
      <c r="I55" s="1943"/>
      <c r="J55" s="1869"/>
      <c r="K55" s="1871"/>
      <c r="L55" s="1871"/>
      <c r="M55" s="1869"/>
      <c r="N55" s="1869"/>
      <c r="O55" s="1869"/>
      <c r="P55" s="1869"/>
      <c r="Q55" s="1869"/>
      <c r="R55" s="1869"/>
      <c r="S55" s="1869"/>
      <c r="T55" s="1869"/>
      <c r="U55" s="1869"/>
      <c r="V55" s="1869"/>
      <c r="W55" s="1869"/>
      <c r="X55" s="1869"/>
      <c r="Y55" s="1869"/>
      <c r="Z55" s="1869"/>
      <c r="AA55" s="1869"/>
      <c r="AB55" s="1869"/>
      <c r="AC55" s="1869"/>
      <c r="AD55" s="1869"/>
      <c r="AE55" s="1869"/>
      <c r="AF55" s="1869"/>
      <c r="AG55" s="1869"/>
      <c r="AH55" s="1869"/>
      <c r="AI55" s="1869"/>
      <c r="AJ55" s="1869"/>
      <c r="AK55" s="1869"/>
      <c r="AL55" s="1869"/>
      <c r="AM55" s="1869"/>
    </row>
    <row r="56" spans="1:39">
      <c r="A56" s="3149" t="s">
        <v>2828</v>
      </c>
      <c r="B56" s="3150">
        <v>4</v>
      </c>
      <c r="C56" s="1871">
        <v>18</v>
      </c>
      <c r="D56" s="3151"/>
      <c r="E56" s="1869"/>
      <c r="F56" s="1869"/>
      <c r="G56" s="1869"/>
      <c r="H56" s="1869"/>
      <c r="I56" s="1869"/>
      <c r="J56" s="1869"/>
      <c r="K56" s="1871"/>
      <c r="L56" s="1871"/>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1869"/>
      <c r="AM56" s="1869"/>
    </row>
    <row r="57" spans="1:39">
      <c r="A57" s="3149" t="s">
        <v>2829</v>
      </c>
      <c r="B57" s="3150"/>
      <c r="C57" s="1871">
        <v>12</v>
      </c>
      <c r="D57" s="3151"/>
      <c r="E57" s="1869"/>
      <c r="F57" s="1869"/>
      <c r="G57" s="1869"/>
      <c r="H57" s="1869"/>
      <c r="I57" s="1869"/>
      <c r="J57" s="1869"/>
      <c r="K57" s="1871"/>
      <c r="L57" s="1871"/>
      <c r="M57" s="1869"/>
      <c r="N57" s="1869"/>
      <c r="O57" s="1869"/>
      <c r="P57" s="1869"/>
      <c r="Q57" s="1869"/>
      <c r="R57" s="1869"/>
      <c r="S57" s="1869"/>
      <c r="T57" s="1869"/>
      <c r="U57" s="1869"/>
      <c r="V57" s="1869"/>
      <c r="W57" s="1869"/>
      <c r="X57" s="1869"/>
      <c r="Y57" s="1869"/>
      <c r="Z57" s="1869"/>
      <c r="AA57" s="1869"/>
      <c r="AB57" s="1869"/>
      <c r="AC57" s="1869"/>
      <c r="AD57" s="1869"/>
      <c r="AE57" s="1869"/>
      <c r="AF57" s="1869"/>
      <c r="AG57" s="1869"/>
      <c r="AH57" s="1869"/>
      <c r="AI57" s="1869"/>
      <c r="AJ57" s="1869"/>
      <c r="AK57" s="1869"/>
      <c r="AL57" s="1869"/>
      <c r="AM57" s="1869"/>
    </row>
    <row r="58" spans="1:39">
      <c r="A58" s="3149" t="s">
        <v>2830</v>
      </c>
      <c r="B58" s="3150"/>
      <c r="C58" s="1871">
        <v>3</v>
      </c>
      <c r="D58" s="3151"/>
      <c r="E58" s="1869"/>
      <c r="F58" s="1869"/>
      <c r="G58" s="1869"/>
      <c r="H58" s="1869"/>
      <c r="I58" s="1869"/>
      <c r="J58" s="1869"/>
      <c r="K58" s="1871"/>
      <c r="L58" s="1871"/>
      <c r="M58" s="1869"/>
      <c r="N58" s="1869"/>
      <c r="O58" s="1869"/>
      <c r="P58" s="1869"/>
      <c r="Q58" s="1869"/>
      <c r="R58" s="1869"/>
      <c r="S58" s="1869"/>
      <c r="T58" s="1869"/>
      <c r="U58" s="1869"/>
      <c r="V58" s="1869"/>
      <c r="W58" s="1869"/>
      <c r="X58" s="1869"/>
      <c r="Y58" s="1869"/>
      <c r="Z58" s="1869"/>
      <c r="AA58" s="1869"/>
      <c r="AB58" s="1869"/>
      <c r="AC58" s="1869"/>
      <c r="AD58" s="1869"/>
      <c r="AE58" s="1869"/>
      <c r="AF58" s="1869"/>
      <c r="AG58" s="1869"/>
      <c r="AH58" s="1869"/>
      <c r="AI58" s="1869"/>
      <c r="AJ58" s="1869"/>
      <c r="AK58" s="1869"/>
      <c r="AL58" s="1869"/>
      <c r="AM58" s="1869"/>
    </row>
    <row r="59" spans="1:39">
      <c r="A59" s="3149" t="s">
        <v>2831</v>
      </c>
      <c r="B59" s="3150"/>
      <c r="C59" s="1871">
        <v>1.5</v>
      </c>
      <c r="D59" s="3151"/>
      <c r="E59" s="1869"/>
      <c r="F59" s="1869"/>
      <c r="G59" s="1869"/>
      <c r="H59" s="1869"/>
      <c r="I59" s="1869"/>
      <c r="J59" s="1869"/>
      <c r="K59" s="1871"/>
      <c r="L59" s="1871"/>
      <c r="M59" s="1869"/>
      <c r="N59" s="1869"/>
      <c r="O59" s="1869"/>
      <c r="P59" s="1869"/>
      <c r="Q59" s="1869"/>
      <c r="R59" s="1869"/>
      <c r="S59" s="1869"/>
      <c r="T59" s="1869"/>
      <c r="U59" s="1869"/>
      <c r="V59" s="1869"/>
      <c r="W59" s="1869"/>
      <c r="X59" s="1869"/>
      <c r="Y59" s="1869"/>
      <c r="Z59" s="1869"/>
      <c r="AA59" s="1869"/>
      <c r="AB59" s="1869"/>
      <c r="AC59" s="1869"/>
      <c r="AD59" s="1869"/>
      <c r="AE59" s="1869"/>
      <c r="AF59" s="1869"/>
      <c r="AG59" s="1869"/>
      <c r="AH59" s="1869"/>
      <c r="AI59" s="1869"/>
      <c r="AJ59" s="1869"/>
      <c r="AK59" s="1869"/>
      <c r="AL59" s="1869"/>
      <c r="AM59" s="1869"/>
    </row>
    <row r="60" spans="1:39">
      <c r="A60" s="3149" t="s">
        <v>2832</v>
      </c>
      <c r="B60" s="3150"/>
      <c r="C60" s="1869"/>
      <c r="D60" s="1870"/>
      <c r="E60" s="1869"/>
      <c r="F60" s="1869"/>
      <c r="G60" s="1869"/>
      <c r="H60" s="1869"/>
      <c r="I60" s="1869"/>
      <c r="J60" s="1869"/>
      <c r="K60" s="1871"/>
      <c r="L60" s="1871"/>
      <c r="M60" s="1869"/>
      <c r="N60" s="1869"/>
      <c r="O60" s="1869"/>
      <c r="P60" s="1869"/>
      <c r="Q60" s="1869"/>
      <c r="R60" s="1869"/>
      <c r="S60" s="1869"/>
      <c r="T60" s="1869"/>
      <c r="U60" s="1869"/>
      <c r="V60" s="1869"/>
      <c r="W60" s="1869"/>
      <c r="X60" s="1869"/>
      <c r="Y60" s="1869"/>
      <c r="Z60" s="1869"/>
      <c r="AA60" s="1869"/>
      <c r="AB60" s="1869"/>
      <c r="AC60" s="1869"/>
      <c r="AD60" s="1869"/>
      <c r="AE60" s="1869"/>
      <c r="AF60" s="1869"/>
      <c r="AG60" s="1869"/>
      <c r="AH60" s="1869"/>
      <c r="AI60" s="1869"/>
      <c r="AJ60" s="1869"/>
      <c r="AK60" s="1869"/>
      <c r="AL60" s="1869"/>
      <c r="AM60" s="1869"/>
    </row>
    <row r="61" spans="1:39">
      <c r="A61" s="3149" t="s">
        <v>2833</v>
      </c>
      <c r="B61" s="3150"/>
      <c r="C61" s="1869"/>
      <c r="D61" s="1870"/>
      <c r="E61" s="1869"/>
      <c r="F61" s="1869"/>
      <c r="G61" s="1869"/>
      <c r="H61" s="1869"/>
      <c r="I61" s="1869"/>
      <c r="J61" s="1869"/>
      <c r="K61" s="1871"/>
      <c r="L61" s="1871"/>
      <c r="M61" s="1869"/>
      <c r="N61" s="1869"/>
      <c r="O61" s="1869"/>
      <c r="P61" s="1869"/>
      <c r="Q61" s="1869"/>
      <c r="R61" s="1869"/>
      <c r="S61" s="1869"/>
      <c r="T61" s="1869"/>
      <c r="U61" s="1869"/>
      <c r="V61" s="1869"/>
      <c r="W61" s="1869"/>
      <c r="X61" s="1869"/>
      <c r="Y61" s="1869"/>
      <c r="Z61" s="1869"/>
      <c r="AA61" s="1869"/>
      <c r="AB61" s="1869"/>
      <c r="AC61" s="1869"/>
      <c r="AD61" s="1869"/>
      <c r="AE61" s="1869"/>
      <c r="AF61" s="1869"/>
      <c r="AG61" s="1869"/>
      <c r="AH61" s="1869"/>
      <c r="AI61" s="1869"/>
      <c r="AJ61" s="1869"/>
      <c r="AK61" s="1869"/>
      <c r="AL61" s="1869"/>
      <c r="AM61" s="1869"/>
    </row>
    <row r="62" spans="1:39">
      <c r="A62" s="3149" t="s">
        <v>2834</v>
      </c>
      <c r="B62" s="3150"/>
      <c r="C62" s="1869"/>
      <c r="D62" s="1870"/>
      <c r="E62" s="1869"/>
      <c r="F62" s="1869"/>
      <c r="G62" s="1869"/>
      <c r="H62" s="1869"/>
      <c r="I62" s="1869"/>
      <c r="J62" s="1869"/>
      <c r="K62" s="1871"/>
      <c r="L62" s="1871"/>
      <c r="M62" s="1869"/>
      <c r="N62" s="1869"/>
      <c r="O62" s="1869"/>
      <c r="P62" s="1869"/>
      <c r="Q62" s="1869"/>
      <c r="R62" s="1869"/>
      <c r="S62" s="1869"/>
      <c r="T62" s="1869"/>
      <c r="U62" s="1869"/>
      <c r="V62" s="1869"/>
      <c r="W62" s="1869"/>
      <c r="X62" s="1869"/>
      <c r="Y62" s="1869"/>
      <c r="Z62" s="1869"/>
      <c r="AA62" s="1869"/>
      <c r="AB62" s="1869"/>
      <c r="AC62" s="1869"/>
      <c r="AD62" s="1869"/>
      <c r="AE62" s="1869"/>
      <c r="AF62" s="1869"/>
      <c r="AG62" s="1869"/>
      <c r="AH62" s="1869"/>
      <c r="AI62" s="1869"/>
      <c r="AJ62" s="1869"/>
      <c r="AK62" s="1869"/>
      <c r="AL62" s="1869"/>
      <c r="AM62" s="1869"/>
    </row>
    <row r="63" spans="1:39" ht="13.5" thickBot="1">
      <c r="A63" s="3152" t="s">
        <v>2835</v>
      </c>
      <c r="B63" s="3153"/>
      <c r="C63" s="1869"/>
      <c r="D63" s="1870"/>
      <c r="E63" s="1869"/>
      <c r="F63" s="1869"/>
      <c r="G63" s="1869"/>
      <c r="H63" s="1869"/>
      <c r="I63" s="1869"/>
      <c r="J63" s="1869"/>
      <c r="K63" s="1871"/>
      <c r="L63" s="1871"/>
      <c r="M63" s="1869"/>
      <c r="N63" s="1869"/>
      <c r="O63" s="1869"/>
      <c r="P63" s="1869"/>
      <c r="Q63" s="1869"/>
      <c r="R63" s="1869"/>
      <c r="S63" s="1869"/>
      <c r="T63" s="1869"/>
      <c r="U63" s="1869"/>
      <c r="V63" s="1869"/>
      <c r="W63" s="1869"/>
      <c r="X63" s="1869"/>
      <c r="Y63" s="1869"/>
      <c r="Z63" s="1869"/>
      <c r="AA63" s="1869"/>
      <c r="AB63" s="1869"/>
      <c r="AC63" s="1869"/>
      <c r="AD63" s="1869"/>
      <c r="AE63" s="1869"/>
      <c r="AF63" s="1869"/>
      <c r="AG63" s="1869"/>
      <c r="AH63" s="1869"/>
      <c r="AI63" s="1869"/>
      <c r="AJ63" s="1869"/>
      <c r="AK63" s="1869"/>
      <c r="AL63" s="1869"/>
      <c r="AM63" s="1869"/>
    </row>
    <row r="64" spans="1:39" s="1874" customFormat="1">
      <c r="A64" s="157"/>
      <c r="D64" s="1875"/>
      <c r="K64" s="56"/>
      <c r="L64" s="56"/>
    </row>
    <row r="65" spans="1:12" s="1874" customFormat="1">
      <c r="A65" s="157"/>
      <c r="D65" s="1875"/>
      <c r="K65" s="56"/>
      <c r="L65" s="56"/>
    </row>
    <row r="66" spans="1:12" s="1874" customFormat="1">
      <c r="A66" s="157"/>
      <c r="D66" s="1875"/>
      <c r="K66" s="56"/>
      <c r="L66" s="56"/>
    </row>
    <row r="67" spans="1:12" s="1874" customFormat="1">
      <c r="A67" s="157"/>
      <c r="D67" s="1875"/>
      <c r="K67" s="56"/>
      <c r="L67" s="56"/>
    </row>
    <row r="68" spans="1:12" s="1874" customFormat="1">
      <c r="A68" s="157"/>
      <c r="D68" s="1875"/>
      <c r="K68" s="56"/>
      <c r="L68" s="56"/>
    </row>
    <row r="69" spans="1:12" s="1874" customFormat="1">
      <c r="A69" s="157"/>
      <c r="D69" s="1875"/>
      <c r="K69" s="56"/>
      <c r="L69" s="56"/>
    </row>
    <row r="70" spans="1:12" s="1874" customFormat="1">
      <c r="A70" s="157"/>
      <c r="D70" s="1875"/>
      <c r="K70" s="56"/>
      <c r="L70" s="56"/>
    </row>
    <row r="71" spans="1:12" s="1874" customFormat="1">
      <c r="A71" s="157"/>
      <c r="D71" s="1875"/>
      <c r="K71" s="56"/>
      <c r="L71" s="56"/>
    </row>
    <row r="72" spans="1:12" s="1874" customFormat="1">
      <c r="A72" s="157"/>
      <c r="D72" s="1875"/>
      <c r="K72" s="56"/>
      <c r="L72" s="56"/>
    </row>
    <row r="73" spans="1:12" s="1874" customFormat="1">
      <c r="A73" s="157"/>
      <c r="D73" s="1875"/>
      <c r="K73" s="56"/>
      <c r="L73" s="56"/>
    </row>
    <row r="74" spans="1:12" s="1874" customFormat="1">
      <c r="A74" s="157"/>
      <c r="D74" s="1875"/>
      <c r="K74" s="56"/>
      <c r="L74" s="56"/>
    </row>
    <row r="75" spans="1:12" s="1874" customFormat="1">
      <c r="A75" s="157"/>
      <c r="D75" s="1875"/>
      <c r="K75" s="56"/>
      <c r="L75" s="56"/>
    </row>
    <row r="76" spans="1:12" s="1874" customFormat="1">
      <c r="A76" s="157"/>
      <c r="D76" s="1875"/>
      <c r="K76" s="56"/>
      <c r="L76" s="56"/>
    </row>
    <row r="77" spans="1:12" s="1874" customFormat="1">
      <c r="A77" s="157"/>
      <c r="D77" s="1875"/>
      <c r="K77" s="56"/>
      <c r="L77" s="56"/>
    </row>
    <row r="78" spans="1:12" s="1874" customFormat="1">
      <c r="A78" s="157"/>
      <c r="D78" s="1875"/>
      <c r="K78" s="56"/>
      <c r="L78" s="56"/>
    </row>
    <row r="79" spans="1:12" s="1874" customFormat="1">
      <c r="A79" s="157"/>
      <c r="D79" s="1875"/>
      <c r="K79" s="56"/>
      <c r="L79" s="56"/>
    </row>
    <row r="80" spans="1:12" s="1874" customFormat="1">
      <c r="A80" s="157"/>
      <c r="D80" s="1875"/>
      <c r="K80" s="56"/>
      <c r="L80" s="56"/>
    </row>
    <row r="81" spans="1:12" s="1874" customFormat="1">
      <c r="A81" s="157"/>
      <c r="D81" s="1875"/>
      <c r="K81" s="56"/>
      <c r="L81" s="56"/>
    </row>
    <row r="82" spans="1:12" s="1874" customFormat="1">
      <c r="A82" s="157"/>
      <c r="D82" s="1875"/>
      <c r="K82" s="56"/>
      <c r="L82" s="56"/>
    </row>
    <row r="83" spans="1:12" s="1874" customFormat="1">
      <c r="A83" s="157"/>
      <c r="D83" s="1875"/>
      <c r="K83" s="56"/>
      <c r="L83" s="56"/>
    </row>
    <row r="84" spans="1:12" s="1874" customFormat="1">
      <c r="A84" s="157"/>
      <c r="D84" s="1875"/>
      <c r="K84" s="56"/>
      <c r="L84" s="56"/>
    </row>
    <row r="85" spans="1:12" s="1874" customFormat="1">
      <c r="A85" s="157"/>
      <c r="D85" s="1875"/>
      <c r="K85" s="56"/>
      <c r="L85" s="56"/>
    </row>
    <row r="86" spans="1:12" s="1874" customFormat="1">
      <c r="A86" s="157"/>
      <c r="D86" s="1875"/>
      <c r="K86" s="56"/>
      <c r="L86" s="56"/>
    </row>
    <row r="87" spans="1:12" s="1874" customFormat="1">
      <c r="A87" s="157"/>
      <c r="D87" s="1875"/>
      <c r="K87" s="56"/>
      <c r="L87" s="56"/>
    </row>
    <row r="88" spans="1:12" s="1874" customFormat="1">
      <c r="A88" s="157"/>
      <c r="D88" s="1875"/>
      <c r="K88" s="56"/>
      <c r="L88" s="56"/>
    </row>
    <row r="89" spans="1:12" s="1874" customFormat="1">
      <c r="A89" s="157"/>
      <c r="D89" s="1875"/>
      <c r="K89" s="56"/>
      <c r="L89" s="56"/>
    </row>
    <row r="90" spans="1:12" s="1874" customFormat="1">
      <c r="A90" s="157"/>
      <c r="D90" s="1875"/>
      <c r="K90" s="56"/>
      <c r="L90" s="56"/>
    </row>
    <row r="91" spans="1:12" s="1874" customFormat="1">
      <c r="A91" s="157"/>
      <c r="D91" s="1875"/>
      <c r="K91" s="56"/>
      <c r="L91" s="56"/>
    </row>
    <row r="92" spans="1:12" s="1874" customFormat="1">
      <c r="A92" s="157"/>
      <c r="D92" s="1875"/>
      <c r="K92" s="56"/>
      <c r="L92" s="56"/>
    </row>
    <row r="93" spans="1:12" s="1874" customFormat="1">
      <c r="A93" s="157"/>
      <c r="D93" s="1875"/>
      <c r="K93" s="56"/>
      <c r="L93" s="56"/>
    </row>
    <row r="94" spans="1:12" s="1874" customFormat="1">
      <c r="A94" s="157"/>
      <c r="D94" s="1875"/>
      <c r="K94" s="56"/>
      <c r="L94" s="56"/>
    </row>
    <row r="95" spans="1:12" s="1874" customFormat="1">
      <c r="A95" s="157"/>
      <c r="D95" s="1875"/>
      <c r="K95" s="56"/>
      <c r="L95" s="56"/>
    </row>
    <row r="96" spans="1:12" s="1874" customFormat="1">
      <c r="A96" s="157"/>
      <c r="D96" s="1875"/>
      <c r="K96" s="56"/>
      <c r="L96" s="56"/>
    </row>
    <row r="97" spans="1:12" s="1874" customFormat="1">
      <c r="A97" s="157"/>
      <c r="D97" s="1875"/>
      <c r="K97" s="56"/>
      <c r="L97" s="56"/>
    </row>
    <row r="98" spans="1:12" s="1874" customFormat="1">
      <c r="A98" s="157"/>
      <c r="D98" s="1875"/>
      <c r="K98" s="56"/>
      <c r="L98" s="56"/>
    </row>
    <row r="99" spans="1:12" s="1874" customFormat="1">
      <c r="A99" s="157"/>
      <c r="D99" s="1875"/>
      <c r="K99" s="56"/>
      <c r="L99" s="56"/>
    </row>
    <row r="100" spans="1:12" s="1874" customFormat="1">
      <c r="A100" s="157"/>
      <c r="D100" s="1875"/>
      <c r="K100" s="56"/>
      <c r="L100" s="56"/>
    </row>
    <row r="101" spans="1:12" s="1874" customFormat="1">
      <c r="A101" s="157"/>
      <c r="D101" s="1875"/>
      <c r="K101" s="56"/>
      <c r="L101" s="56"/>
    </row>
    <row r="102" spans="1:12" s="1874" customFormat="1">
      <c r="A102" s="157"/>
      <c r="D102" s="1875"/>
      <c r="K102" s="56"/>
      <c r="L102" s="56"/>
    </row>
    <row r="103" spans="1:12" s="1874" customFormat="1">
      <c r="A103" s="157"/>
      <c r="D103" s="1875"/>
      <c r="K103" s="56"/>
      <c r="L103" s="56"/>
    </row>
    <row r="104" spans="1:12" s="1874" customFormat="1">
      <c r="A104" s="157"/>
      <c r="D104" s="1875"/>
      <c r="K104" s="56"/>
      <c r="L104" s="56"/>
    </row>
    <row r="105" spans="1:12" s="1874" customFormat="1">
      <c r="A105" s="157"/>
      <c r="D105" s="1875"/>
      <c r="K105" s="56"/>
      <c r="L105" s="56"/>
    </row>
    <row r="106" spans="1:12" s="1874" customFormat="1">
      <c r="A106" s="157"/>
      <c r="D106" s="1875"/>
      <c r="K106" s="56"/>
      <c r="L106" s="56"/>
    </row>
    <row r="107" spans="1:12" s="1874" customFormat="1">
      <c r="A107" s="157"/>
      <c r="D107" s="1875"/>
      <c r="K107" s="56"/>
      <c r="L107" s="56"/>
    </row>
    <row r="108" spans="1:12" s="1874" customFormat="1">
      <c r="A108" s="157"/>
      <c r="D108" s="1875"/>
      <c r="K108" s="56"/>
      <c r="L108" s="56"/>
    </row>
    <row r="109" spans="1:12" s="1874" customFormat="1">
      <c r="A109" s="157"/>
      <c r="D109" s="1875"/>
      <c r="K109" s="56"/>
      <c r="L109" s="56"/>
    </row>
    <row r="110" spans="1:12" s="1874" customFormat="1">
      <c r="A110" s="157"/>
      <c r="D110" s="1875"/>
      <c r="K110" s="56"/>
      <c r="L110" s="56"/>
    </row>
    <row r="111" spans="1:12" s="1874" customFormat="1">
      <c r="A111" s="157"/>
      <c r="D111" s="1875"/>
      <c r="K111" s="56"/>
      <c r="L111" s="56"/>
    </row>
    <row r="112" spans="1:12" s="1874" customFormat="1">
      <c r="A112" s="157"/>
      <c r="D112" s="1875"/>
      <c r="K112" s="56"/>
      <c r="L112" s="56"/>
    </row>
    <row r="113" spans="1:12" s="1874" customFormat="1">
      <c r="A113" s="157"/>
      <c r="D113" s="1875"/>
      <c r="K113" s="56"/>
      <c r="L113" s="56"/>
    </row>
    <row r="114" spans="1:12" s="1874" customFormat="1">
      <c r="A114" s="157"/>
      <c r="D114" s="1875"/>
      <c r="K114" s="56"/>
      <c r="L114" s="56"/>
    </row>
    <row r="115" spans="1:12" s="1874" customFormat="1">
      <c r="A115" s="157"/>
      <c r="D115" s="1875"/>
      <c r="K115" s="56"/>
      <c r="L115" s="56"/>
    </row>
    <row r="116" spans="1:12" s="1874" customFormat="1">
      <c r="A116" s="157"/>
      <c r="D116" s="1875"/>
      <c r="K116" s="56"/>
      <c r="L116" s="56"/>
    </row>
    <row r="117" spans="1:12" s="1874" customFormat="1">
      <c r="A117" s="157"/>
      <c r="D117" s="1875"/>
      <c r="K117" s="56"/>
      <c r="L117" s="56"/>
    </row>
    <row r="118" spans="1:12" s="1874" customFormat="1">
      <c r="A118" s="157"/>
      <c r="D118" s="1875"/>
      <c r="K118" s="56"/>
      <c r="L118" s="56"/>
    </row>
    <row r="119" spans="1:12" s="1874" customFormat="1">
      <c r="A119" s="157"/>
      <c r="D119" s="1875"/>
      <c r="K119" s="56"/>
      <c r="L119" s="56"/>
    </row>
    <row r="120" spans="1:12" s="1874" customFormat="1">
      <c r="A120" s="157"/>
      <c r="D120" s="1875"/>
      <c r="K120" s="56"/>
      <c r="L120" s="56"/>
    </row>
    <row r="121" spans="1:12" s="1874" customFormat="1">
      <c r="A121" s="157"/>
      <c r="D121" s="1875"/>
      <c r="K121" s="56"/>
      <c r="L121" s="56"/>
    </row>
    <row r="122" spans="1:12" s="1874" customFormat="1">
      <c r="A122" s="157"/>
      <c r="D122" s="1875"/>
      <c r="K122" s="56"/>
      <c r="L122" s="56"/>
    </row>
    <row r="123" spans="1:12" s="1874" customFormat="1">
      <c r="A123" s="157"/>
      <c r="D123" s="1875"/>
      <c r="K123" s="56"/>
      <c r="L123" s="56"/>
    </row>
    <row r="124" spans="1:12" s="1874" customFormat="1">
      <c r="A124" s="157"/>
      <c r="D124" s="1875"/>
      <c r="K124" s="56"/>
      <c r="L124" s="56"/>
    </row>
    <row r="125" spans="1:12" s="1874" customFormat="1">
      <c r="A125" s="157"/>
      <c r="D125" s="1875"/>
      <c r="K125" s="56"/>
      <c r="L125" s="56"/>
    </row>
    <row r="126" spans="1:12" s="1874" customFormat="1">
      <c r="A126" s="157"/>
      <c r="D126" s="1875"/>
      <c r="K126" s="56"/>
      <c r="L126" s="56"/>
    </row>
    <row r="127" spans="1:12" s="1874" customFormat="1">
      <c r="A127" s="157"/>
      <c r="D127" s="1875"/>
      <c r="K127" s="56"/>
      <c r="L127" s="56"/>
    </row>
    <row r="128" spans="1:12" s="1874" customFormat="1">
      <c r="A128" s="157"/>
      <c r="D128" s="1875"/>
      <c r="K128" s="56"/>
      <c r="L128" s="56"/>
    </row>
    <row r="129" spans="1:12" s="1874" customFormat="1">
      <c r="A129" s="157"/>
      <c r="D129" s="1875"/>
      <c r="K129" s="56"/>
      <c r="L129" s="56"/>
    </row>
    <row r="130" spans="1:12" s="1874" customFormat="1">
      <c r="A130" s="157"/>
      <c r="D130" s="1875"/>
      <c r="K130" s="56"/>
      <c r="L130" s="56"/>
    </row>
    <row r="131" spans="1:12" s="1874" customFormat="1">
      <c r="A131" s="157"/>
      <c r="D131" s="1875"/>
      <c r="K131" s="56"/>
      <c r="L131" s="56"/>
    </row>
    <row r="132" spans="1:12" s="1874" customFormat="1">
      <c r="A132" s="157"/>
      <c r="D132" s="1875"/>
      <c r="K132" s="56"/>
      <c r="L132" s="56"/>
    </row>
    <row r="133" spans="1:12" s="1874" customFormat="1">
      <c r="A133" s="157"/>
      <c r="D133" s="1875"/>
      <c r="K133" s="56"/>
      <c r="L133" s="56"/>
    </row>
    <row r="134" spans="1:12" s="1874" customFormat="1">
      <c r="A134" s="157"/>
      <c r="D134" s="1875"/>
      <c r="K134" s="56"/>
      <c r="L134" s="56"/>
    </row>
    <row r="135" spans="1:12" s="1874" customFormat="1">
      <c r="A135" s="157"/>
      <c r="D135" s="1875"/>
      <c r="K135" s="56"/>
      <c r="L135" s="56"/>
    </row>
    <row r="136" spans="1:12" s="1874" customFormat="1">
      <c r="A136" s="157"/>
      <c r="D136" s="1875"/>
      <c r="K136" s="56"/>
      <c r="L136" s="56"/>
    </row>
    <row r="137" spans="1:12" s="1874" customFormat="1">
      <c r="A137" s="157"/>
      <c r="D137" s="1875"/>
      <c r="K137" s="56"/>
      <c r="L137" s="56"/>
    </row>
    <row r="138" spans="1:12" s="1874" customFormat="1">
      <c r="A138" s="157"/>
      <c r="D138" s="1875"/>
      <c r="K138" s="56"/>
      <c r="L138" s="56"/>
    </row>
    <row r="139" spans="1:12" s="1874" customFormat="1">
      <c r="A139" s="157"/>
      <c r="D139" s="1875"/>
      <c r="K139" s="56"/>
      <c r="L139" s="56"/>
    </row>
    <row r="140" spans="1:12" s="1874" customFormat="1">
      <c r="A140" s="157"/>
      <c r="D140" s="1875"/>
      <c r="K140" s="56"/>
      <c r="L140" s="56"/>
    </row>
    <row r="141" spans="1:12" s="1874" customFormat="1">
      <c r="A141" s="157"/>
      <c r="D141" s="1875"/>
      <c r="K141" s="56"/>
      <c r="L141" s="56"/>
    </row>
    <row r="142" spans="1:12" s="1874" customFormat="1">
      <c r="A142" s="157"/>
      <c r="D142" s="1875"/>
      <c r="K142" s="56"/>
      <c r="L142" s="56"/>
    </row>
    <row r="143" spans="1:12" s="1874" customFormat="1">
      <c r="A143" s="157"/>
      <c r="D143" s="1875"/>
      <c r="K143" s="56"/>
      <c r="L143" s="56"/>
    </row>
    <row r="144" spans="1:12" s="1874" customFormat="1">
      <c r="A144" s="157"/>
      <c r="D144" s="1875"/>
      <c r="K144" s="56"/>
      <c r="L144" s="56"/>
    </row>
    <row r="145" spans="1:12" s="1874" customFormat="1">
      <c r="A145" s="157"/>
      <c r="D145" s="1875"/>
      <c r="K145" s="56"/>
      <c r="L145" s="56"/>
    </row>
    <row r="146" spans="1:12" s="1874" customFormat="1">
      <c r="A146" s="157"/>
      <c r="D146" s="1875"/>
      <c r="K146" s="56"/>
      <c r="L146" s="56"/>
    </row>
    <row r="147" spans="1:12" s="1874" customFormat="1">
      <c r="A147" s="157"/>
      <c r="D147" s="1875"/>
      <c r="K147" s="56"/>
      <c r="L147" s="56"/>
    </row>
    <row r="148" spans="1:12" s="1874" customFormat="1">
      <c r="A148" s="157"/>
      <c r="D148" s="1875"/>
      <c r="K148" s="56"/>
      <c r="L148" s="56"/>
    </row>
    <row r="149" spans="1:12" s="1874" customFormat="1">
      <c r="A149" s="157"/>
      <c r="D149" s="1875"/>
      <c r="K149" s="56"/>
      <c r="L149" s="56"/>
    </row>
    <row r="150" spans="1:12" s="1874" customFormat="1">
      <c r="A150" s="157"/>
      <c r="D150" s="1875"/>
      <c r="K150" s="56"/>
      <c r="L150" s="56"/>
    </row>
    <row r="151" spans="1:12" s="1874" customFormat="1">
      <c r="A151" s="157"/>
      <c r="D151" s="1875"/>
      <c r="K151" s="56"/>
      <c r="L151" s="56"/>
    </row>
    <row r="152" spans="1:12" s="1874" customFormat="1">
      <c r="A152" s="157"/>
      <c r="D152" s="1875"/>
      <c r="K152" s="56"/>
      <c r="L152" s="56"/>
    </row>
    <row r="153" spans="1:12" s="1874" customFormat="1">
      <c r="A153" s="157"/>
      <c r="D153" s="1875"/>
      <c r="K153" s="56"/>
      <c r="L153" s="56"/>
    </row>
    <row r="154" spans="1:12" s="1874" customFormat="1">
      <c r="A154" s="157"/>
      <c r="D154" s="1875"/>
      <c r="K154" s="56"/>
      <c r="L154" s="56"/>
    </row>
    <row r="155" spans="1:12" s="1874" customFormat="1">
      <c r="A155" s="157"/>
      <c r="D155" s="1875"/>
      <c r="K155" s="56"/>
      <c r="L155" s="56"/>
    </row>
    <row r="156" spans="1:12" s="1874" customFormat="1">
      <c r="A156" s="157"/>
      <c r="D156" s="1875"/>
      <c r="K156" s="56"/>
      <c r="L156" s="56"/>
    </row>
    <row r="157" spans="1:12" s="1874" customFormat="1">
      <c r="A157" s="157"/>
      <c r="D157" s="1875"/>
      <c r="K157" s="56"/>
      <c r="L157" s="56"/>
    </row>
    <row r="158" spans="1:12" s="1874" customFormat="1">
      <c r="A158" s="157"/>
      <c r="D158" s="1875"/>
      <c r="K158" s="56"/>
      <c r="L158" s="56"/>
    </row>
    <row r="159" spans="1:12" s="1874" customFormat="1">
      <c r="A159" s="157"/>
      <c r="D159" s="1875"/>
      <c r="K159" s="56"/>
      <c r="L159" s="56"/>
    </row>
    <row r="160" spans="1:12" s="1874" customFormat="1">
      <c r="A160" s="157"/>
      <c r="D160" s="1875"/>
      <c r="K160" s="56"/>
      <c r="L160" s="56"/>
    </row>
    <row r="161" spans="1:12" s="1874" customFormat="1">
      <c r="A161" s="157"/>
      <c r="D161" s="1875"/>
      <c r="K161" s="56"/>
      <c r="L161" s="56"/>
    </row>
    <row r="162" spans="1:12" s="1874" customFormat="1">
      <c r="A162" s="157"/>
      <c r="D162" s="1875"/>
      <c r="K162" s="56"/>
      <c r="L162" s="56"/>
    </row>
    <row r="163" spans="1:12" s="1874" customFormat="1">
      <c r="A163" s="157"/>
      <c r="D163" s="1875"/>
      <c r="K163" s="56"/>
      <c r="L163" s="56"/>
    </row>
    <row r="164" spans="1:12" s="1874" customFormat="1">
      <c r="A164" s="157"/>
      <c r="D164" s="1875"/>
      <c r="K164" s="56"/>
      <c r="L164" s="56"/>
    </row>
    <row r="165" spans="1:12" s="1874" customFormat="1">
      <c r="A165" s="157"/>
      <c r="D165" s="1875"/>
      <c r="K165" s="56"/>
      <c r="L165" s="56"/>
    </row>
    <row r="166" spans="1:12" s="1874" customFormat="1">
      <c r="A166" s="157"/>
      <c r="D166" s="1875"/>
      <c r="K166" s="56"/>
      <c r="L166" s="56"/>
    </row>
    <row r="167" spans="1:12" s="1874" customFormat="1">
      <c r="A167" s="157"/>
      <c r="D167" s="1875"/>
      <c r="K167" s="56"/>
      <c r="L167" s="56"/>
    </row>
    <row r="168" spans="1:12" s="1874" customFormat="1">
      <c r="A168" s="157"/>
      <c r="D168" s="1875"/>
      <c r="K168" s="56"/>
      <c r="L168" s="56"/>
    </row>
    <row r="169" spans="1:12" s="1874" customFormat="1">
      <c r="A169" s="157"/>
      <c r="D169" s="1875"/>
      <c r="K169" s="56"/>
      <c r="L169" s="56"/>
    </row>
    <row r="170" spans="1:12" s="1874" customFormat="1">
      <c r="A170" s="157"/>
      <c r="D170" s="1875"/>
      <c r="K170" s="56"/>
      <c r="L170" s="56"/>
    </row>
    <row r="171" spans="1:12" s="1874" customFormat="1">
      <c r="A171" s="157"/>
      <c r="D171" s="1875"/>
      <c r="K171" s="56"/>
      <c r="L171" s="56"/>
    </row>
    <row r="172" spans="1:12" s="1874" customFormat="1">
      <c r="A172" s="157"/>
      <c r="D172" s="1875"/>
      <c r="K172" s="56"/>
      <c r="L172" s="56"/>
    </row>
    <row r="173" spans="1:12" s="1874" customFormat="1">
      <c r="A173" s="157"/>
      <c r="D173" s="1875"/>
      <c r="K173" s="56"/>
      <c r="L173" s="56"/>
    </row>
    <row r="174" spans="1:12" s="1874" customFormat="1">
      <c r="A174" s="157"/>
      <c r="D174" s="1875"/>
      <c r="K174" s="56"/>
      <c r="L174" s="56"/>
    </row>
    <row r="175" spans="1:12" s="1874" customFormat="1">
      <c r="A175" s="157"/>
      <c r="D175" s="1875"/>
      <c r="K175" s="56"/>
      <c r="L175" s="56"/>
    </row>
    <row r="176" spans="1:12" s="1874" customFormat="1">
      <c r="A176" s="157"/>
      <c r="D176" s="1875"/>
      <c r="K176" s="56"/>
      <c r="L176" s="56"/>
    </row>
    <row r="177" spans="1:12" s="1874" customFormat="1">
      <c r="A177" s="157"/>
      <c r="D177" s="1875"/>
      <c r="K177" s="56"/>
      <c r="L177" s="56"/>
    </row>
    <row r="178" spans="1:12" s="1874" customFormat="1">
      <c r="A178" s="157"/>
      <c r="D178" s="1875"/>
      <c r="K178" s="56"/>
      <c r="L178" s="56"/>
    </row>
    <row r="179" spans="1:12" s="1874" customFormat="1">
      <c r="A179" s="157"/>
      <c r="D179" s="1875"/>
      <c r="K179" s="56"/>
      <c r="L179" s="56"/>
    </row>
    <row r="180" spans="1:12" s="1874" customFormat="1">
      <c r="A180" s="157"/>
      <c r="D180" s="1875"/>
      <c r="K180" s="56"/>
      <c r="L180" s="56"/>
    </row>
    <row r="181" spans="1:12" s="1874" customFormat="1">
      <c r="A181" s="157"/>
      <c r="D181" s="1875"/>
      <c r="K181" s="56"/>
      <c r="L181" s="56"/>
    </row>
    <row r="182" spans="1:12" s="1874" customFormat="1">
      <c r="A182" s="157"/>
      <c r="D182" s="1875"/>
      <c r="K182" s="56"/>
      <c r="L182" s="56"/>
    </row>
    <row r="183" spans="1:12" s="1874" customFormat="1">
      <c r="A183" s="157"/>
      <c r="D183" s="1875"/>
      <c r="K183" s="56"/>
      <c r="L183" s="56"/>
    </row>
    <row r="184" spans="1:12" s="1874" customFormat="1">
      <c r="A184" s="157"/>
      <c r="D184" s="1875"/>
      <c r="K184" s="56"/>
      <c r="L184" s="56"/>
    </row>
    <row r="185" spans="1:12" s="1874" customFormat="1">
      <c r="A185" s="157"/>
      <c r="D185" s="1875"/>
      <c r="K185" s="56"/>
      <c r="L185" s="56"/>
    </row>
    <row r="186" spans="1:12" s="1874" customFormat="1">
      <c r="A186" s="157"/>
      <c r="D186" s="1875"/>
      <c r="K186" s="56"/>
      <c r="L186" s="56"/>
    </row>
    <row r="187" spans="1:12" s="1874" customFormat="1">
      <c r="A187" s="157"/>
      <c r="D187" s="1875"/>
      <c r="K187" s="56"/>
      <c r="L187" s="56"/>
    </row>
    <row r="188" spans="1:12" s="1874" customFormat="1">
      <c r="A188" s="157"/>
      <c r="D188" s="1875"/>
      <c r="K188" s="56"/>
      <c r="L188" s="56"/>
    </row>
    <row r="189" spans="1:12" s="1874" customFormat="1">
      <c r="A189" s="157"/>
      <c r="D189" s="1875"/>
      <c r="K189" s="56"/>
      <c r="L189" s="56"/>
    </row>
    <row r="190" spans="1:12" s="1874" customFormat="1">
      <c r="A190" s="157"/>
      <c r="D190" s="1875"/>
      <c r="K190" s="56"/>
      <c r="L190" s="56"/>
    </row>
    <row r="191" spans="1:12" s="1874" customFormat="1">
      <c r="A191" s="157"/>
      <c r="D191" s="1875"/>
      <c r="K191" s="56"/>
      <c r="L191" s="56"/>
    </row>
    <row r="192" spans="1:12" s="1874" customFormat="1">
      <c r="A192" s="157"/>
      <c r="D192" s="1875"/>
      <c r="K192" s="56"/>
      <c r="L192" s="56"/>
    </row>
  </sheetData>
  <sheetProtection password="C66D" sheet="1" objects="1" scenarios="1" formatCells="0" formatColumns="0" formatRows="0"/>
  <dataConsolidate/>
  <mergeCells count="2">
    <mergeCell ref="K20:K21"/>
    <mergeCell ref="L20:N20"/>
  </mergeCells>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9"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0" sqref="C20"/>
    </sheetView>
  </sheetViews>
  <sheetFormatPr defaultColWidth="9" defaultRowHeight="13.5"/>
  <cols>
    <col min="1" max="1" width="9.5" style="1882" customWidth="1"/>
    <col min="2" max="2" width="24.5" style="1897" customWidth="1"/>
    <col min="3" max="3" width="24.5" style="1899" customWidth="1"/>
    <col min="4" max="4" width="2.625" style="1899" customWidth="1"/>
    <col min="5" max="5" width="5.875" style="1899" customWidth="1"/>
    <col min="6" max="6" width="27" style="1897" customWidth="1"/>
    <col min="7" max="7" width="27" style="1898" customWidth="1"/>
    <col min="8" max="8" width="11.875" style="1897" customWidth="1"/>
    <col min="9" max="9" width="16.75" style="1898" customWidth="1"/>
    <col min="10" max="10" width="2.625" style="1899" customWidth="1"/>
    <col min="11" max="11" width="11.875" style="1897" customWidth="1"/>
    <col min="12" max="12" width="16.75" style="1898" customWidth="1"/>
    <col min="13" max="13" width="2.625" style="1899" customWidth="1"/>
    <col min="14" max="14" width="11.875" style="1897" customWidth="1"/>
    <col min="15" max="15" width="16.75" style="1898" customWidth="1"/>
    <col min="16" max="16" width="2.625" style="1899" customWidth="1"/>
    <col min="17" max="17" width="11.875" style="1897" customWidth="1"/>
    <col min="18" max="18" width="16.75" style="1900" customWidth="1"/>
    <col min="19" max="16384" width="9" style="1882"/>
  </cols>
  <sheetData>
    <row r="1" spans="1:18" s="1881" customFormat="1" ht="19.5" thickBot="1">
      <c r="A1" s="3296" t="s">
        <v>1596</v>
      </c>
      <c r="B1" s="3297"/>
      <c r="C1" s="3297"/>
      <c r="D1" s="3297"/>
      <c r="E1" s="3297"/>
      <c r="F1" s="3297"/>
      <c r="G1" s="3297"/>
      <c r="H1" s="1876"/>
      <c r="I1" s="1877"/>
      <c r="J1" s="1878"/>
      <c r="K1" s="1876"/>
      <c r="L1" s="1877"/>
      <c r="M1" s="1878"/>
      <c r="N1" s="1876"/>
      <c r="O1" s="1877"/>
      <c r="P1" s="1878"/>
      <c r="Q1" s="1879"/>
      <c r="R1" s="1880"/>
    </row>
    <row r="2" spans="1:18" ht="14.25" thickBot="1">
      <c r="A2" s="1109"/>
      <c r="B2" s="1110"/>
      <c r="C2" s="1111" t="s">
        <v>1597</v>
      </c>
      <c r="D2" s="1112"/>
      <c r="E2" s="1113"/>
      <c r="F2" s="1114"/>
      <c r="G2" s="1111" t="s">
        <v>1598</v>
      </c>
      <c r="H2" s="1882"/>
      <c r="I2" s="1882"/>
      <c r="J2" s="1882"/>
      <c r="K2" s="1882"/>
      <c r="L2" s="1882"/>
      <c r="M2" s="1882"/>
      <c r="N2" s="1882"/>
      <c r="O2" s="1882"/>
      <c r="P2" s="1882"/>
      <c r="Q2" s="1882"/>
      <c r="R2" s="1882"/>
    </row>
    <row r="3" spans="1:18" ht="27">
      <c r="A3" s="1115" t="s">
        <v>1599</v>
      </c>
      <c r="B3" s="1116" t="s">
        <v>1586</v>
      </c>
      <c r="C3" s="3177" t="s">
        <v>3207</v>
      </c>
      <c r="D3" s="1883"/>
      <c r="E3" s="1117" t="s">
        <v>1599</v>
      </c>
      <c r="F3" s="1118" t="s">
        <v>1587</v>
      </c>
      <c r="G3" s="2939"/>
      <c r="H3" s="1882"/>
      <c r="I3" s="1882"/>
      <c r="J3" s="1882"/>
      <c r="K3" s="1882"/>
      <c r="L3" s="1882"/>
      <c r="M3" s="1882"/>
      <c r="N3" s="1882"/>
      <c r="O3" s="1882"/>
      <c r="P3" s="1882"/>
      <c r="Q3" s="1882"/>
      <c r="R3" s="1882"/>
    </row>
    <row r="4" spans="1:18" ht="14.25">
      <c r="A4" s="1117"/>
      <c r="B4" s="1119" t="s">
        <v>1600</v>
      </c>
      <c r="C4" s="3176" t="s">
        <v>3206</v>
      </c>
      <c r="D4" s="1883"/>
      <c r="E4" s="1120"/>
      <c r="F4" s="1121" t="s">
        <v>1601</v>
      </c>
      <c r="G4" s="2938"/>
      <c r="H4" s="1882"/>
      <c r="I4" s="1882"/>
      <c r="J4" s="1882"/>
      <c r="K4" s="1882"/>
      <c r="L4" s="1882"/>
      <c r="M4" s="1882"/>
      <c r="N4" s="1882"/>
      <c r="O4" s="1882"/>
      <c r="P4" s="1882"/>
      <c r="Q4" s="1882"/>
      <c r="R4" s="1882"/>
    </row>
    <row r="5" spans="1:18" ht="14.25">
      <c r="A5" s="1117"/>
      <c r="B5" s="1119" t="s">
        <v>1602</v>
      </c>
      <c r="C5" s="3176" t="s">
        <v>3205</v>
      </c>
      <c r="D5" s="1883"/>
      <c r="E5" s="1120"/>
      <c r="F5" s="1119" t="s">
        <v>2474</v>
      </c>
      <c r="G5" s="2938"/>
      <c r="H5" s="1882"/>
      <c r="I5" s="1882"/>
      <c r="J5" s="1882"/>
      <c r="K5" s="1882"/>
      <c r="L5" s="1882"/>
      <c r="M5" s="1882"/>
      <c r="N5" s="1882"/>
      <c r="O5" s="1882"/>
      <c r="P5" s="1882"/>
      <c r="Q5" s="1882"/>
      <c r="R5" s="1882"/>
    </row>
    <row r="6" spans="1:18" ht="42.75">
      <c r="A6" s="1117"/>
      <c r="B6" s="1119" t="s">
        <v>1588</v>
      </c>
      <c r="C6" s="2938" t="s">
        <v>3204</v>
      </c>
      <c r="D6" s="1883"/>
      <c r="E6" s="1120"/>
      <c r="F6" s="1119" t="s">
        <v>2475</v>
      </c>
      <c r="G6" s="2938"/>
      <c r="H6" s="1882"/>
      <c r="I6" s="1882"/>
      <c r="J6" s="1882"/>
      <c r="K6" s="1882"/>
      <c r="L6" s="1882"/>
      <c r="M6" s="1882"/>
      <c r="N6" s="1882"/>
      <c r="O6" s="1882"/>
      <c r="P6" s="1882"/>
      <c r="Q6" s="1882"/>
      <c r="R6" s="1882"/>
    </row>
    <row r="7" spans="1:18" ht="15" thickBot="1">
      <c r="A7" s="1117"/>
      <c r="B7" s="1119" t="s">
        <v>2474</v>
      </c>
      <c r="C7" s="3178" t="s">
        <v>3208</v>
      </c>
      <c r="D7" s="1884"/>
      <c r="E7" s="1122"/>
      <c r="F7" s="1123" t="s">
        <v>1603</v>
      </c>
      <c r="G7" s="2940"/>
      <c r="H7" s="1882"/>
      <c r="I7" s="1882"/>
      <c r="J7" s="1882"/>
      <c r="K7" s="1882"/>
      <c r="L7" s="1882"/>
      <c r="M7" s="1882"/>
      <c r="N7" s="1882"/>
      <c r="O7" s="1882"/>
      <c r="P7" s="1882"/>
      <c r="Q7" s="1882"/>
      <c r="R7" s="1882"/>
    </row>
    <row r="8" spans="1:18">
      <c r="A8" s="1117"/>
      <c r="B8" s="1119" t="s">
        <v>2475</v>
      </c>
      <c r="C8" s="3178" t="s">
        <v>3210</v>
      </c>
      <c r="D8" s="1884"/>
      <c r="E8" s="1884"/>
      <c r="F8" s="1441"/>
      <c r="G8" s="1441"/>
      <c r="H8" s="1882"/>
      <c r="I8" s="1882"/>
      <c r="J8" s="1882"/>
      <c r="K8" s="1882"/>
      <c r="L8" s="1882"/>
      <c r="M8" s="1882"/>
      <c r="N8" s="1882"/>
      <c r="O8" s="1882"/>
      <c r="P8" s="1882"/>
      <c r="Q8" s="1882"/>
      <c r="R8" s="1882"/>
    </row>
    <row r="9" spans="1:18">
      <c r="A9" s="1117"/>
      <c r="B9" s="1119" t="s">
        <v>1589</v>
      </c>
      <c r="C9" s="3176" t="s">
        <v>3211</v>
      </c>
      <c r="D9" s="1883"/>
      <c r="E9" s="1884"/>
      <c r="F9" s="1441"/>
      <c r="G9" s="1441"/>
      <c r="H9" s="1882"/>
      <c r="I9" s="1882"/>
      <c r="J9" s="1882"/>
      <c r="K9" s="1882"/>
      <c r="L9" s="1882"/>
      <c r="M9" s="1882"/>
      <c r="N9" s="1882"/>
      <c r="O9" s="1882"/>
      <c r="P9" s="1882"/>
      <c r="Q9" s="1882"/>
      <c r="R9" s="1882"/>
    </row>
    <row r="10" spans="1:18" s="1890" customFormat="1" ht="14.25" thickBot="1">
      <c r="A10" s="1124"/>
      <c r="B10" s="1125" t="s">
        <v>1604</v>
      </c>
      <c r="C10" s="3179" t="s">
        <v>3212</v>
      </c>
      <c r="D10" s="1883"/>
      <c r="E10" s="1883"/>
      <c r="F10" s="1441"/>
      <c r="G10" s="1441"/>
      <c r="H10" s="1887"/>
      <c r="I10" s="1888"/>
      <c r="J10" s="1889"/>
      <c r="K10" s="1887"/>
      <c r="L10" s="1888"/>
      <c r="M10" s="1889"/>
      <c r="N10" s="1887"/>
      <c r="O10" s="1888"/>
      <c r="P10" s="1889"/>
      <c r="Q10" s="1887"/>
      <c r="R10" s="1888"/>
    </row>
    <row r="11" spans="1:18" s="1890" customFormat="1">
      <c r="A11" s="1885"/>
      <c r="B11" s="1884"/>
      <c r="C11" s="1883"/>
      <c r="D11" s="1883"/>
      <c r="E11" s="1883"/>
      <c r="F11" s="1884"/>
      <c r="G11" s="1886"/>
      <c r="H11" s="1887"/>
      <c r="I11" s="1888"/>
      <c r="J11" s="1889"/>
      <c r="K11" s="1887"/>
      <c r="L11" s="1888"/>
      <c r="M11" s="1889"/>
      <c r="N11" s="1887"/>
      <c r="O11" s="1888"/>
      <c r="P11" s="1889"/>
      <c r="Q11" s="1887"/>
      <c r="R11" s="1888"/>
    </row>
    <row r="12" spans="1:18" s="1881" customFormat="1" ht="18.75">
      <c r="A12" s="1885"/>
      <c r="B12" s="1884"/>
      <c r="C12" s="1883"/>
      <c r="D12" s="2443"/>
      <c r="E12" s="1883"/>
      <c r="F12" s="1884"/>
      <c r="G12" s="1886"/>
      <c r="H12" s="1891"/>
      <c r="I12" s="1892"/>
      <c r="J12" s="1891"/>
      <c r="K12" s="1891"/>
      <c r="L12" s="1893"/>
      <c r="M12" s="1891"/>
      <c r="N12" s="1894"/>
      <c r="O12" s="1895"/>
      <c r="P12" s="1896"/>
      <c r="Q12" s="1894"/>
      <c r="R12" s="1880"/>
    </row>
    <row r="13" spans="1:18" ht="19.5" thickBot="1">
      <c r="A13" s="2442" t="s">
        <v>1605</v>
      </c>
      <c r="B13" s="2443"/>
      <c r="C13" s="2443"/>
      <c r="D13" s="1112"/>
      <c r="E13" s="2443"/>
      <c r="F13" s="2443"/>
      <c r="G13" s="2443"/>
    </row>
    <row r="14" spans="1:18" ht="14.25" thickBot="1">
      <c r="A14" s="1126"/>
      <c r="B14" s="1127"/>
      <c r="C14" s="1128" t="s">
        <v>1597</v>
      </c>
      <c r="D14" s="1883"/>
      <c r="E14" s="1129"/>
      <c r="F14" s="1129"/>
      <c r="G14" s="1111" t="s">
        <v>1598</v>
      </c>
    </row>
    <row r="15" spans="1:18" ht="27">
      <c r="A15" s="2453" t="s">
        <v>1590</v>
      </c>
      <c r="B15" s="1130" t="s">
        <v>1586</v>
      </c>
      <c r="C15" s="1131" t="str">
        <f>C3</f>
        <v>大运府邸、云都花园、中都华庭</v>
      </c>
      <c r="D15" s="1883"/>
      <c r="E15" s="2450" t="s">
        <v>1591</v>
      </c>
      <c r="F15" s="1130" t="s">
        <v>1606</v>
      </c>
      <c r="G15" s="1132">
        <f>G3</f>
        <v>0</v>
      </c>
    </row>
    <row r="16" spans="1:18">
      <c r="A16" s="2454"/>
      <c r="B16" s="1133" t="s">
        <v>1600</v>
      </c>
      <c r="C16" s="1134" t="str">
        <f>C4</f>
        <v>集贸百货、村镇商业</v>
      </c>
      <c r="D16" s="1883"/>
      <c r="E16" s="2451"/>
      <c r="F16" s="1135" t="s">
        <v>1601</v>
      </c>
      <c r="G16" s="903">
        <f>G4</f>
        <v>0</v>
      </c>
    </row>
    <row r="17" spans="1:7" ht="14.25">
      <c r="A17" s="2454"/>
      <c r="B17" s="1133" t="s">
        <v>1602</v>
      </c>
      <c r="C17" s="1134" t="str">
        <f>C5</f>
        <v>多家工业厂房</v>
      </c>
      <c r="D17" s="1884"/>
      <c r="E17" s="2451"/>
      <c r="F17" s="1135" t="s">
        <v>1607</v>
      </c>
      <c r="G17" s="2658"/>
    </row>
    <row r="18" spans="1:7" ht="40.5">
      <c r="A18" s="2454"/>
      <c r="B18" s="1135" t="s">
        <v>1588</v>
      </c>
      <c r="C18" s="903" t="str">
        <f>C6</f>
        <v>233路、平湖k166路；大云镇客运站；嘉善南站；1高速、1省道</v>
      </c>
      <c r="D18" s="1884"/>
      <c r="E18" s="2451"/>
      <c r="F18" s="1135" t="s">
        <v>1603</v>
      </c>
      <c r="G18" s="903">
        <f>G7</f>
        <v>0</v>
      </c>
    </row>
    <row r="19" spans="1:7">
      <c r="A19" s="2454"/>
      <c r="B19" s="1135" t="s">
        <v>1592</v>
      </c>
      <c r="C19" s="3180" t="s">
        <v>3214</v>
      </c>
      <c r="D19" s="1883"/>
      <c r="E19" s="2451"/>
      <c r="F19" s="1119" t="s">
        <v>2474</v>
      </c>
      <c r="G19" s="903">
        <f>G5</f>
        <v>0</v>
      </c>
    </row>
    <row r="20" spans="1:7">
      <c r="A20" s="2454"/>
      <c r="B20" s="1135" t="s">
        <v>1593</v>
      </c>
      <c r="C20" s="1134" t="str">
        <f>C9</f>
        <v>六生河</v>
      </c>
      <c r="D20" s="1884"/>
      <c r="E20" s="2451"/>
      <c r="F20" s="1119" t="s">
        <v>2475</v>
      </c>
      <c r="G20" s="903">
        <f>G6</f>
        <v>0</v>
      </c>
    </row>
    <row r="21" spans="1:7" ht="14.25">
      <c r="A21" s="2454"/>
      <c r="B21" s="1119" t="s">
        <v>2474</v>
      </c>
      <c r="C21" s="903" t="str">
        <f>C7</f>
        <v>医院、学校、银行、餐饮</v>
      </c>
      <c r="D21" s="1883"/>
      <c r="E21" s="2451"/>
      <c r="F21" s="1135" t="s">
        <v>1594</v>
      </c>
      <c r="G21" s="2941"/>
    </row>
    <row r="22" spans="1:7" ht="14.25">
      <c r="A22" s="2454"/>
      <c r="B22" s="1119" t="s">
        <v>2475</v>
      </c>
      <c r="C22" s="903" t="str">
        <f>C8</f>
        <v>六通</v>
      </c>
      <c r="D22" s="1883"/>
      <c r="E22" s="2451"/>
      <c r="F22" s="1135" t="s">
        <v>1604</v>
      </c>
      <c r="G22" s="2658"/>
    </row>
    <row r="23" spans="1:7" ht="15" thickBot="1">
      <c r="A23" s="2454"/>
      <c r="B23" s="1135" t="s">
        <v>1594</v>
      </c>
      <c r="C23" s="2941" t="s">
        <v>3213</v>
      </c>
      <c r="E23" s="2452"/>
      <c r="F23" s="1136" t="s">
        <v>1608</v>
      </c>
      <c r="G23" s="2942"/>
    </row>
    <row r="24" spans="1:7" ht="14.25" thickBot="1">
      <c r="A24" s="2455"/>
      <c r="B24" s="1136" t="s">
        <v>1595</v>
      </c>
      <c r="C24" s="1137" t="str">
        <f>C10</f>
        <v>支路</v>
      </c>
      <c r="E24" s="1901"/>
      <c r="F24" s="1901"/>
      <c r="G24" s="1902"/>
    </row>
    <row r="25" spans="1:7">
      <c r="E25" s="1882"/>
      <c r="F25" s="1882"/>
      <c r="G25" s="1882"/>
    </row>
    <row r="26" spans="1:7">
      <c r="E26" s="1882"/>
      <c r="F26" s="1882"/>
      <c r="G26" s="1882"/>
    </row>
    <row r="27" spans="1:7">
      <c r="E27" s="1882"/>
      <c r="F27" s="1882"/>
      <c r="G27" s="1882"/>
    </row>
    <row r="28" spans="1:7">
      <c r="E28" s="1882"/>
      <c r="F28" s="1882"/>
      <c r="G28" s="1882"/>
    </row>
    <row r="29" spans="1:7">
      <c r="E29" s="1882"/>
      <c r="F29" s="1882"/>
      <c r="G29" s="1882"/>
    </row>
    <row r="30" spans="1:7">
      <c r="E30" s="1882"/>
      <c r="F30" s="1882"/>
      <c r="G30" s="1882"/>
    </row>
    <row r="31" spans="1:7">
      <c r="E31" s="1882"/>
      <c r="F31" s="1882"/>
      <c r="G31" s="1882"/>
    </row>
    <row r="32" spans="1:7">
      <c r="E32" s="1882"/>
      <c r="F32" s="1882"/>
      <c r="G32" s="1882"/>
    </row>
    <row r="33" spans="5:7">
      <c r="E33" s="1882"/>
      <c r="F33" s="1882"/>
      <c r="G33" s="1882"/>
    </row>
    <row r="34" spans="5:7">
      <c r="E34" s="1882"/>
      <c r="F34" s="1882"/>
      <c r="G34" s="1882"/>
    </row>
    <row r="35" spans="5:7">
      <c r="E35" s="1882"/>
      <c r="F35" s="1882"/>
      <c r="G35" s="1882"/>
    </row>
    <row r="36" spans="5:7">
      <c r="E36" s="1882"/>
      <c r="F36" s="1882"/>
      <c r="G36" s="1882"/>
    </row>
    <row r="37" spans="5:7">
      <c r="E37" s="1882"/>
      <c r="F37" s="1882"/>
      <c r="G37" s="188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09" t="s">
        <v>2772</v>
      </c>
      <c r="B1" s="2909">
        <f>SUM(B14:B23)</f>
        <v>78389</v>
      </c>
      <c r="C1" s="2910"/>
      <c r="D1" s="2910"/>
      <c r="E1" s="2910"/>
      <c r="F1" s="2910"/>
    </row>
    <row r="2" spans="1:9" ht="16.5">
      <c r="A2" s="2909" t="s">
        <v>2773</v>
      </c>
      <c r="B2" s="2909">
        <f>SUM(C14:C23)</f>
        <v>33431.800000000003</v>
      </c>
      <c r="C2" s="2910"/>
      <c r="D2" s="2910"/>
      <c r="E2" s="2910"/>
      <c r="F2" s="2910"/>
    </row>
    <row r="3" spans="1:9" ht="16.5">
      <c r="A3" s="2909" t="s">
        <v>2774</v>
      </c>
      <c r="B3" s="2911">
        <f>项目基本情况!D3</f>
        <v>43240</v>
      </c>
      <c r="C3" s="2910"/>
      <c r="D3" s="2910"/>
      <c r="E3" s="2910"/>
      <c r="F3" s="2910"/>
    </row>
    <row r="4" spans="1:9" ht="33">
      <c r="A4" s="2909" t="s">
        <v>2775</v>
      </c>
      <c r="B4" s="2909" t="s">
        <v>2776</v>
      </c>
      <c r="C4" s="2909" t="s">
        <v>2777</v>
      </c>
      <c r="D4" s="2909" t="s">
        <v>2778</v>
      </c>
      <c r="E4" s="2910"/>
      <c r="F4" s="2910"/>
    </row>
    <row r="5" spans="1:9" ht="16.5">
      <c r="A5" s="2909" t="s">
        <v>2779</v>
      </c>
      <c r="B5" s="2909">
        <f ca="1">SUM(D14:D23)</f>
        <v>49353</v>
      </c>
      <c r="C5" s="2909">
        <f ca="1">ROUND(B5*10000/$B$1,0)</f>
        <v>6296</v>
      </c>
      <c r="D5" s="2909">
        <f ca="1">ROUND(B5*10000/$B$2,0)</f>
        <v>14762</v>
      </c>
      <c r="E5" s="2910"/>
      <c r="F5" s="2910"/>
    </row>
    <row r="6" spans="1:9" ht="16.5">
      <c r="A6" s="2909" t="s">
        <v>2780</v>
      </c>
      <c r="B6" s="2909">
        <f ca="1">SUM(G14:G23)</f>
        <v>43164</v>
      </c>
      <c r="C6" s="2909">
        <f ca="1">ROUND(B6*10000/$B$1,0)</f>
        <v>5506</v>
      </c>
      <c r="D6" s="2909">
        <f ca="1">ROUND(B6*10000/$B$2,0)</f>
        <v>12911</v>
      </c>
      <c r="E6" s="2910"/>
      <c r="F6" s="2910"/>
    </row>
    <row r="7" spans="1:9" ht="16.5">
      <c r="A7" s="2909" t="s">
        <v>2781</v>
      </c>
      <c r="B7" s="2909">
        <f>SUM(H14:H23)</f>
        <v>0</v>
      </c>
      <c r="C7" s="2909">
        <f>ROUND(B7*10000/$B$1,0)</f>
        <v>0</v>
      </c>
      <c r="D7" s="2909">
        <f>ROUND(B7*10000/$B$2,0)</f>
        <v>0</v>
      </c>
      <c r="E7" s="2910"/>
      <c r="F7" s="2910"/>
    </row>
    <row r="8" spans="1:9" ht="16.5">
      <c r="A8" s="2909" t="s">
        <v>2782</v>
      </c>
      <c r="B8" s="2909">
        <f>SUM(I14:I23)</f>
        <v>0</v>
      </c>
      <c r="C8" s="2909">
        <f>ROUND(B8*10000/$B$1,0)</f>
        <v>0</v>
      </c>
      <c r="D8" s="2909">
        <f>ROUND(B8*10000/$B$2,0)</f>
        <v>0</v>
      </c>
      <c r="E8" s="2910"/>
      <c r="F8" s="2910"/>
    </row>
    <row r="9" spans="1:9" ht="16.5">
      <c r="A9" s="2909" t="s">
        <v>2783</v>
      </c>
      <c r="B9" s="2912"/>
      <c r="C9" s="2910"/>
      <c r="D9" s="2910"/>
      <c r="E9" s="2910"/>
      <c r="F9" s="2910"/>
    </row>
    <row r="10" spans="1:9" ht="16.5">
      <c r="A10" s="2909" t="s">
        <v>2784</v>
      </c>
      <c r="B10" s="2912"/>
      <c r="C10" s="2910"/>
      <c r="D10" s="2910"/>
      <c r="E10" s="2910"/>
      <c r="F10" s="2910"/>
    </row>
    <row r="11" spans="1:9" ht="16.5">
      <c r="A11" s="2909" t="s">
        <v>2801</v>
      </c>
      <c r="B11" s="2912"/>
      <c r="C11" s="2910"/>
      <c r="D11" s="2910"/>
      <c r="E11" s="2910"/>
      <c r="F11" s="2910"/>
    </row>
    <row r="12" spans="1:9" ht="16.5">
      <c r="A12" s="2910"/>
      <c r="B12" s="2910"/>
      <c r="C12" s="2910"/>
      <c r="D12" s="2910"/>
      <c r="E12" s="2910"/>
      <c r="F12" s="2910"/>
    </row>
    <row r="13" spans="1:9" ht="33">
      <c r="A13" s="2915" t="s">
        <v>2800</v>
      </c>
      <c r="B13" s="2913" t="s">
        <v>2772</v>
      </c>
      <c r="C13" s="2913" t="s">
        <v>2773</v>
      </c>
      <c r="D13" s="2913" t="s">
        <v>2785</v>
      </c>
      <c r="E13" s="2909" t="s">
        <v>2799</v>
      </c>
      <c r="F13" s="2909" t="s">
        <v>2778</v>
      </c>
      <c r="G13" s="2913" t="s">
        <v>2786</v>
      </c>
      <c r="H13" s="2913" t="s">
        <v>2787</v>
      </c>
      <c r="I13" s="2913" t="s">
        <v>2788</v>
      </c>
    </row>
    <row r="14" spans="1:9" ht="16.5">
      <c r="A14" s="2916" t="s">
        <v>2798</v>
      </c>
      <c r="B14" s="2913">
        <f>结果表!L38</f>
        <v>78389</v>
      </c>
      <c r="C14" s="2913">
        <f>结果表!K38</f>
        <v>33431.800000000003</v>
      </c>
      <c r="D14" s="2913">
        <f ca="1">结果表!C42</f>
        <v>49353</v>
      </c>
      <c r="E14" s="2913">
        <f ca="1">ROUND(D14*10000/B14,0)</f>
        <v>6296</v>
      </c>
      <c r="F14" s="2913">
        <f ca="1">ROUND(D14*10000/C14,0)</f>
        <v>14762</v>
      </c>
      <c r="G14" s="2913">
        <f ca="1">结果表!C44</f>
        <v>43164</v>
      </c>
      <c r="H14" s="2913" t="str">
        <f>结果表!C45</f>
        <v>——</v>
      </c>
      <c r="I14" s="2913" t="str">
        <f>结果表!C46</f>
        <v>——</v>
      </c>
    </row>
    <row r="15" spans="1:9" ht="16.5">
      <c r="A15" s="2916" t="s">
        <v>2789</v>
      </c>
      <c r="B15" s="2917"/>
      <c r="C15" s="2917"/>
      <c r="D15" s="2917"/>
      <c r="E15" s="2913" t="e">
        <f t="shared" ref="E15:E23" si="0">ROUND(D15*10000/B15,0)</f>
        <v>#DIV/0!</v>
      </c>
      <c r="F15" s="2913" t="e">
        <f t="shared" ref="F15:F23" si="1">ROUND(D15*10000/C15,0)</f>
        <v>#DIV/0!</v>
      </c>
      <c r="G15" s="2914"/>
      <c r="H15" s="2914"/>
      <c r="I15" s="2917"/>
    </row>
    <row r="16" spans="1:9" ht="16.5">
      <c r="A16" s="2916" t="s">
        <v>2790</v>
      </c>
      <c r="B16" s="2917"/>
      <c r="C16" s="2917"/>
      <c r="D16" s="2917"/>
      <c r="E16" s="2913" t="e">
        <f t="shared" si="0"/>
        <v>#DIV/0!</v>
      </c>
      <c r="F16" s="2913" t="e">
        <f t="shared" si="1"/>
        <v>#DIV/0!</v>
      </c>
      <c r="G16" s="2914"/>
      <c r="H16" s="2914"/>
      <c r="I16" s="2917"/>
    </row>
    <row r="17" spans="1:9" ht="16.5">
      <c r="A17" s="2916" t="s">
        <v>2791</v>
      </c>
      <c r="B17" s="2917"/>
      <c r="C17" s="2917"/>
      <c r="D17" s="2917"/>
      <c r="E17" s="2913" t="e">
        <f t="shared" si="0"/>
        <v>#DIV/0!</v>
      </c>
      <c r="F17" s="2913" t="e">
        <f t="shared" si="1"/>
        <v>#DIV/0!</v>
      </c>
      <c r="G17" s="2914"/>
      <c r="H17" s="2914"/>
      <c r="I17" s="2917"/>
    </row>
    <row r="18" spans="1:9" ht="16.5">
      <c r="A18" s="2916" t="s">
        <v>2792</v>
      </c>
      <c r="B18" s="2917"/>
      <c r="C18" s="2917"/>
      <c r="D18" s="2917"/>
      <c r="E18" s="2913" t="e">
        <f t="shared" si="0"/>
        <v>#DIV/0!</v>
      </c>
      <c r="F18" s="2913" t="e">
        <f t="shared" si="1"/>
        <v>#DIV/0!</v>
      </c>
      <c r="G18" s="2917"/>
      <c r="H18" s="2917"/>
      <c r="I18" s="2917"/>
    </row>
    <row r="19" spans="1:9" ht="16.5">
      <c r="A19" s="2916" t="s">
        <v>2793</v>
      </c>
      <c r="B19" s="2917"/>
      <c r="C19" s="2917"/>
      <c r="D19" s="2917"/>
      <c r="E19" s="2913" t="e">
        <f t="shared" si="0"/>
        <v>#DIV/0!</v>
      </c>
      <c r="F19" s="2913" t="e">
        <f t="shared" si="1"/>
        <v>#DIV/0!</v>
      </c>
      <c r="G19" s="2917"/>
      <c r="H19" s="2917"/>
      <c r="I19" s="2917"/>
    </row>
    <row r="20" spans="1:9" ht="16.5">
      <c r="A20" s="2916" t="s">
        <v>2794</v>
      </c>
      <c r="B20" s="2917"/>
      <c r="C20" s="2917"/>
      <c r="D20" s="2917"/>
      <c r="E20" s="2913" t="e">
        <f t="shared" si="0"/>
        <v>#DIV/0!</v>
      </c>
      <c r="F20" s="2913" t="e">
        <f t="shared" si="1"/>
        <v>#DIV/0!</v>
      </c>
      <c r="G20" s="2917"/>
      <c r="H20" s="2917"/>
      <c r="I20" s="2917"/>
    </row>
    <row r="21" spans="1:9" ht="16.5">
      <c r="A21" s="2916" t="s">
        <v>2795</v>
      </c>
      <c r="B21" s="2917"/>
      <c r="C21" s="2917"/>
      <c r="D21" s="2917"/>
      <c r="E21" s="2913" t="e">
        <f t="shared" si="0"/>
        <v>#DIV/0!</v>
      </c>
      <c r="F21" s="2913" t="e">
        <f t="shared" si="1"/>
        <v>#DIV/0!</v>
      </c>
      <c r="G21" s="2917"/>
      <c r="H21" s="2917"/>
      <c r="I21" s="2917"/>
    </row>
    <row r="22" spans="1:9" ht="16.5">
      <c r="A22" s="2916" t="s">
        <v>2796</v>
      </c>
      <c r="B22" s="2917"/>
      <c r="C22" s="2917"/>
      <c r="D22" s="2917"/>
      <c r="E22" s="2913" t="e">
        <f t="shared" si="0"/>
        <v>#DIV/0!</v>
      </c>
      <c r="F22" s="2913" t="e">
        <f t="shared" si="1"/>
        <v>#DIV/0!</v>
      </c>
      <c r="G22" s="2917"/>
      <c r="H22" s="2917"/>
      <c r="I22" s="2917"/>
    </row>
    <row r="23" spans="1:9" ht="16.5">
      <c r="A23" s="2916" t="s">
        <v>2797</v>
      </c>
      <c r="B23" s="2917"/>
      <c r="C23" s="2917"/>
      <c r="D23" s="2917"/>
      <c r="E23" s="2909" t="e">
        <f t="shared" si="0"/>
        <v>#DIV/0!</v>
      </c>
      <c r="F23" s="2909" t="e">
        <f t="shared" si="1"/>
        <v>#DIV/0!</v>
      </c>
      <c r="G23" s="2917"/>
      <c r="H23" s="2917"/>
      <c r="I23" s="2917"/>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4" zoomScale="70" zoomScaleNormal="100" zoomScaleSheetLayoutView="70" zoomScalePageLayoutView="80" workbookViewId="0">
      <selection activeCell="H44" sqref="H44"/>
    </sheetView>
  </sheetViews>
  <sheetFormatPr defaultColWidth="12.625" defaultRowHeight="21.75" customHeight="1"/>
  <cols>
    <col min="1" max="2" width="12.75" style="1138" bestFit="1" customWidth="1"/>
    <col min="3" max="4" width="12.625" style="1138" customWidth="1"/>
    <col min="5" max="9" width="12.75" style="1138" bestFit="1" customWidth="1"/>
    <col min="10" max="10" width="2.25" style="161" customWidth="1"/>
    <col min="11" max="12" width="12.625" style="161" customWidth="1"/>
    <col min="13" max="13" width="12.625" style="161"/>
    <col min="14" max="14" width="15.625" style="161" bestFit="1" customWidth="1"/>
    <col min="15" max="19" width="12.75" style="161" bestFit="1" customWidth="1"/>
    <col min="20" max="26" width="12.625" style="161"/>
    <col min="27" max="16384" width="12.625" style="1138"/>
  </cols>
  <sheetData>
    <row r="1" spans="1:22" ht="21.75" customHeight="1" thickBot="1">
      <c r="A1" s="1661" t="s">
        <v>1987</v>
      </c>
      <c r="B1" s="1662"/>
      <c r="C1" s="1690" t="s">
        <v>1988</v>
      </c>
      <c r="D1" s="1691" t="s">
        <v>3268</v>
      </c>
      <c r="E1" s="1690" t="s">
        <v>1989</v>
      </c>
      <c r="F1" s="1692" t="s">
        <v>3269</v>
      </c>
      <c r="G1" s="215"/>
      <c r="H1" s="215"/>
      <c r="I1" s="215"/>
      <c r="J1" s="1903"/>
      <c r="K1" s="1903"/>
      <c r="L1" s="1903"/>
      <c r="M1" s="1903"/>
      <c r="N1" s="1903"/>
      <c r="O1" s="1903"/>
      <c r="P1" s="1903"/>
      <c r="Q1" s="1903"/>
      <c r="R1" s="1903"/>
      <c r="S1" s="1903"/>
      <c r="T1" s="1903"/>
      <c r="U1" s="1903"/>
      <c r="V1" s="1903"/>
    </row>
    <row r="2" spans="1:22" ht="21.75" customHeight="1" thickBot="1">
      <c r="A2" s="3334" t="str">
        <f>项目基本情况!K2</f>
        <v>浙江省嘉兴市嘉善县大云镇云寺路北侧出让国有建设用地使用权</v>
      </c>
      <c r="B2" s="3335"/>
      <c r="C2" s="3336"/>
      <c r="D2" s="3336"/>
      <c r="E2" s="3336"/>
      <c r="F2" s="3336"/>
      <c r="G2" s="3335"/>
      <c r="H2" s="3335"/>
      <c r="I2" s="3337"/>
      <c r="J2" s="1904"/>
      <c r="K2" s="1903"/>
      <c r="L2" s="1903"/>
      <c r="M2" s="1903"/>
      <c r="N2" s="1903"/>
      <c r="O2" s="1903"/>
      <c r="P2" s="1903"/>
      <c r="Q2" s="1903"/>
      <c r="R2" s="1903"/>
      <c r="S2" s="1903"/>
      <c r="T2" s="1903"/>
      <c r="U2" s="1903"/>
      <c r="V2" s="1903"/>
    </row>
    <row r="3" spans="1:22" ht="14.25">
      <c r="A3" s="3327" t="s">
        <v>238</v>
      </c>
      <c r="B3" s="3328"/>
      <c r="C3" s="3328"/>
      <c r="D3" s="3328"/>
      <c r="E3" s="3328"/>
      <c r="F3" s="3328"/>
      <c r="G3" s="3328"/>
      <c r="H3" s="3328"/>
      <c r="I3" s="3328"/>
      <c r="J3" s="1904"/>
      <c r="K3" s="1903"/>
      <c r="L3" s="1903"/>
      <c r="M3" s="1903"/>
      <c r="N3" s="1903"/>
      <c r="O3" s="1903"/>
      <c r="P3" s="1903"/>
      <c r="Q3" s="1903"/>
      <c r="R3" s="1903"/>
      <c r="S3" s="1903"/>
      <c r="T3" s="1903"/>
      <c r="U3" s="1903"/>
      <c r="V3" s="1903"/>
    </row>
    <row r="4" spans="1:22" ht="14.25">
      <c r="A4" s="162" t="s">
        <v>239</v>
      </c>
      <c r="B4" s="163" t="s">
        <v>240</v>
      </c>
      <c r="C4" s="164" t="s">
        <v>3192</v>
      </c>
      <c r="D4" s="164" t="s">
        <v>3191</v>
      </c>
      <c r="E4" s="3299" t="s">
        <v>241</v>
      </c>
      <c r="F4" s="3300"/>
      <c r="G4" s="3300"/>
      <c r="H4" s="3300"/>
      <c r="I4" s="3329"/>
      <c r="J4" s="1904"/>
      <c r="K4" s="1903"/>
      <c r="L4" s="848" t="str">
        <f>IF(ISNUMBER(FIND("比较法",C4)),"比较法",IF(ISNUMBER(FIND("成本法",C4)),"成本法",IF(ISNUMBER(FIND("剩余法",C4)),"剩余法",IF(ISNUMBER(FIND("收益法",C4)),"收益法","基准地价系数修正法"))))</f>
        <v>比较法</v>
      </c>
      <c r="M4" s="848" t="str">
        <f>IF(ISNUMBER(FIND("比较法",D4)),"比较法",IF(ISNUMBER(FIND("成本法",D4)),"成本法",IF(ISNUMBER(FIND("剩余法",D4)),"剩余法",IF(ISNUMBER(FIND("收益法",D4)),"收益法","基准地价系数修正法"))))</f>
        <v>剩余法</v>
      </c>
      <c r="N4" s="1903"/>
      <c r="O4" s="1903"/>
      <c r="P4" s="1903"/>
      <c r="Q4" s="1903"/>
      <c r="R4" s="1903"/>
      <c r="S4" s="1903"/>
      <c r="T4" s="1903"/>
      <c r="U4" s="1903"/>
      <c r="V4" s="1903"/>
    </row>
    <row r="5" spans="1:22" ht="14.25" hidden="1">
      <c r="A5" s="3298" t="s">
        <v>242</v>
      </c>
      <c r="B5" s="3324">
        <v>25</v>
      </c>
      <c r="C5" s="3322"/>
      <c r="D5" s="3326"/>
      <c r="E5" s="165" t="s">
        <v>243</v>
      </c>
      <c r="F5" s="166"/>
      <c r="G5" s="166"/>
      <c r="H5" s="166"/>
      <c r="I5" s="167"/>
      <c r="J5" s="1904"/>
      <c r="K5" s="1903"/>
      <c r="L5" s="1903"/>
      <c r="M5" s="1903"/>
      <c r="N5" s="1903"/>
      <c r="O5" s="1903"/>
      <c r="P5" s="1903"/>
      <c r="Q5" s="1903"/>
      <c r="R5" s="1903"/>
      <c r="S5" s="1903"/>
      <c r="T5" s="1903"/>
      <c r="U5" s="1903"/>
      <c r="V5" s="1903"/>
    </row>
    <row r="6" spans="1:22" ht="14.25" hidden="1">
      <c r="A6" s="3298"/>
      <c r="B6" s="3324"/>
      <c r="C6" s="3325"/>
      <c r="D6" s="3326"/>
      <c r="E6" s="165" t="s">
        <v>244</v>
      </c>
      <c r="F6" s="166"/>
      <c r="G6" s="166"/>
      <c r="H6" s="166"/>
      <c r="I6" s="167"/>
      <c r="J6" s="1904"/>
      <c r="K6" s="1903"/>
      <c r="L6" s="1903"/>
      <c r="M6" s="1903"/>
      <c r="N6" s="1903"/>
      <c r="O6" s="1903"/>
      <c r="P6" s="1903"/>
      <c r="Q6" s="1903"/>
      <c r="R6" s="1903"/>
      <c r="S6" s="1903"/>
      <c r="T6" s="1903"/>
      <c r="U6" s="1903"/>
      <c r="V6" s="1903"/>
    </row>
    <row r="7" spans="1:22" ht="14.25" hidden="1">
      <c r="A7" s="3298"/>
      <c r="B7" s="3324"/>
      <c r="C7" s="3323"/>
      <c r="D7" s="3326"/>
      <c r="E7" s="165" t="s">
        <v>245</v>
      </c>
      <c r="F7" s="166"/>
      <c r="G7" s="166"/>
      <c r="H7" s="166"/>
      <c r="I7" s="167"/>
      <c r="J7" s="1904"/>
      <c r="K7" s="1903"/>
      <c r="L7" s="1903"/>
      <c r="M7" s="1903"/>
      <c r="N7" s="1903"/>
      <c r="O7" s="1903"/>
      <c r="P7" s="1903"/>
      <c r="Q7" s="1903"/>
      <c r="R7" s="1903"/>
      <c r="S7" s="1903"/>
      <c r="T7" s="1903"/>
      <c r="U7" s="1903"/>
      <c r="V7" s="1903"/>
    </row>
    <row r="8" spans="1:22" ht="14.25" hidden="1">
      <c r="A8" s="3298" t="s">
        <v>246</v>
      </c>
      <c r="B8" s="3324">
        <v>15</v>
      </c>
      <c r="C8" s="3322"/>
      <c r="D8" s="3326"/>
      <c r="E8" s="165" t="s">
        <v>247</v>
      </c>
      <c r="F8" s="166"/>
      <c r="G8" s="166"/>
      <c r="H8" s="166"/>
      <c r="I8" s="167"/>
      <c r="J8" s="1904"/>
      <c r="K8" s="1903"/>
      <c r="L8" s="1903"/>
      <c r="M8" s="1903"/>
      <c r="N8" s="1903"/>
      <c r="O8" s="1903"/>
      <c r="P8" s="1903"/>
      <c r="Q8" s="1903"/>
      <c r="R8" s="1903"/>
      <c r="S8" s="1903"/>
      <c r="T8" s="1903"/>
      <c r="U8" s="1903"/>
      <c r="V8" s="1903"/>
    </row>
    <row r="9" spans="1:22" ht="14.25" hidden="1">
      <c r="A9" s="3298"/>
      <c r="B9" s="3324"/>
      <c r="C9" s="3323"/>
      <c r="D9" s="3326"/>
      <c r="E9" s="165" t="s">
        <v>248</v>
      </c>
      <c r="F9" s="166"/>
      <c r="G9" s="166"/>
      <c r="H9" s="166"/>
      <c r="I9" s="167"/>
      <c r="J9" s="1904"/>
      <c r="K9" s="1903"/>
      <c r="L9" s="1903"/>
      <c r="M9" s="1903"/>
      <c r="N9" s="1903"/>
      <c r="O9" s="1903"/>
      <c r="P9" s="1903"/>
      <c r="Q9" s="1903"/>
      <c r="R9" s="1903"/>
      <c r="S9" s="1903"/>
      <c r="T9" s="1903"/>
      <c r="U9" s="1903"/>
      <c r="V9" s="1903"/>
    </row>
    <row r="10" spans="1:22" ht="14.25" hidden="1">
      <c r="A10" s="3298" t="s">
        <v>249</v>
      </c>
      <c r="B10" s="3324">
        <v>15</v>
      </c>
      <c r="C10" s="3322"/>
      <c r="D10" s="3326"/>
      <c r="E10" s="165" t="s">
        <v>250</v>
      </c>
      <c r="F10" s="166"/>
      <c r="G10" s="166"/>
      <c r="H10" s="166"/>
      <c r="I10" s="167"/>
      <c r="J10" s="1904"/>
      <c r="K10" s="1903"/>
      <c r="L10" s="1903"/>
      <c r="M10" s="1903"/>
      <c r="N10" s="1903"/>
      <c r="O10" s="1903"/>
      <c r="P10" s="1903"/>
      <c r="Q10" s="1903"/>
      <c r="R10" s="1903"/>
      <c r="S10" s="1903"/>
      <c r="T10" s="1903"/>
      <c r="U10" s="1903"/>
      <c r="V10" s="1903"/>
    </row>
    <row r="11" spans="1:22" ht="14.25" hidden="1">
      <c r="A11" s="3298"/>
      <c r="B11" s="3324"/>
      <c r="C11" s="3323"/>
      <c r="D11" s="3326"/>
      <c r="E11" s="165" t="s">
        <v>251</v>
      </c>
      <c r="F11" s="166"/>
      <c r="G11" s="166"/>
      <c r="H11" s="166"/>
      <c r="I11" s="167"/>
      <c r="J11" s="1904"/>
      <c r="K11" s="1903"/>
      <c r="L11" s="1903"/>
      <c r="M11" s="1903"/>
      <c r="N11" s="1903"/>
      <c r="O11" s="1903"/>
      <c r="P11" s="1903"/>
      <c r="Q11" s="1903"/>
      <c r="R11" s="1903"/>
      <c r="S11" s="1903"/>
      <c r="T11" s="1903"/>
      <c r="U11" s="1903"/>
      <c r="V11" s="1903"/>
    </row>
    <row r="12" spans="1:22" ht="14.25" hidden="1">
      <c r="A12" s="3298" t="s">
        <v>252</v>
      </c>
      <c r="B12" s="3324">
        <v>15</v>
      </c>
      <c r="C12" s="3322"/>
      <c r="D12" s="3326"/>
      <c r="E12" s="165" t="s">
        <v>253</v>
      </c>
      <c r="F12" s="166"/>
      <c r="G12" s="166"/>
      <c r="H12" s="166"/>
      <c r="I12" s="167"/>
      <c r="J12" s="1904"/>
      <c r="K12" s="1903"/>
      <c r="L12" s="1903"/>
      <c r="M12" s="1903"/>
      <c r="N12" s="1903"/>
      <c r="O12" s="1903"/>
      <c r="P12" s="1903"/>
      <c r="Q12" s="1903"/>
      <c r="R12" s="1903"/>
      <c r="S12" s="1903"/>
      <c r="T12" s="1903"/>
      <c r="U12" s="1903"/>
      <c r="V12" s="1903"/>
    </row>
    <row r="13" spans="1:22" ht="14.25" hidden="1">
      <c r="A13" s="3298"/>
      <c r="B13" s="3324"/>
      <c r="C13" s="3323"/>
      <c r="D13" s="3326"/>
      <c r="E13" s="165" t="s">
        <v>254</v>
      </c>
      <c r="F13" s="166"/>
      <c r="G13" s="166"/>
      <c r="H13" s="166"/>
      <c r="I13" s="167"/>
      <c r="J13" s="1904"/>
      <c r="K13" s="1903"/>
      <c r="L13" s="1903"/>
      <c r="M13" s="1903"/>
      <c r="N13" s="1903"/>
      <c r="O13" s="1903"/>
      <c r="P13" s="1903"/>
      <c r="Q13" s="1903"/>
      <c r="R13" s="1903"/>
      <c r="S13" s="1903"/>
      <c r="T13" s="1903"/>
      <c r="U13" s="1903"/>
      <c r="V13" s="1903"/>
    </row>
    <row r="14" spans="1:22" ht="14.25" hidden="1">
      <c r="A14" s="3298" t="s">
        <v>255</v>
      </c>
      <c r="B14" s="3324">
        <v>30</v>
      </c>
      <c r="C14" s="3322">
        <v>50</v>
      </c>
      <c r="D14" s="3326">
        <f>100-C14</f>
        <v>50</v>
      </c>
      <c r="E14" s="165" t="s">
        <v>256</v>
      </c>
      <c r="F14" s="166"/>
      <c r="G14" s="166"/>
      <c r="H14" s="166"/>
      <c r="I14" s="167"/>
      <c r="J14" s="1904"/>
      <c r="K14" s="1903"/>
      <c r="L14" s="1903"/>
      <c r="M14" s="1903"/>
      <c r="N14" s="1903"/>
      <c r="O14" s="1903"/>
      <c r="P14" s="1903"/>
      <c r="Q14" s="1903"/>
      <c r="R14" s="1903"/>
      <c r="S14" s="1903"/>
      <c r="T14" s="1903"/>
      <c r="U14" s="1903"/>
      <c r="V14" s="1903"/>
    </row>
    <row r="15" spans="1:22" ht="14.25" hidden="1">
      <c r="A15" s="3298"/>
      <c r="B15" s="3324"/>
      <c r="C15" s="3325"/>
      <c r="D15" s="3326"/>
      <c r="E15" s="165" t="s">
        <v>257</v>
      </c>
      <c r="F15" s="166"/>
      <c r="G15" s="166"/>
      <c r="H15" s="166"/>
      <c r="I15" s="167"/>
      <c r="J15" s="1904"/>
      <c r="K15" s="1903"/>
      <c r="L15" s="1903"/>
      <c r="M15" s="1903"/>
      <c r="N15" s="1903"/>
      <c r="O15" s="1903"/>
      <c r="P15" s="1903"/>
      <c r="Q15" s="1903"/>
      <c r="R15" s="1903"/>
      <c r="S15" s="1903"/>
      <c r="T15" s="1903"/>
      <c r="U15" s="1903"/>
      <c r="V15" s="1903"/>
    </row>
    <row r="16" spans="1:22" ht="14.25">
      <c r="A16" s="3298"/>
      <c r="B16" s="3324"/>
      <c r="C16" s="3323"/>
      <c r="D16" s="3326"/>
      <c r="E16" s="165" t="s">
        <v>258</v>
      </c>
      <c r="F16" s="166"/>
      <c r="G16" s="166"/>
      <c r="H16" s="166"/>
      <c r="I16" s="167"/>
      <c r="J16" s="1904"/>
      <c r="K16" s="1903"/>
      <c r="L16" s="1903"/>
      <c r="M16" s="1903"/>
      <c r="N16" s="1903"/>
      <c r="O16" s="1903"/>
      <c r="P16" s="1903"/>
      <c r="Q16" s="1903"/>
      <c r="R16" s="1903"/>
      <c r="S16" s="1903"/>
      <c r="T16" s="1903"/>
      <c r="U16" s="1903"/>
      <c r="V16" s="1903"/>
    </row>
    <row r="17" spans="1:26" ht="15">
      <c r="A17" s="168" t="s">
        <v>259</v>
      </c>
      <c r="B17" s="140"/>
      <c r="C17" s="169">
        <f>SUM(C5:C16)</f>
        <v>50</v>
      </c>
      <c r="D17" s="169">
        <f>SUM(D5:D16)</f>
        <v>50</v>
      </c>
      <c r="E17" s="215"/>
      <c r="F17" s="215"/>
      <c r="G17" s="215"/>
      <c r="H17" s="215"/>
      <c r="I17" s="215"/>
      <c r="J17" s="1904"/>
      <c r="K17" s="1903"/>
      <c r="L17" s="1903"/>
      <c r="M17" s="1903"/>
      <c r="N17" s="1903"/>
      <c r="O17" s="1903"/>
      <c r="P17" s="1903"/>
      <c r="Q17" s="1903"/>
      <c r="R17" s="1903"/>
      <c r="S17" s="1903"/>
      <c r="T17" s="1903"/>
      <c r="U17" s="1903"/>
      <c r="V17" s="1903"/>
    </row>
    <row r="18" spans="1:26" ht="15.75" thickBot="1">
      <c r="A18" s="170" t="s">
        <v>260</v>
      </c>
      <c r="B18" s="104"/>
      <c r="C18" s="171">
        <f>ROUND(C17/SUM(C17:D17),2)</f>
        <v>0.5</v>
      </c>
      <c r="D18" s="171">
        <f>1-C18</f>
        <v>0.5</v>
      </c>
      <c r="E18" s="215"/>
      <c r="F18" s="215"/>
      <c r="G18" s="215"/>
      <c r="H18" s="215"/>
      <c r="I18" s="215"/>
      <c r="J18" s="1903"/>
      <c r="K18" s="1903"/>
      <c r="L18" s="1903"/>
      <c r="M18" s="1903"/>
      <c r="N18" s="1903"/>
      <c r="O18" s="1903"/>
      <c r="P18" s="1903"/>
      <c r="Q18" s="1903"/>
      <c r="R18" s="1903"/>
      <c r="S18" s="1903"/>
      <c r="T18" s="1903"/>
      <c r="U18" s="1903"/>
      <c r="V18" s="1903"/>
    </row>
    <row r="19" spans="1:26" ht="15">
      <c r="A19" s="172" t="s">
        <v>261</v>
      </c>
      <c r="B19" s="173" t="s">
        <v>262</v>
      </c>
      <c r="C19" s="174">
        <f ca="1">SUMIF(INDIRECT("'"&amp;C4&amp;"'"&amp;"!A:A"),结果表!B19,INDIRECT("'"&amp;C4&amp;"'"&amp;"!B:B"))</f>
        <v>49187</v>
      </c>
      <c r="D19" s="175">
        <f ca="1">SUMIF(INDIRECT("'"&amp;D4&amp;"'"&amp;"!A:A"),结果表!B19,INDIRECT("'"&amp;D4&amp;"'"&amp;"!B:B"))</f>
        <v>49519</v>
      </c>
      <c r="E19" s="172" t="s">
        <v>263</v>
      </c>
      <c r="F19" s="173" t="s">
        <v>262</v>
      </c>
      <c r="G19" s="176">
        <f ca="1">ROUND(C19*$C$18+D19*$D$18,0)</f>
        <v>49353</v>
      </c>
      <c r="H19" s="177" t="s">
        <v>264</v>
      </c>
      <c r="I19" s="215"/>
      <c r="J19" s="1903"/>
      <c r="K19" s="1903"/>
      <c r="L19" s="1903"/>
      <c r="M19" s="1903"/>
      <c r="N19" s="1903"/>
      <c r="O19" s="1903"/>
      <c r="P19" s="1903"/>
      <c r="Q19" s="1903"/>
      <c r="R19" s="1903"/>
      <c r="S19" s="1903"/>
      <c r="T19" s="1903"/>
      <c r="U19" s="1903"/>
      <c r="V19" s="1903"/>
    </row>
    <row r="20" spans="1:26" ht="15">
      <c r="A20" s="178"/>
      <c r="B20" s="179" t="s">
        <v>265</v>
      </c>
      <c r="C20" s="180">
        <f ca="1">SUMIF(INDIRECT("'"&amp;C4&amp;"'"&amp;"!A:A"),结果表!B20,INDIRECT("'"&amp;C4&amp;"'"&amp;"!B:B"))</f>
        <v>6275</v>
      </c>
      <c r="D20" s="181">
        <f ca="1">SUMIF(INDIRECT("'"&amp;D4&amp;"'"&amp;"!A:A"),结果表!B20,INDIRECT("'"&amp;D4&amp;"'"&amp;"!B:B"))</f>
        <v>6317</v>
      </c>
      <c r="E20" s="178"/>
      <c r="F20" s="179" t="s">
        <v>265</v>
      </c>
      <c r="G20" s="182">
        <f ca="1">ROUND(C20*$C$18+D20*$D$18,0)</f>
        <v>6296</v>
      </c>
      <c r="H20" s="183" t="s">
        <v>266</v>
      </c>
      <c r="I20" s="215"/>
      <c r="J20" s="1903"/>
      <c r="K20" s="1903"/>
      <c r="L20" s="1903"/>
      <c r="M20" s="1903"/>
      <c r="N20" s="1903"/>
      <c r="O20" s="1903"/>
      <c r="P20" s="1903"/>
      <c r="Q20" s="1903"/>
      <c r="R20" s="1903"/>
      <c r="S20" s="1903"/>
      <c r="T20" s="1903"/>
      <c r="U20" s="1903"/>
      <c r="V20" s="1903"/>
    </row>
    <row r="21" spans="1:26" ht="15" customHeight="1">
      <c r="A21" s="178"/>
      <c r="B21" s="184" t="s">
        <v>267</v>
      </c>
      <c r="C21" s="185">
        <f ca="1">SUMIF(INDIRECT("'"&amp;C4&amp;"'"&amp;"!A:A"),结果表!B21,INDIRECT("'"&amp;C4&amp;"'"&amp;"!B:B"))</f>
        <v>14713</v>
      </c>
      <c r="D21" s="145">
        <f ca="1">SUMIF(INDIRECT("'"&amp;D4&amp;"'"&amp;"!A:A"),结果表!B21,INDIRECT("'"&amp;D4&amp;"'"&amp;"!B:B"))</f>
        <v>14812</v>
      </c>
      <c r="E21" s="178"/>
      <c r="F21" s="184" t="s">
        <v>267</v>
      </c>
      <c r="G21" s="186">
        <f ca="1">ROUND(C21*$C$18+D21*$D$18,0)</f>
        <v>14763</v>
      </c>
      <c r="H21" s="1139" t="s">
        <v>266</v>
      </c>
      <c r="I21" s="215"/>
      <c r="J21" s="1903"/>
      <c r="K21" s="1903"/>
      <c r="L21" s="1903"/>
      <c r="M21" s="1903"/>
      <c r="N21" s="1903"/>
      <c r="O21" s="1903"/>
      <c r="P21" s="1903"/>
      <c r="Q21" s="1903"/>
      <c r="R21" s="1903"/>
      <c r="S21" s="1903"/>
      <c r="T21" s="1903"/>
      <c r="U21" s="1903"/>
      <c r="V21" s="1903"/>
    </row>
    <row r="22" spans="1:26" ht="15.75" thickBot="1">
      <c r="A22" s="124" t="s">
        <v>268</v>
      </c>
      <c r="B22" s="1140"/>
      <c r="C22" s="1141"/>
      <c r="D22" s="187">
        <f ca="1">IF(C19&lt;D19,D19/C19-1,C19/D19-1)</f>
        <v>6.7497509504543807E-3</v>
      </c>
      <c r="E22" s="188"/>
      <c r="F22" s="189"/>
      <c r="G22" s="190">
        <f ca="1">ROUND(G19/('数据-汇总表'!D3/666.67),0)</f>
        <v>984</v>
      </c>
      <c r="H22" s="191" t="s">
        <v>269</v>
      </c>
      <c r="I22" s="215"/>
      <c r="J22" s="1903"/>
      <c r="K22" s="1903"/>
      <c r="L22" s="1903"/>
      <c r="M22" s="1903"/>
      <c r="N22" s="1903"/>
      <c r="O22" s="1903"/>
      <c r="P22" s="1903"/>
      <c r="Q22" s="1903"/>
      <c r="R22" s="1903"/>
      <c r="S22" s="1903"/>
      <c r="T22" s="1903"/>
      <c r="U22" s="1903"/>
      <c r="V22" s="1903"/>
    </row>
    <row r="23" spans="1:26" ht="13.5" thickBot="1">
      <c r="A23" s="215"/>
      <c r="B23" s="215"/>
      <c r="C23" s="215"/>
      <c r="D23" s="215"/>
      <c r="E23" s="215"/>
      <c r="F23" s="215"/>
      <c r="G23" s="215"/>
      <c r="H23" s="215"/>
      <c r="I23" s="215"/>
      <c r="J23" s="1903"/>
      <c r="K23" s="1903"/>
      <c r="L23" s="1903"/>
      <c r="M23" s="1903"/>
      <c r="N23" s="1903"/>
      <c r="O23" s="1903"/>
      <c r="P23" s="1903"/>
      <c r="Q23" s="1903"/>
      <c r="R23" s="1903"/>
      <c r="S23" s="1903"/>
      <c r="T23" s="1903"/>
      <c r="U23" s="1903"/>
      <c r="V23" s="1903"/>
    </row>
    <row r="24" spans="1:26" ht="15" thickBot="1">
      <c r="A24" s="3304" t="s">
        <v>270</v>
      </c>
      <c r="B24" s="173" t="s">
        <v>262</v>
      </c>
      <c r="C24" s="192">
        <f>IF(B30=0,0,D30)</f>
        <v>0</v>
      </c>
      <c r="D24" s="193"/>
      <c r="E24" s="215"/>
      <c r="F24" s="215"/>
      <c r="G24" s="215"/>
      <c r="H24" s="215"/>
      <c r="I24" s="215"/>
      <c r="J24" s="1903"/>
      <c r="K24" s="1903"/>
      <c r="L24" s="1903"/>
      <c r="M24" s="1903"/>
      <c r="N24" s="1903"/>
      <c r="O24" s="1903"/>
      <c r="P24" s="1903"/>
      <c r="Q24" s="1903"/>
      <c r="R24" s="1903"/>
      <c r="S24" s="1903"/>
      <c r="T24" s="1903"/>
      <c r="U24" s="1903"/>
      <c r="V24" s="1903"/>
    </row>
    <row r="25" spans="1:26" ht="18">
      <c r="A25" s="3305"/>
      <c r="B25" s="1209" t="s">
        <v>271</v>
      </c>
      <c r="C25" s="194">
        <f>IF(B30=0,0,C30)</f>
        <v>0</v>
      </c>
      <c r="D25" s="195"/>
      <c r="E25" s="215"/>
      <c r="F25" s="215"/>
      <c r="G25" s="215"/>
      <c r="H25" s="215"/>
      <c r="I25" s="215"/>
      <c r="J25" s="1903"/>
      <c r="K25" s="1143" t="str">
        <f ca="1">项目基本情况!B16&amp;"国有建设用地使用权价格："&amp;O38&amp;"万元"</f>
        <v>出让国有建设用地使用权价格：49353万元</v>
      </c>
      <c r="L25" s="1144"/>
      <c r="M25" s="1144"/>
      <c r="N25" s="1144"/>
      <c r="O25" s="1145"/>
      <c r="P25" s="1903"/>
      <c r="Q25" s="1903"/>
      <c r="R25" s="1903"/>
      <c r="S25" s="1903"/>
      <c r="T25" s="1903"/>
      <c r="U25" s="1903"/>
      <c r="V25" s="1903"/>
    </row>
    <row r="26" spans="1:26" s="1142" customFormat="1" ht="18">
      <c r="A26" s="197" t="s">
        <v>272</v>
      </c>
      <c r="B26" s="198" t="s">
        <v>273</v>
      </c>
      <c r="C26" s="198" t="s">
        <v>274</v>
      </c>
      <c r="D26" s="199" t="s">
        <v>275</v>
      </c>
      <c r="E26" s="215"/>
      <c r="F26" s="215"/>
      <c r="G26" s="215"/>
      <c r="H26" s="215"/>
      <c r="I26" s="215"/>
      <c r="J26" s="1903"/>
      <c r="K26" s="1146" t="str">
        <f ca="1">"大写金额：人民币"&amp;NUMBERSTRING(INT(O38*10000),2)&amp;"元整"</f>
        <v>大写金额：人民币肆亿玖仟叁佰伍拾叁万元整</v>
      </c>
      <c r="L26" s="1140"/>
      <c r="M26" s="1140"/>
      <c r="N26" s="1140"/>
      <c r="O26" s="1139"/>
      <c r="P26" s="1903"/>
      <c r="Q26" s="1903"/>
      <c r="R26" s="1903"/>
      <c r="S26" s="1903"/>
      <c r="T26" s="1903"/>
      <c r="U26" s="1903"/>
      <c r="V26" s="1903"/>
      <c r="W26" s="196"/>
      <c r="X26" s="196"/>
      <c r="Y26" s="196"/>
      <c r="Z26" s="196"/>
    </row>
    <row r="27" spans="1:26" ht="18">
      <c r="A27" s="197"/>
      <c r="B27" s="198"/>
      <c r="C27" s="198"/>
      <c r="D27" s="199"/>
      <c r="E27" s="215"/>
      <c r="F27" s="215"/>
      <c r="G27" s="215"/>
      <c r="H27" s="215"/>
      <c r="I27" s="215"/>
      <c r="J27" s="1903"/>
      <c r="K27" s="1146" t="str">
        <f ca="1">"单位面积地价："&amp;M38&amp;"元/平方米"</f>
        <v>单位面积地价：14762元/平方米</v>
      </c>
      <c r="L27" s="1140"/>
      <c r="M27" s="1140"/>
      <c r="N27" s="1140"/>
      <c r="O27" s="1139"/>
      <c r="P27" s="1903"/>
      <c r="Q27" s="1903"/>
      <c r="R27" s="1903"/>
      <c r="S27" s="1903"/>
      <c r="T27" s="1903"/>
      <c r="U27" s="1903"/>
      <c r="V27" s="1903"/>
    </row>
    <row r="28" spans="1:26" ht="18.75" customHeight="1">
      <c r="A28" s="197"/>
      <c r="B28" s="198"/>
      <c r="C28" s="198"/>
      <c r="D28" s="199"/>
      <c r="E28" s="215"/>
      <c r="F28" s="215"/>
      <c r="G28" s="215"/>
      <c r="H28" s="215"/>
      <c r="I28" s="215"/>
      <c r="J28" s="1903"/>
      <c r="K28" s="1146" t="str">
        <f ca="1">"楼面地价："&amp;N38&amp;"元/平方米"</f>
        <v>楼面地价：6296元/平方米</v>
      </c>
      <c r="L28" s="1140"/>
      <c r="M28" s="1140"/>
      <c r="N28" s="1140"/>
      <c r="O28" s="1139"/>
      <c r="P28" s="1903"/>
      <c r="V28" s="1903"/>
    </row>
    <row r="29" spans="1:26" ht="18">
      <c r="A29" s="197"/>
      <c r="B29" s="198"/>
      <c r="C29" s="198"/>
      <c r="D29" s="199"/>
      <c r="E29" s="215"/>
      <c r="F29" s="215"/>
      <c r="G29" s="215"/>
      <c r="H29" s="215"/>
      <c r="I29" s="215"/>
      <c r="J29" s="1903"/>
      <c r="K29" s="1146" t="str">
        <f ca="1">IF(OR(项目基本情况!E8="抵押价格",项目基本情况!E8="已注销及未注销"),"抵押价格："&amp;O39&amp;"万元","——")</f>
        <v>抵押价格：43164万元</v>
      </c>
      <c r="L29" s="1140"/>
      <c r="M29" s="1140"/>
      <c r="N29" s="1140"/>
      <c r="O29" s="1139"/>
      <c r="P29" s="1903"/>
      <c r="V29" s="1903"/>
    </row>
    <row r="30" spans="1:26" ht="18.75" thickBot="1">
      <c r="A30" s="2989" t="s">
        <v>276</v>
      </c>
      <c r="B30" s="213"/>
      <c r="C30" s="213"/>
      <c r="D30" s="214"/>
      <c r="E30" s="2990" t="s">
        <v>2882</v>
      </c>
      <c r="F30" s="215"/>
      <c r="G30" s="215"/>
      <c r="H30" s="215"/>
      <c r="I30" s="215"/>
      <c r="J30" s="1903"/>
      <c r="K30" s="1146" t="str">
        <f ca="1">IF(K29="——","——","大写金额：人民币"&amp;NUMBERSTRING(INT(O39*10000),2)&amp;"元整")</f>
        <v>大写金额：人民币肆亿叁仟壹佰陆拾肆万元整</v>
      </c>
      <c r="L30" s="1140"/>
      <c r="M30" s="1140"/>
      <c r="N30" s="1140"/>
      <c r="O30" s="1139"/>
      <c r="P30" s="1903"/>
      <c r="V30" s="1903"/>
    </row>
    <row r="31" spans="1:26" ht="24" customHeight="1" thickBot="1">
      <c r="A31" s="215"/>
      <c r="B31" s="215"/>
      <c r="C31" s="215"/>
      <c r="D31" s="215"/>
      <c r="E31" s="215"/>
      <c r="F31" s="215"/>
      <c r="G31" s="215"/>
      <c r="H31" s="215"/>
      <c r="I31" s="215"/>
      <c r="J31" s="1903"/>
      <c r="K31" s="2335" t="str">
        <f>IF(项目基本情况!E8="抵押价格","——","抵押担保权已注销时的抵押价格："&amp;O40&amp;"万元")</f>
        <v>——</v>
      </c>
      <c r="L31" s="2331"/>
      <c r="M31" s="2331"/>
      <c r="N31" s="2331"/>
      <c r="O31" s="2332"/>
      <c r="P31" s="1903"/>
      <c r="V31" s="1903"/>
    </row>
    <row r="32" spans="1:26" ht="18.75" thickBot="1">
      <c r="A32" s="172" t="s">
        <v>277</v>
      </c>
      <c r="B32" s="1269" t="s">
        <v>1621</v>
      </c>
      <c r="C32" s="1270">
        <f ca="1">G19-C24</f>
        <v>49353</v>
      </c>
      <c r="D32" s="1271" t="s">
        <v>1622</v>
      </c>
      <c r="E32" s="215"/>
      <c r="F32" s="215"/>
      <c r="G32" s="215"/>
      <c r="H32" s="215"/>
      <c r="I32" s="215"/>
      <c r="J32" s="1903"/>
      <c r="K32" s="2330" t="str">
        <f>IF(K31="——","——","大写金额：人民币"&amp;NUMBERSTRING(INT(O40*10000),2)&amp;"元整")</f>
        <v>——</v>
      </c>
      <c r="L32" s="2333"/>
      <c r="M32" s="2333"/>
      <c r="N32" s="2333"/>
      <c r="O32" s="2334"/>
      <c r="P32" s="1903"/>
      <c r="V32" s="1903"/>
    </row>
    <row r="33" spans="1:26" ht="18.75" thickBot="1">
      <c r="A33" s="202" t="s">
        <v>280</v>
      </c>
      <c r="B33" s="1272" t="s">
        <v>1623</v>
      </c>
      <c r="C33" s="168">
        <f ca="1">ROUND(C32*10000/'数据-汇总表'!E3,0)</f>
        <v>6296</v>
      </c>
      <c r="D33" s="1273" t="s">
        <v>1624</v>
      </c>
      <c r="E33" s="3304" t="s">
        <v>278</v>
      </c>
      <c r="F33" s="200" t="s">
        <v>279</v>
      </c>
      <c r="G33" s="201"/>
      <c r="H33" s="878"/>
      <c r="I33" s="1147"/>
      <c r="J33" s="1903"/>
      <c r="K33" s="1146" t="str">
        <f>IF(项目基本情况!E9="——","——","抵押净值："&amp;C46&amp;"万元")</f>
        <v>抵押净值：——万元</v>
      </c>
      <c r="L33" s="1140"/>
      <c r="M33" s="1140"/>
      <c r="N33" s="1140"/>
      <c r="O33" s="1139"/>
      <c r="P33" s="1903"/>
      <c r="V33" s="1903"/>
    </row>
    <row r="34" spans="1:26" s="1142" customFormat="1" ht="18.75" thickBot="1">
      <c r="A34" s="204"/>
      <c r="B34" s="1274" t="s">
        <v>1625</v>
      </c>
      <c r="C34" s="168">
        <f ca="1">ROUND(C32*10000/'数据-汇总表'!D3,0)</f>
        <v>14762</v>
      </c>
      <c r="D34" s="1275" t="s">
        <v>1624</v>
      </c>
      <c r="E34" s="3345"/>
      <c r="F34" s="125" t="s">
        <v>281</v>
      </c>
      <c r="G34" s="203"/>
      <c r="H34" s="104"/>
      <c r="I34" s="215"/>
      <c r="J34" s="1903"/>
      <c r="K34" s="1149" t="e">
        <f>IF(K33="——","——","大写金额：人民币"&amp;NUMBERSTRING(INT(O41*10000),2)&amp;"元整")</f>
        <v>#VALUE!</v>
      </c>
      <c r="L34" s="1150"/>
      <c r="M34" s="1150"/>
      <c r="N34" s="1150"/>
      <c r="O34" s="1151"/>
      <c r="P34" s="1903"/>
      <c r="Q34" s="196"/>
      <c r="R34" s="196"/>
      <c r="S34" s="196"/>
      <c r="T34" s="196"/>
      <c r="U34" s="196"/>
      <c r="V34" s="1903"/>
      <c r="W34" s="196"/>
      <c r="X34" s="196"/>
      <c r="Y34" s="196"/>
      <c r="Z34" s="196"/>
    </row>
    <row r="35" spans="1:26" ht="15.75" thickBot="1">
      <c r="A35" s="188"/>
      <c r="B35" s="1276"/>
      <c r="C35" s="1277">
        <f ca="1">ROUND(C32/('数据-汇总表'!D3/666.67),0)</f>
        <v>984</v>
      </c>
      <c r="D35" s="1278" t="s">
        <v>1626</v>
      </c>
      <c r="E35" s="3346"/>
      <c r="F35" s="205" t="s">
        <v>282</v>
      </c>
      <c r="G35" s="880">
        <f>E37</f>
        <v>6189</v>
      </c>
      <c r="H35" s="879" t="s">
        <v>283</v>
      </c>
      <c r="I35" s="215"/>
      <c r="J35" s="1903"/>
      <c r="K35" s="3319" t="s">
        <v>290</v>
      </c>
      <c r="L35" s="3319" t="s">
        <v>291</v>
      </c>
      <c r="M35" s="1152" t="s">
        <v>292</v>
      </c>
      <c r="N35" s="3319" t="s">
        <v>293</v>
      </c>
      <c r="O35" s="3319" t="s">
        <v>294</v>
      </c>
      <c r="P35" s="1903"/>
      <c r="V35" s="1903"/>
    </row>
    <row r="36" spans="1:26" ht="16.5" customHeight="1">
      <c r="A36" s="207" t="s">
        <v>284</v>
      </c>
      <c r="B36" s="208" t="s">
        <v>273</v>
      </c>
      <c r="C36" s="209" t="s">
        <v>285</v>
      </c>
      <c r="D36" s="209" t="s">
        <v>286</v>
      </c>
      <c r="E36" s="210" t="s">
        <v>287</v>
      </c>
      <c r="F36" s="215"/>
      <c r="G36" s="215"/>
      <c r="H36" s="215"/>
      <c r="I36" s="215"/>
      <c r="J36" s="1905"/>
      <c r="K36" s="3320"/>
      <c r="L36" s="3320"/>
      <c r="M36" s="1154" t="s">
        <v>295</v>
      </c>
      <c r="N36" s="3320"/>
      <c r="O36" s="3320"/>
      <c r="P36" s="1903"/>
      <c r="V36" s="1903"/>
    </row>
    <row r="37" spans="1:26" ht="16.5" customHeight="1" thickBot="1">
      <c r="A37" s="1148" t="s">
        <v>288</v>
      </c>
      <c r="B37" s="211">
        <f>'数据-汇总表'!G21</f>
        <v>14467</v>
      </c>
      <c r="C37" s="3508">
        <f>ROUND(49479.064/60177.2*50%*B37,0)</f>
        <v>5948</v>
      </c>
      <c r="D37" s="3509">
        <f>'数据-取费表'!B48+'数据-取费表'!B49</f>
        <v>4.0500000000000001E-2</v>
      </c>
      <c r="E37" s="199">
        <f>ROUND(C37*(1+D37),0)</f>
        <v>6189</v>
      </c>
      <c r="F37" s="215"/>
      <c r="G37" s="215"/>
      <c r="H37" s="215"/>
      <c r="I37" s="215"/>
      <c r="J37" s="1905"/>
      <c r="K37" s="3321"/>
      <c r="L37" s="3321"/>
      <c r="M37" s="1155"/>
      <c r="N37" s="3321"/>
      <c r="O37" s="3321"/>
      <c r="P37" s="1903"/>
      <c r="V37" s="1903"/>
    </row>
    <row r="38" spans="1:26" ht="16.5" customHeight="1" thickBot="1">
      <c r="A38" s="1148" t="s">
        <v>289</v>
      </c>
      <c r="B38" s="211"/>
      <c r="C38" s="198"/>
      <c r="D38" s="198"/>
      <c r="E38" s="199"/>
      <c r="F38" s="215"/>
      <c r="G38" s="215"/>
      <c r="H38" s="215"/>
      <c r="I38" s="215"/>
      <c r="J38" s="1905"/>
      <c r="K38" s="1156">
        <f>'数据-汇总表'!D3</f>
        <v>33431.800000000003</v>
      </c>
      <c r="L38" s="1157">
        <f>'数据-汇总表'!E3</f>
        <v>78389</v>
      </c>
      <c r="M38" s="1157">
        <f ca="1">C34</f>
        <v>14762</v>
      </c>
      <c r="N38" s="1157">
        <f ca="1">C33</f>
        <v>6296</v>
      </c>
      <c r="O38" s="1158">
        <f ca="1">C32</f>
        <v>49353</v>
      </c>
      <c r="P38" s="1903"/>
      <c r="V38" s="1903"/>
    </row>
    <row r="39" spans="1:26" ht="16.5" customHeight="1" thickBot="1">
      <c r="A39" s="1153"/>
      <c r="B39" s="212"/>
      <c r="C39" s="213"/>
      <c r="D39" s="213"/>
      <c r="E39" s="214"/>
      <c r="F39" s="215"/>
      <c r="G39" s="215"/>
      <c r="H39" s="215"/>
      <c r="I39" s="215"/>
      <c r="J39" s="1905"/>
      <c r="K39" s="3364" t="str">
        <f>MID(A44,3,LEN(A44)-2)</f>
        <v>抵押价格</v>
      </c>
      <c r="L39" s="3365"/>
      <c r="M39" s="3365"/>
      <c r="N39" s="3366"/>
      <c r="O39" s="1280">
        <f ca="1">C44</f>
        <v>43164</v>
      </c>
      <c r="P39" s="1903"/>
      <c r="V39" s="1903"/>
    </row>
    <row r="40" spans="1:26" ht="19.5" thickBot="1">
      <c r="A40" s="103" t="s">
        <v>805</v>
      </c>
      <c r="B40" s="215"/>
      <c r="C40" s="215"/>
      <c r="D40" s="215"/>
      <c r="E40" s="215"/>
      <c r="F40" s="215"/>
      <c r="G40" s="215"/>
      <c r="H40" s="215"/>
      <c r="I40" s="215"/>
      <c r="J40" s="1905"/>
      <c r="K40" s="3364" t="str">
        <f>MID(A45,3,LEN(A45)-2)</f>
        <v/>
      </c>
      <c r="L40" s="3365"/>
      <c r="M40" s="3365"/>
      <c r="N40" s="3366"/>
      <c r="O40" s="1280" t="str">
        <f>C45</f>
        <v>——</v>
      </c>
      <c r="P40" s="1903"/>
      <c r="V40" s="1903"/>
    </row>
    <row r="41" spans="1:26" ht="16.5" thickBot="1">
      <c r="A41" s="216" t="s">
        <v>296</v>
      </c>
      <c r="B41" s="217"/>
      <c r="C41" s="218" t="s">
        <v>297</v>
      </c>
      <c r="D41" s="219" t="s">
        <v>298</v>
      </c>
      <c r="E41" s="219" t="s">
        <v>299</v>
      </c>
      <c r="F41" s="220" t="s">
        <v>300</v>
      </c>
      <c r="G41" s="215"/>
      <c r="H41" s="215"/>
      <c r="I41" s="215"/>
      <c r="J41" s="1905"/>
      <c r="K41" s="3364" t="str">
        <f>MID(A46,3,LEN(A46)-2)</f>
        <v/>
      </c>
      <c r="L41" s="3365"/>
      <c r="M41" s="3365"/>
      <c r="N41" s="3366"/>
      <c r="O41" s="1280" t="str">
        <f>C46</f>
        <v>——</v>
      </c>
      <c r="P41" s="1903"/>
      <c r="V41" s="1903"/>
    </row>
    <row r="42" spans="1:26" ht="29.25">
      <c r="A42" s="3306" t="s">
        <v>1999</v>
      </c>
      <c r="B42" s="3307"/>
      <c r="C42" s="168">
        <f ca="1">C32</f>
        <v>49353</v>
      </c>
      <c r="D42" s="221">
        <f ca="1">C33</f>
        <v>6296</v>
      </c>
      <c r="E42" s="221">
        <f ca="1">C34</f>
        <v>14762</v>
      </c>
      <c r="F42" s="222">
        <f ca="1">C35</f>
        <v>984</v>
      </c>
      <c r="G42" s="215"/>
      <c r="H42" s="215"/>
      <c r="I42" s="223"/>
      <c r="J42" s="1905"/>
      <c r="K42" s="1159" t="s">
        <v>301</v>
      </c>
      <c r="L42" s="1922" t="s">
        <v>302</v>
      </c>
      <c r="M42" s="1160" t="s">
        <v>303</v>
      </c>
      <c r="N42" s="1923" t="s">
        <v>304</v>
      </c>
      <c r="O42" s="1924" t="s">
        <v>305</v>
      </c>
      <c r="P42" s="1903"/>
      <c r="V42" s="1903"/>
    </row>
    <row r="43" spans="1:26" ht="30">
      <c r="A43" s="3317" t="s">
        <v>2658</v>
      </c>
      <c r="B43" s="3318"/>
      <c r="C43" s="168">
        <f>IF(H33="正常操作",G33+G34+G35,G34+G35)</f>
        <v>6189</v>
      </c>
      <c r="D43" s="221" t="s">
        <v>43</v>
      </c>
      <c r="E43" s="221" t="s">
        <v>44</v>
      </c>
      <c r="F43" s="222" t="s">
        <v>44</v>
      </c>
      <c r="G43" s="2731" t="s">
        <v>884</v>
      </c>
      <c r="H43" s="215"/>
      <c r="I43" s="223"/>
      <c r="J43" s="1905"/>
      <c r="K43" s="1161" t="str">
        <f>C4</f>
        <v>比较法-住宅、综合</v>
      </c>
      <c r="L43" s="1162">
        <f ca="1">IF(L42="估价结果/万元",C19,C20)</f>
        <v>49187</v>
      </c>
      <c r="M43" s="1163">
        <f>C18</f>
        <v>0.5</v>
      </c>
      <c r="N43" s="1164">
        <f ca="1">IF(N42="测算结果/万元",G19,G20)</f>
        <v>49353</v>
      </c>
      <c r="O43" s="1165">
        <f ca="1">IF(O42="最终结果/万元",C32,C33)</f>
        <v>49353</v>
      </c>
      <c r="P43" s="1903"/>
      <c r="V43" s="1903"/>
    </row>
    <row r="44" spans="1:26" ht="30.75" thickBot="1">
      <c r="A44" s="3306" t="str">
        <f>IF(OR(项目基本情况!E8="抵押价格",项目基本情况!E8="已注销及未注销"),"3.抵押价格","——")</f>
        <v>3.抵押价格</v>
      </c>
      <c r="B44" s="3307"/>
      <c r="C44" s="168">
        <f ca="1">IF(A44="——","——",C42-C43)</f>
        <v>43164</v>
      </c>
      <c r="D44" s="221">
        <f ca="1">ROUND(C44*10000/'数据-汇总表'!E3,0)</f>
        <v>5506</v>
      </c>
      <c r="E44" s="221">
        <f ca="1">ROUND(C44*10000/'数据-汇总表'!D3,0)</f>
        <v>12911</v>
      </c>
      <c r="F44" s="222">
        <f ca="1">ROUND(C44/('数据-汇总表'!D3/666.67),0)</f>
        <v>861</v>
      </c>
      <c r="G44" s="215"/>
      <c r="H44" s="215"/>
      <c r="I44" s="223"/>
      <c r="J44" s="1905"/>
      <c r="K44" s="1166" t="str">
        <f>D4</f>
        <v>剩余法-待开发</v>
      </c>
      <c r="L44" s="1167">
        <f ca="1">IF(L42="估价结果/万元",D19,D20)</f>
        <v>49519</v>
      </c>
      <c r="M44" s="1168">
        <f>D18</f>
        <v>0.5</v>
      </c>
      <c r="N44" s="1169"/>
      <c r="O44" s="1170"/>
      <c r="P44" s="1903"/>
      <c r="V44" s="1903"/>
    </row>
    <row r="45" spans="1:26" ht="15" hidden="1">
      <c r="A45" s="3312" t="str">
        <f>IF(项目基本情况!E8="已注销及未注销","4.抵押担保权已注销时的抵押价格",IF(项目基本情况!E8="已注销","3.抵押担保权已注销时的抵押价格","——"))</f>
        <v>——</v>
      </c>
      <c r="B45" s="3313"/>
      <c r="C45" s="1689" t="str">
        <f>IF(A45="——","——",IF(项目基本情况!E8="抵押价格","——",C32-G34-G35))</f>
        <v>——</v>
      </c>
      <c r="D45" s="221" t="e">
        <f>ROUND(C45*10000/'数据-汇总表'!E3,0)</f>
        <v>#VALUE!</v>
      </c>
      <c r="E45" s="221" t="e">
        <f>ROUND(C45*10000/'数据-汇总表'!D3,0)</f>
        <v>#VALUE!</v>
      </c>
      <c r="F45" s="222" t="e">
        <f>ROUND(C45/('数据-汇总表'!D3/666.67),0)</f>
        <v>#VALUE!</v>
      </c>
      <c r="G45" s="215"/>
      <c r="H45" s="215"/>
      <c r="I45" s="223"/>
      <c r="J45" s="1905"/>
      <c r="K45" s="1903"/>
      <c r="L45" s="1903"/>
      <c r="M45" s="1903"/>
      <c r="N45" s="1903"/>
      <c r="O45" s="1903"/>
      <c r="P45" s="1903"/>
      <c r="V45" s="1903"/>
    </row>
    <row r="46" spans="1:26" ht="15.75" hidden="1" thickBot="1">
      <c r="A46" s="3308" t="str">
        <f>IF(项目基本情况!E9="抵押净值",IF(A45="——","4.抵押净值","5.抵押净值"),"——")</f>
        <v>——</v>
      </c>
      <c r="B46" s="3309"/>
      <c r="C46" s="224" t="str">
        <f>IF(A46="——","——",O79)</f>
        <v>——</v>
      </c>
      <c r="D46" s="221" t="e">
        <f>ROUND(C46*10000/'数据-汇总表'!E3,0)</f>
        <v>#VALUE!</v>
      </c>
      <c r="E46" s="221" t="e">
        <f>ROUND(C46*10000/'数据-汇总表'!D3,0)</f>
        <v>#VALUE!</v>
      </c>
      <c r="F46" s="222" t="e">
        <f>ROUND(C46/('数据-汇总表'!D3/666.67),0)</f>
        <v>#VALUE!</v>
      </c>
      <c r="G46" s="215"/>
      <c r="H46" s="215"/>
      <c r="I46" s="223"/>
      <c r="J46" s="1905"/>
      <c r="K46" s="1903"/>
      <c r="L46" s="1903"/>
      <c r="M46" s="1903"/>
      <c r="N46" s="1903"/>
      <c r="O46" s="1903"/>
      <c r="P46" s="1903"/>
      <c r="Q46" s="1903"/>
      <c r="R46" s="1903"/>
      <c r="S46" s="1903"/>
      <c r="T46" s="1903"/>
      <c r="U46" s="1903"/>
      <c r="V46" s="1903"/>
    </row>
    <row r="47" spans="1:26" ht="15.75">
      <c r="A47" s="225" t="s">
        <v>306</v>
      </c>
      <c r="B47" s="1171"/>
      <c r="C47" s="226" t="s">
        <v>307</v>
      </c>
      <c r="D47" s="3200">
        <v>43040</v>
      </c>
      <c r="E47" s="3201" t="s">
        <v>3270</v>
      </c>
      <c r="F47" s="3205">
        <v>49479.063999999998</v>
      </c>
      <c r="G47" s="3202" t="s">
        <v>3271</v>
      </c>
      <c r="H47" s="3203" t="s">
        <v>3272</v>
      </c>
      <c r="I47" s="3204">
        <f>ROUND(F47*(1+4.05%),0)</f>
        <v>51483</v>
      </c>
      <c r="J47" s="1905"/>
      <c r="K47" s="215" t="str">
        <f>IF(C43=0,"本次评估"&amp;IF(G43="设定","设定估价对象","")&amp;"不存在"&amp;MID(A43,3,LEN(A43)-2),"本次评估"&amp;IF(G43="设定","设定","")&amp;MID(A43,3,LEN(A43)-2)&amp;"为人民币"&amp;C43&amp;"万元整。")</f>
        <v>本次评估估价师知悉的法定优先受偿款为人民币6189万元整。</v>
      </c>
      <c r="L47" s="1903"/>
      <c r="M47" s="1903"/>
      <c r="N47" s="1903"/>
      <c r="O47" s="1903"/>
      <c r="P47" s="1903"/>
      <c r="Q47" s="1903"/>
      <c r="R47" s="1903"/>
      <c r="S47" s="1903"/>
      <c r="T47" s="1903"/>
      <c r="U47" s="1903"/>
      <c r="V47" s="1903"/>
    </row>
    <row r="48" spans="1:26" ht="12.75">
      <c r="A48" s="3187">
        <v>1</v>
      </c>
      <c r="B48" s="228"/>
      <c r="C48" s="228"/>
      <c r="D48" s="227"/>
      <c r="E48" s="227"/>
      <c r="F48" s="227"/>
      <c r="G48" s="227"/>
      <c r="H48" s="229"/>
      <c r="I48" s="230"/>
      <c r="J48" s="1905"/>
      <c r="K48" s="1903"/>
      <c r="L48" s="1903"/>
      <c r="M48" s="1903"/>
      <c r="N48" s="1903"/>
      <c r="O48" s="1903"/>
      <c r="P48" s="1903"/>
      <c r="Q48" s="1903"/>
      <c r="R48" s="1903"/>
      <c r="S48" s="1903"/>
      <c r="T48" s="1903"/>
      <c r="U48" s="1903"/>
      <c r="V48" s="1903"/>
    </row>
    <row r="49" spans="1:22" ht="12.75">
      <c r="A49" s="3187">
        <v>2</v>
      </c>
      <c r="B49" s="228"/>
      <c r="C49" s="228"/>
      <c r="D49" s="227"/>
      <c r="E49" s="227"/>
      <c r="F49" s="227"/>
      <c r="G49" s="227"/>
      <c r="H49" s="229"/>
      <c r="I49" s="230"/>
      <c r="J49" s="1906"/>
      <c r="K49" s="1903"/>
      <c r="L49" s="1903"/>
      <c r="M49" s="1903"/>
      <c r="N49" s="1903"/>
      <c r="O49" s="1903"/>
      <c r="P49" s="1903"/>
      <c r="Q49" s="1903"/>
      <c r="R49" s="1903"/>
      <c r="S49" s="1903"/>
      <c r="T49" s="1903"/>
      <c r="U49" s="1903"/>
      <c r="V49" s="1903"/>
    </row>
    <row r="50" spans="1:22" ht="12.75">
      <c r="A50" s="3187">
        <v>3</v>
      </c>
      <c r="B50" s="228"/>
      <c r="C50" s="228"/>
      <c r="D50" s="227"/>
      <c r="E50" s="227"/>
      <c r="F50" s="227"/>
      <c r="G50" s="227"/>
      <c r="H50" s="229"/>
      <c r="I50" s="230"/>
      <c r="J50" s="1906"/>
      <c r="K50" s="1903"/>
      <c r="L50" s="1903"/>
      <c r="M50" s="1903"/>
      <c r="N50" s="1903"/>
      <c r="O50" s="1903"/>
      <c r="P50" s="1903"/>
      <c r="Q50" s="1903"/>
      <c r="R50" s="1903"/>
      <c r="S50" s="1903"/>
      <c r="T50" s="1903"/>
      <c r="U50" s="1903"/>
      <c r="V50" s="1903"/>
    </row>
    <row r="51" spans="1:22" ht="12.75">
      <c r="A51" s="231"/>
      <c r="B51" s="232"/>
      <c r="C51" s="232"/>
      <c r="D51" s="233"/>
      <c r="E51" s="233"/>
      <c r="F51" s="233"/>
      <c r="G51" s="233"/>
      <c r="H51" s="234"/>
      <c r="I51" s="235"/>
      <c r="J51" s="1906"/>
      <c r="K51" s="1903"/>
      <c r="L51" s="1903"/>
      <c r="M51" s="1903"/>
      <c r="N51" s="1903"/>
      <c r="O51" s="1903"/>
      <c r="P51" s="1903"/>
      <c r="Q51" s="1903"/>
      <c r="R51" s="1903"/>
      <c r="S51" s="1903"/>
      <c r="T51" s="1903"/>
      <c r="U51" s="1903"/>
      <c r="V51" s="1903"/>
    </row>
    <row r="52" spans="1:22" ht="12.75">
      <c r="A52" s="228"/>
      <c r="B52" s="228"/>
      <c r="C52" s="228"/>
      <c r="D52" s="227"/>
      <c r="E52" s="227"/>
      <c r="F52" s="227"/>
      <c r="G52" s="227"/>
      <c r="H52" s="229"/>
      <c r="I52" s="161"/>
      <c r="J52" s="1906"/>
      <c r="K52" s="1903"/>
      <c r="L52" s="1903"/>
      <c r="M52" s="1903"/>
      <c r="N52" s="1903"/>
      <c r="O52" s="1903"/>
      <c r="P52" s="1903"/>
      <c r="Q52" s="1903"/>
      <c r="R52" s="1903"/>
      <c r="S52" s="1903"/>
      <c r="T52" s="1903"/>
      <c r="U52" s="1903"/>
      <c r="V52" s="1903"/>
    </row>
    <row r="53" spans="1:22" ht="12.75">
      <c r="A53" s="161"/>
      <c r="B53" s="161"/>
      <c r="C53" s="161"/>
      <c r="D53" s="161"/>
      <c r="E53" s="161"/>
      <c r="F53" s="236" t="s">
        <v>308</v>
      </c>
      <c r="G53" s="237"/>
      <c r="H53" s="237"/>
      <c r="I53" s="238" t="s">
        <v>309</v>
      </c>
      <c r="J53" s="1906"/>
      <c r="K53" s="1903"/>
      <c r="L53" s="1903"/>
      <c r="M53" s="1903"/>
      <c r="N53" s="1903"/>
      <c r="O53" s="1903"/>
      <c r="P53" s="1903"/>
      <c r="Q53" s="1903"/>
      <c r="R53" s="1903"/>
      <c r="S53" s="1903"/>
      <c r="T53" s="1903"/>
      <c r="U53" s="1903"/>
      <c r="V53" s="1903"/>
    </row>
    <row r="54" spans="1:22" ht="12.75">
      <c r="A54" s="161"/>
      <c r="B54" s="239" t="s">
        <v>310</v>
      </c>
      <c r="C54" s="161"/>
      <c r="D54" s="161"/>
      <c r="E54" s="161"/>
      <c r="F54" s="161"/>
      <c r="G54" s="161"/>
      <c r="H54" s="161"/>
      <c r="I54" s="161"/>
      <c r="J54" s="1906"/>
      <c r="K54" s="1903"/>
      <c r="L54" s="1903"/>
      <c r="M54" s="1903"/>
      <c r="N54" s="1903"/>
      <c r="O54" s="1903"/>
      <c r="P54" s="1903"/>
      <c r="Q54" s="1903"/>
      <c r="R54" s="1903"/>
      <c r="S54" s="1903"/>
      <c r="T54" s="1903"/>
      <c r="U54" s="1903"/>
      <c r="V54" s="1903"/>
    </row>
    <row r="55" spans="1:22" ht="12.75">
      <c r="A55" s="161"/>
      <c r="B55" s="161"/>
      <c r="C55" s="161"/>
      <c r="D55" s="161"/>
      <c r="E55" s="161"/>
      <c r="F55" s="161"/>
      <c r="G55" s="161"/>
      <c r="H55" s="161"/>
      <c r="I55" s="161"/>
      <c r="J55" s="1906"/>
      <c r="K55" s="1903"/>
      <c r="L55" s="1903"/>
      <c r="M55" s="1903"/>
      <c r="N55" s="1903"/>
      <c r="O55" s="1903"/>
      <c r="P55" s="1903"/>
      <c r="Q55" s="1903"/>
      <c r="R55" s="1903"/>
      <c r="S55" s="1903"/>
      <c r="T55" s="1903"/>
      <c r="U55" s="1903"/>
      <c r="V55" s="1903"/>
    </row>
    <row r="56" spans="1:22" ht="12.75">
      <c r="A56" s="161"/>
      <c r="B56" s="237"/>
      <c r="C56" s="237"/>
      <c r="D56" s="237"/>
      <c r="E56" s="237"/>
      <c r="F56" s="237"/>
      <c r="G56" s="237"/>
      <c r="H56" s="237"/>
      <c r="I56" s="238" t="s">
        <v>311</v>
      </c>
      <c r="J56" s="1906"/>
      <c r="K56" s="1903"/>
      <c r="L56" s="1903"/>
      <c r="M56" s="1903"/>
      <c r="N56" s="1903"/>
      <c r="O56" s="1903"/>
      <c r="P56" s="1903"/>
      <c r="Q56" s="1903"/>
      <c r="R56" s="1903"/>
      <c r="S56" s="1903"/>
      <c r="T56" s="1903"/>
      <c r="U56" s="1903"/>
      <c r="V56" s="1903"/>
    </row>
    <row r="57" spans="1:22" ht="12.75">
      <c r="A57" s="161"/>
      <c r="B57" s="239" t="s">
        <v>312</v>
      </c>
      <c r="C57" s="161"/>
      <c r="D57" s="161"/>
      <c r="E57" s="161"/>
      <c r="F57" s="161"/>
      <c r="G57" s="161"/>
      <c r="H57" s="161"/>
      <c r="I57" s="161"/>
      <c r="J57" s="1906"/>
      <c r="K57" s="1903"/>
      <c r="L57" s="1903"/>
      <c r="M57" s="1903"/>
      <c r="N57" s="1903"/>
      <c r="O57" s="1903"/>
      <c r="P57" s="1903"/>
      <c r="Q57" s="1903"/>
      <c r="R57" s="1903"/>
      <c r="S57" s="1903"/>
      <c r="T57" s="1903"/>
      <c r="U57" s="1903"/>
      <c r="V57" s="1903"/>
    </row>
    <row r="58" spans="1:22" ht="12.75">
      <c r="A58" s="161"/>
      <c r="B58" s="239"/>
      <c r="C58" s="161"/>
      <c r="D58" s="161"/>
      <c r="E58" s="161"/>
      <c r="F58" s="161"/>
      <c r="G58" s="161"/>
      <c r="H58" s="161"/>
      <c r="I58" s="161"/>
      <c r="J58" s="1906"/>
      <c r="K58" s="1903"/>
      <c r="L58" s="1903"/>
      <c r="M58" s="1903"/>
      <c r="N58" s="1903"/>
      <c r="O58" s="1903"/>
      <c r="P58" s="1903"/>
      <c r="Q58" s="1903"/>
      <c r="R58" s="1903"/>
      <c r="S58" s="1903"/>
      <c r="T58" s="1903"/>
      <c r="U58" s="1903"/>
      <c r="V58" s="1903"/>
    </row>
    <row r="59" spans="1:22" ht="12.75">
      <c r="A59" s="161"/>
      <c r="B59" s="237"/>
      <c r="C59" s="237"/>
      <c r="D59" s="237"/>
      <c r="E59" s="237"/>
      <c r="F59" s="237"/>
      <c r="G59" s="237"/>
      <c r="H59" s="237"/>
      <c r="I59" s="238" t="s">
        <v>311</v>
      </c>
      <c r="J59" s="1906"/>
      <c r="K59" s="1903"/>
      <c r="L59" s="1903"/>
      <c r="M59" s="1903"/>
      <c r="N59" s="1903"/>
      <c r="O59" s="1903"/>
      <c r="P59" s="1903"/>
      <c r="Q59" s="1903"/>
      <c r="R59" s="1903"/>
      <c r="S59" s="1903"/>
      <c r="T59" s="1903"/>
      <c r="U59" s="1903"/>
      <c r="V59" s="1903"/>
    </row>
    <row r="60" spans="1:22" ht="12.75">
      <c r="A60" s="161"/>
      <c r="B60" s="161"/>
      <c r="C60" s="161"/>
      <c r="D60" s="161"/>
      <c r="E60" s="161"/>
      <c r="F60" s="161"/>
      <c r="G60" s="161"/>
      <c r="H60" s="161"/>
      <c r="I60" s="161"/>
      <c r="J60" s="1906"/>
      <c r="K60" s="1903"/>
      <c r="L60" s="1903"/>
      <c r="M60" s="1903"/>
      <c r="N60" s="1903"/>
      <c r="O60" s="1903"/>
      <c r="P60" s="1903"/>
      <c r="Q60" s="1903"/>
      <c r="R60" s="1903"/>
      <c r="S60" s="1903"/>
      <c r="T60" s="1903"/>
      <c r="U60" s="1903"/>
      <c r="V60" s="1903"/>
    </row>
    <row r="61" spans="1:22" ht="12.75">
      <c r="A61" s="161"/>
      <c r="B61" s="239"/>
      <c r="C61" s="240"/>
      <c r="D61" s="150"/>
      <c r="E61" s="150"/>
      <c r="F61" s="157"/>
      <c r="G61" s="161"/>
      <c r="H61" s="161"/>
      <c r="I61" s="161"/>
      <c r="J61" s="1906"/>
      <c r="K61" s="1903"/>
      <c r="L61" s="1903"/>
      <c r="M61" s="1903"/>
      <c r="N61" s="1903"/>
      <c r="O61" s="1903"/>
      <c r="P61" s="1903"/>
      <c r="Q61" s="1903"/>
      <c r="R61" s="1903"/>
      <c r="S61" s="1903"/>
      <c r="T61" s="1903"/>
      <c r="U61" s="1903"/>
      <c r="V61" s="1903"/>
    </row>
    <row r="62" spans="1:22" ht="18.75">
      <c r="A62" s="1172" t="s">
        <v>313</v>
      </c>
      <c r="B62" s="1173"/>
      <c r="C62" s="1173"/>
      <c r="D62" s="1174"/>
      <c r="E62" s="1174"/>
      <c r="F62" s="1175"/>
      <c r="G62" s="1175"/>
      <c r="H62" s="1175"/>
      <c r="I62" s="1175"/>
      <c r="J62" s="1907"/>
      <c r="K62" s="1903"/>
      <c r="L62" s="1903"/>
      <c r="M62" s="1903"/>
      <c r="N62" s="1903"/>
      <c r="O62" s="1903"/>
      <c r="P62" s="1903"/>
      <c r="Q62" s="1903"/>
      <c r="R62" s="1903"/>
      <c r="S62" s="1903"/>
      <c r="T62" s="1903"/>
      <c r="U62" s="1903"/>
      <c r="V62" s="1903"/>
    </row>
    <row r="63" spans="1:22" ht="14.25" customHeight="1" thickBot="1">
      <c r="A63" s="3353" t="s">
        <v>314</v>
      </c>
      <c r="B63" s="3354"/>
      <c r="C63" s="3355"/>
      <c r="D63" s="241">
        <f ca="1">ROUND(C42*F63,0)</f>
        <v>29612</v>
      </c>
      <c r="E63" s="206" t="s">
        <v>315</v>
      </c>
      <c r="F63" s="242">
        <v>0.6</v>
      </c>
      <c r="G63" s="243" t="s">
        <v>316</v>
      </c>
      <c r="H63" s="215"/>
      <c r="I63" s="215"/>
      <c r="J63" s="1903"/>
      <c r="K63" s="1903"/>
      <c r="L63" s="1903"/>
      <c r="M63" s="1903"/>
      <c r="N63" s="1903"/>
      <c r="O63" s="1903"/>
      <c r="P63" s="215"/>
      <c r="Q63" s="1903"/>
      <c r="R63" s="1903"/>
      <c r="S63" s="1903"/>
      <c r="T63" s="1903"/>
      <c r="U63" s="1903"/>
      <c r="V63" s="1903"/>
    </row>
    <row r="64" spans="1:22" ht="14.25" customHeight="1">
      <c r="A64" s="3314" t="s">
        <v>318</v>
      </c>
      <c r="B64" s="3315"/>
      <c r="C64" s="3315"/>
      <c r="D64" s="3315"/>
      <c r="E64" s="3315"/>
      <c r="F64" s="3315"/>
      <c r="G64" s="3316"/>
      <c r="H64" s="1176"/>
      <c r="I64" s="848"/>
      <c r="J64" s="1871"/>
      <c r="K64" s="1449" t="s">
        <v>317</v>
      </c>
      <c r="L64" s="10"/>
      <c r="M64" s="10"/>
      <c r="N64" s="10"/>
      <c r="O64" s="10"/>
      <c r="P64" s="215"/>
      <c r="Q64" s="1903"/>
      <c r="R64" s="1903"/>
      <c r="S64" s="1903"/>
      <c r="T64" s="1903"/>
      <c r="U64" s="1903"/>
      <c r="V64" s="1903"/>
    </row>
    <row r="65" spans="1:22" ht="12" customHeight="1">
      <c r="A65" s="244" t="s">
        <v>320</v>
      </c>
      <c r="B65" s="245"/>
      <c r="C65" s="246"/>
      <c r="D65" s="247" t="s">
        <v>321</v>
      </c>
      <c r="E65" s="52" t="s">
        <v>322</v>
      </c>
      <c r="F65" s="248" t="s">
        <v>323</v>
      </c>
      <c r="G65" s="249" t="s">
        <v>324</v>
      </c>
      <c r="H65" s="1176"/>
      <c r="I65" s="848"/>
      <c r="J65" s="1871"/>
      <c r="K65" s="1177"/>
      <c r="L65" s="1178"/>
      <c r="M65" s="1178"/>
      <c r="N65" s="1210" t="s">
        <v>319</v>
      </c>
      <c r="O65" s="1211"/>
      <c r="P65" s="1212"/>
      <c r="Q65" s="1903"/>
      <c r="R65" s="1903"/>
      <c r="S65" s="1903"/>
      <c r="T65" s="1903"/>
      <c r="U65" s="1903"/>
      <c r="V65" s="1903"/>
    </row>
    <row r="66" spans="1:22" ht="25.5">
      <c r="A66" s="3310" t="s">
        <v>326</v>
      </c>
      <c r="B66" s="3311"/>
      <c r="C66" s="3311"/>
      <c r="D66" s="165">
        <f ca="1">IF(H66="情况1",0,IF(H66="情况2",D70,IF(H66="情况3",D71,IF(H66="情况4",D72))))</f>
        <v>1551</v>
      </c>
      <c r="E66" s="891" t="str">
        <f>IF(H66="情况4","(销售额-原购置价)×税（费）率","销售额×税（费）率")</f>
        <v>销售额×税（费）率</v>
      </c>
      <c r="F66" s="250">
        <f>IF(H66="情况1","免征",'数据-取费表'!B41)</f>
        <v>5.5000000000000007E-2</v>
      </c>
      <c r="G66" s="251" t="s">
        <v>327</v>
      </c>
      <c r="H66" s="149" t="s">
        <v>328</v>
      </c>
      <c r="I66" s="1176"/>
      <c r="J66" s="1909"/>
      <c r="K66" s="1179">
        <v>1</v>
      </c>
      <c r="L66" s="3368" t="s">
        <v>325</v>
      </c>
      <c r="M66" s="3369"/>
      <c r="N66" s="2325"/>
      <c r="O66" s="2326"/>
      <c r="P66" s="2327"/>
      <c r="Q66" s="1903"/>
      <c r="R66" s="1903"/>
      <c r="S66" s="1903"/>
      <c r="T66" s="1903"/>
      <c r="U66" s="1903"/>
      <c r="V66" s="1903"/>
    </row>
    <row r="67" spans="1:22" ht="25.5" customHeight="1">
      <c r="A67" s="252" t="s">
        <v>330</v>
      </c>
      <c r="B67" s="3301" t="s">
        <v>331</v>
      </c>
      <c r="C67" s="3301"/>
      <c r="D67" s="253">
        <v>0</v>
      </c>
      <c r="E67" s="40" t="s">
        <v>332</v>
      </c>
      <c r="F67" s="61" t="s">
        <v>21</v>
      </c>
      <c r="G67" s="3356"/>
      <c r="H67" s="215"/>
      <c r="I67" s="1180"/>
      <c r="J67" s="1910"/>
      <c r="K67" s="1858">
        <v>2</v>
      </c>
      <c r="L67" s="3367" t="s">
        <v>329</v>
      </c>
      <c r="M67" s="3367"/>
      <c r="N67" s="1213">
        <f>'数据-取费表'!B2</f>
        <v>43240</v>
      </c>
      <c r="O67" s="1213"/>
      <c r="P67" s="1213"/>
      <c r="Q67" s="1903"/>
      <c r="R67" s="1903"/>
      <c r="S67" s="1903"/>
      <c r="T67" s="1903"/>
      <c r="U67" s="1903"/>
      <c r="V67" s="1903"/>
    </row>
    <row r="68" spans="1:22" ht="25.5" customHeight="1">
      <c r="A68" s="254"/>
      <c r="B68" s="3301" t="s">
        <v>334</v>
      </c>
      <c r="C68" s="3301"/>
      <c r="D68" s="255"/>
      <c r="E68" s="76"/>
      <c r="F68" s="256"/>
      <c r="G68" s="3357"/>
      <c r="H68" s="215"/>
      <c r="I68" s="1180"/>
      <c r="J68" s="1910"/>
      <c r="K68" s="1858">
        <v>3</v>
      </c>
      <c r="L68" s="3367" t="s">
        <v>333</v>
      </c>
      <c r="M68" s="3367"/>
      <c r="N68" s="1181">
        <f ca="1">C42</f>
        <v>49353</v>
      </c>
      <c r="O68" s="1181"/>
      <c r="P68" s="1181"/>
      <c r="Q68" s="1903"/>
      <c r="R68" s="1903"/>
      <c r="S68" s="1903"/>
      <c r="T68" s="1903"/>
      <c r="U68" s="1903"/>
      <c r="V68" s="1903"/>
    </row>
    <row r="69" spans="1:22" ht="12" customHeight="1">
      <c r="A69" s="257"/>
      <c r="B69" s="3301" t="s">
        <v>335</v>
      </c>
      <c r="C69" s="3301"/>
      <c r="D69" s="258"/>
      <c r="E69" s="72"/>
      <c r="F69" s="256"/>
      <c r="G69" s="3358"/>
      <c r="H69" s="215"/>
      <c r="I69" s="1180"/>
      <c r="J69" s="1910"/>
      <c r="K69" s="1182">
        <v>4</v>
      </c>
      <c r="L69" s="3372" t="s">
        <v>2811</v>
      </c>
      <c r="M69" s="3373"/>
      <c r="N69" s="1183">
        <f ca="1">C44</f>
        <v>43164</v>
      </c>
      <c r="O69" s="1183"/>
      <c r="P69" s="1183"/>
      <c r="Q69" s="1903"/>
      <c r="R69" s="1903"/>
      <c r="S69" s="1903"/>
      <c r="T69" s="1903"/>
      <c r="U69" s="1903"/>
      <c r="V69" s="1903"/>
    </row>
    <row r="70" spans="1:22" ht="24" customHeight="1">
      <c r="A70" s="259" t="s">
        <v>336</v>
      </c>
      <c r="B70" s="3301" t="s">
        <v>337</v>
      </c>
      <c r="C70" s="3301"/>
      <c r="D70" s="258">
        <f ca="1">ROUND(D63*'数据-取费表'!B41/(1+'数据-取费表'!C42),0)</f>
        <v>1551</v>
      </c>
      <c r="E70" s="16" t="s">
        <v>338</v>
      </c>
      <c r="F70" s="260">
        <f>'数据-取费表'!B41</f>
        <v>5.5000000000000007E-2</v>
      </c>
      <c r="G70" s="261"/>
      <c r="H70" s="215"/>
      <c r="I70" s="1180"/>
      <c r="J70" s="1910"/>
      <c r="K70" s="2926"/>
      <c r="L70" s="2927"/>
      <c r="M70" s="2927"/>
      <c r="N70" s="2928" t="s">
        <v>2816</v>
      </c>
      <c r="O70" s="2927"/>
      <c r="P70" s="2929"/>
      <c r="Q70" s="1903"/>
      <c r="R70" s="1903"/>
      <c r="S70" s="1903"/>
      <c r="T70" s="1903"/>
      <c r="U70" s="1903"/>
      <c r="V70" s="1903"/>
    </row>
    <row r="71" spans="1:22" ht="12" customHeight="1">
      <c r="A71" s="259" t="s">
        <v>344</v>
      </c>
      <c r="B71" s="3302" t="s">
        <v>345</v>
      </c>
      <c r="C71" s="3303"/>
      <c r="D71" s="258">
        <f ca="1">ROUND(D63*'数据-取费表'!B41/(1+'数据-取费表'!C42),0)</f>
        <v>1551</v>
      </c>
      <c r="E71" s="16" t="s">
        <v>338</v>
      </c>
      <c r="F71" s="260">
        <f>'数据-取费表'!B41</f>
        <v>5.5000000000000007E-2</v>
      </c>
      <c r="G71" s="261"/>
      <c r="H71" s="215"/>
      <c r="I71" s="1180"/>
      <c r="J71" s="1910"/>
      <c r="K71" s="2925" t="s">
        <v>339</v>
      </c>
      <c r="L71" s="3374" t="s">
        <v>340</v>
      </c>
      <c r="M71" s="3374"/>
      <c r="N71" s="2925" t="s">
        <v>341</v>
      </c>
      <c r="O71" s="2925" t="s">
        <v>342</v>
      </c>
      <c r="P71" s="2925" t="s">
        <v>343</v>
      </c>
      <c r="Q71" s="1903"/>
      <c r="R71" s="1903"/>
      <c r="S71" s="1903"/>
      <c r="T71" s="1903"/>
      <c r="U71" s="1903"/>
      <c r="V71" s="1903"/>
    </row>
    <row r="72" spans="1:22" ht="12" customHeight="1">
      <c r="A72" s="259" t="s">
        <v>347</v>
      </c>
      <c r="B72" s="3302" t="s">
        <v>348</v>
      </c>
      <c r="C72" s="3303"/>
      <c r="D72" s="258">
        <f ca="1">C86</f>
        <v>1441</v>
      </c>
      <c r="E72" s="72" t="s">
        <v>349</v>
      </c>
      <c r="F72" s="260">
        <f>'数据-取费表'!B41</f>
        <v>5.5000000000000007E-2</v>
      </c>
      <c r="G72" s="261"/>
      <c r="H72" s="1186"/>
      <c r="I72" s="1180"/>
      <c r="J72" s="1910"/>
      <c r="K72" s="1858">
        <v>1</v>
      </c>
      <c r="L72" s="3349" t="s">
        <v>346</v>
      </c>
      <c r="M72" s="3349"/>
      <c r="N72" s="1184">
        <f ca="1">D66</f>
        <v>1551</v>
      </c>
      <c r="O72" s="1741" t="str">
        <f>E66</f>
        <v>销售额×税（费）率</v>
      </c>
      <c r="P72" s="1185">
        <f>F66</f>
        <v>5.5000000000000007E-2</v>
      </c>
      <c r="Q72" s="1903"/>
      <c r="R72" s="1903"/>
      <c r="S72" s="1903"/>
      <c r="T72" s="1903"/>
      <c r="U72" s="1903"/>
      <c r="V72" s="1903"/>
    </row>
    <row r="73" spans="1:22" ht="24" customHeight="1">
      <c r="A73" s="3343" t="s">
        <v>351</v>
      </c>
      <c r="B73" s="3311"/>
      <c r="C73" s="3311"/>
      <c r="D73" s="262">
        <f>IF(H73="个人住宅",0,ROUND(D63*I73,0))</f>
        <v>0</v>
      </c>
      <c r="E73" s="16" t="s">
        <v>352</v>
      </c>
      <c r="F73" s="260" t="str">
        <f>IF(H73="正常",I73,"免征")</f>
        <v>免征</v>
      </c>
      <c r="G73" s="261"/>
      <c r="H73" s="149" t="s">
        <v>2383</v>
      </c>
      <c r="I73" s="260">
        <f>'数据-取费表'!B49</f>
        <v>5.0000000000000001E-4</v>
      </c>
      <c r="J73" s="1910"/>
      <c r="K73" s="1858">
        <v>2</v>
      </c>
      <c r="L73" s="3349" t="s">
        <v>350</v>
      </c>
      <c r="M73" s="3349"/>
      <c r="N73" s="1184">
        <f t="shared" ref="N73:P74" si="0">D73</f>
        <v>0</v>
      </c>
      <c r="O73" s="1741" t="str">
        <f t="shared" si="0"/>
        <v>销售额×税（费）率</v>
      </c>
      <c r="P73" s="1185" t="str">
        <f t="shared" si="0"/>
        <v>免征</v>
      </c>
      <c r="Q73" s="1903"/>
      <c r="R73" s="1903"/>
      <c r="S73" s="1903"/>
      <c r="T73" s="1903"/>
      <c r="U73" s="1903"/>
      <c r="V73" s="1903"/>
    </row>
    <row r="74" spans="1:22" ht="24.75">
      <c r="A74" s="3343" t="s">
        <v>355</v>
      </c>
      <c r="B74" s="3311"/>
      <c r="C74" s="3311"/>
      <c r="D74" s="262">
        <f ca="1">IF(H74="个人住宅",D75,D76)</f>
        <v>16127</v>
      </c>
      <c r="E74" s="16" t="s">
        <v>356</v>
      </c>
      <c r="F74" s="260" t="str">
        <f>IF(H74="正常",F76,"免征")</f>
        <v>——</v>
      </c>
      <c r="G74" s="881" t="s">
        <v>357</v>
      </c>
      <c r="H74" s="263" t="s">
        <v>353</v>
      </c>
      <c r="I74" s="41"/>
      <c r="J74" s="1910"/>
      <c r="K74" s="1858">
        <v>3</v>
      </c>
      <c r="L74" s="3349" t="s">
        <v>354</v>
      </c>
      <c r="M74" s="3349"/>
      <c r="N74" s="1184">
        <f t="shared" ca="1" si="0"/>
        <v>16127</v>
      </c>
      <c r="O74" s="1741" t="str">
        <f t="shared" si="0"/>
        <v>增值额×税（费）率</v>
      </c>
      <c r="P74" s="1187" t="str">
        <f t="shared" si="0"/>
        <v>——</v>
      </c>
      <c r="Q74" s="1903"/>
      <c r="R74" s="1903"/>
      <c r="S74" s="1903"/>
      <c r="T74" s="1903"/>
      <c r="U74" s="1903"/>
      <c r="V74" s="1903"/>
    </row>
    <row r="75" spans="1:22" ht="24">
      <c r="A75" s="259" t="s">
        <v>358</v>
      </c>
      <c r="B75" s="3299" t="s">
        <v>359</v>
      </c>
      <c r="C75" s="3329"/>
      <c r="D75" s="264">
        <v>0</v>
      </c>
      <c r="E75" s="40" t="s">
        <v>360</v>
      </c>
      <c r="F75" s="265"/>
      <c r="G75" s="261"/>
      <c r="H75" s="41"/>
      <c r="I75" s="41"/>
      <c r="J75" s="1910"/>
      <c r="K75" s="2918">
        <f>IF(H77="非个人房产","",4)</f>
        <v>4</v>
      </c>
      <c r="L75" s="3349" t="str">
        <f>IF(H77="非个人房产","——","个人所得税")</f>
        <v>个人所得税</v>
      </c>
      <c r="M75" s="3349"/>
      <c r="N75" s="1188">
        <f ca="1">D77</f>
        <v>296</v>
      </c>
      <c r="O75" s="1754" t="str">
        <f>E77</f>
        <v>销售额×税（费）率</v>
      </c>
      <c r="P75" s="1189">
        <f>F77</f>
        <v>0.01</v>
      </c>
      <c r="Q75" s="1903"/>
      <c r="R75" s="1903"/>
      <c r="S75" s="1903"/>
      <c r="T75" s="1903"/>
      <c r="U75" s="1903"/>
      <c r="V75" s="1903"/>
    </row>
    <row r="76" spans="1:22" ht="24.75">
      <c r="A76" s="259" t="s">
        <v>336</v>
      </c>
      <c r="B76" s="3299" t="s">
        <v>362</v>
      </c>
      <c r="C76" s="3300"/>
      <c r="D76" s="262">
        <f ca="1">IF(H76="转让取得",C99,C115)</f>
        <v>16127</v>
      </c>
      <c r="E76" s="16" t="s">
        <v>363</v>
      </c>
      <c r="F76" s="52" t="s">
        <v>21</v>
      </c>
      <c r="G76" s="261"/>
      <c r="H76" s="263" t="s">
        <v>364</v>
      </c>
      <c r="I76" s="41"/>
      <c r="J76" s="1910"/>
      <c r="K76" s="2918" t="str">
        <f>IF(项目基本情况!K6="上海银行",IF(K75="",4,K75+1),"")</f>
        <v/>
      </c>
      <c r="L76" s="3360" t="str">
        <f>IF(项目基本情况!K6="上海银行","其他处置费用","")</f>
        <v/>
      </c>
      <c r="M76" s="3361"/>
      <c r="N76" s="1184" t="str">
        <f>IF(项目基本情况!K6="上海银行",N89,"")</f>
        <v/>
      </c>
      <c r="O76" s="3362" t="str">
        <f>IF(项目基本情况!K6="上海银行","包含处置中涉及的律师、诉讼、拍卖、评估等费用","")</f>
        <v/>
      </c>
      <c r="P76" s="3363"/>
      <c r="Q76" s="1903"/>
      <c r="R76" s="1903"/>
      <c r="S76" s="1903"/>
      <c r="T76" s="1903"/>
      <c r="U76" s="1903"/>
      <c r="V76" s="1903"/>
    </row>
    <row r="77" spans="1:22" ht="26.25" thickBot="1">
      <c r="A77" s="3351" t="s">
        <v>366</v>
      </c>
      <c r="B77" s="3352"/>
      <c r="C77" s="3352"/>
      <c r="D77" s="266">
        <f ca="1">IF(H77="非个人房产","——",IF(H77="个人住宅",0,ROUND(D63*I77,0)))</f>
        <v>296</v>
      </c>
      <c r="E77" s="267" t="str">
        <f>IF(H77="非个人房产","——","销售额×税（费）率")</f>
        <v>销售额×税（费）率</v>
      </c>
      <c r="F77" s="268">
        <f>IF(H77="非个人房产","——",IF(H77="个人住宅","免征",I77))</f>
        <v>0.01</v>
      </c>
      <c r="G77" s="882" t="s">
        <v>357</v>
      </c>
      <c r="H77" s="263" t="s">
        <v>2812</v>
      </c>
      <c r="I77" s="269">
        <v>0.01</v>
      </c>
      <c r="J77" s="1910"/>
      <c r="K77" s="3350">
        <f>IF(AND(K75="",K76=""),4,IF(项目基本情况!K6="上海银行",K76+1,K75+1))</f>
        <v>5</v>
      </c>
      <c r="L77" s="3349" t="s">
        <v>2813</v>
      </c>
      <c r="M77" s="2924" t="s">
        <v>361</v>
      </c>
      <c r="N77" s="1190"/>
      <c r="O77" s="1191">
        <f ca="1">SUMIF(N72:N76,"&lt;9e307")</f>
        <v>17974</v>
      </c>
      <c r="P77" s="1192"/>
      <c r="Q77" s="2922">
        <f ca="1">O77/N69</f>
        <v>0.41641182466870541</v>
      </c>
      <c r="R77" s="1903"/>
      <c r="S77" s="1903"/>
      <c r="T77" s="1903"/>
      <c r="U77" s="1903"/>
      <c r="V77" s="1903"/>
    </row>
    <row r="78" spans="1:22" ht="12" customHeight="1">
      <c r="A78" s="1193"/>
      <c r="B78" s="215"/>
      <c r="C78" s="215"/>
      <c r="D78" s="215"/>
      <c r="E78" s="41"/>
      <c r="F78" s="41"/>
      <c r="G78" s="41"/>
      <c r="H78" s="901"/>
      <c r="I78" s="215"/>
      <c r="J78" s="1910"/>
      <c r="K78" s="3350"/>
      <c r="L78" s="3349"/>
      <c r="M78" s="2924" t="s">
        <v>365</v>
      </c>
      <c r="N78" s="1190"/>
      <c r="O78" s="1191" t="str">
        <f ca="1">NUMBERSTRING(INT(O77*10000),2)&amp;"元整"</f>
        <v>壹亿柒仟玖佰柒拾肆万元整</v>
      </c>
      <c r="P78" s="1192"/>
      <c r="Q78" s="1903"/>
      <c r="R78" s="1903"/>
      <c r="S78" s="1903"/>
      <c r="T78" s="1903"/>
      <c r="U78" s="1903"/>
      <c r="V78" s="1903"/>
    </row>
    <row r="79" spans="1:22" ht="13.5" thickBot="1">
      <c r="A79" s="3344" t="s">
        <v>367</v>
      </c>
      <c r="B79" s="3344"/>
      <c r="C79" s="3344"/>
      <c r="D79" s="3344"/>
      <c r="E79" s="3344"/>
      <c r="F79" s="41"/>
      <c r="G79" s="41"/>
      <c r="H79" s="901"/>
      <c r="I79" s="215"/>
      <c r="J79" s="1910"/>
      <c r="K79" s="3370">
        <f>K77+1</f>
        <v>6</v>
      </c>
      <c r="L79" s="3349" t="s">
        <v>2814</v>
      </c>
      <c r="M79" s="2924" t="s">
        <v>361</v>
      </c>
      <c r="N79" s="1190"/>
      <c r="O79" s="1191">
        <f ca="1">N69-O77</f>
        <v>25190</v>
      </c>
      <c r="P79" s="1192"/>
      <c r="Q79" s="1903"/>
      <c r="R79" s="1903"/>
      <c r="S79" s="1903"/>
      <c r="T79" s="1903"/>
      <c r="U79" s="1903"/>
      <c r="V79" s="1903"/>
    </row>
    <row r="80" spans="1:22" ht="25.5">
      <c r="A80" s="3339" t="s">
        <v>368</v>
      </c>
      <c r="B80" s="3340"/>
      <c r="C80" s="892"/>
      <c r="D80" s="892" t="s">
        <v>369</v>
      </c>
      <c r="E80" s="270" t="s">
        <v>370</v>
      </c>
      <c r="F80" s="41"/>
      <c r="G80" s="41"/>
      <c r="H80" s="901"/>
      <c r="I80" s="215"/>
      <c r="J80" s="1903"/>
      <c r="K80" s="3371"/>
      <c r="L80" s="3349"/>
      <c r="M80" s="2924" t="s">
        <v>365</v>
      </c>
      <c r="N80" s="1190"/>
      <c r="O80" s="1191" t="str">
        <f ca="1">NUMBERSTRING(INT(O79*10000),2)&amp;"元整"</f>
        <v>贰亿伍仟壹佰玖拾万元整</v>
      </c>
      <c r="P80" s="1192"/>
      <c r="Q80" s="1903"/>
      <c r="R80" s="1903"/>
      <c r="S80" s="1903"/>
      <c r="T80" s="1903"/>
      <c r="U80" s="1903"/>
      <c r="V80" s="1903"/>
    </row>
    <row r="81" spans="1:26" ht="13.5" thickBot="1">
      <c r="A81" s="281" t="s">
        <v>1756</v>
      </c>
      <c r="B81" s="271" t="s">
        <v>371</v>
      </c>
      <c r="C81" s="272">
        <f ca="1">ROUND((C82+C83)/(1+'数据-取费表'!C42),0)</f>
        <v>28202</v>
      </c>
      <c r="D81" s="273"/>
      <c r="E81" s="274"/>
      <c r="F81" s="41"/>
      <c r="G81" s="41"/>
      <c r="H81" s="901"/>
      <c r="I81" s="215"/>
      <c r="J81" s="1903"/>
      <c r="K81" s="2918">
        <f>K79+1</f>
        <v>7</v>
      </c>
      <c r="L81" s="3347" t="s">
        <v>2815</v>
      </c>
      <c r="M81" s="3348"/>
      <c r="N81" s="1194"/>
      <c r="O81" s="1195">
        <f ca="1">ROUND(O79*10000/'数据-汇总表'!E3,0)</f>
        <v>3213</v>
      </c>
      <c r="P81" s="1196"/>
      <c r="Q81" s="1903"/>
      <c r="R81" s="1903"/>
      <c r="S81" s="1903"/>
      <c r="T81" s="1903"/>
      <c r="U81" s="1903"/>
      <c r="V81" s="1903"/>
    </row>
    <row r="82" spans="1:26" ht="13.5" thickTop="1">
      <c r="A82" s="275" t="s">
        <v>1757</v>
      </c>
      <c r="B82" s="276" t="s">
        <v>372</v>
      </c>
      <c r="C82" s="277">
        <f ca="1">D63</f>
        <v>29612</v>
      </c>
      <c r="D82" s="278" t="s">
        <v>19</v>
      </c>
      <c r="E82" s="279"/>
      <c r="F82" s="41"/>
      <c r="G82" s="41"/>
      <c r="H82" s="901"/>
      <c r="I82" s="215"/>
      <c r="J82" s="1903"/>
      <c r="K82" s="1903"/>
      <c r="L82" s="1903"/>
      <c r="M82" s="1903"/>
      <c r="N82" s="1903"/>
      <c r="O82" s="1903"/>
      <c r="P82" s="1903"/>
      <c r="Q82" s="1903"/>
      <c r="R82" s="1903"/>
      <c r="S82" s="1903"/>
      <c r="T82" s="1903"/>
      <c r="U82" s="1903"/>
      <c r="V82" s="1903"/>
    </row>
    <row r="83" spans="1:26" ht="12.75">
      <c r="A83" s="275" t="s">
        <v>1758</v>
      </c>
      <c r="B83" s="276" t="s">
        <v>373</v>
      </c>
      <c r="C83" s="280">
        <v>0</v>
      </c>
      <c r="D83" s="278"/>
      <c r="E83" s="279"/>
      <c r="F83" s="41"/>
      <c r="G83" s="41"/>
      <c r="H83" s="901"/>
      <c r="I83" s="215"/>
      <c r="J83" s="1903"/>
      <c r="K83" s="3359" t="s">
        <v>2802</v>
      </c>
      <c r="L83" s="2930" t="s">
        <v>2803</v>
      </c>
      <c r="M83" s="2920">
        <f ca="1">IF(N69&gt;10000,N69*0.5%,IF(AND(N69&gt;1000,N69&lt;=10000),N69*1%,IF(AND(N69&gt;100,N69&lt;=1000),N69*3%,IF(AND(N69&gt;10,N69&lt;=100),N69*5%,N69*8%))))</f>
        <v>215.82</v>
      </c>
      <c r="N83" s="52">
        <f ca="1">ROUND(M83,1)</f>
        <v>215.8</v>
      </c>
      <c r="O83" s="2923"/>
      <c r="P83" s="1903"/>
      <c r="Q83" s="1903"/>
      <c r="R83" s="1903"/>
      <c r="S83" s="1903"/>
      <c r="T83" s="1903"/>
      <c r="U83" s="1903"/>
      <c r="V83" s="1903"/>
    </row>
    <row r="84" spans="1:26" ht="12.75">
      <c r="A84" s="281" t="s">
        <v>1759</v>
      </c>
      <c r="B84" s="282" t="s">
        <v>374</v>
      </c>
      <c r="C84" s="283">
        <v>2000</v>
      </c>
      <c r="D84" s="284" t="s">
        <v>19</v>
      </c>
      <c r="E84" s="2954" t="s">
        <v>2854</v>
      </c>
      <c r="F84" s="41"/>
      <c r="G84" s="41"/>
      <c r="H84" s="901"/>
      <c r="I84" s="215"/>
      <c r="J84" s="1903"/>
      <c r="K84" s="3359"/>
      <c r="L84" s="2930" t="s">
        <v>2804</v>
      </c>
      <c r="M84" s="2920">
        <f ca="1">IF(N69&gt;2000,N69*0.5%,IF(AND(N69&gt;1000,N69&lt;=2000),N69*0.6%,IF(AND(N69&gt;500,N69&lt;=1000),N69*0.7%,IF(AND(N69&gt;200,N69&lt;=500),N69*0.8%,IF(AND(N69&gt;100,N69&lt;=200),N69*0.9%,IF(AND(N69&gt;50,N69&lt;=100),N69*1%,IF(AND(N69&gt;20,N69&lt;=50),N69*1.5%,IF(AND(N69&gt;10,N69&lt;=20),N69*2%,IF(AND(N69&gt;1,N69&lt;=10),N69*2.5%)))))))))</f>
        <v>215.82</v>
      </c>
      <c r="N84" s="52">
        <f ca="1">ROUND(M84,1)</f>
        <v>215.8</v>
      </c>
      <c r="O84" s="1903" t="s">
        <v>2805</v>
      </c>
      <c r="P84" s="1903"/>
      <c r="Q84" s="1903"/>
      <c r="R84" s="1903"/>
      <c r="S84" s="1903"/>
      <c r="T84" s="1903"/>
      <c r="U84" s="1903"/>
      <c r="V84" s="1903"/>
    </row>
    <row r="85" spans="1:26" ht="12.75">
      <c r="A85" s="281" t="s">
        <v>1760</v>
      </c>
      <c r="B85" s="282" t="s">
        <v>375</v>
      </c>
      <c r="C85" s="285">
        <f ca="1">C81-C84</f>
        <v>26202</v>
      </c>
      <c r="D85" s="278" t="s">
        <v>19</v>
      </c>
      <c r="E85" s="279"/>
      <c r="F85" s="41"/>
      <c r="G85" s="41"/>
      <c r="H85" s="901"/>
      <c r="I85" s="215"/>
      <c r="J85" s="1903"/>
      <c r="K85" s="3359"/>
      <c r="L85" s="2930" t="s">
        <v>2806</v>
      </c>
      <c r="M85" s="2920">
        <f ca="1">IF(N69&gt;1000,N69*0.1%,IF(AND(N69&gt;500,N69&lt;=1000),N69*0.5%,IF(AND(N69&gt;50,N69&lt;=500),N69*1%,IF(AND(N69&gt;1,N69&lt;=50),N69*1.5%))))</f>
        <v>43.164000000000001</v>
      </c>
      <c r="N85" s="52">
        <f ca="1">ROUND(M85,1)</f>
        <v>43.2</v>
      </c>
      <c r="O85" s="1903" t="s">
        <v>2805</v>
      </c>
      <c r="P85" s="1903"/>
      <c r="Q85" s="1903"/>
      <c r="R85" s="1903"/>
      <c r="S85" s="1903"/>
      <c r="T85" s="1903"/>
      <c r="U85" s="1903"/>
      <c r="V85" s="1903"/>
    </row>
    <row r="86" spans="1:26" ht="13.5" thickBot="1">
      <c r="A86" s="286" t="s">
        <v>1761</v>
      </c>
      <c r="B86" s="287" t="s">
        <v>376</v>
      </c>
      <c r="C86" s="288">
        <f ca="1">IF(C85&lt;=0,0,ROUND(C85*D86,0))</f>
        <v>1441</v>
      </c>
      <c r="D86" s="289">
        <f>'数据-取费表'!B41</f>
        <v>5.5000000000000007E-2</v>
      </c>
      <c r="E86" s="290"/>
      <c r="F86" s="41"/>
      <c r="G86" s="41"/>
      <c r="H86" s="901"/>
      <c r="I86" s="215"/>
      <c r="J86" s="1903"/>
      <c r="K86" s="3359"/>
      <c r="L86" s="2930" t="s">
        <v>2807</v>
      </c>
      <c r="M86" s="2920">
        <f ca="1">N69*0.5%</f>
        <v>215.82</v>
      </c>
      <c r="N86" s="52">
        <f ca="1">IF(M86&gt;0.5,0.5,ROUND(M86,0))</f>
        <v>0.5</v>
      </c>
      <c r="O86" s="1903" t="s">
        <v>2808</v>
      </c>
      <c r="P86" s="1903"/>
      <c r="Q86" s="1903"/>
      <c r="R86" s="1903"/>
      <c r="S86" s="1903"/>
      <c r="T86" s="1903"/>
      <c r="U86" s="1903"/>
      <c r="V86" s="1903"/>
    </row>
    <row r="87" spans="1:26" s="1142" customFormat="1" ht="14.25" customHeight="1">
      <c r="A87" s="1197"/>
      <c r="B87" s="1198"/>
      <c r="C87" s="1199"/>
      <c r="D87" s="1200"/>
      <c r="E87" s="1201"/>
      <c r="F87" s="41"/>
      <c r="G87" s="41"/>
      <c r="H87" s="901"/>
      <c r="I87" s="215"/>
      <c r="J87" s="1903"/>
      <c r="K87" s="3359"/>
      <c r="L87" s="2930" t="s">
        <v>2809</v>
      </c>
      <c r="M87" s="2920">
        <f ca="1">IF(N69&gt;=10000,(8.25+(N69-10000)*0.01%),IF(AND(N69&gt;=8000,N69&lt;10000),(7.85+(N69-8000)*0.02%),IF(AND(N69&gt;=5000,N69&lt;8000),(6.65+(N69-5000)*0.04%),IF(AND(N69&gt;=2000,N69&lt;5000),(4.25+(PN69-2000)*0.08%),IF(AND(N69&gt;=1000,N69&lt;2000),(2.75+(N69-1000)*0.15%),IF(AND(N69&gt;=100,N69&lt;1000),(0.5+(N69-100)*0.25%),IF(AND(N69&gt;0,N69&lt;100),N69*0.5%)))))))</f>
        <v>11.5664</v>
      </c>
      <c r="N87" s="52">
        <f ca="1">ROUND(M87*0.9,1)</f>
        <v>10.4</v>
      </c>
      <c r="O87" s="2923"/>
      <c r="P87" s="215"/>
      <c r="Q87" s="1903"/>
      <c r="R87" s="1903"/>
      <c r="S87" s="1903"/>
      <c r="T87" s="1903"/>
      <c r="U87" s="1903"/>
      <c r="V87" s="1903"/>
      <c r="W87" s="196"/>
      <c r="X87" s="196"/>
      <c r="Y87" s="196"/>
      <c r="Z87" s="196"/>
    </row>
    <row r="88" spans="1:26" s="1202" customFormat="1" ht="15" thickBot="1">
      <c r="A88" s="3341" t="s">
        <v>377</v>
      </c>
      <c r="B88" s="3342"/>
      <c r="C88" s="3342"/>
      <c r="D88" s="3342"/>
      <c r="E88" s="3342"/>
      <c r="F88" s="3342"/>
      <c r="G88" s="3342"/>
      <c r="H88" s="3342"/>
      <c r="I88" s="1203"/>
      <c r="J88" s="1911"/>
      <c r="K88" s="3359"/>
      <c r="L88" s="2930" t="s">
        <v>2810</v>
      </c>
      <c r="M88" s="2920">
        <f ca="1">IF(N69&gt;10000,N69*0.5%,IF(AND(N69&gt;5000,N69&lt;=10000),N69*1%,IF(AND(N69&gt;1000,N69&lt;=5000),N69*2%,IF(AND(N69&gt;200,N69&lt;=1000),N69*3%,N69*5%))))</f>
        <v>215.82</v>
      </c>
      <c r="N88" s="52">
        <f ca="1">ROUND(M88,1)</f>
        <v>215.8</v>
      </c>
      <c r="O88" s="2923"/>
      <c r="P88" s="10"/>
      <c r="Q88" s="1908"/>
      <c r="R88" s="1908"/>
      <c r="S88" s="1908"/>
      <c r="T88" s="1908"/>
      <c r="U88" s="1908"/>
      <c r="V88" s="1908"/>
      <c r="W88" s="1912"/>
      <c r="X88" s="1912"/>
      <c r="Y88" s="1912"/>
      <c r="Z88" s="1912"/>
    </row>
    <row r="89" spans="1:26" s="1202" customFormat="1" ht="14.25">
      <c r="A89" s="3339" t="s">
        <v>368</v>
      </c>
      <c r="B89" s="3340"/>
      <c r="C89" s="892"/>
      <c r="D89" s="892" t="s">
        <v>369</v>
      </c>
      <c r="E89" s="291" t="s">
        <v>378</v>
      </c>
      <c r="F89" s="292"/>
      <c r="G89" s="292"/>
      <c r="H89" s="293"/>
      <c r="I89" s="1204"/>
      <c r="J89" s="1913"/>
      <c r="K89" s="3359"/>
      <c r="L89" s="2930" t="s">
        <v>27</v>
      </c>
      <c r="M89" s="2921"/>
      <c r="N89" s="52">
        <f ca="1">ROUND(SUM(N83:N88),0)</f>
        <v>702</v>
      </c>
      <c r="O89" s="2931">
        <f ca="1">N89/N69</f>
        <v>1.6263552960800669E-2</v>
      </c>
      <c r="P89" s="1908"/>
      <c r="Q89" s="1908"/>
      <c r="R89" s="1908"/>
      <c r="S89" s="1908"/>
      <c r="T89" s="1908"/>
      <c r="U89" s="1908"/>
      <c r="V89" s="1908"/>
      <c r="W89" s="1912"/>
      <c r="X89" s="1912"/>
      <c r="Y89" s="1912"/>
      <c r="Z89" s="1912"/>
    </row>
    <row r="90" spans="1:26" s="1202" customFormat="1" ht="14.25">
      <c r="A90" s="281" t="s">
        <v>1756</v>
      </c>
      <c r="B90" s="282" t="s">
        <v>379</v>
      </c>
      <c r="C90" s="285">
        <f ca="1">ROUND(D63/(1+'数据-取费表'!C42),0)</f>
        <v>28202</v>
      </c>
      <c r="D90" s="278" t="s">
        <v>19</v>
      </c>
      <c r="E90" s="889"/>
      <c r="F90" s="888"/>
      <c r="G90" s="888"/>
      <c r="H90" s="294"/>
      <c r="I90" s="1204"/>
      <c r="J90" s="1913"/>
      <c r="K90" s="1908"/>
      <c r="L90" s="1908"/>
      <c r="M90" s="1908"/>
      <c r="N90" s="1908"/>
      <c r="O90" s="1908"/>
      <c r="P90" s="1908"/>
      <c r="Q90" s="1908"/>
      <c r="R90" s="1908"/>
      <c r="S90" s="1908"/>
      <c r="T90" s="1908"/>
      <c r="U90" s="1908"/>
      <c r="V90" s="1908"/>
      <c r="W90" s="1912"/>
      <c r="X90" s="1912"/>
      <c r="Y90" s="1912"/>
      <c r="Z90" s="1912"/>
    </row>
    <row r="91" spans="1:26" s="1202" customFormat="1" ht="14.25">
      <c r="A91" s="281" t="s">
        <v>1762</v>
      </c>
      <c r="B91" s="248" t="s">
        <v>380</v>
      </c>
      <c r="C91" s="285">
        <f ca="1">C92+C96</f>
        <v>2722</v>
      </c>
      <c r="D91" s="278" t="s">
        <v>19</v>
      </c>
      <c r="E91" s="889"/>
      <c r="F91" s="888"/>
      <c r="G91" s="888"/>
      <c r="H91" s="294"/>
      <c r="I91" s="1204"/>
      <c r="J91" s="1913"/>
      <c r="K91" s="1908"/>
      <c r="L91" s="1908"/>
      <c r="M91" s="1908"/>
      <c r="N91" s="1908"/>
      <c r="O91" s="1908"/>
      <c r="P91" s="1908"/>
      <c r="Q91" s="1908"/>
      <c r="R91" s="1908"/>
      <c r="S91" s="1908"/>
      <c r="T91" s="1908"/>
      <c r="U91" s="1908"/>
      <c r="V91" s="1908"/>
      <c r="W91" s="1912"/>
      <c r="X91" s="1912"/>
      <c r="Y91" s="1912"/>
      <c r="Z91" s="1912"/>
    </row>
    <row r="92" spans="1:26" s="1202" customFormat="1" ht="24">
      <c r="A92" s="295" t="s">
        <v>1763</v>
      </c>
      <c r="B92" s="276" t="s">
        <v>381</v>
      </c>
      <c r="C92" s="278">
        <f>ROUND(IF(G95="2016年5月1日后购买",C93/(1+'数据-取费表'!C30)+C94+C95,C93+C94+C95),0)</f>
        <v>2581</v>
      </c>
      <c r="D92" s="278" t="s">
        <v>19</v>
      </c>
      <c r="E92" s="889"/>
      <c r="F92" s="888"/>
      <c r="G92" s="888"/>
      <c r="H92" s="294"/>
      <c r="I92" s="1204"/>
      <c r="J92" s="1913"/>
      <c r="K92" s="1908"/>
      <c r="L92" s="1908"/>
      <c r="M92" s="1908"/>
      <c r="N92" s="1908"/>
      <c r="O92" s="1908"/>
      <c r="P92" s="1908"/>
      <c r="Q92" s="1908"/>
      <c r="R92" s="1908"/>
      <c r="S92" s="1908"/>
      <c r="T92" s="1908"/>
      <c r="U92" s="1908"/>
      <c r="V92" s="1908"/>
      <c r="W92" s="1912"/>
      <c r="X92" s="1912"/>
      <c r="Y92" s="1912"/>
      <c r="Z92" s="1912"/>
    </row>
    <row r="93" spans="1:26" s="1202" customFormat="1" ht="14.25">
      <c r="A93" s="295" t="s">
        <v>1764</v>
      </c>
      <c r="B93" s="276" t="s">
        <v>382</v>
      </c>
      <c r="C93" s="296">
        <v>2000</v>
      </c>
      <c r="D93" s="278" t="s">
        <v>19</v>
      </c>
      <c r="E93" s="297" t="s">
        <v>383</v>
      </c>
      <c r="F93" s="298" t="s">
        <v>384</v>
      </c>
      <c r="G93" s="297" t="s">
        <v>385</v>
      </c>
      <c r="H93" s="299">
        <v>5</v>
      </c>
      <c r="I93" s="10"/>
      <c r="J93" s="1908"/>
      <c r="K93" s="1908"/>
      <c r="L93" s="1908"/>
      <c r="M93" s="1908"/>
      <c r="N93" s="1908"/>
      <c r="O93" s="1908"/>
      <c r="P93" s="1908"/>
      <c r="Q93" s="1908"/>
      <c r="R93" s="1908"/>
      <c r="S93" s="1908"/>
      <c r="T93" s="1908"/>
      <c r="U93" s="1908"/>
      <c r="V93" s="1908"/>
      <c r="W93" s="1912"/>
      <c r="X93" s="1912"/>
      <c r="Y93" s="1912"/>
      <c r="Z93" s="1912"/>
    </row>
    <row r="94" spans="1:26" s="1202" customFormat="1" ht="24.75" customHeight="1">
      <c r="A94" s="295" t="s">
        <v>1765</v>
      </c>
      <c r="B94" s="300" t="s">
        <v>386</v>
      </c>
      <c r="C94" s="278">
        <f>IF(F93="购房发票",ROUND(C93*H93*5%,0),0)</f>
        <v>500</v>
      </c>
      <c r="D94" s="301">
        <v>0.05</v>
      </c>
      <c r="E94" s="3302" t="s">
        <v>387</v>
      </c>
      <c r="F94" s="3301"/>
      <c r="G94" s="3301"/>
      <c r="H94" s="3338"/>
      <c r="I94" s="1204"/>
      <c r="J94" s="1913"/>
      <c r="K94" s="1908"/>
      <c r="L94" s="1908"/>
      <c r="M94" s="1908"/>
      <c r="N94" s="1908"/>
      <c r="O94" s="1908"/>
      <c r="P94" s="1908"/>
      <c r="Q94" s="1908"/>
      <c r="R94" s="1908"/>
      <c r="S94" s="1908"/>
      <c r="T94" s="1908"/>
      <c r="U94" s="1908"/>
      <c r="V94" s="1908"/>
      <c r="W94" s="1912"/>
      <c r="X94" s="1912"/>
      <c r="Y94" s="1912"/>
      <c r="Z94" s="1912"/>
    </row>
    <row r="95" spans="1:26" s="1202" customFormat="1" ht="24.75" customHeight="1">
      <c r="A95" s="295" t="s">
        <v>1766</v>
      </c>
      <c r="B95" s="276" t="s">
        <v>388</v>
      </c>
      <c r="C95" s="278">
        <f>ROUND(IF(G95="个人买卖住房",0,IF(G95="2016年5月1日前购买",C93*D95,C93*D95/(1+'数据-取费表'!C42))),0)</f>
        <v>81</v>
      </c>
      <c r="D95" s="302">
        <f>'数据-取费表'!B48+'数据-取费表'!B49</f>
        <v>4.0500000000000001E-2</v>
      </c>
      <c r="E95" s="25" t="s">
        <v>389</v>
      </c>
      <c r="F95" s="303"/>
      <c r="G95" s="304" t="s">
        <v>2357</v>
      </c>
      <c r="H95" s="897" t="str">
        <f>IF(G95="个人买卖住房","免征印花税"," ")</f>
        <v xml:space="preserve"> </v>
      </c>
      <c r="I95" s="1204"/>
      <c r="J95" s="1913"/>
      <c r="K95" s="1908"/>
      <c r="L95" s="1908"/>
      <c r="M95" s="1908"/>
      <c r="N95" s="1908"/>
      <c r="O95" s="1908"/>
      <c r="P95" s="1908"/>
      <c r="Q95" s="1908"/>
      <c r="R95" s="1908"/>
      <c r="S95" s="1908"/>
      <c r="T95" s="1908"/>
      <c r="U95" s="1908"/>
      <c r="V95" s="1908"/>
      <c r="W95" s="1912"/>
      <c r="X95" s="1912"/>
      <c r="Y95" s="1912"/>
      <c r="Z95" s="1912"/>
    </row>
    <row r="96" spans="1:26" s="1202" customFormat="1" ht="24.75" customHeight="1">
      <c r="A96" s="295" t="s">
        <v>1767</v>
      </c>
      <c r="B96" s="276" t="s">
        <v>390</v>
      </c>
      <c r="C96" s="305">
        <f ca="1">ROUND(D63*D96/(1+'数据-取费表'!C42),0)</f>
        <v>141</v>
      </c>
      <c r="D96" s="306">
        <f>'数据-取费表'!B43</f>
        <v>5.000000000000001E-3</v>
      </c>
      <c r="E96" s="3330" t="s">
        <v>2356</v>
      </c>
      <c r="F96" s="3331"/>
      <c r="G96" s="3331"/>
      <c r="H96" s="3332"/>
      <c r="I96" s="1205"/>
      <c r="J96" s="1914"/>
      <c r="K96" s="1908"/>
      <c r="L96" s="1908"/>
      <c r="M96" s="1908"/>
      <c r="N96" s="1908"/>
      <c r="O96" s="1908"/>
      <c r="P96" s="1908"/>
      <c r="Q96" s="1908"/>
      <c r="R96" s="1908"/>
      <c r="S96" s="1908"/>
      <c r="T96" s="1908"/>
      <c r="U96" s="1908"/>
      <c r="V96" s="1908"/>
      <c r="W96" s="1912"/>
      <c r="X96" s="1912"/>
      <c r="Y96" s="1912"/>
      <c r="Z96" s="1912"/>
    </row>
    <row r="97" spans="1:26" s="1202" customFormat="1" ht="14.25">
      <c r="A97" s="1505" t="s">
        <v>1768</v>
      </c>
      <c r="B97" s="282" t="s">
        <v>391</v>
      </c>
      <c r="C97" s="285">
        <f ca="1">C90-C91</f>
        <v>25480</v>
      </c>
      <c r="D97" s="278" t="s">
        <v>19</v>
      </c>
      <c r="E97" s="889"/>
      <c r="F97" s="888"/>
      <c r="G97" s="888"/>
      <c r="H97" s="294"/>
      <c r="I97" s="1204"/>
      <c r="J97" s="1913"/>
      <c r="K97" s="1908"/>
      <c r="L97" s="1908"/>
      <c r="M97" s="1908"/>
      <c r="N97" s="1908"/>
      <c r="O97" s="1908"/>
      <c r="P97" s="1908"/>
      <c r="Q97" s="1908"/>
      <c r="R97" s="1908"/>
      <c r="S97" s="1908"/>
      <c r="T97" s="1908"/>
      <c r="U97" s="1908"/>
      <c r="V97" s="1908"/>
      <c r="W97" s="1912"/>
      <c r="X97" s="1912"/>
      <c r="Y97" s="1912"/>
      <c r="Z97" s="1912"/>
    </row>
    <row r="98" spans="1:26" s="1202" customFormat="1" ht="24">
      <c r="A98" s="1505" t="s">
        <v>1769</v>
      </c>
      <c r="B98" s="282" t="s">
        <v>392</v>
      </c>
      <c r="C98" s="307">
        <f ca="1">IF(C97&lt;=0,0,C97/C91)</f>
        <v>9.3607641440117568</v>
      </c>
      <c r="D98" s="278"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888"/>
      <c r="G98" s="888"/>
      <c r="H98" s="294"/>
      <c r="I98" s="1204"/>
      <c r="J98" s="1913"/>
      <c r="K98" s="1908"/>
      <c r="L98" s="1908"/>
      <c r="M98" s="1908"/>
      <c r="N98" s="1908"/>
      <c r="O98" s="1908"/>
      <c r="P98" s="1908"/>
      <c r="Q98" s="1908"/>
      <c r="R98" s="1908"/>
      <c r="S98" s="1908"/>
      <c r="T98" s="1908"/>
      <c r="U98" s="1908"/>
      <c r="V98" s="1908"/>
      <c r="W98" s="1912"/>
      <c r="X98" s="1912"/>
      <c r="Y98" s="1912"/>
      <c r="Z98" s="1912"/>
    </row>
    <row r="99" spans="1:26" s="1202" customFormat="1" ht="24.75" thickBot="1">
      <c r="A99" s="1506" t="s">
        <v>1770</v>
      </c>
      <c r="B99" s="287" t="s">
        <v>393</v>
      </c>
      <c r="C99" s="308">
        <f ca="1">ROUND(IF(C97&lt;=0,0,IF(C98&gt;=200%,C97*60%-C91*35%,IF(C98&gt;=100%,C97*50%-C91*15%,IF(C98&gt;=50%,C97*40%-C91*5%,IF(C98&lt;50%,C97*30%,0))))),0)</f>
        <v>14335</v>
      </c>
      <c r="D99" s="309" t="s">
        <v>19</v>
      </c>
      <c r="E99" s="3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11"/>
      <c r="G99" s="311"/>
      <c r="H99" s="312"/>
      <c r="I99" s="1204"/>
      <c r="J99" s="1913"/>
      <c r="K99" s="1908"/>
      <c r="L99" s="1908"/>
      <c r="M99" s="1908"/>
      <c r="N99" s="1908"/>
      <c r="O99" s="1908"/>
      <c r="P99" s="1908"/>
      <c r="Q99" s="1908"/>
      <c r="R99" s="1908"/>
      <c r="S99" s="1908"/>
      <c r="T99" s="1908"/>
      <c r="U99" s="1908"/>
      <c r="V99" s="1908"/>
      <c r="W99" s="1912"/>
      <c r="X99" s="1912"/>
      <c r="Y99" s="1912"/>
      <c r="Z99" s="1912"/>
    </row>
    <row r="100" spans="1:26" s="1202" customFormat="1" ht="7.5" customHeight="1">
      <c r="A100" s="1206"/>
      <c r="B100" s="1207"/>
      <c r="C100" s="10"/>
      <c r="D100" s="10"/>
      <c r="E100" s="1207"/>
      <c r="F100" s="1207"/>
      <c r="G100" s="1207"/>
      <c r="H100" s="1208"/>
      <c r="I100" s="1205"/>
      <c r="J100" s="1914"/>
      <c r="K100" s="1908"/>
      <c r="L100" s="1908"/>
      <c r="M100" s="1908"/>
      <c r="N100" s="1908"/>
      <c r="O100" s="1908"/>
      <c r="P100" s="1908"/>
      <c r="Q100" s="1908"/>
      <c r="R100" s="1908"/>
      <c r="S100" s="1908"/>
      <c r="T100" s="1908"/>
      <c r="U100" s="1908"/>
      <c r="V100" s="1908"/>
      <c r="W100" s="1912"/>
      <c r="X100" s="1912"/>
      <c r="Y100" s="1912"/>
      <c r="Z100" s="1912"/>
    </row>
    <row r="101" spans="1:26" s="1202" customFormat="1" ht="15" thickBot="1">
      <c r="A101" s="3341" t="s">
        <v>394</v>
      </c>
      <c r="B101" s="3342"/>
      <c r="C101" s="3342"/>
      <c r="D101" s="3342"/>
      <c r="E101" s="3342"/>
      <c r="F101" s="3342"/>
      <c r="G101" s="3342"/>
      <c r="H101" s="3342"/>
      <c r="I101" s="10"/>
      <c r="J101" s="1908"/>
      <c r="K101" s="1908"/>
      <c r="L101" s="1908"/>
      <c r="M101" s="1908"/>
      <c r="N101" s="1908"/>
      <c r="O101" s="1908"/>
      <c r="P101" s="1908"/>
      <c r="Q101" s="1908"/>
      <c r="R101" s="1908"/>
      <c r="S101" s="1908"/>
      <c r="T101" s="1908"/>
      <c r="U101" s="1908"/>
      <c r="V101" s="1908"/>
      <c r="W101" s="1912"/>
      <c r="X101" s="1912"/>
      <c r="Y101" s="1912"/>
      <c r="Z101" s="1912"/>
    </row>
    <row r="102" spans="1:26" s="1202" customFormat="1" ht="14.25">
      <c r="A102" s="3339" t="s">
        <v>368</v>
      </c>
      <c r="B102" s="3340"/>
      <c r="C102" s="892"/>
      <c r="D102" s="892" t="s">
        <v>369</v>
      </c>
      <c r="E102" s="291" t="s">
        <v>378</v>
      </c>
      <c r="F102" s="292"/>
      <c r="G102" s="292"/>
      <c r="H102" s="313"/>
      <c r="I102" s="10"/>
      <c r="J102" s="1908"/>
      <c r="K102" s="1908"/>
      <c r="L102" s="1908"/>
      <c r="M102" s="1908"/>
      <c r="N102" s="1908"/>
      <c r="O102" s="1908"/>
      <c r="P102" s="1908"/>
      <c r="Q102" s="1908"/>
      <c r="R102" s="1908"/>
      <c r="S102" s="1908"/>
      <c r="T102" s="1908"/>
      <c r="U102" s="1908"/>
      <c r="V102" s="1908"/>
      <c r="W102" s="1912"/>
      <c r="X102" s="1912"/>
      <c r="Y102" s="1912"/>
      <c r="Z102" s="1912"/>
    </row>
    <row r="103" spans="1:26" s="1202" customFormat="1" ht="14.25">
      <c r="A103" s="281" t="s">
        <v>1756</v>
      </c>
      <c r="B103" s="282" t="s">
        <v>379</v>
      </c>
      <c r="C103" s="285">
        <f ca="1">ROUND(D63/(1+'数据-取费表'!C42),0)</f>
        <v>28202</v>
      </c>
      <c r="D103" s="278" t="s">
        <v>19</v>
      </c>
      <c r="E103" s="889"/>
      <c r="F103" s="888"/>
      <c r="G103" s="888"/>
      <c r="H103" s="314"/>
      <c r="I103" s="10"/>
      <c r="J103" s="1908"/>
      <c r="K103" s="1908"/>
      <c r="L103" s="1908"/>
      <c r="M103" s="1908"/>
      <c r="N103" s="1908"/>
      <c r="O103" s="1908"/>
      <c r="P103" s="1908"/>
      <c r="Q103" s="1908"/>
      <c r="R103" s="1908"/>
      <c r="S103" s="1908"/>
      <c r="T103" s="1908"/>
      <c r="U103" s="1908"/>
      <c r="V103" s="1908"/>
      <c r="W103" s="1912"/>
      <c r="X103" s="1912"/>
      <c r="Y103" s="1912"/>
      <c r="Z103" s="1912"/>
    </row>
    <row r="104" spans="1:26" s="1202" customFormat="1" ht="14.25">
      <c r="A104" s="281" t="s">
        <v>1762</v>
      </c>
      <c r="B104" s="248" t="s">
        <v>380</v>
      </c>
      <c r="C104" s="285">
        <f ca="1">IF(H106="仅含出让金",C105+C108+C109+C110+C111+C112,C105+C109+C110+C111+C112)</f>
        <v>836</v>
      </c>
      <c r="D104" s="315"/>
      <c r="E104" s="889"/>
      <c r="F104" s="888"/>
      <c r="G104" s="888"/>
      <c r="H104" s="314"/>
      <c r="I104" s="10"/>
      <c r="J104" s="1908"/>
      <c r="K104" s="1908"/>
      <c r="L104" s="1908"/>
      <c r="M104" s="1908"/>
      <c r="N104" s="1908"/>
      <c r="O104" s="1908"/>
      <c r="P104" s="1908"/>
      <c r="Q104" s="1908"/>
      <c r="R104" s="1908"/>
      <c r="S104" s="1908"/>
      <c r="T104" s="1908"/>
      <c r="U104" s="1908"/>
      <c r="V104" s="1908"/>
      <c r="W104" s="1912"/>
      <c r="X104" s="1912"/>
      <c r="Y104" s="1912"/>
      <c r="Z104" s="1912"/>
    </row>
    <row r="105" spans="1:26" s="1202" customFormat="1" ht="14.25">
      <c r="A105" s="295" t="s">
        <v>1763</v>
      </c>
      <c r="B105" s="276" t="s">
        <v>395</v>
      </c>
      <c r="C105" s="305">
        <f>C106+C107</f>
        <v>577</v>
      </c>
      <c r="D105" s="306"/>
      <c r="E105" s="883"/>
      <c r="F105" s="884"/>
      <c r="G105" s="884"/>
      <c r="H105" s="885"/>
      <c r="I105" s="10"/>
      <c r="J105" s="1908"/>
      <c r="K105" s="1908"/>
      <c r="L105" s="1908"/>
      <c r="M105" s="1908"/>
      <c r="N105" s="1908"/>
      <c r="O105" s="1908"/>
      <c r="P105" s="1908"/>
      <c r="Q105" s="1908"/>
      <c r="R105" s="1908"/>
      <c r="S105" s="1908"/>
      <c r="T105" s="1908"/>
      <c r="U105" s="1908"/>
      <c r="V105" s="1908"/>
      <c r="W105" s="1912"/>
      <c r="X105" s="1912"/>
      <c r="Y105" s="1912"/>
      <c r="Z105" s="1912"/>
    </row>
    <row r="106" spans="1:26" s="1202" customFormat="1" ht="14.25">
      <c r="A106" s="295" t="s">
        <v>1764</v>
      </c>
      <c r="B106" s="276" t="s">
        <v>396</v>
      </c>
      <c r="C106" s="316">
        <v>555</v>
      </c>
      <c r="D106" s="306"/>
      <c r="E106" s="317" t="s">
        <v>397</v>
      </c>
      <c r="F106" s="884"/>
      <c r="G106" s="318" t="s">
        <v>398</v>
      </c>
      <c r="H106" s="319" t="s">
        <v>2367</v>
      </c>
      <c r="I106" s="10"/>
      <c r="J106" s="1908"/>
      <c r="K106" s="1908"/>
      <c r="L106" s="1908"/>
      <c r="M106" s="1908"/>
      <c r="N106" s="1908"/>
      <c r="O106" s="1908"/>
      <c r="P106" s="1908"/>
      <c r="Q106" s="1908"/>
      <c r="R106" s="1908"/>
      <c r="S106" s="1908"/>
      <c r="T106" s="1908"/>
      <c r="U106" s="1908"/>
      <c r="V106" s="1908"/>
      <c r="W106" s="1912"/>
      <c r="X106" s="1912"/>
      <c r="Y106" s="1912"/>
      <c r="Z106" s="1912"/>
    </row>
    <row r="107" spans="1:26" s="1202" customFormat="1" ht="14.25">
      <c r="A107" s="295" t="s">
        <v>1765</v>
      </c>
      <c r="B107" s="276" t="s">
        <v>388</v>
      </c>
      <c r="C107" s="305">
        <f>ROUND(C106*D107,0)</f>
        <v>22</v>
      </c>
      <c r="D107" s="306">
        <f>'数据-取费表'!B48+'数据-取费表'!B49</f>
        <v>4.0500000000000001E-2</v>
      </c>
      <c r="E107" s="317" t="s">
        <v>399</v>
      </c>
      <c r="F107" s="884"/>
      <c r="G107" s="884"/>
      <c r="H107" s="885"/>
      <c r="I107" s="10"/>
      <c r="J107" s="1908"/>
      <c r="K107" s="1908"/>
      <c r="L107" s="1908"/>
      <c r="M107" s="1908"/>
      <c r="N107" s="1908"/>
      <c r="O107" s="1908"/>
      <c r="P107" s="1908"/>
      <c r="Q107" s="1908"/>
      <c r="R107" s="1908"/>
      <c r="S107" s="1908"/>
      <c r="T107" s="1908"/>
      <c r="U107" s="1908"/>
      <c r="V107" s="1908"/>
      <c r="W107" s="1912"/>
      <c r="X107" s="1912"/>
      <c r="Y107" s="1912"/>
      <c r="Z107" s="1912"/>
    </row>
    <row r="108" spans="1:26" s="1202" customFormat="1" ht="14.25">
      <c r="A108" s="295" t="s">
        <v>1767</v>
      </c>
      <c r="B108" s="276" t="s">
        <v>400</v>
      </c>
      <c r="C108" s="316"/>
      <c r="D108" s="306"/>
      <c r="E108" s="317" t="str">
        <f>IF(H106="-","土地取得成本中已包含该笔费用"," ")</f>
        <v xml:space="preserve"> </v>
      </c>
      <c r="F108" s="884"/>
      <c r="G108" s="884"/>
      <c r="H108" s="885"/>
      <c r="I108" s="10"/>
      <c r="J108" s="1908"/>
      <c r="K108" s="1908"/>
      <c r="L108" s="1908"/>
      <c r="M108" s="1908"/>
      <c r="N108" s="1908"/>
      <c r="O108" s="1908"/>
      <c r="P108" s="1908"/>
      <c r="Q108" s="1908"/>
      <c r="R108" s="1908"/>
      <c r="S108" s="1908"/>
      <c r="T108" s="1908"/>
      <c r="U108" s="1908"/>
      <c r="V108" s="1908"/>
      <c r="W108" s="1912"/>
      <c r="X108" s="1912"/>
      <c r="Y108" s="1912"/>
      <c r="Z108" s="1912"/>
    </row>
    <row r="109" spans="1:26" s="1202" customFormat="1" ht="24" customHeight="1">
      <c r="A109" s="1507" t="s">
        <v>1771</v>
      </c>
      <c r="B109" s="276" t="s">
        <v>401</v>
      </c>
      <c r="C109" s="305">
        <f>IF(H109="——",IF(F1="现房",'剩余法-现房'!C18,'剩余法-待开发'!C18),I109)</f>
        <v>55</v>
      </c>
      <c r="D109" s="306"/>
      <c r="E109" s="3333" t="s">
        <v>402</v>
      </c>
      <c r="F109" s="3331"/>
      <c r="G109" s="3331"/>
      <c r="H109" s="1823" t="s">
        <v>2211</v>
      </c>
      <c r="I109" s="1824">
        <v>55</v>
      </c>
      <c r="J109" s="1908"/>
      <c r="K109" s="1908"/>
      <c r="L109" s="1908"/>
      <c r="M109" s="1908"/>
      <c r="N109" s="1908"/>
      <c r="O109" s="1908"/>
      <c r="P109" s="1908"/>
      <c r="Q109" s="1908"/>
      <c r="R109" s="1908"/>
      <c r="S109" s="1908"/>
      <c r="T109" s="1908"/>
      <c r="U109" s="1908"/>
      <c r="V109" s="1908"/>
      <c r="W109" s="1912"/>
      <c r="X109" s="1912"/>
      <c r="Y109" s="1912"/>
      <c r="Z109" s="1912"/>
    </row>
    <row r="110" spans="1:26" s="1202" customFormat="1" ht="25.5" customHeight="1">
      <c r="A110" s="1507" t="s">
        <v>1772</v>
      </c>
      <c r="B110" s="276" t="s">
        <v>403</v>
      </c>
      <c r="C110" s="305">
        <f>ROUND((C105+C108+C109)*D110,0)</f>
        <v>63</v>
      </c>
      <c r="D110" s="306">
        <v>0.1</v>
      </c>
      <c r="E110" s="3333" t="s">
        <v>404</v>
      </c>
      <c r="F110" s="3331"/>
      <c r="G110" s="3331"/>
      <c r="H110" s="3332"/>
      <c r="I110" s="10"/>
      <c r="J110" s="1908"/>
      <c r="K110" s="1908"/>
      <c r="L110" s="1908"/>
      <c r="M110" s="1908"/>
      <c r="N110" s="1908"/>
      <c r="O110" s="1908"/>
      <c r="P110" s="1908"/>
      <c r="Q110" s="1908"/>
      <c r="R110" s="1908"/>
      <c r="S110" s="1908"/>
      <c r="T110" s="1908"/>
      <c r="U110" s="1908"/>
      <c r="V110" s="1908"/>
      <c r="W110" s="1912"/>
      <c r="X110" s="1912"/>
      <c r="Y110" s="1912"/>
      <c r="Z110" s="1912"/>
    </row>
    <row r="111" spans="1:26" s="1202" customFormat="1" ht="25.5" customHeight="1">
      <c r="A111" s="1507" t="s">
        <v>1773</v>
      </c>
      <c r="B111" s="276" t="s">
        <v>390</v>
      </c>
      <c r="C111" s="305">
        <f ca="1">ROUND(D63*D111/(1+'数据-取费表'!C42),0)</f>
        <v>141</v>
      </c>
      <c r="D111" s="306">
        <f>'数据-取费表'!B43</f>
        <v>5.000000000000001E-3</v>
      </c>
      <c r="E111" s="3330" t="s">
        <v>2356</v>
      </c>
      <c r="F111" s="3331"/>
      <c r="G111" s="3331"/>
      <c r="H111" s="3332"/>
      <c r="I111" s="10"/>
      <c r="J111" s="1908"/>
      <c r="K111" s="1908"/>
      <c r="L111" s="1908"/>
      <c r="M111" s="1908"/>
      <c r="N111" s="1908"/>
      <c r="O111" s="1908"/>
      <c r="P111" s="1908"/>
      <c r="Q111" s="1908"/>
      <c r="R111" s="1908"/>
      <c r="S111" s="1908"/>
      <c r="T111" s="1908"/>
      <c r="U111" s="1908"/>
      <c r="V111" s="1908"/>
      <c r="W111" s="1912"/>
      <c r="X111" s="1912"/>
      <c r="Y111" s="1912"/>
      <c r="Z111" s="1912"/>
    </row>
    <row r="112" spans="1:26" s="1202" customFormat="1" ht="25.5" customHeight="1">
      <c r="A112" s="1507" t="s">
        <v>1774</v>
      </c>
      <c r="B112" s="276" t="s">
        <v>405</v>
      </c>
      <c r="C112" s="305">
        <f>ROUND(C108*D112,0)</f>
        <v>0</v>
      </c>
      <c r="D112" s="306">
        <v>0.2</v>
      </c>
      <c r="E112" s="3333" t="s">
        <v>2381</v>
      </c>
      <c r="F112" s="3331"/>
      <c r="G112" s="3331"/>
      <c r="H112" s="3332"/>
      <c r="I112" s="10"/>
      <c r="J112" s="1908"/>
      <c r="K112" s="1908"/>
      <c r="L112" s="1908"/>
      <c r="M112" s="1908"/>
      <c r="N112" s="1908"/>
      <c r="O112" s="1908"/>
      <c r="P112" s="1908"/>
      <c r="Q112" s="1908"/>
      <c r="R112" s="1908"/>
      <c r="S112" s="1908"/>
      <c r="T112" s="1908"/>
      <c r="U112" s="1908"/>
      <c r="V112" s="1908"/>
      <c r="W112" s="1912"/>
      <c r="X112" s="1912"/>
      <c r="Y112" s="1912"/>
      <c r="Z112" s="1912"/>
    </row>
    <row r="113" spans="1:26" s="1202" customFormat="1" ht="14.25">
      <c r="A113" s="1505" t="s">
        <v>1768</v>
      </c>
      <c r="B113" s="282" t="s">
        <v>391</v>
      </c>
      <c r="C113" s="285">
        <f ca="1">ROUND(C103-C104,0)</f>
        <v>27366</v>
      </c>
      <c r="D113" s="278" t="s">
        <v>19</v>
      </c>
      <c r="E113" s="889"/>
      <c r="F113" s="888"/>
      <c r="G113" s="888"/>
      <c r="H113" s="314"/>
      <c r="I113" s="10"/>
      <c r="J113" s="1908"/>
      <c r="K113" s="1908"/>
      <c r="L113" s="1908"/>
      <c r="M113" s="1908"/>
      <c r="N113" s="1908"/>
      <c r="O113" s="1908"/>
      <c r="P113" s="1908"/>
      <c r="Q113" s="1908"/>
      <c r="R113" s="1908"/>
      <c r="S113" s="1908"/>
      <c r="T113" s="1908"/>
      <c r="U113" s="1908"/>
      <c r="V113" s="1908"/>
      <c r="W113" s="1912"/>
      <c r="X113" s="1912"/>
      <c r="Y113" s="1912"/>
      <c r="Z113" s="1912"/>
    </row>
    <row r="114" spans="1:26" s="1202" customFormat="1" ht="24">
      <c r="A114" s="1505" t="s">
        <v>1769</v>
      </c>
      <c r="B114" s="282" t="s">
        <v>392</v>
      </c>
      <c r="C114" s="307">
        <f ca="1">IF(C113&lt;=0,0,C113/C104)</f>
        <v>32.73444976076555</v>
      </c>
      <c r="D114" s="278"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888"/>
      <c r="G114" s="888"/>
      <c r="H114" s="314"/>
      <c r="I114" s="10"/>
      <c r="J114" s="1908"/>
      <c r="K114" s="1908"/>
      <c r="L114" s="1908"/>
      <c r="M114" s="1908"/>
      <c r="N114" s="1908"/>
      <c r="O114" s="1908"/>
      <c r="P114" s="1908"/>
      <c r="Q114" s="1908"/>
      <c r="R114" s="1908"/>
      <c r="S114" s="1908"/>
      <c r="T114" s="1908"/>
      <c r="U114" s="1908"/>
      <c r="V114" s="1908"/>
      <c r="W114" s="1912"/>
      <c r="X114" s="1912"/>
      <c r="Y114" s="1912"/>
      <c r="Z114" s="1912"/>
    </row>
    <row r="115" spans="1:26" s="1202" customFormat="1" ht="24.75" thickBot="1">
      <c r="A115" s="1506" t="s">
        <v>1770</v>
      </c>
      <c r="B115" s="287" t="s">
        <v>393</v>
      </c>
      <c r="C115" s="308">
        <f ca="1">ROUND(IF(C113&lt;=0,0,IF(C114&gt;=200%,C113*60%-C104*35%,IF(C114&gt;=100%,C113*50%-C104*15%,IF(C114&gt;=50%,C113*40%-C104*5%,IF(C114&lt;50%,C113*30%,0))))),0)</f>
        <v>16127</v>
      </c>
      <c r="D115" s="309" t="s">
        <v>19</v>
      </c>
      <c r="E115" s="3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11"/>
      <c r="G115" s="311"/>
      <c r="H115" s="320"/>
      <c r="I115" s="10"/>
      <c r="J115" s="1908"/>
      <c r="K115" s="1908"/>
      <c r="L115" s="1908"/>
      <c r="M115" s="1908"/>
      <c r="N115" s="1908"/>
      <c r="O115" s="1908"/>
      <c r="P115" s="1908"/>
      <c r="Q115" s="1908"/>
      <c r="R115" s="1908"/>
      <c r="S115" s="1908"/>
      <c r="T115" s="1908"/>
      <c r="U115" s="1908"/>
      <c r="V115" s="1908"/>
      <c r="W115" s="1912"/>
      <c r="X115" s="1912"/>
      <c r="Y115" s="1912"/>
      <c r="Z115" s="1912"/>
    </row>
    <row r="116" spans="1:26" s="1916" customFormat="1" ht="21.75" customHeight="1">
      <c r="J116" s="1915"/>
      <c r="K116" s="1903"/>
      <c r="L116" s="1903"/>
      <c r="M116" s="1903"/>
      <c r="N116" s="1903"/>
      <c r="O116" s="1903"/>
    </row>
    <row r="117" spans="1:26" s="1916" customFormat="1" ht="21.75" customHeight="1">
      <c r="J117" s="1915"/>
    </row>
    <row r="118" spans="1:26" s="1916" customFormat="1" ht="21.75" customHeight="1">
      <c r="J118" s="1915"/>
    </row>
    <row r="119" spans="1:26" s="1916" customFormat="1" ht="21.75" customHeight="1">
      <c r="J119" s="1915"/>
    </row>
    <row r="120" spans="1:26" s="1916" customFormat="1" ht="21.75" customHeight="1">
      <c r="J120" s="1915"/>
    </row>
    <row r="121" spans="1:26" s="1916" customFormat="1" ht="21.75" customHeight="1"/>
    <row r="122" spans="1:26" s="1916" customFormat="1" ht="21.75" customHeight="1">
      <c r="J122" s="1917"/>
    </row>
    <row r="123" spans="1:26" s="1916" customFormat="1" ht="21.75" customHeight="1"/>
    <row r="124" spans="1:26" s="1916" customFormat="1" ht="21.75" customHeight="1"/>
    <row r="125" spans="1:26" s="1916" customFormat="1" ht="21.75" customHeight="1">
      <c r="J125" s="1917"/>
    </row>
    <row r="126" spans="1:26" s="1916" customFormat="1" ht="21.75" customHeight="1"/>
    <row r="127" spans="1:26" s="1916" customFormat="1" ht="21.75" customHeight="1"/>
    <row r="128" spans="1:26" s="1916" customFormat="1" ht="21.75" customHeight="1">
      <c r="J128" s="1917"/>
    </row>
    <row r="129" spans="2:6" s="1916" customFormat="1" ht="21.75" customHeight="1"/>
    <row r="130" spans="2:6" s="1916" customFormat="1" ht="21.75" customHeight="1">
      <c r="B130" s="1918"/>
      <c r="C130" s="1919"/>
      <c r="D130" s="1920"/>
      <c r="E130" s="1920"/>
      <c r="F130" s="1921"/>
    </row>
    <row r="131" spans="2:6" s="1916" customFormat="1" ht="21.75" customHeight="1"/>
    <row r="132" spans="2:6" s="1916" customFormat="1" ht="21.75" customHeight="1"/>
    <row r="133" spans="2:6" s="1916" customFormat="1" ht="21.75" customHeight="1"/>
    <row r="134" spans="2:6" s="1916" customFormat="1" ht="21.75" customHeight="1"/>
    <row r="135" spans="2:6" s="1916" customFormat="1" ht="21.75" customHeight="1"/>
    <row r="136" spans="2:6" s="1916" customFormat="1" ht="21.75" customHeight="1"/>
    <row r="137" spans="2:6" s="1916" customFormat="1" ht="21.75" customHeight="1"/>
    <row r="138" spans="2:6" s="1916" customFormat="1" ht="21.75" customHeight="1"/>
    <row r="139" spans="2:6" s="1916" customFormat="1" ht="21.75" customHeight="1"/>
    <row r="140" spans="2:6" s="1916" customFormat="1" ht="21.75" customHeight="1"/>
    <row r="141" spans="2:6" s="1916" customFormat="1" ht="21.75" customHeight="1"/>
    <row r="142" spans="2:6" s="1916" customFormat="1" ht="21.75" customHeight="1"/>
    <row r="143" spans="2:6" s="1916" customFormat="1" ht="21.75" customHeight="1"/>
    <row r="144" spans="2:6" s="1916" customFormat="1" ht="21.75" customHeight="1"/>
    <row r="145" s="1916" customFormat="1" ht="21.75" customHeight="1"/>
    <row r="146" s="1916" customFormat="1" ht="21.75" customHeight="1"/>
    <row r="147" s="1916" customFormat="1" ht="21.75" customHeight="1"/>
    <row r="148" s="1916" customFormat="1" ht="21.75" customHeight="1"/>
    <row r="149" s="1916" customFormat="1" ht="21.75" customHeight="1"/>
    <row r="150" s="1916" customFormat="1" ht="21.75" customHeight="1"/>
    <row r="151" s="1916" customFormat="1" ht="21.75" customHeight="1"/>
    <row r="152" s="1916" customFormat="1" ht="21.75" customHeight="1"/>
    <row r="153" s="1916" customFormat="1" ht="21.75" customHeight="1"/>
    <row r="154" s="1916" customFormat="1" ht="21.75" customHeight="1"/>
    <row r="155" s="1916" customFormat="1" ht="21.75" customHeight="1"/>
    <row r="156" s="1916" customFormat="1" ht="21.75" customHeight="1"/>
    <row r="157" s="1916" customFormat="1" ht="21.75" customHeight="1"/>
    <row r="158" s="1916" customFormat="1" ht="21.75" customHeight="1"/>
    <row r="159" s="1916" customFormat="1" ht="21.75" customHeight="1"/>
    <row r="160" s="1916" customFormat="1" ht="21.75" customHeight="1"/>
    <row r="161" s="1916" customFormat="1" ht="21.75" customHeight="1"/>
    <row r="162" s="1916" customFormat="1" ht="21.75" customHeight="1"/>
    <row r="163" s="1916" customFormat="1" ht="21.75" customHeight="1"/>
    <row r="164" s="1916" customFormat="1" ht="21.75" customHeight="1"/>
    <row r="165" s="1916" customFormat="1" ht="21.75" customHeight="1"/>
    <row r="166" s="1916" customFormat="1" ht="21.75" customHeight="1"/>
    <row r="167" s="1916" customFormat="1" ht="21.75" customHeight="1"/>
    <row r="168" s="1916" customFormat="1" ht="21.75" customHeight="1"/>
    <row r="169" s="1916" customFormat="1" ht="21.75" customHeight="1"/>
    <row r="170" s="1916" customFormat="1" ht="21.75" customHeight="1"/>
    <row r="171" s="1916" customFormat="1" ht="21.75" customHeight="1"/>
    <row r="172" s="1916" customFormat="1" ht="21.75" customHeight="1"/>
    <row r="173" s="1916" customFormat="1" ht="21.75" customHeight="1"/>
    <row r="174" s="1916" customFormat="1" ht="21.75" customHeight="1"/>
    <row r="175" s="1916" customFormat="1" ht="21.75" customHeight="1"/>
    <row r="176" s="1916" customFormat="1" ht="21.75" customHeight="1"/>
    <row r="177" spans="11:15" s="1916" customFormat="1" ht="21.75" customHeight="1"/>
    <row r="178" spans="11:15" s="1916" customFormat="1" ht="21.75" customHeight="1"/>
    <row r="179" spans="11:15" s="1916" customFormat="1" ht="21.75" customHeight="1"/>
    <row r="180" spans="11:15" s="1916" customFormat="1" ht="21.75" customHeight="1"/>
    <row r="181" spans="11:15" s="1916" customFormat="1" ht="21.75" customHeight="1"/>
    <row r="182" spans="11:15" s="1916" customFormat="1" ht="21.75" customHeight="1"/>
    <row r="183" spans="11:15" s="1916" customFormat="1" ht="21.75" customHeight="1"/>
    <row r="184" spans="11:15" s="1916" customFormat="1" ht="21.75" customHeight="1"/>
    <row r="185" spans="11:15" s="161" customFormat="1" ht="21.75" customHeight="1">
      <c r="K185" s="1916"/>
      <c r="L185" s="1916"/>
      <c r="M185" s="1916"/>
      <c r="N185" s="1916"/>
      <c r="O185" s="1916"/>
    </row>
    <row r="186" spans="11:15" s="161" customFormat="1" ht="21.75" customHeight="1"/>
    <row r="187" spans="11:15" s="161" customFormat="1" ht="21.75" customHeight="1"/>
    <row r="188" spans="11:15" s="161" customFormat="1" ht="21.75" customHeight="1"/>
    <row r="189" spans="11:15" s="161" customFormat="1" ht="21.75" customHeight="1"/>
    <row r="190" spans="11:15" s="161" customFormat="1" ht="21.75" customHeight="1"/>
    <row r="191" spans="11:15" s="161" customFormat="1" ht="21.75" customHeight="1"/>
    <row r="192" spans="11:15" s="161" customFormat="1" ht="21.75" customHeight="1"/>
    <row r="193" s="161" customFormat="1" ht="21.75" customHeight="1"/>
    <row r="194" s="161" customFormat="1" ht="21.75" customHeight="1"/>
    <row r="195" s="161" customFormat="1" ht="21.75" customHeight="1"/>
    <row r="196" s="161" customFormat="1" ht="21.75" customHeight="1"/>
    <row r="197" s="161" customFormat="1" ht="21.75" customHeight="1"/>
    <row r="198" s="161" customFormat="1" ht="21.75" customHeight="1"/>
    <row r="199" s="161" customFormat="1" ht="21.75" customHeight="1"/>
    <row r="200" s="161" customFormat="1" ht="21.75" customHeight="1"/>
    <row r="201" s="161" customFormat="1" ht="21.75" customHeight="1"/>
    <row r="202" s="161" customFormat="1" ht="21.75" customHeight="1"/>
    <row r="203" s="161" customFormat="1" ht="21.75" customHeight="1"/>
    <row r="204" s="161" customFormat="1" ht="21.75" customHeight="1"/>
    <row r="205" s="161" customFormat="1" ht="21.75" customHeight="1"/>
    <row r="206" s="161"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1999" customWidth="1"/>
    <col min="2" max="2" width="25.75" style="1989" customWidth="1"/>
    <col min="3" max="3" width="10.375" style="2000" customWidth="1"/>
    <col min="4" max="4" width="12" style="1989" customWidth="1"/>
    <col min="5" max="5" width="9.5" style="1999" customWidth="1"/>
    <col min="6" max="6" width="10.125" style="1989" customWidth="1"/>
    <col min="7" max="7" width="9.5" style="1989" customWidth="1"/>
    <col min="8" max="8" width="10" style="1989" customWidth="1"/>
    <col min="9" max="11" width="9.5" style="1989" customWidth="1"/>
    <col min="12" max="12" width="9" style="1989" customWidth="1"/>
    <col min="13" max="13" width="10.5" style="1989" bestFit="1" customWidth="1"/>
    <col min="14" max="254" width="9" style="1989" customWidth="1"/>
    <col min="255" max="16384" width="6.625" style="1989"/>
  </cols>
  <sheetData>
    <row r="1" spans="1:41" s="1916" customFormat="1" ht="20.25">
      <c r="A1" s="321" t="s">
        <v>406</v>
      </c>
      <c r="B1" s="2674"/>
      <c r="C1" s="1979"/>
      <c r="D1" s="1979"/>
      <c r="E1" s="1979"/>
      <c r="F1" s="1979"/>
      <c r="G1" s="1979"/>
      <c r="H1" s="1979"/>
      <c r="I1" s="1979"/>
      <c r="J1" s="1979"/>
      <c r="K1" s="322">
        <f>MATCH(B1,'数据-取费表'!A6:A16,0)+5</f>
        <v>9</v>
      </c>
    </row>
    <row r="2" spans="1:41" s="1916" customFormat="1" ht="18" customHeight="1">
      <c r="A2" s="323" t="s">
        <v>407</v>
      </c>
      <c r="B2" s="324">
        <f ca="1">C32</f>
        <v>0</v>
      </c>
      <c r="C2" s="1979"/>
      <c r="D2" s="1979"/>
      <c r="E2" s="1979"/>
      <c r="F2" s="1979"/>
      <c r="G2" s="1979"/>
      <c r="H2" s="1979"/>
      <c r="I2" s="1979"/>
      <c r="J2" s="1979"/>
      <c r="K2" s="1979"/>
    </row>
    <row r="3" spans="1:41" s="1916" customFormat="1" ht="18" customHeight="1">
      <c r="A3" s="1267" t="s">
        <v>1617</v>
      </c>
      <c r="B3" s="325">
        <f ca="1">ROUND(B2*10000/IF(B1="",'数据-汇总表'!E3,INDIRECT("'数据-取费表'!K"&amp;$K$1)),0)</f>
        <v>0</v>
      </c>
      <c r="C3" s="1979"/>
      <c r="D3" s="1979"/>
      <c r="E3" s="1979"/>
      <c r="F3" s="1979"/>
      <c r="G3" s="1979"/>
      <c r="H3" s="1979"/>
      <c r="I3" s="1979"/>
      <c r="J3" s="1979"/>
      <c r="K3" s="1979"/>
    </row>
    <row r="4" spans="1:41" s="1916" customFormat="1" ht="18" customHeight="1">
      <c r="A4" s="326" t="s">
        <v>408</v>
      </c>
      <c r="B4" s="327">
        <f ca="1">ROUND(B2*10000/IF(B1="",'数据-汇总表'!D3,INDIRECT("'数据-取费表'!R"&amp;$K$1)),0)</f>
        <v>0</v>
      </c>
      <c r="C4" s="1936"/>
      <c r="D4" s="1979"/>
      <c r="E4" s="1979"/>
      <c r="F4" s="1979"/>
      <c r="G4" s="1979"/>
      <c r="H4" s="1979"/>
      <c r="I4" s="1979"/>
      <c r="J4" s="1979"/>
      <c r="K4" s="1979"/>
    </row>
    <row r="5" spans="1:41" s="1916" customFormat="1" ht="18" customHeight="1" thickBot="1">
      <c r="A5" s="329"/>
      <c r="B5" s="330">
        <f ca="1">ROUND(B2/(IF(B1="",'数据-汇总表'!D3,INDIRECT("'数据-取费表'!R"&amp;$K$1))/666.67),0)</f>
        <v>0</v>
      </c>
      <c r="C5" s="331" t="s">
        <v>409</v>
      </c>
      <c r="D5" s="1979"/>
      <c r="E5" s="1979"/>
      <c r="F5" s="1979"/>
      <c r="G5" s="1979"/>
      <c r="H5" s="1979"/>
      <c r="I5" s="1979"/>
      <c r="J5" s="1979"/>
      <c r="K5" s="1979"/>
    </row>
    <row r="6" spans="1:41" s="1986" customFormat="1" ht="16.5" customHeight="1">
      <c r="A6" s="332" t="s">
        <v>2580</v>
      </c>
      <c r="B6" s="333"/>
      <c r="C6" s="1511">
        <f>SUM(C10:K10)</f>
        <v>0</v>
      </c>
      <c r="D6" s="1984"/>
      <c r="E6" s="1984"/>
      <c r="F6" s="1984"/>
      <c r="G6" s="1984"/>
      <c r="H6" s="1984"/>
      <c r="I6" s="1984"/>
      <c r="J6" s="1984"/>
      <c r="K6" s="1985"/>
    </row>
    <row r="7" spans="1:41" s="1988" customFormat="1" ht="15">
      <c r="A7" s="334" t="s">
        <v>410</v>
      </c>
      <c r="B7" s="335" t="s">
        <v>411</v>
      </c>
      <c r="C7" s="336"/>
      <c r="D7" s="336"/>
      <c r="E7" s="336"/>
      <c r="F7" s="336"/>
      <c r="G7" s="336"/>
      <c r="H7" s="336"/>
      <c r="I7" s="336"/>
      <c r="J7" s="336"/>
      <c r="K7" s="337"/>
      <c r="L7" s="1987"/>
      <c r="M7" s="1987"/>
      <c r="N7" s="1987"/>
      <c r="O7" s="1987"/>
      <c r="P7" s="1987"/>
      <c r="Q7" s="1987"/>
      <c r="R7" s="1987"/>
      <c r="S7" s="1987"/>
      <c r="T7" s="1987"/>
      <c r="U7" s="1987"/>
      <c r="V7" s="1987"/>
      <c r="W7" s="1987"/>
      <c r="X7" s="1987"/>
      <c r="Y7" s="1987"/>
      <c r="Z7" s="1987"/>
      <c r="AA7" s="1987"/>
      <c r="AB7" s="1987"/>
      <c r="AC7" s="1987"/>
      <c r="AD7" s="1987"/>
      <c r="AE7" s="1987"/>
      <c r="AF7" s="1987"/>
      <c r="AG7" s="1987"/>
      <c r="AH7" s="1987"/>
      <c r="AI7" s="1987"/>
      <c r="AJ7" s="1987"/>
      <c r="AK7" s="1987"/>
      <c r="AL7" s="1987"/>
      <c r="AM7" s="1987"/>
      <c r="AN7" s="1987"/>
      <c r="AO7" s="1987"/>
    </row>
    <row r="8" spans="1:41" s="1990" customFormat="1" ht="13.5" customHeight="1">
      <c r="A8" s="1519" t="s">
        <v>1778</v>
      </c>
      <c r="B8" s="338" t="s">
        <v>412</v>
      </c>
      <c r="C8" s="339"/>
      <c r="D8" s="339"/>
      <c r="E8" s="339"/>
      <c r="F8" s="339"/>
      <c r="G8" s="339"/>
      <c r="H8" s="339"/>
      <c r="I8" s="339"/>
      <c r="J8" s="339"/>
      <c r="K8" s="340"/>
      <c r="L8" s="1989"/>
      <c r="M8" s="1989"/>
      <c r="N8" s="1989"/>
      <c r="O8" s="1989"/>
      <c r="P8" s="1989"/>
      <c r="Q8" s="1989"/>
      <c r="R8" s="1989"/>
      <c r="S8" s="1989"/>
      <c r="T8" s="1989"/>
      <c r="U8" s="1989"/>
      <c r="V8" s="1989"/>
      <c r="W8" s="1989"/>
      <c r="X8" s="1989"/>
      <c r="Y8" s="1989"/>
      <c r="Z8" s="1989"/>
      <c r="AA8" s="1989"/>
      <c r="AB8" s="1989"/>
      <c r="AC8" s="1989"/>
      <c r="AD8" s="1989"/>
      <c r="AE8" s="1989"/>
      <c r="AF8" s="1989"/>
      <c r="AG8" s="1989"/>
      <c r="AH8" s="1989"/>
      <c r="AI8" s="1989"/>
      <c r="AJ8" s="1989"/>
      <c r="AK8" s="1989"/>
      <c r="AL8" s="1989"/>
      <c r="AM8" s="1989"/>
      <c r="AN8" s="1989"/>
      <c r="AO8" s="1989"/>
    </row>
    <row r="9" spans="1:41" s="1990" customFormat="1" ht="13.5" customHeight="1">
      <c r="A9" s="1519" t="s">
        <v>1779</v>
      </c>
      <c r="B9" s="338" t="s">
        <v>413</v>
      </c>
      <c r="C9" s="341">
        <f>SUMIF('数据-汇总表'!$C19:$C33,'剩余法-现房'!C7,'数据-汇总表'!$E19:$E33)</f>
        <v>0</v>
      </c>
      <c r="D9" s="341">
        <f>SUMIF('数据-汇总表'!$C19:$C33,'剩余法-现房'!D7,'数据-汇总表'!$E19:$E33)</f>
        <v>0</v>
      </c>
      <c r="E9" s="341">
        <f>SUMIF('数据-汇总表'!$C19:$C33,'剩余法-现房'!E7,'数据-汇总表'!$E19:$E33)</f>
        <v>0</v>
      </c>
      <c r="F9" s="341">
        <f>SUMIF('数据-汇总表'!$C19:$C33,'剩余法-现房'!F7,'数据-汇总表'!$E19:$E33)</f>
        <v>0</v>
      </c>
      <c r="G9" s="341">
        <f>SUMIF('数据-汇总表'!$C19:$C33,'剩余法-现房'!G7,'数据-汇总表'!$E19:$E33)</f>
        <v>0</v>
      </c>
      <c r="H9" s="341">
        <f>SUMIF('数据-汇总表'!$C19:$C33,'剩余法-现房'!H7,'数据-汇总表'!$E19:$E33)</f>
        <v>0</v>
      </c>
      <c r="I9" s="341">
        <f>SUMIF('数据-汇总表'!$C19:$C33,'剩余法-现房'!I7,'数据-汇总表'!$E19:$E33)</f>
        <v>0</v>
      </c>
      <c r="J9" s="341">
        <f>SUMIF('数据-汇总表'!$C19:$C33,'剩余法-现房'!J7,'数据-汇总表'!$E19:$E33)</f>
        <v>0</v>
      </c>
      <c r="K9" s="342">
        <f>SUMIF('数据-汇总表'!$C19:$C33,'剩余法-现房'!K7,'数据-汇总表'!$E19:$E33)</f>
        <v>0</v>
      </c>
      <c r="L9" s="1989"/>
      <c r="M9" s="1989"/>
      <c r="N9" s="1989"/>
      <c r="O9" s="1989"/>
      <c r="P9" s="1989"/>
      <c r="Q9" s="1989"/>
      <c r="R9" s="1989"/>
      <c r="S9" s="1989"/>
      <c r="T9" s="1989"/>
      <c r="U9" s="1989"/>
      <c r="V9" s="1989"/>
      <c r="W9" s="1989"/>
      <c r="X9" s="1989"/>
      <c r="Y9" s="1989"/>
      <c r="Z9" s="1989"/>
      <c r="AA9" s="1989"/>
      <c r="AB9" s="1989"/>
      <c r="AC9" s="1989"/>
      <c r="AD9" s="1989"/>
      <c r="AE9" s="1989"/>
      <c r="AF9" s="1989"/>
      <c r="AG9" s="1989"/>
      <c r="AH9" s="1989"/>
      <c r="AI9" s="1989"/>
      <c r="AJ9" s="1989"/>
      <c r="AK9" s="1989"/>
      <c r="AL9" s="1989"/>
      <c r="AM9" s="1989"/>
      <c r="AN9" s="1989"/>
      <c r="AO9" s="1989"/>
    </row>
    <row r="10" spans="1:41" s="1990" customFormat="1" ht="13.5" customHeight="1" thickBot="1">
      <c r="A10" s="1520" t="s">
        <v>1780</v>
      </c>
      <c r="B10" s="1512" t="s">
        <v>414</v>
      </c>
      <c r="C10" s="1513"/>
      <c r="D10" s="1513"/>
      <c r="E10" s="1513"/>
      <c r="F10" s="1514"/>
      <c r="G10" s="1514"/>
      <c r="H10" s="1514"/>
      <c r="I10" s="1514"/>
      <c r="J10" s="1514"/>
      <c r="K10" s="1515"/>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c r="AH10" s="1989"/>
      <c r="AI10" s="1989"/>
      <c r="AJ10" s="1989"/>
      <c r="AK10" s="1989"/>
      <c r="AL10" s="1989"/>
      <c r="AM10" s="1989"/>
      <c r="AN10" s="1989"/>
      <c r="AO10" s="1989"/>
    </row>
    <row r="11" spans="1:41" s="1986" customFormat="1" ht="16.5" customHeight="1">
      <c r="A11" s="1508" t="s">
        <v>1797</v>
      </c>
      <c r="B11" s="1509"/>
      <c r="C11" s="1509"/>
      <c r="D11" s="1509"/>
      <c r="E11" s="1509"/>
      <c r="F11" s="1509"/>
      <c r="G11" s="1509"/>
      <c r="H11" s="1509"/>
      <c r="I11" s="1509"/>
      <c r="J11" s="1509"/>
      <c r="K11" s="1510"/>
    </row>
    <row r="12" spans="1:41" s="1960" customFormat="1" ht="13.5" customHeight="1">
      <c r="A12" s="334" t="s">
        <v>410</v>
      </c>
      <c r="B12" s="344" t="s">
        <v>411</v>
      </c>
      <c r="C12" s="345" t="s">
        <v>415</v>
      </c>
      <c r="D12" s="346" t="s">
        <v>416</v>
      </c>
      <c r="E12" s="346" t="s">
        <v>417</v>
      </c>
      <c r="F12" s="346" t="s">
        <v>418</v>
      </c>
      <c r="G12" s="344"/>
      <c r="H12" s="347"/>
      <c r="I12" s="347"/>
      <c r="J12" s="347"/>
      <c r="K12" s="348"/>
    </row>
    <row r="13" spans="1:41" s="1991" customFormat="1" ht="13.5" customHeight="1">
      <c r="A13" s="1521" t="s">
        <v>1781</v>
      </c>
      <c r="B13" s="349" t="s">
        <v>419</v>
      </c>
      <c r="C13" s="350">
        <f ca="1">IF(B1="",'数据-取费表'!M16,INDIRECT("'数据-取费表'!M"&amp;$K$1)+INDIRECT("'数据-取费表'!t"&amp;$K$1))</f>
        <v>13675</v>
      </c>
      <c r="D13" s="351"/>
      <c r="E13" s="265"/>
      <c r="F13" s="352"/>
      <c r="G13" s="344"/>
      <c r="H13" s="347"/>
      <c r="I13" s="347"/>
      <c r="J13" s="347"/>
      <c r="K13" s="348"/>
    </row>
    <row r="14" spans="1:41" s="1991" customFormat="1" ht="13.5" customHeight="1">
      <c r="A14" s="1521" t="s">
        <v>1782</v>
      </c>
      <c r="B14" s="349" t="s">
        <v>420</v>
      </c>
      <c r="C14" s="52">
        <f ca="1">ROUND(C13*F14,0)</f>
        <v>410</v>
      </c>
      <c r="D14" s="351"/>
      <c r="E14" s="265"/>
      <c r="F14" s="353">
        <f>'数据-取费表'!B33</f>
        <v>0.03</v>
      </c>
      <c r="G14" s="344" t="s">
        <v>442</v>
      </c>
      <c r="H14" s="347"/>
      <c r="I14" s="347"/>
      <c r="J14" s="347"/>
      <c r="K14" s="348"/>
    </row>
    <row r="15" spans="1:41" s="1991" customFormat="1" ht="13.5" customHeight="1">
      <c r="A15" s="1521" t="s">
        <v>1783</v>
      </c>
      <c r="B15" s="349" t="s">
        <v>422</v>
      </c>
      <c r="C15" s="52">
        <f ca="1">ROUND(IF(B1="",SUMIF('数据-取费表'!C:C,"住宅",'数据-取费表'!M:M)*F15,IF(INDIRECT("'数据-取费表'!c"&amp;$K$1)="住宅",INDIRECT("'数据-取费表'!M"&amp;$K$1)*F15,0)),0)</f>
        <v>294</v>
      </c>
      <c r="D15" s="351"/>
      <c r="E15" s="265"/>
      <c r="F15" s="353">
        <f>'数据-取费表'!B34</f>
        <v>0.03</v>
      </c>
      <c r="G15" s="344" t="s">
        <v>442</v>
      </c>
      <c r="H15" s="347"/>
      <c r="I15" s="347"/>
      <c r="J15" s="347"/>
      <c r="K15" s="348"/>
    </row>
    <row r="16" spans="1:41" s="1992" customFormat="1" ht="13.5" customHeight="1">
      <c r="A16" s="1521" t="s">
        <v>1784</v>
      </c>
      <c r="B16" s="349" t="s">
        <v>424</v>
      </c>
      <c r="C16" s="52">
        <f ca="1">ROUND(D16*E16/10000,0)</f>
        <v>1568</v>
      </c>
      <c r="D16" s="351">
        <f ca="1">IF(B1="",'数据-汇总表'!E3,INDIRECT("'数据-取费表'!K"&amp;$K$1)+INDIRECT("'数据-取费表'!S"&amp;$K$1))</f>
        <v>78389</v>
      </c>
      <c r="E16" s="52">
        <f>'数据-取费表'!B35</f>
        <v>200</v>
      </c>
      <c r="F16" s="353"/>
      <c r="G16" s="344"/>
      <c r="H16" s="347"/>
      <c r="I16" s="347"/>
      <c r="J16" s="347"/>
      <c r="K16" s="348"/>
      <c r="L16" s="1991"/>
      <c r="M16" s="1991"/>
      <c r="N16" s="1991"/>
      <c r="O16" s="1991"/>
      <c r="P16" s="1991"/>
      <c r="Q16" s="1991"/>
      <c r="R16" s="1991"/>
      <c r="S16" s="1991"/>
      <c r="T16" s="1991"/>
      <c r="U16" s="1991"/>
      <c r="V16" s="1991"/>
      <c r="W16" s="1991"/>
      <c r="X16" s="1991"/>
      <c r="Y16" s="1991"/>
      <c r="Z16" s="1991"/>
      <c r="AA16" s="1991"/>
      <c r="AB16" s="1991"/>
      <c r="AC16" s="1991"/>
      <c r="AD16" s="1991"/>
      <c r="AE16" s="1991"/>
      <c r="AF16" s="1991"/>
      <c r="AG16" s="1991"/>
      <c r="AH16" s="1991"/>
      <c r="AI16" s="1991"/>
      <c r="AJ16" s="1991"/>
      <c r="AK16" s="1991"/>
      <c r="AL16" s="1991"/>
      <c r="AM16" s="1991"/>
      <c r="AN16" s="1991"/>
      <c r="AO16" s="1991"/>
    </row>
    <row r="17" spans="1:14" s="1991" customFormat="1" ht="13.5" customHeight="1">
      <c r="A17" s="1521" t="s">
        <v>1785</v>
      </c>
      <c r="B17" s="349" t="s">
        <v>425</v>
      </c>
      <c r="C17" s="354">
        <f ca="1">ROUND(C13*F17,0)</f>
        <v>205</v>
      </c>
      <c r="D17" s="355"/>
      <c r="E17" s="354"/>
      <c r="F17" s="356">
        <f>'数据-取费表'!B36</f>
        <v>1.4999999999999999E-2</v>
      </c>
      <c r="G17" s="344" t="s">
        <v>442</v>
      </c>
      <c r="H17" s="357"/>
      <c r="I17" s="357"/>
      <c r="J17" s="357"/>
      <c r="K17" s="358"/>
    </row>
    <row r="18" spans="1:14" s="1994" customFormat="1" ht="13.5" customHeight="1">
      <c r="A18" s="1522" t="s">
        <v>1786</v>
      </c>
      <c r="B18" s="359" t="s">
        <v>427</v>
      </c>
      <c r="C18" s="360">
        <f ca="1">SUM(C13:C17)</f>
        <v>16152</v>
      </c>
      <c r="D18" s="361"/>
      <c r="E18" s="362"/>
      <c r="F18" s="362"/>
      <c r="G18" s="1215" t="s">
        <v>2360</v>
      </c>
      <c r="H18" s="347"/>
      <c r="I18" s="347"/>
      <c r="J18" s="347"/>
      <c r="K18" s="348"/>
    </row>
    <row r="19" spans="1:14" s="1994" customFormat="1" ht="13.5" customHeight="1">
      <c r="A19" s="1522" t="s">
        <v>1787</v>
      </c>
      <c r="B19" s="359" t="s">
        <v>433</v>
      </c>
      <c r="C19" s="360">
        <f ca="1">ROUND(C18*F19,0)</f>
        <v>162</v>
      </c>
      <c r="D19" s="362"/>
      <c r="E19" s="362"/>
      <c r="F19" s="366">
        <f>'数据-取费表'!B37</f>
        <v>0.01</v>
      </c>
      <c r="G19" s="344" t="s">
        <v>443</v>
      </c>
      <c r="H19" s="347"/>
      <c r="I19" s="347"/>
      <c r="J19" s="347"/>
      <c r="K19" s="348"/>
      <c r="L19" s="1996"/>
      <c r="M19" s="1996"/>
      <c r="N19" s="1996"/>
    </row>
    <row r="20" spans="1:14" s="1994" customFormat="1" ht="13.5" customHeight="1">
      <c r="A20" s="1522" t="s">
        <v>1788</v>
      </c>
      <c r="B20" s="359" t="s">
        <v>444</v>
      </c>
      <c r="C20" s="2895">
        <f>F20</f>
        <v>0.01</v>
      </c>
      <c r="D20" s="369" t="s">
        <v>445</v>
      </c>
      <c r="E20" s="369"/>
      <c r="F20" s="386">
        <f>'数据-取费表'!B38</f>
        <v>0.01</v>
      </c>
      <c r="G20" s="1215" t="s">
        <v>446</v>
      </c>
      <c r="H20" s="347"/>
      <c r="I20" s="347"/>
      <c r="J20" s="347"/>
      <c r="K20" s="348"/>
      <c r="L20" s="1996"/>
      <c r="M20" s="1996"/>
      <c r="N20" s="1996"/>
    </row>
    <row r="21" spans="1:14" s="1996" customFormat="1" ht="13.5" customHeight="1">
      <c r="A21" s="1522" t="s">
        <v>1791</v>
      </c>
      <c r="B21" s="361" t="s">
        <v>434</v>
      </c>
      <c r="C21" s="370">
        <f ca="1">C22</f>
        <v>355</v>
      </c>
      <c r="D21" s="367">
        <f ca="1">C23</f>
        <v>2.0000000000000001E-4</v>
      </c>
      <c r="E21" s="369" t="s">
        <v>447</v>
      </c>
      <c r="F21" s="371">
        <f ca="1">'数据-取费表'!B40</f>
        <v>4.3499999999999997E-2</v>
      </c>
      <c r="G21" s="1215" t="str">
        <f>IF('数据-取费表'!B22&lt;=1,"单利计息。","复利计息。")&amp;"建造成本、管理费用及销售费用产生的利息。"</f>
        <v>单利计息。建造成本、管理费用及销售费用产生的利息。</v>
      </c>
      <c r="H21" s="347"/>
      <c r="I21" s="347"/>
      <c r="J21" s="347"/>
      <c r="K21" s="348"/>
      <c r="L21" s="1993" t="s">
        <v>2382</v>
      </c>
    </row>
    <row r="22" spans="1:14" s="1995" customFormat="1" ht="13.5" customHeight="1">
      <c r="A22" s="1521" t="s">
        <v>1781</v>
      </c>
      <c r="B22" s="1216" t="s">
        <v>2363</v>
      </c>
      <c r="C22" s="387">
        <f ca="1">ROUND(IF('数据-取费表'!B22&lt;=1,(C18+C19)*F21*'数据-取费表'!B20/2,(C18+C19)*(POWER((1+F21),'数据-取费表'!B20/2)-1)),0)</f>
        <v>355</v>
      </c>
      <c r="D22" s="372"/>
      <c r="E22" s="373"/>
      <c r="F22" s="374"/>
      <c r="G22" s="2433" t="str">
        <f>IF('数据-取费表'!B22&lt;=1,"((1)+(2))×年利率×建设期÷2","((1)+(2))×((1+年利率)^(建设期÷2)-1)")</f>
        <v>((1)+(2))×年利率×建设期÷2</v>
      </c>
      <c r="H22" s="357"/>
      <c r="I22" s="357"/>
      <c r="J22" s="357"/>
      <c r="K22" s="358"/>
    </row>
    <row r="23" spans="1:14" s="1995" customFormat="1" ht="13.5" customHeight="1">
      <c r="A23" s="1521" t="s">
        <v>1782</v>
      </c>
      <c r="B23" s="1216" t="s">
        <v>448</v>
      </c>
      <c r="C23" s="388">
        <f ca="1">ROUND(IF('数据-取费表'!B22&lt;=1,F20*F21*'数据-取费表'!B20/2,F20*(POWER((1+F21),'数据-取费表'!B20/2)-1)),4)</f>
        <v>2.0000000000000001E-4</v>
      </c>
      <c r="D23" s="372"/>
      <c r="E23" s="373"/>
      <c r="F23" s="374"/>
      <c r="G23" s="2433" t="str">
        <f>IF('数据-取费表'!B22&lt;=1,"销售费用率×年利率×建设期÷2","销售费用率×((1+年利率)^(建设期÷2)-1)")</f>
        <v>销售费用率×年利率×建设期÷2</v>
      </c>
      <c r="H23" s="357"/>
      <c r="I23" s="357"/>
      <c r="J23" s="357"/>
      <c r="K23" s="358"/>
    </row>
    <row r="24" spans="1:14" s="1995" customFormat="1" ht="13.5" customHeight="1">
      <c r="A24" s="1522" t="s">
        <v>1792</v>
      </c>
      <c r="B24" s="2897" t="s">
        <v>2760</v>
      </c>
      <c r="C24" s="378">
        <f ca="1">C25</f>
        <v>816</v>
      </c>
      <c r="D24" s="389">
        <f ca="1">C26</f>
        <v>5.0000000000000001E-4</v>
      </c>
      <c r="E24" s="369" t="s">
        <v>447</v>
      </c>
      <c r="F24" s="379">
        <f ca="1">IF(B1="",'数据-取费表'!Q16,INDIRECT("'数据-取费表'!q"&amp;$K$1))</f>
        <v>0.05</v>
      </c>
      <c r="G24" s="344"/>
      <c r="H24" s="347"/>
      <c r="I24" s="347"/>
      <c r="J24" s="347"/>
      <c r="K24" s="348"/>
    </row>
    <row r="25" spans="1:14" s="1995" customFormat="1" ht="13.5" customHeight="1">
      <c r="A25" s="1521" t="s">
        <v>1781</v>
      </c>
      <c r="B25" s="1216" t="s">
        <v>2364</v>
      </c>
      <c r="C25" s="390">
        <f ca="1">ROUND((C18+C19)*F24,0)</f>
        <v>816</v>
      </c>
      <c r="D25" s="372"/>
      <c r="E25" s="373"/>
      <c r="F25" s="380"/>
      <c r="G25" s="1214" t="s">
        <v>2361</v>
      </c>
      <c r="H25" s="357"/>
      <c r="I25" s="357"/>
      <c r="J25" s="357"/>
      <c r="K25" s="358"/>
    </row>
    <row r="26" spans="1:14" s="1995" customFormat="1" ht="13.5" customHeight="1">
      <c r="A26" s="1521" t="s">
        <v>1782</v>
      </c>
      <c r="B26" s="1216" t="s">
        <v>449</v>
      </c>
      <c r="C26" s="391">
        <f ca="1">ROUND(F20*F24,4)</f>
        <v>5.0000000000000001E-4</v>
      </c>
      <c r="D26" s="372"/>
      <c r="E26" s="381"/>
      <c r="F26" s="380"/>
      <c r="G26" s="1214" t="s">
        <v>450</v>
      </c>
      <c r="H26" s="357"/>
      <c r="I26" s="357"/>
      <c r="J26" s="357"/>
      <c r="K26" s="358"/>
    </row>
    <row r="27" spans="1:14" s="1995" customFormat="1" ht="13.5" customHeight="1">
      <c r="A27" s="1525" t="s">
        <v>1800</v>
      </c>
      <c r="B27" s="359" t="s">
        <v>451</v>
      </c>
      <c r="C27" s="2896">
        <f>ROUND(F27/(1+'数据-取费表'!C42),4)</f>
        <v>5.2400000000000002E-2</v>
      </c>
      <c r="D27" s="362" t="s">
        <v>2758</v>
      </c>
      <c r="E27" s="362"/>
      <c r="F27" s="366">
        <f>'数据-取费表'!B41</f>
        <v>5.5000000000000007E-2</v>
      </c>
      <c r="G27" s="1842" t="s">
        <v>2223</v>
      </c>
      <c r="H27" s="347"/>
      <c r="I27" s="347"/>
      <c r="J27" s="347"/>
      <c r="K27" s="348"/>
    </row>
    <row r="28" spans="1:14" s="1996" customFormat="1" ht="13.5" customHeight="1">
      <c r="A28" s="1525" t="s">
        <v>1801</v>
      </c>
      <c r="B28" s="376" t="s">
        <v>452</v>
      </c>
      <c r="C28" s="370">
        <f ca="1">ROUND((C18+C19+C21+C24)/(1-C20-D21-D24-C27),0)</f>
        <v>18663</v>
      </c>
      <c r="D28" s="377"/>
      <c r="E28" s="369"/>
      <c r="F28" s="371"/>
      <c r="G28" s="1215" t="s">
        <v>2362</v>
      </c>
      <c r="H28" s="347"/>
      <c r="I28" s="347"/>
      <c r="J28" s="347"/>
      <c r="K28" s="348"/>
    </row>
    <row r="29" spans="1:14" s="1996" customFormat="1" ht="13.5" customHeight="1">
      <c r="A29" s="1525" t="s">
        <v>1802</v>
      </c>
      <c r="B29" s="376" t="s">
        <v>453</v>
      </c>
      <c r="C29" s="392">
        <f ca="1">IF(B1="",'数据-取费表'!N16,INDIRECT("'数据-取费表'!N"&amp;$K$1))</f>
        <v>0</v>
      </c>
      <c r="D29" s="393"/>
      <c r="E29" s="394"/>
      <c r="F29" s="395"/>
      <c r="G29" s="344"/>
      <c r="H29" s="347"/>
      <c r="I29" s="347"/>
      <c r="J29" s="347"/>
      <c r="K29" s="348"/>
    </row>
    <row r="30" spans="1:14" s="1996" customFormat="1" ht="13.5" customHeight="1">
      <c r="A30" s="343">
        <v>2</v>
      </c>
      <c r="B30" s="376" t="s">
        <v>454</v>
      </c>
      <c r="C30" s="397">
        <f ca="1">ROUND(C28*C29,0)</f>
        <v>0</v>
      </c>
      <c r="D30" s="393"/>
      <c r="E30" s="398"/>
      <c r="F30" s="399"/>
      <c r="G30" s="1217" t="s">
        <v>455</v>
      </c>
      <c r="H30" s="396"/>
      <c r="I30" s="396"/>
      <c r="J30" s="347"/>
      <c r="K30" s="348"/>
    </row>
    <row r="31" spans="1:14" s="2001" customFormat="1" ht="13.5" customHeight="1">
      <c r="A31" s="2349" t="s">
        <v>1798</v>
      </c>
      <c r="B31" s="1218"/>
      <c r="C31" s="400">
        <f>ROUND(C6*F31/(1+'数据-取费表'!C42),0)</f>
        <v>0</v>
      </c>
      <c r="D31" s="1219"/>
      <c r="E31" s="1219"/>
      <c r="F31" s="401">
        <f>'数据-取费表'!B41</f>
        <v>5.5000000000000007E-2</v>
      </c>
      <c r="G31" s="1220"/>
      <c r="H31" s="1220"/>
      <c r="I31" s="1220"/>
      <c r="J31" s="1221"/>
      <c r="K31" s="1222"/>
    </row>
    <row r="32" spans="1:14" s="1960" customFormat="1" ht="13.5" customHeight="1" thickBot="1">
      <c r="A32" s="382" t="s">
        <v>1799</v>
      </c>
      <c r="B32" s="383"/>
      <c r="C32" s="384">
        <f ca="1">IF('数据-取费表'!B20&lt;=1,(C6-C30-C31)/(1+F21*'数据-取费表'!B20+F24)/(1+'数据-取费表'!B48+'数据-取费表'!B49),(C6-C30-C31)/(1+(POWER((1+F21),'数据-取费表'!B20)-1)+F24)/(1+'数据-取费表'!B48+'数据-取费表'!B49))</f>
        <v>0</v>
      </c>
      <c r="D32" s="383"/>
      <c r="E32" s="383"/>
      <c r="F32" s="383"/>
      <c r="G32" s="2350" t="s">
        <v>2887</v>
      </c>
      <c r="H32" s="383"/>
      <c r="I32" s="383"/>
      <c r="J32" s="383"/>
      <c r="K32" s="3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7" zoomScale="50" zoomScaleNormal="95" zoomScaleSheetLayoutView="50" workbookViewId="0">
      <selection activeCell="K49" sqref="K49"/>
    </sheetView>
  </sheetViews>
  <sheetFormatPr defaultColWidth="9" defaultRowHeight="14.25"/>
  <cols>
    <col min="1" max="1" width="15.625" style="1225" customWidth="1"/>
    <col min="2" max="2" width="15.75" style="1225" customWidth="1"/>
    <col min="3" max="3" width="31.625" style="1225" customWidth="1"/>
    <col min="4" max="4" width="12.25" style="1225" customWidth="1"/>
    <col min="5" max="5" width="16.125" style="1225" customWidth="1"/>
    <col min="6" max="6" width="12.25" style="1225" customWidth="1"/>
    <col min="7" max="7" width="15.625" style="1225" customWidth="1"/>
    <col min="8" max="8" width="12.25" style="1225" customWidth="1"/>
    <col min="9" max="9" width="15.62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30" s="1224" customFormat="1" ht="20.25">
      <c r="A1" s="402" t="s">
        <v>456</v>
      </c>
      <c r="B1" s="403"/>
      <c r="C1" s="404" t="s">
        <v>457</v>
      </c>
      <c r="D1" s="405" t="s">
        <v>458</v>
      </c>
      <c r="E1" s="406"/>
      <c r="F1" s="328"/>
      <c r="G1" s="406"/>
      <c r="H1" s="406"/>
      <c r="I1" s="406"/>
      <c r="J1" s="406"/>
      <c r="K1" s="407"/>
      <c r="L1" s="1450"/>
      <c r="M1" s="1451"/>
      <c r="N1" s="1451"/>
      <c r="O1" s="1451"/>
      <c r="P1" s="1452"/>
      <c r="Q1" s="1452"/>
      <c r="R1" s="1452"/>
      <c r="S1" s="1452"/>
      <c r="T1" s="1452"/>
      <c r="U1" s="1452"/>
      <c r="V1" s="1452"/>
      <c r="W1" s="1452"/>
      <c r="X1" s="1452"/>
      <c r="Y1" s="1452"/>
      <c r="Z1" s="1452"/>
      <c r="AA1" s="1452"/>
      <c r="AB1" s="1452"/>
      <c r="AC1" s="1453"/>
      <c r="AD1" s="1223"/>
    </row>
    <row r="2" spans="1:30" s="1224" customFormat="1" ht="20.25">
      <c r="A2" s="323" t="s">
        <v>407</v>
      </c>
      <c r="B2" s="408">
        <f>F68</f>
        <v>49187</v>
      </c>
      <c r="C2" s="2002"/>
      <c r="D2" s="2002"/>
      <c r="E2" s="2003"/>
      <c r="F2" s="2004"/>
      <c r="G2" s="2003"/>
      <c r="H2" s="2003"/>
      <c r="I2" s="2003"/>
      <c r="J2" s="2003"/>
      <c r="K2" s="2005"/>
      <c r="L2" s="2006"/>
      <c r="M2" s="2007"/>
      <c r="N2" s="2007"/>
      <c r="O2" s="2007"/>
      <c r="P2" s="1452"/>
      <c r="Q2" s="1452"/>
      <c r="R2" s="1452"/>
      <c r="S2" s="1452"/>
      <c r="T2" s="1452"/>
      <c r="U2" s="1452"/>
      <c r="V2" s="1452"/>
      <c r="W2" s="1452"/>
      <c r="X2" s="1452"/>
      <c r="Y2" s="1452"/>
      <c r="Z2" s="1452"/>
      <c r="AA2" s="1452"/>
      <c r="AB2" s="1452"/>
      <c r="AC2" s="1453"/>
      <c r="AD2" s="1223"/>
    </row>
    <row r="3" spans="1:30" s="1224" customFormat="1" ht="20.25">
      <c r="A3" s="1267" t="s">
        <v>1617</v>
      </c>
      <c r="B3" s="410">
        <f>ROUND(B2*10000/'数据-汇总表'!E3,0)</f>
        <v>6275</v>
      </c>
      <c r="C3" s="1936"/>
      <c r="D3" s="2436"/>
      <c r="E3" s="1936"/>
      <c r="F3" s="1936"/>
      <c r="G3" s="2003"/>
      <c r="H3" s="2003"/>
      <c r="I3" s="2003"/>
      <c r="J3" s="2003"/>
      <c r="K3" s="2005"/>
      <c r="L3" s="2006"/>
      <c r="M3" s="2007"/>
      <c r="N3" s="2007"/>
      <c r="O3" s="2007"/>
      <c r="P3" s="1452"/>
      <c r="Q3" s="1452"/>
      <c r="R3" s="1452"/>
      <c r="S3" s="1452"/>
      <c r="T3" s="1452"/>
      <c r="U3" s="1452"/>
      <c r="V3" s="1452"/>
      <c r="W3" s="1452"/>
      <c r="X3" s="1452"/>
      <c r="Y3" s="1452"/>
      <c r="Z3" s="1452"/>
      <c r="AA3" s="1452"/>
      <c r="AB3" s="1454"/>
      <c r="AC3" s="328"/>
    </row>
    <row r="4" spans="1:30" s="1224" customFormat="1" ht="20.25">
      <c r="A4" s="411" t="s">
        <v>460</v>
      </c>
      <c r="B4" s="327">
        <f>IF(B48="单位面积地价",C50,ROUND(B2*10000/'数据-汇总表'!D3,0))</f>
        <v>14713</v>
      </c>
      <c r="C4" s="1936"/>
      <c r="D4" s="2436"/>
      <c r="E4" s="1936"/>
      <c r="F4" s="1936"/>
      <c r="G4" s="2003"/>
      <c r="H4" s="2003"/>
      <c r="I4" s="2003"/>
      <c r="J4" s="2003"/>
      <c r="K4" s="2005"/>
      <c r="L4" s="2006"/>
      <c r="M4" s="2007"/>
      <c r="N4" s="2007"/>
      <c r="O4" s="2007"/>
      <c r="P4" s="1452"/>
      <c r="Q4" s="1452"/>
      <c r="R4" s="1452"/>
      <c r="S4" s="1452"/>
      <c r="T4" s="1452"/>
      <c r="U4" s="1452"/>
      <c r="V4" s="1452"/>
      <c r="W4" s="1452"/>
      <c r="X4" s="1452"/>
      <c r="Y4" s="1452"/>
      <c r="Z4" s="1452"/>
      <c r="AA4" s="1452"/>
      <c r="AB4" s="1452"/>
      <c r="AC4" s="328"/>
    </row>
    <row r="5" spans="1:30" s="1224" customFormat="1" ht="21" thickBot="1">
      <c r="A5" s="329"/>
      <c r="B5" s="330">
        <f>ROUND(B2/('数据-汇总表'!D3/666.67),0)</f>
        <v>981</v>
      </c>
      <c r="C5" s="331" t="s">
        <v>409</v>
      </c>
      <c r="D5" s="1936"/>
      <c r="E5" s="1936"/>
      <c r="F5" s="1936"/>
      <c r="G5" s="2003"/>
      <c r="H5" s="2003"/>
      <c r="I5" s="2003"/>
      <c r="J5" s="2003"/>
      <c r="K5" s="2005"/>
      <c r="L5" s="2006"/>
      <c r="M5" s="2007"/>
      <c r="N5" s="2007"/>
      <c r="O5" s="2007"/>
      <c r="P5" s="1452"/>
      <c r="Q5" s="1452"/>
      <c r="R5" s="1452"/>
      <c r="S5" s="1452"/>
      <c r="T5" s="1452"/>
      <c r="U5" s="1452"/>
      <c r="V5" s="1452"/>
      <c r="W5" s="1452"/>
      <c r="X5" s="1452"/>
      <c r="Y5" s="1452"/>
      <c r="Z5" s="1452"/>
      <c r="AA5" s="1452"/>
      <c r="AB5" s="1452"/>
      <c r="AC5" s="328"/>
    </row>
    <row r="6" spans="1:30" ht="20.25">
      <c r="A6" s="412" t="s">
        <v>461</v>
      </c>
      <c r="B6" s="413"/>
      <c r="C6" s="3384" t="s">
        <v>462</v>
      </c>
      <c r="D6" s="3385"/>
      <c r="E6" s="3384" t="s">
        <v>463</v>
      </c>
      <c r="F6" s="3385"/>
      <c r="G6" s="3384" t="s">
        <v>464</v>
      </c>
      <c r="H6" s="3385"/>
      <c r="I6" s="3384" t="s">
        <v>465</v>
      </c>
      <c r="J6" s="3385"/>
      <c r="K6" s="414" t="s">
        <v>466</v>
      </c>
      <c r="L6" s="2008"/>
      <c r="M6" s="2007"/>
      <c r="N6" s="2007"/>
      <c r="O6" s="2009"/>
      <c r="P6" s="3386" t="s">
        <v>467</v>
      </c>
      <c r="Q6" s="3387"/>
      <c r="R6" s="3392" t="s">
        <v>463</v>
      </c>
      <c r="S6" s="3393"/>
      <c r="T6" s="3392" t="s">
        <v>464</v>
      </c>
      <c r="U6" s="3393"/>
      <c r="V6" s="3379" t="s">
        <v>465</v>
      </c>
      <c r="W6" s="3379"/>
      <c r="X6" s="1455"/>
      <c r="Y6" s="3392" t="s">
        <v>467</v>
      </c>
      <c r="Z6" s="3393"/>
      <c r="AA6" s="3381" t="s">
        <v>463</v>
      </c>
      <c r="AB6" s="3382" t="s">
        <v>464</v>
      </c>
      <c r="AC6" s="3381" t="s">
        <v>465</v>
      </c>
    </row>
    <row r="7" spans="1:30" ht="20.25">
      <c r="A7" s="415"/>
      <c r="B7" s="416"/>
      <c r="C7" s="3400" t="str">
        <f>土地案例!E9</f>
        <v>2016-37</v>
      </c>
      <c r="D7" s="3401"/>
      <c r="E7" s="3400" t="str">
        <f>土地案例!E8</f>
        <v>2017-28</v>
      </c>
      <c r="F7" s="3401"/>
      <c r="G7" s="3400" t="s">
        <v>3227</v>
      </c>
      <c r="H7" s="3401"/>
      <c r="I7" s="3400" t="str">
        <f>土地案例!E15</f>
        <v>2014-6、2014-7</v>
      </c>
      <c r="J7" s="3401"/>
      <c r="K7" s="414"/>
      <c r="L7" s="2008"/>
      <c r="M7" s="2007"/>
      <c r="N7" s="2007"/>
      <c r="O7" s="2009"/>
      <c r="P7" s="3388"/>
      <c r="Q7" s="3389"/>
      <c r="R7" s="3394"/>
      <c r="S7" s="3395"/>
      <c r="T7" s="3394"/>
      <c r="U7" s="3395"/>
      <c r="V7" s="3379"/>
      <c r="W7" s="3379"/>
      <c r="X7" s="1455"/>
      <c r="Y7" s="3394"/>
      <c r="Z7" s="3395"/>
      <c r="AA7" s="3382"/>
      <c r="AB7" s="3382"/>
      <c r="AC7" s="3382"/>
    </row>
    <row r="8" spans="1:30" ht="21" thickBot="1">
      <c r="A8" s="415"/>
      <c r="B8" s="416"/>
      <c r="C8" s="3402" t="str">
        <f>土地案例!A9</f>
        <v>大云镇云寺路北侧</v>
      </c>
      <c r="D8" s="3403"/>
      <c r="E8" s="3402" t="str">
        <f>土地案例!A8</f>
        <v>罗星街道城西社区、城西大道西侧、白水塘路北侧</v>
      </c>
      <c r="F8" s="3403"/>
      <c r="G8" s="3398" t="str">
        <f>土地案例!A13</f>
        <v>魏塘街道南北署村善西公路东侧</v>
      </c>
      <c r="H8" s="3399"/>
      <c r="I8" s="3398" t="str">
        <f>土地案例!A15</f>
        <v>惠民街道优家村、魏塘街道城东社区、永丰桥港东侧、嘉善塘北侧</v>
      </c>
      <c r="J8" s="3399"/>
      <c r="K8" s="414" t="s">
        <v>468</v>
      </c>
      <c r="L8" s="2008"/>
      <c r="M8" s="2007"/>
      <c r="N8" s="2007"/>
      <c r="O8" s="2009"/>
      <c r="P8" s="3390"/>
      <c r="Q8" s="3391"/>
      <c r="R8" s="3394"/>
      <c r="S8" s="3395"/>
      <c r="T8" s="3396"/>
      <c r="U8" s="3397"/>
      <c r="V8" s="3379"/>
      <c r="W8" s="3379"/>
      <c r="X8" s="1455"/>
      <c r="Y8" s="3396"/>
      <c r="Z8" s="3397"/>
      <c r="AA8" s="3383"/>
      <c r="AB8" s="3383"/>
      <c r="AC8" s="3383"/>
    </row>
    <row r="9" spans="1:30" s="1108" customFormat="1" ht="21" thickBot="1">
      <c r="A9" s="2777"/>
      <c r="B9" s="2784" t="s">
        <v>469</v>
      </c>
      <c r="C9" s="2776">
        <f>'数据-取费表'!B2</f>
        <v>43240</v>
      </c>
      <c r="D9" s="420">
        <v>100</v>
      </c>
      <c r="E9" s="421" t="str">
        <f>土地案例!J8</f>
        <v>2017-11-02</v>
      </c>
      <c r="F9" s="422">
        <f>SUMIF(72:72,YEAR(E9)&amp;"-"&amp;INT((MONTH(E9)+2)/3),73:73)</f>
        <v>94</v>
      </c>
      <c r="G9" s="423" t="str">
        <f>土地案例!J13</f>
        <v>2017-07-14</v>
      </c>
      <c r="H9" s="420">
        <f>SUMIF(72:72,YEAR(G9)&amp;"-"&amp;INT((MONTH(G9)+2)/3),73:73)</f>
        <v>91</v>
      </c>
      <c r="I9" s="423" t="str">
        <f>土地案例!J15</f>
        <v>2017-07-14</v>
      </c>
      <c r="J9" s="420">
        <f>SUMIF(72:72,YEAR(I9)&amp;"-"&amp;INT((MONTH(I9)+2)/3),73:73)</f>
        <v>91</v>
      </c>
      <c r="K9" s="424"/>
      <c r="L9" s="2010"/>
      <c r="M9" s="2007"/>
      <c r="N9" s="2007"/>
      <c r="O9" s="2011"/>
      <c r="P9" s="3409" t="s">
        <v>470</v>
      </c>
      <c r="Q9" s="3411"/>
      <c r="R9" s="1456" t="s">
        <v>8</v>
      </c>
      <c r="S9" s="1457">
        <f t="shared" ref="S9:S17" si="0">F9</f>
        <v>94</v>
      </c>
      <c r="T9" s="1456" t="s">
        <v>8</v>
      </c>
      <c r="U9" s="1457">
        <f t="shared" ref="U9:U17" si="1">H9</f>
        <v>91</v>
      </c>
      <c r="V9" s="1456" t="s">
        <v>8</v>
      </c>
      <c r="W9" s="1457">
        <f t="shared" ref="W9:W17" si="2">J9</f>
        <v>91</v>
      </c>
      <c r="X9" s="1458"/>
      <c r="Y9" s="3409" t="s">
        <v>470</v>
      </c>
      <c r="Z9" s="3410"/>
      <c r="AA9" s="1459">
        <f>D9/F9</f>
        <v>1.0638297872340425</v>
      </c>
      <c r="AB9" s="1459">
        <f>D9/H9</f>
        <v>1.098901098901099</v>
      </c>
      <c r="AC9" s="1459">
        <f>D9/J9</f>
        <v>1.098901098901099</v>
      </c>
    </row>
    <row r="10" spans="1:30" s="1108" customFormat="1" ht="21" thickBot="1">
      <c r="A10" s="2778"/>
      <c r="B10" s="2785" t="s">
        <v>471</v>
      </c>
      <c r="C10" s="756" t="s">
        <v>472</v>
      </c>
      <c r="D10" s="420">
        <v>100</v>
      </c>
      <c r="E10" s="425" t="s">
        <v>3222</v>
      </c>
      <c r="F10" s="422">
        <f>SUMIF(75:75,E10,76:76)-SUMIF(75:75,C10,76:76)+100</f>
        <v>100</v>
      </c>
      <c r="G10" s="425" t="s">
        <v>3222</v>
      </c>
      <c r="H10" s="420">
        <f>SUMIF(75:75,G10,76:76)-SUMIF(75:75,C10,76:76)+100</f>
        <v>100</v>
      </c>
      <c r="I10" s="425" t="s">
        <v>3222</v>
      </c>
      <c r="J10" s="420">
        <f>SUMIF(75:75,I10,76:76)-SUMIF(75:75,C10,76:76)+100</f>
        <v>100</v>
      </c>
      <c r="K10" s="424"/>
      <c r="L10" s="2010"/>
      <c r="M10" s="2007"/>
      <c r="N10" s="2007"/>
      <c r="O10" s="2011"/>
      <c r="P10" s="3409" t="s">
        <v>473</v>
      </c>
      <c r="Q10" s="3410"/>
      <c r="R10" s="1456" t="s">
        <v>8</v>
      </c>
      <c r="S10" s="1457">
        <f t="shared" si="0"/>
        <v>100</v>
      </c>
      <c r="T10" s="1456" t="s">
        <v>8</v>
      </c>
      <c r="U10" s="1457">
        <f t="shared" si="1"/>
        <v>100</v>
      </c>
      <c r="V10" s="1456" t="s">
        <v>8</v>
      </c>
      <c r="W10" s="1457">
        <f t="shared" si="2"/>
        <v>100</v>
      </c>
      <c r="X10" s="1458"/>
      <c r="Y10" s="3409" t="s">
        <v>473</v>
      </c>
      <c r="Z10" s="3410"/>
      <c r="AA10" s="1459">
        <f t="shared" ref="AA10:AA47" si="3">D10/F10</f>
        <v>1</v>
      </c>
      <c r="AB10" s="1459">
        <f t="shared" ref="AB10:AB47" si="4">D10/H10</f>
        <v>1</v>
      </c>
      <c r="AC10" s="1459">
        <f t="shared" ref="AC10:AC47" si="5">D10/J10</f>
        <v>1</v>
      </c>
    </row>
    <row r="11" spans="1:30" s="1108" customFormat="1" ht="20.25">
      <c r="A11" s="2779"/>
      <c r="B11" s="2786" t="s">
        <v>2684</v>
      </c>
      <c r="C11" s="2773" t="s">
        <v>3015</v>
      </c>
      <c r="D11" s="158">
        <v>100</v>
      </c>
      <c r="E11" s="426" t="s">
        <v>3015</v>
      </c>
      <c r="F11" s="158">
        <f>SUMIF(77:77,E11,78:78)-SUMIF(77:77,C11,78:78)+100</f>
        <v>100</v>
      </c>
      <c r="G11" s="426" t="s">
        <v>3015</v>
      </c>
      <c r="H11" s="158">
        <f>SUMIF(77:77,G11,78:78)-SUMIF(77:77,C11,78:78)+100</f>
        <v>100</v>
      </c>
      <c r="I11" s="426" t="s">
        <v>3015</v>
      </c>
      <c r="J11" s="158">
        <f>SUMIF(77:77,I11,78:78)-SUMIF(77:77,C11,78:78)+100</f>
        <v>100</v>
      </c>
      <c r="K11" s="424"/>
      <c r="L11" s="2010"/>
      <c r="M11" s="2007"/>
      <c r="N11" s="2007"/>
      <c r="O11" s="2012"/>
      <c r="P11" s="3378" t="s">
        <v>475</v>
      </c>
      <c r="Q11" s="1049" t="str">
        <f t="shared" ref="Q11:Q17" si="6">B11</f>
        <v>用途</v>
      </c>
      <c r="R11" s="1456" t="s">
        <v>8</v>
      </c>
      <c r="S11" s="1457">
        <f t="shared" si="0"/>
        <v>100</v>
      </c>
      <c r="T11" s="1456" t="s">
        <v>8</v>
      </c>
      <c r="U11" s="1457">
        <f t="shared" si="1"/>
        <v>100</v>
      </c>
      <c r="V11" s="1456" t="s">
        <v>8</v>
      </c>
      <c r="W11" s="1457">
        <f t="shared" si="2"/>
        <v>100</v>
      </c>
      <c r="X11" s="1458"/>
      <c r="Y11" s="3324" t="s">
        <v>476</v>
      </c>
      <c r="Z11" s="1048" t="str">
        <f t="shared" ref="Z11:Z17" si="7">Q11</f>
        <v>用途</v>
      </c>
      <c r="AA11" s="1459">
        <f t="shared" si="3"/>
        <v>1</v>
      </c>
      <c r="AB11" s="1459">
        <f t="shared" si="4"/>
        <v>1</v>
      </c>
      <c r="AC11" s="1459">
        <f t="shared" si="5"/>
        <v>1</v>
      </c>
    </row>
    <row r="12" spans="1:30" s="1226" customFormat="1" ht="27">
      <c r="A12" s="2780"/>
      <c r="B12" s="2785" t="s">
        <v>2685</v>
      </c>
      <c r="C12" s="3175" t="s">
        <v>3199</v>
      </c>
      <c r="D12" s="159">
        <v>100</v>
      </c>
      <c r="E12" s="429" t="s">
        <v>3223</v>
      </c>
      <c r="F12" s="159">
        <f>ROUND(100/'数据-取费表'!G16,0)</f>
        <v>100</v>
      </c>
      <c r="G12" s="430" t="s">
        <v>3223</v>
      </c>
      <c r="H12" s="159">
        <f>ROUND(100/'数据-取费表'!G16,0)</f>
        <v>100</v>
      </c>
      <c r="I12" s="430" t="s">
        <v>3223</v>
      </c>
      <c r="J12" s="159">
        <f>ROUND(100/'数据-取费表'!G16,0)</f>
        <v>100</v>
      </c>
      <c r="K12" s="431"/>
      <c r="L12" s="2013"/>
      <c r="M12" s="2007"/>
      <c r="N12" s="2007"/>
      <c r="O12" s="2014"/>
      <c r="P12" s="3378"/>
      <c r="Q12" s="1049" t="str">
        <f t="shared" si="6"/>
        <v>土地使用年限（年）</v>
      </c>
      <c r="R12" s="1456" t="s">
        <v>8</v>
      </c>
      <c r="S12" s="1457">
        <f t="shared" si="0"/>
        <v>100</v>
      </c>
      <c r="T12" s="1456" t="s">
        <v>8</v>
      </c>
      <c r="U12" s="1457">
        <f t="shared" si="1"/>
        <v>100</v>
      </c>
      <c r="V12" s="1456" t="s">
        <v>8</v>
      </c>
      <c r="W12" s="1457">
        <f t="shared" si="2"/>
        <v>100</v>
      </c>
      <c r="X12" s="1458"/>
      <c r="Y12" s="3324"/>
      <c r="Z12" s="1048" t="str">
        <f t="shared" si="7"/>
        <v>土地使用年限（年）</v>
      </c>
      <c r="AA12" s="1459">
        <f t="shared" si="3"/>
        <v>1</v>
      </c>
      <c r="AB12" s="1459">
        <f t="shared" si="4"/>
        <v>1</v>
      </c>
      <c r="AC12" s="1459">
        <f t="shared" si="5"/>
        <v>1</v>
      </c>
    </row>
    <row r="13" spans="1:30" ht="20.25">
      <c r="A13" s="2781"/>
      <c r="B13" s="2785" t="s">
        <v>2686</v>
      </c>
      <c r="C13" s="434">
        <f>'数据-汇总表'!I6</f>
        <v>1.8</v>
      </c>
      <c r="D13" s="159">
        <v>100</v>
      </c>
      <c r="E13" s="433">
        <v>2</v>
      </c>
      <c r="F13" s="159">
        <f>LOOKUP(E13,82:82,83:83)-LOOKUP(C13,82:82,83:83)+100</f>
        <v>98</v>
      </c>
      <c r="G13" s="434">
        <v>2</v>
      </c>
      <c r="H13" s="159">
        <f>LOOKUP(G13,82:82,83:83)-LOOKUP(C13,82:82,83:83)+100</f>
        <v>98</v>
      </c>
      <c r="I13" s="433">
        <v>1.8</v>
      </c>
      <c r="J13" s="159">
        <f>LOOKUP(I13,82:82,83:83)-LOOKUP(C13,82:82,83:83)+100</f>
        <v>100</v>
      </c>
      <c r="K13" s="435">
        <v>2</v>
      </c>
      <c r="L13" s="2015"/>
      <c r="M13" s="2007"/>
      <c r="N13" s="2007"/>
      <c r="O13" s="2016"/>
      <c r="P13" s="3378"/>
      <c r="Q13" s="1049" t="str">
        <f t="shared" si="6"/>
        <v>容积率</v>
      </c>
      <c r="R13" s="1456" t="s">
        <v>8</v>
      </c>
      <c r="S13" s="1457">
        <f t="shared" si="0"/>
        <v>98</v>
      </c>
      <c r="T13" s="1456" t="s">
        <v>8</v>
      </c>
      <c r="U13" s="1457">
        <f t="shared" si="1"/>
        <v>98</v>
      </c>
      <c r="V13" s="1456" t="s">
        <v>8</v>
      </c>
      <c r="W13" s="1457">
        <f t="shared" si="2"/>
        <v>100</v>
      </c>
      <c r="X13" s="1458"/>
      <c r="Y13" s="3324"/>
      <c r="Z13" s="1048" t="str">
        <f t="shared" si="7"/>
        <v>容积率</v>
      </c>
      <c r="AA13" s="1459">
        <f t="shared" si="3"/>
        <v>1.0204081632653061</v>
      </c>
      <c r="AB13" s="1459">
        <f t="shared" si="4"/>
        <v>1.0204081632653061</v>
      </c>
      <c r="AC13" s="1459">
        <f t="shared" si="5"/>
        <v>1</v>
      </c>
    </row>
    <row r="14" spans="1:30" s="1108" customFormat="1" ht="21" thickBot="1">
      <c r="A14" s="2778"/>
      <c r="B14" s="2787" t="s">
        <v>2687</v>
      </c>
      <c r="C14" s="2774" t="s">
        <v>3200</v>
      </c>
      <c r="D14" s="438">
        <v>100</v>
      </c>
      <c r="E14" s="2774" t="s">
        <v>3200</v>
      </c>
      <c r="F14" s="159">
        <f>SUMIF(84:84,E14,85:85)-SUMIF(84:84,C14,85:85)+100</f>
        <v>100</v>
      </c>
      <c r="G14" s="2774" t="s">
        <v>3200</v>
      </c>
      <c r="H14" s="159">
        <f>SUMIF(84:84,G14,85:85)-SUMIF(84:84,C14,85:85)+100</f>
        <v>100</v>
      </c>
      <c r="I14" s="2774" t="s">
        <v>3232</v>
      </c>
      <c r="J14" s="159">
        <f>SUMIF(84:84,I14,85:85)-SUMIF(84:84,C14,85:85)+100</f>
        <v>100</v>
      </c>
      <c r="K14" s="431"/>
      <c r="L14" s="2010"/>
      <c r="M14" s="2007"/>
      <c r="N14" s="2007"/>
      <c r="O14" s="2012"/>
      <c r="P14" s="3378"/>
      <c r="Q14" s="1049" t="str">
        <f t="shared" si="6"/>
        <v>配建</v>
      </c>
      <c r="R14" s="1456" t="s">
        <v>8</v>
      </c>
      <c r="S14" s="1457">
        <f t="shared" si="0"/>
        <v>100</v>
      </c>
      <c r="T14" s="1456" t="s">
        <v>8</v>
      </c>
      <c r="U14" s="1457">
        <f t="shared" si="1"/>
        <v>100</v>
      </c>
      <c r="V14" s="1456" t="s">
        <v>8</v>
      </c>
      <c r="W14" s="1457">
        <f t="shared" si="2"/>
        <v>100</v>
      </c>
      <c r="X14" s="1458"/>
      <c r="Y14" s="3324"/>
      <c r="Z14" s="1048" t="str">
        <f t="shared" si="7"/>
        <v>配建</v>
      </c>
      <c r="AA14" s="1459">
        <f>D14/F14</f>
        <v>1</v>
      </c>
      <c r="AB14" s="1459">
        <f>D14/H14</f>
        <v>1</v>
      </c>
      <c r="AC14" s="1459">
        <f>D14/J14</f>
        <v>1</v>
      </c>
    </row>
    <row r="15" spans="1:30" ht="20.25" hidden="1">
      <c r="A15" s="2782"/>
      <c r="B15" s="2788"/>
      <c r="C15" s="812"/>
      <c r="D15" s="440">
        <v>100</v>
      </c>
      <c r="E15" s="441"/>
      <c r="F15" s="159">
        <f>SUMIF(86:86,E15,87:87)-SUMIF(86:86,C15,87:87)+100</f>
        <v>100</v>
      </c>
      <c r="G15" s="442"/>
      <c r="H15" s="440">
        <f>SUMIF(86:86,G15,87:87)-SUMIF(86:86,C15,87:87)+100</f>
        <v>100</v>
      </c>
      <c r="I15" s="442"/>
      <c r="J15" s="440">
        <f>SUMIF(86:86,I15,87:87)-SUMIF(86:86,C15,87:87)+100</f>
        <v>100</v>
      </c>
      <c r="K15" s="431"/>
      <c r="L15" s="2017"/>
      <c r="M15" s="2007"/>
      <c r="N15" s="2007"/>
      <c r="O15" s="2016"/>
      <c r="P15" s="3378"/>
      <c r="Q15" s="1049">
        <f t="shared" si="6"/>
        <v>0</v>
      </c>
      <c r="R15" s="1456" t="s">
        <v>8</v>
      </c>
      <c r="S15" s="1457">
        <f t="shared" si="0"/>
        <v>100</v>
      </c>
      <c r="T15" s="1456" t="s">
        <v>8</v>
      </c>
      <c r="U15" s="1457">
        <f t="shared" si="1"/>
        <v>100</v>
      </c>
      <c r="V15" s="1456" t="s">
        <v>8</v>
      </c>
      <c r="W15" s="1457">
        <f t="shared" si="2"/>
        <v>100</v>
      </c>
      <c r="X15" s="1458"/>
      <c r="Y15" s="3324"/>
      <c r="Z15" s="1048">
        <f t="shared" si="7"/>
        <v>0</v>
      </c>
      <c r="AA15" s="1459">
        <f>D15/F15</f>
        <v>1</v>
      </c>
      <c r="AB15" s="1459">
        <f>D15/H15</f>
        <v>1</v>
      </c>
      <c r="AC15" s="1459">
        <f>D15/J15</f>
        <v>1</v>
      </c>
    </row>
    <row r="16" spans="1:30" ht="21" hidden="1" thickBot="1">
      <c r="A16" s="2783"/>
      <c r="B16" s="2789"/>
      <c r="C16" s="815"/>
      <c r="D16" s="446">
        <v>100</v>
      </c>
      <c r="E16" s="441"/>
      <c r="F16" s="446">
        <f>SUMIF(88:88,E16,89:89)-SUMIF(88:88,C16,89:89)+100</f>
        <v>100</v>
      </c>
      <c r="G16" s="442"/>
      <c r="H16" s="446">
        <f>SUMIF(88:88,G16,89:89)-SUMIF(88:88,C16,89:89)+100</f>
        <v>100</v>
      </c>
      <c r="I16" s="442"/>
      <c r="J16" s="446">
        <f>SUMIF(88:88,I16,89:89)-SUMIF(88:88,C16,89:89)+100</f>
        <v>100</v>
      </c>
      <c r="K16" s="431"/>
      <c r="L16" s="2017"/>
      <c r="M16" s="2007"/>
      <c r="N16" s="2007"/>
      <c r="O16" s="2016"/>
      <c r="P16" s="3378"/>
      <c r="Q16" s="1049">
        <f t="shared" si="6"/>
        <v>0</v>
      </c>
      <c r="R16" s="1456" t="s">
        <v>8</v>
      </c>
      <c r="S16" s="1457">
        <f t="shared" si="0"/>
        <v>100</v>
      </c>
      <c r="T16" s="1456" t="s">
        <v>8</v>
      </c>
      <c r="U16" s="1457">
        <f t="shared" si="1"/>
        <v>100</v>
      </c>
      <c r="V16" s="1456" t="s">
        <v>8</v>
      </c>
      <c r="W16" s="1457">
        <f t="shared" si="2"/>
        <v>100</v>
      </c>
      <c r="X16" s="1458"/>
      <c r="Y16" s="3324"/>
      <c r="Z16" s="1048">
        <f t="shared" si="7"/>
        <v>0</v>
      </c>
      <c r="AA16" s="1459">
        <f>D16/F16</f>
        <v>1</v>
      </c>
      <c r="AB16" s="1459">
        <f>D16/H16</f>
        <v>1</v>
      </c>
      <c r="AC16" s="1459">
        <f>D16/J16</f>
        <v>1</v>
      </c>
    </row>
    <row r="17" spans="1:29" ht="20.25">
      <c r="A17" s="2775" t="s">
        <v>2682</v>
      </c>
      <c r="B17" s="478" t="s">
        <v>235</v>
      </c>
      <c r="C17" s="448" t="str">
        <f>估价对象房地状况!C15</f>
        <v>大运府邸、云都花园、中都华庭</v>
      </c>
      <c r="D17" s="451">
        <v>100</v>
      </c>
      <c r="E17" s="452"/>
      <c r="F17" s="449">
        <f>SUMIF(90:90,E18,91:91)-SUMIF(90:90,C18,91:91)+100</f>
        <v>103</v>
      </c>
      <c r="G17" s="450"/>
      <c r="H17" s="449">
        <f>SUMIF(90:90,G18,91:91)-SUMIF(90:90,C18,91:91)+100</f>
        <v>97</v>
      </c>
      <c r="I17" s="452"/>
      <c r="J17" s="449">
        <f>SUMIF(90:90,I18,91:91)-SUMIF(90:90,C18,91:91)+100</f>
        <v>100</v>
      </c>
      <c r="K17" s="435">
        <v>3</v>
      </c>
      <c r="L17" s="2017"/>
      <c r="M17" s="2007"/>
      <c r="N17" s="2007"/>
      <c r="O17" s="2016"/>
      <c r="P17" s="3412" t="s">
        <v>480</v>
      </c>
      <c r="Q17" s="1460" t="str">
        <f t="shared" si="6"/>
        <v>居住社区成熟度</v>
      </c>
      <c r="R17" s="1461" t="s">
        <v>8</v>
      </c>
      <c r="S17" s="1462">
        <f t="shared" si="0"/>
        <v>103</v>
      </c>
      <c r="T17" s="1461" t="s">
        <v>8</v>
      </c>
      <c r="U17" s="1462">
        <f t="shared" si="1"/>
        <v>97</v>
      </c>
      <c r="V17" s="1461" t="s">
        <v>8</v>
      </c>
      <c r="W17" s="1462">
        <f t="shared" si="2"/>
        <v>100</v>
      </c>
      <c r="X17" s="1455"/>
      <c r="Y17" s="3412" t="s">
        <v>480</v>
      </c>
      <c r="Z17" s="1463" t="str">
        <f t="shared" si="7"/>
        <v>居住社区成熟度</v>
      </c>
      <c r="AA17" s="1464">
        <f t="shared" si="3"/>
        <v>0.970873786407767</v>
      </c>
      <c r="AB17" s="1464">
        <f t="shared" si="4"/>
        <v>1.0309278350515463</v>
      </c>
      <c r="AC17" s="1464">
        <f t="shared" si="5"/>
        <v>1</v>
      </c>
    </row>
    <row r="18" spans="1:29" ht="20.25">
      <c r="A18" s="432"/>
      <c r="B18" s="453"/>
      <c r="C18" s="454" t="s">
        <v>3203</v>
      </c>
      <c r="D18" s="457"/>
      <c r="E18" s="458" t="s">
        <v>3201</v>
      </c>
      <c r="F18" s="455"/>
      <c r="G18" s="456" t="s">
        <v>3202</v>
      </c>
      <c r="H18" s="459"/>
      <c r="I18" s="458" t="s">
        <v>3203</v>
      </c>
      <c r="J18" s="455"/>
      <c r="K18" s="431"/>
      <c r="L18" s="2017"/>
      <c r="M18" s="2007"/>
      <c r="N18" s="2007"/>
      <c r="O18" s="2016"/>
      <c r="P18" s="3413"/>
      <c r="Q18" s="1460"/>
      <c r="R18" s="1461"/>
      <c r="S18" s="1462"/>
      <c r="T18" s="1461"/>
      <c r="U18" s="1462"/>
      <c r="V18" s="1461"/>
      <c r="W18" s="1462"/>
      <c r="X18" s="1455"/>
      <c r="Y18" s="3413"/>
      <c r="Z18" s="1463"/>
      <c r="AA18" s="1464">
        <v>1</v>
      </c>
      <c r="AB18" s="1464">
        <v>1</v>
      </c>
      <c r="AC18" s="1464">
        <v>1</v>
      </c>
    </row>
    <row r="19" spans="1:29" ht="20.25">
      <c r="A19" s="432"/>
      <c r="B19" s="460" t="s">
        <v>481</v>
      </c>
      <c r="C19" s="461" t="str">
        <f>估价对象房地状况!C16</f>
        <v>集贸百货、村镇商业</v>
      </c>
      <c r="D19" s="463">
        <v>100</v>
      </c>
      <c r="E19" s="464"/>
      <c r="F19" s="459">
        <f>SUMIF(92:92,E20,93:93)-SUMIF(92:92,C20,93:93)+100</f>
        <v>103</v>
      </c>
      <c r="G19" s="462"/>
      <c r="H19" s="465">
        <f>SUMIF(92:92,G20,93:93)-SUMIF(92:92,C20,93:93)+100</f>
        <v>97</v>
      </c>
      <c r="I19" s="464"/>
      <c r="J19" s="465">
        <f>SUMIF(92:92,I20,93:93)-SUMIF(92:92,C20,93:93)+100</f>
        <v>100</v>
      </c>
      <c r="K19" s="435">
        <v>3</v>
      </c>
      <c r="L19" s="2017"/>
      <c r="M19" s="2007"/>
      <c r="N19" s="2007"/>
      <c r="O19" s="2016"/>
      <c r="P19" s="3413"/>
      <c r="Q19" s="1460" t="str">
        <f>B19</f>
        <v>商业繁华度</v>
      </c>
      <c r="R19" s="1461" t="s">
        <v>8</v>
      </c>
      <c r="S19" s="1462">
        <f>F19</f>
        <v>103</v>
      </c>
      <c r="T19" s="1461" t="s">
        <v>8</v>
      </c>
      <c r="U19" s="1462">
        <f>H19</f>
        <v>97</v>
      </c>
      <c r="V19" s="1461" t="s">
        <v>8</v>
      </c>
      <c r="W19" s="1462">
        <f>J19</f>
        <v>100</v>
      </c>
      <c r="X19" s="1455"/>
      <c r="Y19" s="3413"/>
      <c r="Z19" s="1463" t="str">
        <f>Q19</f>
        <v>商业繁华度</v>
      </c>
      <c r="AA19" s="1464">
        <f t="shared" si="3"/>
        <v>0.970873786407767</v>
      </c>
      <c r="AB19" s="1464">
        <f t="shared" si="4"/>
        <v>1.0309278350515463</v>
      </c>
      <c r="AC19" s="1464">
        <f t="shared" si="5"/>
        <v>1</v>
      </c>
    </row>
    <row r="20" spans="1:29" ht="20.25">
      <c r="A20" s="432"/>
      <c r="B20" s="466"/>
      <c r="C20" s="467" t="s">
        <v>3203</v>
      </c>
      <c r="D20" s="463"/>
      <c r="E20" s="469" t="s">
        <v>3201</v>
      </c>
      <c r="F20" s="459"/>
      <c r="G20" s="468" t="s">
        <v>3202</v>
      </c>
      <c r="H20" s="455"/>
      <c r="I20" s="469" t="s">
        <v>3203</v>
      </c>
      <c r="J20" s="455"/>
      <c r="K20" s="431"/>
      <c r="L20" s="2017"/>
      <c r="M20" s="2007"/>
      <c r="N20" s="2007"/>
      <c r="O20" s="2016"/>
      <c r="P20" s="3413"/>
      <c r="Q20" s="1460"/>
      <c r="R20" s="1461"/>
      <c r="S20" s="1462"/>
      <c r="T20" s="1461"/>
      <c r="U20" s="1462"/>
      <c r="V20" s="1461"/>
      <c r="W20" s="1462"/>
      <c r="X20" s="1455"/>
      <c r="Y20" s="3413"/>
      <c r="Z20" s="1463"/>
      <c r="AA20" s="1464">
        <v>1</v>
      </c>
      <c r="AB20" s="1464">
        <v>1</v>
      </c>
      <c r="AC20" s="1464">
        <v>1</v>
      </c>
    </row>
    <row r="21" spans="1:29" ht="20.25" hidden="1">
      <c r="A21" s="432"/>
      <c r="B21" s="460" t="s">
        <v>482</v>
      </c>
      <c r="C21" s="461" t="str">
        <f>估价对象房地状况!C17</f>
        <v>多家工业厂房</v>
      </c>
      <c r="D21" s="471">
        <v>100</v>
      </c>
      <c r="E21" s="472"/>
      <c r="F21" s="465">
        <f>SUMIF(94:94,E22,95:95)-SUMIF(94:94,C22,95:95)+100</f>
        <v>100</v>
      </c>
      <c r="G21" s="470"/>
      <c r="H21" s="459">
        <f>SUMIF(94:94,G22,95:95)-SUMIF(94:94,C22,95:95)+100</f>
        <v>100</v>
      </c>
      <c r="I21" s="472"/>
      <c r="J21" s="459">
        <f>SUMIF(94:94,I22,95:95)-SUMIF(94:94,C22,95:95)+100</f>
        <v>100</v>
      </c>
      <c r="K21" s="435"/>
      <c r="L21" s="2017"/>
      <c r="M21" s="2007"/>
      <c r="N21" s="2007"/>
      <c r="O21" s="2016"/>
      <c r="P21" s="3413"/>
      <c r="Q21" s="1460" t="str">
        <f>B21</f>
        <v>办公集聚程度</v>
      </c>
      <c r="R21" s="1461" t="s">
        <v>8</v>
      </c>
      <c r="S21" s="1462">
        <f>F21</f>
        <v>100</v>
      </c>
      <c r="T21" s="1461" t="s">
        <v>8</v>
      </c>
      <c r="U21" s="1462">
        <f>H21</f>
        <v>100</v>
      </c>
      <c r="V21" s="1461" t="s">
        <v>8</v>
      </c>
      <c r="W21" s="1462">
        <f>J21</f>
        <v>100</v>
      </c>
      <c r="X21" s="1455"/>
      <c r="Y21" s="3413"/>
      <c r="Z21" s="1463" t="str">
        <f>Q21</f>
        <v>办公集聚程度</v>
      </c>
      <c r="AA21" s="1464">
        <f t="shared" si="3"/>
        <v>1</v>
      </c>
      <c r="AB21" s="1464">
        <f t="shared" si="4"/>
        <v>1</v>
      </c>
      <c r="AC21" s="1464">
        <f t="shared" si="5"/>
        <v>1</v>
      </c>
    </row>
    <row r="22" spans="1:29" ht="20.25" hidden="1">
      <c r="A22" s="432"/>
      <c r="B22" s="466"/>
      <c r="C22" s="454"/>
      <c r="D22" s="457"/>
      <c r="E22" s="458"/>
      <c r="F22" s="455"/>
      <c r="G22" s="456"/>
      <c r="H22" s="455"/>
      <c r="I22" s="458"/>
      <c r="J22" s="455"/>
      <c r="K22" s="431"/>
      <c r="L22" s="2017"/>
      <c r="M22" s="2007"/>
      <c r="N22" s="2007"/>
      <c r="O22" s="2016"/>
      <c r="P22" s="3413"/>
      <c r="Q22" s="1460"/>
      <c r="R22" s="1461"/>
      <c r="S22" s="1462"/>
      <c r="T22" s="1461"/>
      <c r="U22" s="1462"/>
      <c r="V22" s="1461"/>
      <c r="W22" s="1462"/>
      <c r="X22" s="1455"/>
      <c r="Y22" s="3413"/>
      <c r="Z22" s="1463"/>
      <c r="AA22" s="1464">
        <v>1</v>
      </c>
      <c r="AB22" s="1464">
        <v>1</v>
      </c>
      <c r="AC22" s="1464">
        <v>1</v>
      </c>
    </row>
    <row r="23" spans="1:29" ht="28.5">
      <c r="A23" s="432"/>
      <c r="B23" s="460" t="s">
        <v>483</v>
      </c>
      <c r="C23" s="473" t="str">
        <f>估价对象房地状况!C18</f>
        <v>233路、平湖k166路；大云镇客运站；嘉善南站；1高速、1省道</v>
      </c>
      <c r="D23" s="463">
        <v>100</v>
      </c>
      <c r="E23" s="464"/>
      <c r="F23" s="465">
        <f>SUMIF(96:96,E24,97:97)-SUMIF(96:96,C24,97:97)+100</f>
        <v>98</v>
      </c>
      <c r="G23" s="462"/>
      <c r="H23" s="459">
        <f>SUMIF(96:96,G24,97:97)-SUMIF(96:96,C24,97:97)+100</f>
        <v>100</v>
      </c>
      <c r="I23" s="464"/>
      <c r="J23" s="459">
        <f>SUMIF(96:96,I24,97:97)-SUMIF(96:96,C24,97:97)+100</f>
        <v>96</v>
      </c>
      <c r="K23" s="435">
        <v>2</v>
      </c>
      <c r="L23" s="2017"/>
      <c r="M23" s="2007"/>
      <c r="N23" s="2007"/>
      <c r="O23" s="2016"/>
      <c r="P23" s="3413"/>
      <c r="Q23" s="1460" t="str">
        <f>B23</f>
        <v>交通便捷度</v>
      </c>
      <c r="R23" s="1461" t="s">
        <v>8</v>
      </c>
      <c r="S23" s="1462">
        <f>F23</f>
        <v>98</v>
      </c>
      <c r="T23" s="1461" t="s">
        <v>8</v>
      </c>
      <c r="U23" s="1462">
        <f>H23</f>
        <v>100</v>
      </c>
      <c r="V23" s="1461" t="s">
        <v>8</v>
      </c>
      <c r="W23" s="1462">
        <f>J23</f>
        <v>96</v>
      </c>
      <c r="X23" s="1455"/>
      <c r="Y23" s="3413"/>
      <c r="Z23" s="1463" t="str">
        <f>Q23</f>
        <v>交通便捷度</v>
      </c>
      <c r="AA23" s="1464">
        <f t="shared" si="3"/>
        <v>1.0204081632653061</v>
      </c>
      <c r="AB23" s="1464">
        <f t="shared" si="4"/>
        <v>1</v>
      </c>
      <c r="AC23" s="1464">
        <f t="shared" si="5"/>
        <v>1.0416666666666667</v>
      </c>
    </row>
    <row r="24" spans="1:29" ht="20.25">
      <c r="A24" s="432"/>
      <c r="B24" s="478"/>
      <c r="C24" s="454" t="s">
        <v>3201</v>
      </c>
      <c r="D24" s="457"/>
      <c r="E24" s="458" t="s">
        <v>3203</v>
      </c>
      <c r="F24" s="455"/>
      <c r="G24" s="456" t="s">
        <v>3201</v>
      </c>
      <c r="H24" s="455"/>
      <c r="I24" s="458" t="s">
        <v>3202</v>
      </c>
      <c r="J24" s="455"/>
      <c r="K24" s="431"/>
      <c r="L24" s="2017"/>
      <c r="M24" s="2007"/>
      <c r="N24" s="2007"/>
      <c r="O24" s="2016"/>
      <c r="P24" s="3413"/>
      <c r="Q24" s="1460"/>
      <c r="R24" s="1461"/>
      <c r="S24" s="1462"/>
      <c r="T24" s="1461"/>
      <c r="U24" s="1462"/>
      <c r="V24" s="1461"/>
      <c r="W24" s="1462"/>
      <c r="X24" s="1455"/>
      <c r="Y24" s="3413"/>
      <c r="Z24" s="1463"/>
      <c r="AA24" s="1464">
        <v>1</v>
      </c>
      <c r="AB24" s="1464">
        <v>1</v>
      </c>
      <c r="AC24" s="1464">
        <v>1</v>
      </c>
    </row>
    <row r="25" spans="1:29" ht="27">
      <c r="A25" s="415"/>
      <c r="B25" s="163" t="s">
        <v>484</v>
      </c>
      <c r="C25" s="473" t="str">
        <f>估价对象房地状况!C19</f>
        <v>周围大量工业用地</v>
      </c>
      <c r="D25" s="463">
        <v>100</v>
      </c>
      <c r="E25" s="464"/>
      <c r="F25" s="465">
        <f>SUMIF(98:98,E26,99:99)-SUMIF(98:98,C26,99:99)+100</f>
        <v>110</v>
      </c>
      <c r="G25" s="462"/>
      <c r="H25" s="459">
        <f>SUMIF(98:98,G26,99:99)-SUMIF(98:98,C26,99:99)+100</f>
        <v>100</v>
      </c>
      <c r="I25" s="464"/>
      <c r="J25" s="459">
        <f>SUMIF(98:98,I26,99:99)-SUMIF(98:98,C26,99:99)+100</f>
        <v>100</v>
      </c>
      <c r="K25" s="435">
        <v>5</v>
      </c>
      <c r="L25" s="2017"/>
      <c r="M25" s="2007"/>
      <c r="N25" s="2007"/>
      <c r="O25" s="2016"/>
      <c r="P25" s="3413"/>
      <c r="Q25" s="1460" t="str">
        <f t="shared" ref="Q25:Q39" si="8">B25</f>
        <v>区域土地利用方向</v>
      </c>
      <c r="R25" s="1461" t="s">
        <v>8</v>
      </c>
      <c r="S25" s="1462">
        <f>F25</f>
        <v>110</v>
      </c>
      <c r="T25" s="1461" t="s">
        <v>8</v>
      </c>
      <c r="U25" s="1462">
        <f>H25</f>
        <v>100</v>
      </c>
      <c r="V25" s="1461" t="s">
        <v>8</v>
      </c>
      <c r="W25" s="1462">
        <f>J25</f>
        <v>100</v>
      </c>
      <c r="X25" s="1455"/>
      <c r="Y25" s="3413"/>
      <c r="Z25" s="1463" t="str">
        <f>Q25</f>
        <v>区域土地利用方向</v>
      </c>
      <c r="AA25" s="1464">
        <f t="shared" si="3"/>
        <v>0.90909090909090906</v>
      </c>
      <c r="AB25" s="1464">
        <f t="shared" si="4"/>
        <v>1</v>
      </c>
      <c r="AC25" s="1464">
        <f t="shared" si="5"/>
        <v>1</v>
      </c>
    </row>
    <row r="26" spans="1:29" ht="20.25">
      <c r="A26" s="415"/>
      <c r="B26" s="905"/>
      <c r="C26" s="454" t="s">
        <v>3202</v>
      </c>
      <c r="D26" s="457"/>
      <c r="E26" s="458" t="s">
        <v>3201</v>
      </c>
      <c r="F26" s="455"/>
      <c r="G26" s="456" t="s">
        <v>3202</v>
      </c>
      <c r="H26" s="455"/>
      <c r="I26" s="458" t="s">
        <v>3202</v>
      </c>
      <c r="J26" s="455"/>
      <c r="K26" s="431"/>
      <c r="L26" s="2017"/>
      <c r="M26" s="2007"/>
      <c r="N26" s="2007"/>
      <c r="O26" s="2016"/>
      <c r="P26" s="3413"/>
      <c r="Q26" s="1460"/>
      <c r="R26" s="1461"/>
      <c r="S26" s="1462"/>
      <c r="T26" s="1461"/>
      <c r="U26" s="1462"/>
      <c r="V26" s="1461"/>
      <c r="W26" s="1462"/>
      <c r="X26" s="1455"/>
      <c r="Y26" s="3413"/>
      <c r="Z26" s="1463"/>
      <c r="AA26" s="1464"/>
      <c r="AB26" s="1464"/>
      <c r="AC26" s="1464"/>
    </row>
    <row r="27" spans="1:29" ht="27">
      <c r="A27" s="415"/>
      <c r="B27" s="478" t="s">
        <v>485</v>
      </c>
      <c r="C27" s="461" t="str">
        <f>估价对象房地状况!C20</f>
        <v>六生河</v>
      </c>
      <c r="D27" s="463">
        <v>100</v>
      </c>
      <c r="E27" s="464"/>
      <c r="F27" s="459">
        <f>SUMIF(100:100,E28,101:101)-SUMIF(100:100,C28,101:101)+100</f>
        <v>100</v>
      </c>
      <c r="G27" s="462"/>
      <c r="H27" s="459">
        <f>SUMIF(100:100,G28,101:101)-SUMIF(100:100,C28,101:101)+100</f>
        <v>100</v>
      </c>
      <c r="I27" s="464"/>
      <c r="J27" s="459">
        <f>SUMIF(100:100,I28,101:101)-SUMIF(100:100,C28,101:101)+100</f>
        <v>100</v>
      </c>
      <c r="K27" s="435">
        <v>5</v>
      </c>
      <c r="L27" s="2017"/>
      <c r="M27" s="2007"/>
      <c r="N27" s="2007"/>
      <c r="O27" s="2016"/>
      <c r="P27" s="3413"/>
      <c r="Q27" s="1460" t="str">
        <f t="shared" si="8"/>
        <v>自然及人文环境状况</v>
      </c>
      <c r="R27" s="1461" t="s">
        <v>8</v>
      </c>
      <c r="S27" s="1462">
        <f>F27</f>
        <v>100</v>
      </c>
      <c r="T27" s="1461" t="s">
        <v>8</v>
      </c>
      <c r="U27" s="1462">
        <f>H27</f>
        <v>100</v>
      </c>
      <c r="V27" s="1461" t="s">
        <v>8</v>
      </c>
      <c r="W27" s="1462">
        <f>J27</f>
        <v>100</v>
      </c>
      <c r="X27" s="1455"/>
      <c r="Y27" s="3413"/>
      <c r="Z27" s="1463" t="str">
        <f>Q27</f>
        <v>自然及人文环境状况</v>
      </c>
      <c r="AA27" s="1464">
        <f t="shared" si="3"/>
        <v>1</v>
      </c>
      <c r="AB27" s="1464">
        <f t="shared" si="4"/>
        <v>1</v>
      </c>
      <c r="AC27" s="1464">
        <f t="shared" si="5"/>
        <v>1</v>
      </c>
    </row>
    <row r="28" spans="1:29" ht="20.25">
      <c r="A28" s="415"/>
      <c r="B28" s="466"/>
      <c r="C28" s="454" t="s">
        <v>3203</v>
      </c>
      <c r="D28" s="457"/>
      <c r="E28" s="476" t="s">
        <v>3203</v>
      </c>
      <c r="F28" s="455"/>
      <c r="G28" s="454" t="s">
        <v>3203</v>
      </c>
      <c r="H28" s="455"/>
      <c r="I28" s="476" t="s">
        <v>3203</v>
      </c>
      <c r="J28" s="455"/>
      <c r="K28" s="431"/>
      <c r="L28" s="2017"/>
      <c r="M28" s="2007"/>
      <c r="N28" s="2007"/>
      <c r="O28" s="2016"/>
      <c r="P28" s="3413"/>
      <c r="Q28" s="1460"/>
      <c r="R28" s="1461"/>
      <c r="S28" s="1462"/>
      <c r="T28" s="1461"/>
      <c r="U28" s="1462"/>
      <c r="V28" s="1461"/>
      <c r="W28" s="1462"/>
      <c r="X28" s="1455"/>
      <c r="Y28" s="3413"/>
      <c r="Z28" s="1463"/>
      <c r="AA28" s="1464">
        <v>1</v>
      </c>
      <c r="AB28" s="1464">
        <v>1</v>
      </c>
      <c r="AC28" s="1464">
        <v>1</v>
      </c>
    </row>
    <row r="29" spans="1:29" s="1108" customFormat="1" ht="40.5">
      <c r="A29" s="477"/>
      <c r="B29" s="2457" t="s">
        <v>2476</v>
      </c>
      <c r="C29" s="473" t="str">
        <f>估价对象房地状况!C21</f>
        <v>医院、学校、银行、餐饮</v>
      </c>
      <c r="D29" s="463">
        <v>100</v>
      </c>
      <c r="E29" s="3183" t="s">
        <v>3224</v>
      </c>
      <c r="F29" s="459">
        <f>SUMIF(102:102,E30,103:103)-SUMIF(102:102,C30,103:103)+100</f>
        <v>105</v>
      </c>
      <c r="G29" s="3181" t="s">
        <v>3228</v>
      </c>
      <c r="H29" s="459">
        <f>SUMIF(102:102,G30,103:103)-SUMIF(102:102,C30,103:103)+100</f>
        <v>100</v>
      </c>
      <c r="I29" s="464"/>
      <c r="J29" s="459">
        <f>SUMIF(102:102,I30,103:103)-SUMIF(102:102,C30,103:103)+100</f>
        <v>105</v>
      </c>
      <c r="K29" s="435">
        <v>5</v>
      </c>
      <c r="L29" s="2010"/>
      <c r="M29" s="2007"/>
      <c r="N29" s="2007"/>
      <c r="O29" s="2012"/>
      <c r="P29" s="3413"/>
      <c r="Q29" s="1049" t="str">
        <f t="shared" si="8"/>
        <v>公共配套设施</v>
      </c>
      <c r="R29" s="1456" t="s">
        <v>8</v>
      </c>
      <c r="S29" s="1457">
        <f>F29</f>
        <v>105</v>
      </c>
      <c r="T29" s="1456" t="s">
        <v>8</v>
      </c>
      <c r="U29" s="1457">
        <f>H29</f>
        <v>100</v>
      </c>
      <c r="V29" s="1456" t="s">
        <v>8</v>
      </c>
      <c r="W29" s="1457">
        <f>J29</f>
        <v>105</v>
      </c>
      <c r="X29" s="1458"/>
      <c r="Y29" s="3413"/>
      <c r="Z29" s="1048" t="str">
        <f>Q29</f>
        <v>公共配套设施</v>
      </c>
      <c r="AA29" s="1464">
        <f>D29/F29</f>
        <v>0.95238095238095233</v>
      </c>
      <c r="AB29" s="1464">
        <f>D29/H29</f>
        <v>1</v>
      </c>
      <c r="AC29" s="1464">
        <f>D29/J29</f>
        <v>0.95238095238095233</v>
      </c>
    </row>
    <row r="30" spans="1:29" s="1108" customFormat="1" ht="20.25">
      <c r="A30" s="477"/>
      <c r="B30" s="466"/>
      <c r="C30" s="479" t="s">
        <v>3203</v>
      </c>
      <c r="D30" s="457"/>
      <c r="E30" s="476" t="s">
        <v>3201</v>
      </c>
      <c r="F30" s="455"/>
      <c r="G30" s="454" t="s">
        <v>3203</v>
      </c>
      <c r="H30" s="455"/>
      <c r="I30" s="476" t="s">
        <v>3201</v>
      </c>
      <c r="J30" s="455"/>
      <c r="K30" s="431"/>
      <c r="L30" s="2010"/>
      <c r="M30" s="2007"/>
      <c r="N30" s="2007"/>
      <c r="O30" s="2012"/>
      <c r="P30" s="3413"/>
      <c r="Q30" s="1049"/>
      <c r="R30" s="1456"/>
      <c r="S30" s="1457"/>
      <c r="T30" s="1456"/>
      <c r="U30" s="1457"/>
      <c r="V30" s="1456"/>
      <c r="W30" s="1457"/>
      <c r="X30" s="1458"/>
      <c r="Y30" s="3413"/>
      <c r="Z30" s="1048"/>
      <c r="AA30" s="1464">
        <v>1</v>
      </c>
      <c r="AB30" s="1464">
        <v>1</v>
      </c>
      <c r="AC30" s="1464">
        <v>1</v>
      </c>
    </row>
    <row r="31" spans="1:29" s="1108" customFormat="1" ht="20.25">
      <c r="A31" s="477"/>
      <c r="B31" s="2457" t="s">
        <v>2477</v>
      </c>
      <c r="C31" s="473" t="str">
        <f>估价对象房地状况!C22</f>
        <v>六通</v>
      </c>
      <c r="D31" s="463">
        <v>100</v>
      </c>
      <c r="E31" s="3183" t="s">
        <v>3225</v>
      </c>
      <c r="F31" s="459">
        <f>SUMIF(104:104,E32,105:105)-SUMIF(104:104,C32,105:105)+100</f>
        <v>100</v>
      </c>
      <c r="G31" s="462"/>
      <c r="H31" s="459">
        <f>SUMIF(104:104,G32,105:105)-SUMIF(104:104,C32,105:105)+100</f>
        <v>100</v>
      </c>
      <c r="I31" s="464"/>
      <c r="J31" s="459">
        <f>SUMIF(104:104,I32,105:105)-SUMIF(104:104,C32,105:105)+100</f>
        <v>100</v>
      </c>
      <c r="K31" s="435">
        <v>2</v>
      </c>
      <c r="L31" s="2010"/>
      <c r="M31" s="2007"/>
      <c r="N31" s="2007"/>
      <c r="O31" s="2012"/>
      <c r="P31" s="3413"/>
      <c r="Q31" s="2444" t="str">
        <f>B31</f>
        <v>基础设施水平</v>
      </c>
      <c r="R31" s="1456" t="s">
        <v>8</v>
      </c>
      <c r="S31" s="1457">
        <f>F31</f>
        <v>100</v>
      </c>
      <c r="T31" s="1456" t="s">
        <v>8</v>
      </c>
      <c r="U31" s="1457">
        <f>H31</f>
        <v>100</v>
      </c>
      <c r="V31" s="1456" t="s">
        <v>8</v>
      </c>
      <c r="W31" s="1457">
        <f>J31</f>
        <v>100</v>
      </c>
      <c r="X31" s="1458"/>
      <c r="Y31" s="3413"/>
      <c r="Z31" s="2441" t="str">
        <f>Q31</f>
        <v>基础设施水平</v>
      </c>
      <c r="AA31" s="1464">
        <f>D31/F31</f>
        <v>1</v>
      </c>
      <c r="AB31" s="1464">
        <f>D31/H31</f>
        <v>1</v>
      </c>
      <c r="AC31" s="1464">
        <f>D31/J31</f>
        <v>1</v>
      </c>
    </row>
    <row r="32" spans="1:29" s="1108" customFormat="1" ht="20.25">
      <c r="A32" s="477"/>
      <c r="B32" s="466"/>
      <c r="C32" s="479" t="s">
        <v>3209</v>
      </c>
      <c r="D32" s="457"/>
      <c r="E32" s="2458" t="s">
        <v>3209</v>
      </c>
      <c r="F32" s="455"/>
      <c r="G32" s="479" t="s">
        <v>3209</v>
      </c>
      <c r="H32" s="455"/>
      <c r="I32" s="479" t="s">
        <v>3209</v>
      </c>
      <c r="J32" s="455"/>
      <c r="K32" s="431"/>
      <c r="L32" s="2010"/>
      <c r="M32" s="2007"/>
      <c r="N32" s="2007"/>
      <c r="O32" s="2012"/>
      <c r="P32" s="3413"/>
      <c r="Q32" s="2444"/>
      <c r="R32" s="1456"/>
      <c r="S32" s="1457"/>
      <c r="T32" s="1456"/>
      <c r="U32" s="1457"/>
      <c r="V32" s="1456"/>
      <c r="W32" s="1457"/>
      <c r="X32" s="1458"/>
      <c r="Y32" s="3413"/>
      <c r="Z32" s="2441"/>
      <c r="AA32" s="1464">
        <v>1</v>
      </c>
      <c r="AB32" s="1464">
        <v>1</v>
      </c>
      <c r="AC32" s="1464">
        <v>1</v>
      </c>
    </row>
    <row r="33" spans="1:29" ht="20.25" hidden="1">
      <c r="A33" s="432"/>
      <c r="B33" s="466" t="s">
        <v>487</v>
      </c>
      <c r="C33" s="480"/>
      <c r="D33" s="475">
        <v>100</v>
      </c>
      <c r="E33" s="483"/>
      <c r="F33" s="440">
        <f>SUMIF(106:106,E33,107:107)-SUMIF(106:106,C33,107:107)+100</f>
        <v>100</v>
      </c>
      <c r="G33" s="480"/>
      <c r="H33" s="440">
        <f>SUMIF(106:106,G33,107:107)-SUMIF(106:106,C33,107:107)+100</f>
        <v>100</v>
      </c>
      <c r="I33" s="480"/>
      <c r="J33" s="440">
        <f>SUMIF(106:106,I33,107:107)-SUMIF(106:106,C33,107:107)+100</f>
        <v>100</v>
      </c>
      <c r="K33" s="435"/>
      <c r="L33" s="2017"/>
      <c r="M33" s="2007"/>
      <c r="N33" s="2007"/>
      <c r="O33" s="2016"/>
      <c r="P33" s="3413"/>
      <c r="Q33" s="1460" t="str">
        <f t="shared" si="8"/>
        <v>临街状况</v>
      </c>
      <c r="R33" s="1461" t="s">
        <v>8</v>
      </c>
      <c r="S33" s="1462">
        <f t="shared" ref="S33:S47" si="9">F33</f>
        <v>100</v>
      </c>
      <c r="T33" s="1461" t="s">
        <v>8</v>
      </c>
      <c r="U33" s="1462">
        <f t="shared" ref="U33:U47" si="10">H33</f>
        <v>100</v>
      </c>
      <c r="V33" s="1461" t="s">
        <v>8</v>
      </c>
      <c r="W33" s="1462">
        <f t="shared" ref="W33:W47" si="11">J33</f>
        <v>100</v>
      </c>
      <c r="X33" s="1455"/>
      <c r="Y33" s="3413"/>
      <c r="Z33" s="1463" t="str">
        <f t="shared" ref="Z33:Z47" si="12">Q33</f>
        <v>临街状况</v>
      </c>
      <c r="AA33" s="1464">
        <f t="shared" si="3"/>
        <v>1</v>
      </c>
      <c r="AB33" s="1464">
        <f t="shared" si="4"/>
        <v>1</v>
      </c>
      <c r="AC33" s="1464">
        <f t="shared" si="5"/>
        <v>1</v>
      </c>
    </row>
    <row r="34" spans="1:29" ht="27">
      <c r="A34" s="432"/>
      <c r="B34" s="478" t="s">
        <v>488</v>
      </c>
      <c r="C34" s="3181" t="s">
        <v>3215</v>
      </c>
      <c r="D34" s="463">
        <v>100</v>
      </c>
      <c r="E34" s="3183" t="s">
        <v>3226</v>
      </c>
      <c r="F34" s="459">
        <f>SUMIF(108:108,E35,109:109)-SUMIF(108:108,C35,109:109)+100</f>
        <v>100</v>
      </c>
      <c r="G34" s="3181" t="s">
        <v>3229</v>
      </c>
      <c r="H34" s="459">
        <f>SUMIF(108:108,G35,109:109)-SUMIF(108:108,C35,109:109)+100</f>
        <v>102</v>
      </c>
      <c r="I34" s="3183" t="s">
        <v>3231</v>
      </c>
      <c r="J34" s="459">
        <f>SUMIF(108:108,I35,109:109)-SUMIF(108:108,C35,109:109)+100</f>
        <v>100</v>
      </c>
      <c r="K34" s="435">
        <v>2</v>
      </c>
      <c r="L34" s="2017"/>
      <c r="M34" s="2007"/>
      <c r="N34" s="2007"/>
      <c r="O34" s="2016"/>
      <c r="P34" s="3413"/>
      <c r="Q34" s="1460" t="str">
        <f t="shared" si="8"/>
        <v>毗邻道路的类型与等级</v>
      </c>
      <c r="R34" s="1461" t="s">
        <v>8</v>
      </c>
      <c r="S34" s="1462">
        <f t="shared" si="9"/>
        <v>100</v>
      </c>
      <c r="T34" s="1461" t="s">
        <v>8</v>
      </c>
      <c r="U34" s="1462">
        <f t="shared" si="10"/>
        <v>102</v>
      </c>
      <c r="V34" s="1461" t="s">
        <v>8</v>
      </c>
      <c r="W34" s="1462">
        <f t="shared" si="11"/>
        <v>100</v>
      </c>
      <c r="X34" s="1455"/>
      <c r="Y34" s="3413"/>
      <c r="Z34" s="1463" t="str">
        <f t="shared" si="12"/>
        <v>毗邻道路的类型与等级</v>
      </c>
      <c r="AA34" s="1464">
        <f t="shared" si="3"/>
        <v>1</v>
      </c>
      <c r="AB34" s="1464">
        <f t="shared" si="4"/>
        <v>0.98039215686274506</v>
      </c>
      <c r="AC34" s="1464">
        <f t="shared" si="5"/>
        <v>1</v>
      </c>
    </row>
    <row r="35" spans="1:29" ht="21" thickBot="1">
      <c r="A35" s="432"/>
      <c r="B35" s="466"/>
      <c r="C35" s="454" t="s">
        <v>3216</v>
      </c>
      <c r="D35" s="457"/>
      <c r="E35" s="476" t="s">
        <v>3216</v>
      </c>
      <c r="F35" s="455"/>
      <c r="G35" s="454" t="s">
        <v>3230</v>
      </c>
      <c r="H35" s="455"/>
      <c r="I35" s="476" t="s">
        <v>3216</v>
      </c>
      <c r="J35" s="455"/>
      <c r="K35" s="481"/>
      <c r="L35" s="2017"/>
      <c r="M35" s="2007"/>
      <c r="N35" s="2007"/>
      <c r="O35" s="2016"/>
      <c r="P35" s="3413"/>
      <c r="Q35" s="1460"/>
      <c r="R35" s="1461"/>
      <c r="S35" s="1462"/>
      <c r="T35" s="1461"/>
      <c r="U35" s="1462"/>
      <c r="V35" s="1461"/>
      <c r="W35" s="1462"/>
      <c r="X35" s="1455"/>
      <c r="Y35" s="3413"/>
      <c r="Z35" s="1463"/>
      <c r="AA35" s="1464">
        <v>1</v>
      </c>
      <c r="AB35" s="1464">
        <v>1</v>
      </c>
      <c r="AC35" s="1464">
        <v>1</v>
      </c>
    </row>
    <row r="36" spans="1:29" ht="20.25" hidden="1">
      <c r="A36" s="432"/>
      <c r="B36" s="482" t="s">
        <v>489</v>
      </c>
      <c r="C36" s="480"/>
      <c r="D36" s="475">
        <v>100</v>
      </c>
      <c r="E36" s="483"/>
      <c r="F36" s="440">
        <f>SUMIF(110:110,E36,111:111)-SUMIF(110:110,C36,111:111)+100</f>
        <v>100</v>
      </c>
      <c r="G36" s="480"/>
      <c r="H36" s="440">
        <f>SUMIF(110:110,G36,111:111)-SUMIF(110:110,C36,111:111)+100</f>
        <v>100</v>
      </c>
      <c r="I36" s="483"/>
      <c r="J36" s="440">
        <f>SUMIF(110:110,I36,111:111)-SUMIF(110:110,C36,111:111)+100</f>
        <v>100</v>
      </c>
      <c r="K36" s="484"/>
      <c r="L36" s="2017"/>
      <c r="M36" s="2007"/>
      <c r="N36" s="2007"/>
      <c r="O36" s="2016"/>
      <c r="P36" s="3413"/>
      <c r="Q36" s="1460" t="str">
        <f t="shared" si="8"/>
        <v>土地级别</v>
      </c>
      <c r="R36" s="1461" t="s">
        <v>8</v>
      </c>
      <c r="S36" s="1462">
        <f t="shared" si="9"/>
        <v>100</v>
      </c>
      <c r="T36" s="1461" t="s">
        <v>8</v>
      </c>
      <c r="U36" s="1462">
        <f t="shared" si="10"/>
        <v>100</v>
      </c>
      <c r="V36" s="1461" t="s">
        <v>8</v>
      </c>
      <c r="W36" s="1462">
        <f t="shared" si="11"/>
        <v>100</v>
      </c>
      <c r="X36" s="1455"/>
      <c r="Y36" s="3413"/>
      <c r="Z36" s="1463" t="str">
        <f t="shared" si="12"/>
        <v>土地级别</v>
      </c>
      <c r="AA36" s="1464">
        <f t="shared" si="3"/>
        <v>1</v>
      </c>
      <c r="AB36" s="1464">
        <f t="shared" si="4"/>
        <v>1</v>
      </c>
      <c r="AC36" s="1464">
        <f t="shared" si="5"/>
        <v>1</v>
      </c>
    </row>
    <row r="37" spans="1:29" ht="20.25" hidden="1">
      <c r="A37" s="415"/>
      <c r="B37" s="485"/>
      <c r="C37" s="486"/>
      <c r="D37" s="475">
        <v>100</v>
      </c>
      <c r="E37" s="442"/>
      <c r="F37" s="440">
        <f>SUMIF(112:112,E37,113:113)-SUMIF(112:112,C37,113:113)+100</f>
        <v>100</v>
      </c>
      <c r="G37" s="486"/>
      <c r="H37" s="440">
        <f>SUMIF(112:112,G37,113:113)-SUMIF(112:112,C37,113:113)+100</f>
        <v>100</v>
      </c>
      <c r="I37" s="442"/>
      <c r="J37" s="440">
        <f>SUMIF(112:112,I37,113:113)-SUMIF(112:112,C37,113:113)+100</f>
        <v>100</v>
      </c>
      <c r="K37" s="481"/>
      <c r="L37" s="2017"/>
      <c r="M37" s="2007"/>
      <c r="N37" s="2007"/>
      <c r="O37" s="2016"/>
      <c r="P37" s="3413"/>
      <c r="Q37" s="1460">
        <f t="shared" si="8"/>
        <v>0</v>
      </c>
      <c r="R37" s="1461" t="s">
        <v>8</v>
      </c>
      <c r="S37" s="1462">
        <f t="shared" si="9"/>
        <v>100</v>
      </c>
      <c r="T37" s="1461" t="s">
        <v>8</v>
      </c>
      <c r="U37" s="1462">
        <f t="shared" si="10"/>
        <v>100</v>
      </c>
      <c r="V37" s="1461" t="s">
        <v>8</v>
      </c>
      <c r="W37" s="1462">
        <f t="shared" si="11"/>
        <v>100</v>
      </c>
      <c r="X37" s="1455"/>
      <c r="Y37" s="3413"/>
      <c r="Z37" s="1463">
        <f t="shared" si="12"/>
        <v>0</v>
      </c>
      <c r="AA37" s="1464">
        <f t="shared" si="3"/>
        <v>1</v>
      </c>
      <c r="AB37" s="1464">
        <f t="shared" si="4"/>
        <v>1</v>
      </c>
      <c r="AC37" s="1464">
        <f t="shared" si="5"/>
        <v>1</v>
      </c>
    </row>
    <row r="38" spans="1:29" ht="20.25" hidden="1">
      <c r="A38" s="487"/>
      <c r="B38" s="488"/>
      <c r="C38" s="486"/>
      <c r="D38" s="475">
        <v>100</v>
      </c>
      <c r="E38" s="442"/>
      <c r="F38" s="440">
        <f>SUMIF(114:114,E39,115:115)-SUMIF(114:114,C39,115:115)+100</f>
        <v>100</v>
      </c>
      <c r="G38" s="486"/>
      <c r="H38" s="440">
        <f>SUMIF(114:114,G38,115:115)-SUMIF(114:114,C38,115:115)+100</f>
        <v>100</v>
      </c>
      <c r="I38" s="442"/>
      <c r="J38" s="440">
        <f>SUMIF(114:114,I38,115:115)-SUMIF(114:114,C38,115:115)+100</f>
        <v>100</v>
      </c>
      <c r="K38" s="481"/>
      <c r="L38" s="2017"/>
      <c r="M38" s="2007"/>
      <c r="N38" s="2007"/>
      <c r="O38" s="2016"/>
      <c r="P38" s="3414" t="s">
        <v>490</v>
      </c>
      <c r="Q38" s="1460">
        <f t="shared" si="8"/>
        <v>0</v>
      </c>
      <c r="R38" s="1461" t="s">
        <v>8</v>
      </c>
      <c r="S38" s="1462">
        <f t="shared" si="9"/>
        <v>100</v>
      </c>
      <c r="T38" s="1461" t="s">
        <v>8</v>
      </c>
      <c r="U38" s="1462">
        <f t="shared" si="10"/>
        <v>100</v>
      </c>
      <c r="V38" s="1461" t="s">
        <v>8</v>
      </c>
      <c r="W38" s="1462">
        <f t="shared" si="11"/>
        <v>100</v>
      </c>
      <c r="X38" s="1455"/>
      <c r="Y38" s="3415" t="s">
        <v>490</v>
      </c>
      <c r="Z38" s="1463">
        <f t="shared" si="12"/>
        <v>0</v>
      </c>
      <c r="AA38" s="1464">
        <f t="shared" si="3"/>
        <v>1</v>
      </c>
      <c r="AB38" s="1464">
        <f t="shared" si="4"/>
        <v>1</v>
      </c>
      <c r="AC38" s="1464">
        <f t="shared" si="5"/>
        <v>1</v>
      </c>
    </row>
    <row r="39" spans="1:29" s="1227" customFormat="1" ht="21" hidden="1" thickBot="1">
      <c r="A39" s="489"/>
      <c r="B39" s="490"/>
      <c r="C39" s="491"/>
      <c r="D39" s="640">
        <v>100</v>
      </c>
      <c r="E39" s="493"/>
      <c r="F39" s="446">
        <f>SUMIF(116:116,E39,117:117)-SUMIF(116:116,C39,117:117)+100</f>
        <v>100</v>
      </c>
      <c r="G39" s="641"/>
      <c r="H39" s="446">
        <f>SUMIF(116:116,G39,117:117)-SUMIF(116:116,C39,117:117)+100</f>
        <v>100</v>
      </c>
      <c r="I39" s="493"/>
      <c r="J39" s="446">
        <f>SUMIF(116:116,I39,117:117)-SUMIF(116:116,C39,117:117)+100</f>
        <v>100</v>
      </c>
      <c r="K39" s="481"/>
      <c r="L39" s="2015"/>
      <c r="M39" s="2007"/>
      <c r="N39" s="2007"/>
      <c r="O39" s="2018"/>
      <c r="P39" s="3415"/>
      <c r="Q39" s="1460">
        <f t="shared" si="8"/>
        <v>0</v>
      </c>
      <c r="R39" s="1465" t="s">
        <v>8</v>
      </c>
      <c r="S39" s="1466">
        <f t="shared" si="9"/>
        <v>100</v>
      </c>
      <c r="T39" s="1465" t="s">
        <v>8</v>
      </c>
      <c r="U39" s="1466">
        <f t="shared" si="10"/>
        <v>100</v>
      </c>
      <c r="V39" s="1465" t="s">
        <v>8</v>
      </c>
      <c r="W39" s="1466">
        <f t="shared" si="11"/>
        <v>100</v>
      </c>
      <c r="X39" s="1467"/>
      <c r="Y39" s="3415"/>
      <c r="Z39" s="1468">
        <f t="shared" si="12"/>
        <v>0</v>
      </c>
      <c r="AA39" s="1464">
        <f t="shared" si="3"/>
        <v>1</v>
      </c>
      <c r="AB39" s="1464">
        <f t="shared" si="4"/>
        <v>1</v>
      </c>
      <c r="AC39" s="1464">
        <f t="shared" si="5"/>
        <v>1</v>
      </c>
    </row>
    <row r="40" spans="1:29" ht="20.25">
      <c r="A40" s="2772" t="s">
        <v>2683</v>
      </c>
      <c r="B40" s="495" t="s">
        <v>492</v>
      </c>
      <c r="C40" s="496">
        <f>'数据-汇总表'!D3</f>
        <v>33431.800000000003</v>
      </c>
      <c r="D40" s="497">
        <v>100</v>
      </c>
      <c r="E40" s="496">
        <f>土地案例!F8</f>
        <v>20126.3</v>
      </c>
      <c r="F40" s="497">
        <f>LOOKUP(E40,119:119,120:120)-LOOKUP(C40,119:119,120:120)+100</f>
        <v>100</v>
      </c>
      <c r="G40" s="496">
        <f>土地案例!F13+土地案例!F14</f>
        <v>107315.9</v>
      </c>
      <c r="H40" s="497">
        <f>LOOKUP(G40,119:119,120:120)-LOOKUP(C40,119:119,120:120)+100</f>
        <v>100</v>
      </c>
      <c r="I40" s="498">
        <f>土地案例!F15</f>
        <v>58900.2</v>
      </c>
      <c r="J40" s="497">
        <f>LOOKUP(I40,119:119,120:120)-LOOKUP(C40,119:119,120:120)+100</f>
        <v>100</v>
      </c>
      <c r="K40" s="481"/>
      <c r="L40" s="2017"/>
      <c r="M40" s="2007"/>
      <c r="N40" s="2007"/>
      <c r="O40" s="2016"/>
      <c r="P40" s="3415"/>
      <c r="Q40" s="1460" t="str">
        <f>B40</f>
        <v>宗地面积</v>
      </c>
      <c r="R40" s="1461" t="s">
        <v>8</v>
      </c>
      <c r="S40" s="1462">
        <f t="shared" si="9"/>
        <v>100</v>
      </c>
      <c r="T40" s="1461" t="s">
        <v>8</v>
      </c>
      <c r="U40" s="1462">
        <f t="shared" si="10"/>
        <v>100</v>
      </c>
      <c r="V40" s="1461" t="s">
        <v>8</v>
      </c>
      <c r="W40" s="1462">
        <f t="shared" si="11"/>
        <v>100</v>
      </c>
      <c r="X40" s="1455"/>
      <c r="Y40" s="3415"/>
      <c r="Z40" s="1463" t="str">
        <f t="shared" si="12"/>
        <v>宗地面积</v>
      </c>
      <c r="AA40" s="1464">
        <f t="shared" si="3"/>
        <v>1</v>
      </c>
      <c r="AB40" s="1464">
        <f t="shared" si="4"/>
        <v>1</v>
      </c>
      <c r="AC40" s="1464">
        <f t="shared" si="5"/>
        <v>1</v>
      </c>
    </row>
    <row r="41" spans="1:29" ht="20.25">
      <c r="A41" s="494"/>
      <c r="B41" s="427" t="s">
        <v>493</v>
      </c>
      <c r="C41" s="499" t="s">
        <v>3217</v>
      </c>
      <c r="D41" s="440">
        <v>100</v>
      </c>
      <c r="E41" s="499" t="s">
        <v>3217</v>
      </c>
      <c r="F41" s="440">
        <f>SUMIF(121:121,E41,122:122)-SUMIF(121:121,C41,122:122)+100</f>
        <v>100</v>
      </c>
      <c r="G41" s="499" t="s">
        <v>3217</v>
      </c>
      <c r="H41" s="440">
        <f>SUMIF(121:121,G41,122:122)-SUMIF(121:121,C41,122:122)+100</f>
        <v>100</v>
      </c>
      <c r="I41" s="499" t="s">
        <v>3217</v>
      </c>
      <c r="J41" s="440">
        <f>SUMIF(121:121,I41,122:122)-SUMIF(121:121,C41,122:122)+100</f>
        <v>100</v>
      </c>
      <c r="K41" s="484"/>
      <c r="L41" s="2017"/>
      <c r="M41" s="2007"/>
      <c r="N41" s="2007"/>
      <c r="O41" s="2016"/>
      <c r="P41" s="3415"/>
      <c r="Q41" s="1460" t="str">
        <f t="shared" ref="Q41:Q47" si="13">B41</f>
        <v>宗地形状</v>
      </c>
      <c r="R41" s="1461" t="s">
        <v>8</v>
      </c>
      <c r="S41" s="1462">
        <f t="shared" si="9"/>
        <v>100</v>
      </c>
      <c r="T41" s="1461" t="s">
        <v>8</v>
      </c>
      <c r="U41" s="1462">
        <f t="shared" si="10"/>
        <v>100</v>
      </c>
      <c r="V41" s="1461" t="s">
        <v>8</v>
      </c>
      <c r="W41" s="1462">
        <f t="shared" si="11"/>
        <v>100</v>
      </c>
      <c r="X41" s="1455"/>
      <c r="Y41" s="3415"/>
      <c r="Z41" s="1463" t="str">
        <f t="shared" si="12"/>
        <v>宗地形状</v>
      </c>
      <c r="AA41" s="1464">
        <f t="shared" si="3"/>
        <v>1</v>
      </c>
      <c r="AB41" s="1464">
        <f t="shared" si="4"/>
        <v>1</v>
      </c>
      <c r="AC41" s="1464">
        <f t="shared" si="5"/>
        <v>1</v>
      </c>
    </row>
    <row r="42" spans="1:29" ht="20.25">
      <c r="A42" s="494"/>
      <c r="B42" s="427" t="s">
        <v>494</v>
      </c>
      <c r="C42" s="499" t="s">
        <v>3218</v>
      </c>
      <c r="D42" s="440">
        <v>100</v>
      </c>
      <c r="E42" s="499" t="s">
        <v>3218</v>
      </c>
      <c r="F42" s="440">
        <f>SUMIF(123:123,E42,124:124)-SUMIF(123:123,C42,124:124)+100</f>
        <v>100</v>
      </c>
      <c r="G42" s="499" t="s">
        <v>3218</v>
      </c>
      <c r="H42" s="440">
        <f>SUMIF(123:123,G42,124:124)-SUMIF(123:123,C42,124:124)+100</f>
        <v>100</v>
      </c>
      <c r="I42" s="499" t="s">
        <v>3218</v>
      </c>
      <c r="J42" s="440">
        <f>SUMIF(123:123,I42,124:124)-SUMIF(123:123,C42,124:124)+100</f>
        <v>100</v>
      </c>
      <c r="K42" s="484"/>
      <c r="L42" s="2017"/>
      <c r="M42" s="2007"/>
      <c r="N42" s="2007"/>
      <c r="O42" s="2016"/>
      <c r="P42" s="3415"/>
      <c r="Q42" s="1460" t="str">
        <f t="shared" si="13"/>
        <v>临街宽度及深度</v>
      </c>
      <c r="R42" s="1461" t="s">
        <v>8</v>
      </c>
      <c r="S42" s="1462">
        <f t="shared" si="9"/>
        <v>100</v>
      </c>
      <c r="T42" s="1461" t="s">
        <v>8</v>
      </c>
      <c r="U42" s="1462">
        <f t="shared" si="10"/>
        <v>100</v>
      </c>
      <c r="V42" s="1461" t="s">
        <v>8</v>
      </c>
      <c r="W42" s="1462">
        <f t="shared" si="11"/>
        <v>100</v>
      </c>
      <c r="X42" s="1455"/>
      <c r="Y42" s="3415"/>
      <c r="Z42" s="1463" t="str">
        <f t="shared" si="12"/>
        <v>临街宽度及深度</v>
      </c>
      <c r="AA42" s="1464">
        <f t="shared" si="3"/>
        <v>1</v>
      </c>
      <c r="AB42" s="1464">
        <f t="shared" si="4"/>
        <v>1</v>
      </c>
      <c r="AC42" s="1464">
        <f t="shared" si="5"/>
        <v>1</v>
      </c>
    </row>
    <row r="43" spans="1:29" s="1108" customFormat="1" ht="20.25">
      <c r="A43" s="500"/>
      <c r="B43" s="1777" t="s">
        <v>2352</v>
      </c>
      <c r="C43" s="501" t="s">
        <v>3219</v>
      </c>
      <c r="D43" s="159">
        <v>100</v>
      </c>
      <c r="E43" s="501" t="s">
        <v>3219</v>
      </c>
      <c r="F43" s="440">
        <f>SUMIF(125:125,E43,126:126)-SUMIF(125:125,C43,126:126)+100</f>
        <v>100</v>
      </c>
      <c r="G43" s="501" t="s">
        <v>3219</v>
      </c>
      <c r="H43" s="440">
        <f>SUMIF(125:125,G43,126:126)-SUMIF(125:125,C43,126:126)+100</f>
        <v>100</v>
      </c>
      <c r="I43" s="501" t="s">
        <v>3219</v>
      </c>
      <c r="J43" s="440">
        <f>SUMIF(125:125,I43,126:126)-SUMIF(125:125,C43,126:126)+100</f>
        <v>100</v>
      </c>
      <c r="K43" s="484"/>
      <c r="L43" s="2010"/>
      <c r="M43" s="2007"/>
      <c r="N43" s="2007"/>
      <c r="O43" s="2012"/>
      <c r="P43" s="3415"/>
      <c r="Q43" s="1460" t="str">
        <f t="shared" si="13"/>
        <v>宗地开发程度</v>
      </c>
      <c r="R43" s="1456" t="s">
        <v>8</v>
      </c>
      <c r="S43" s="1457">
        <f t="shared" si="9"/>
        <v>100</v>
      </c>
      <c r="T43" s="1456" t="s">
        <v>8</v>
      </c>
      <c r="U43" s="1457">
        <f t="shared" si="10"/>
        <v>100</v>
      </c>
      <c r="V43" s="1456" t="s">
        <v>8</v>
      </c>
      <c r="W43" s="1457">
        <f t="shared" si="11"/>
        <v>100</v>
      </c>
      <c r="X43" s="1458"/>
      <c r="Y43" s="3415"/>
      <c r="Z43" s="1048" t="str">
        <f t="shared" si="12"/>
        <v>宗地开发程度</v>
      </c>
      <c r="AA43" s="1459">
        <f t="shared" si="3"/>
        <v>1</v>
      </c>
      <c r="AB43" s="1459">
        <f t="shared" si="4"/>
        <v>1</v>
      </c>
      <c r="AC43" s="1459">
        <f t="shared" si="5"/>
        <v>1</v>
      </c>
    </row>
    <row r="44" spans="1:29" ht="21" thickBot="1">
      <c r="A44" s="494"/>
      <c r="B44" s="427" t="s">
        <v>495</v>
      </c>
      <c r="C44" s="499" t="s">
        <v>3218</v>
      </c>
      <c r="D44" s="440">
        <v>100</v>
      </c>
      <c r="E44" s="499" t="s">
        <v>3218</v>
      </c>
      <c r="F44" s="440">
        <f>SUMIF(127:127,E44,128:128)-SUMIF(127:127,C44,128:128)+100</f>
        <v>100</v>
      </c>
      <c r="G44" s="499" t="s">
        <v>3218</v>
      </c>
      <c r="H44" s="440">
        <f>SUMIF(127:127,G44,128:128)-SUMIF(127:127,C44,128:128)+100</f>
        <v>100</v>
      </c>
      <c r="I44" s="499" t="s">
        <v>3218</v>
      </c>
      <c r="J44" s="440">
        <f>SUMIF(127:127,I44,128:128)-SUMIF(127:127,C44,128:128)+100</f>
        <v>100</v>
      </c>
      <c r="K44" s="484"/>
      <c r="L44" s="2017"/>
      <c r="M44" s="2007"/>
      <c r="N44" s="2007"/>
      <c r="O44" s="2016"/>
      <c r="P44" s="3415" t="s">
        <v>490</v>
      </c>
      <c r="Q44" s="1460" t="str">
        <f t="shared" si="13"/>
        <v>工程地质条件</v>
      </c>
      <c r="R44" s="1461" t="s">
        <v>8</v>
      </c>
      <c r="S44" s="1462">
        <f t="shared" si="9"/>
        <v>100</v>
      </c>
      <c r="T44" s="1461" t="s">
        <v>8</v>
      </c>
      <c r="U44" s="1462">
        <f t="shared" si="10"/>
        <v>100</v>
      </c>
      <c r="V44" s="1461" t="s">
        <v>8</v>
      </c>
      <c r="W44" s="1462">
        <f t="shared" si="11"/>
        <v>100</v>
      </c>
      <c r="X44" s="1455"/>
      <c r="Y44" s="3415" t="s">
        <v>490</v>
      </c>
      <c r="Z44" s="1463" t="str">
        <f t="shared" si="12"/>
        <v>工程地质条件</v>
      </c>
      <c r="AA44" s="1464">
        <f t="shared" si="3"/>
        <v>1</v>
      </c>
      <c r="AB44" s="1464">
        <f t="shared" si="4"/>
        <v>1</v>
      </c>
      <c r="AC44" s="1464">
        <f t="shared" si="5"/>
        <v>1</v>
      </c>
    </row>
    <row r="45" spans="1:29" ht="20.25" hidden="1">
      <c r="A45" s="494"/>
      <c r="B45" s="3182" t="s">
        <v>3220</v>
      </c>
      <c r="C45" s="442"/>
      <c r="D45" s="440">
        <v>100</v>
      </c>
      <c r="E45" s="442"/>
      <c r="F45" s="440">
        <f>SUMIF(129:129,E45,130:130)-SUMIF(129:129,C45,130:130)+100</f>
        <v>100</v>
      </c>
      <c r="G45" s="442"/>
      <c r="H45" s="440">
        <f>SUMIF(129:129,G45,130:130)-SUMIF(129:129,C45,130:130)+100</f>
        <v>100</v>
      </c>
      <c r="I45" s="441"/>
      <c r="J45" s="440">
        <f>SUMIF(129:129,I45,130:130)-SUMIF(129:129,C45,130:130)+100</f>
        <v>100</v>
      </c>
      <c r="K45" s="481"/>
      <c r="L45" s="2017"/>
      <c r="M45" s="2007"/>
      <c r="N45" s="2007"/>
      <c r="O45" s="2016"/>
      <c r="P45" s="3415"/>
      <c r="Q45" s="1460" t="str">
        <f t="shared" si="13"/>
        <v>毗邻水系</v>
      </c>
      <c r="R45" s="1461" t="s">
        <v>8</v>
      </c>
      <c r="S45" s="1462">
        <f t="shared" si="9"/>
        <v>100</v>
      </c>
      <c r="T45" s="1461" t="s">
        <v>8</v>
      </c>
      <c r="U45" s="1462">
        <f t="shared" si="10"/>
        <v>100</v>
      </c>
      <c r="V45" s="1461" t="s">
        <v>8</v>
      </c>
      <c r="W45" s="1462">
        <f t="shared" si="11"/>
        <v>100</v>
      </c>
      <c r="X45" s="1455"/>
      <c r="Y45" s="3415"/>
      <c r="Z45" s="1463" t="str">
        <f t="shared" si="12"/>
        <v>毗邻水系</v>
      </c>
      <c r="AA45" s="1464">
        <f t="shared" si="3"/>
        <v>1</v>
      </c>
      <c r="AB45" s="1464">
        <f t="shared" si="4"/>
        <v>1</v>
      </c>
      <c r="AC45" s="1464">
        <f t="shared" si="5"/>
        <v>1</v>
      </c>
    </row>
    <row r="46" spans="1:29" ht="20.25" hidden="1">
      <c r="A46" s="494"/>
      <c r="B46" s="502"/>
      <c r="C46" s="442"/>
      <c r="D46" s="440">
        <v>100</v>
      </c>
      <c r="E46" s="442"/>
      <c r="F46" s="440">
        <f>SUMIF(131:131,E46,132:132)-SUMIF(131:131,C46,132:132)+100</f>
        <v>100</v>
      </c>
      <c r="G46" s="442"/>
      <c r="H46" s="440">
        <f>SUMIF(131:131,G46,132:132)-SUMIF(131:131,C46,132:132)+100</f>
        <v>100</v>
      </c>
      <c r="I46" s="441"/>
      <c r="J46" s="440">
        <f>SUMIF(131:131,I46,132:132)-SUMIF(131:131,C46,132:132)+100</f>
        <v>100</v>
      </c>
      <c r="K46" s="481"/>
      <c r="L46" s="2017"/>
      <c r="M46" s="2007"/>
      <c r="N46" s="2007"/>
      <c r="O46" s="2016"/>
      <c r="P46" s="3415"/>
      <c r="Q46" s="1460">
        <f t="shared" si="13"/>
        <v>0</v>
      </c>
      <c r="R46" s="1461" t="s">
        <v>8</v>
      </c>
      <c r="S46" s="1462">
        <f t="shared" si="9"/>
        <v>100</v>
      </c>
      <c r="T46" s="1461" t="s">
        <v>8</v>
      </c>
      <c r="U46" s="1462">
        <f t="shared" si="10"/>
        <v>100</v>
      </c>
      <c r="V46" s="1461" t="s">
        <v>8</v>
      </c>
      <c r="W46" s="1462">
        <f t="shared" si="11"/>
        <v>100</v>
      </c>
      <c r="X46" s="1455"/>
      <c r="Y46" s="3415"/>
      <c r="Z46" s="1463">
        <f t="shared" si="12"/>
        <v>0</v>
      </c>
      <c r="AA46" s="1464">
        <f t="shared" si="3"/>
        <v>1</v>
      </c>
      <c r="AB46" s="1464">
        <f t="shared" si="4"/>
        <v>1</v>
      </c>
      <c r="AC46" s="1464">
        <f t="shared" si="5"/>
        <v>1</v>
      </c>
    </row>
    <row r="47" spans="1:29" s="1227" customFormat="1" ht="21" hidden="1" thickBot="1">
      <c r="A47" s="503"/>
      <c r="B47" s="502"/>
      <c r="C47" s="504"/>
      <c r="D47" s="505">
        <v>100</v>
      </c>
      <c r="E47" s="442"/>
      <c r="F47" s="446">
        <f>SUMIF(133:133,E47,134:134)-SUMIF(133:133,C47,134:134)+100</f>
        <v>100</v>
      </c>
      <c r="G47" s="442"/>
      <c r="H47" s="446">
        <f>SUMIF(133:133,G47,134:134)-SUMIF(133:133,C47,134:134)+100</f>
        <v>100</v>
      </c>
      <c r="I47" s="442"/>
      <c r="J47" s="446">
        <f>SUMIF(133:133,I47,134:134)-SUMIF(133:133,C47,134:134)+100</f>
        <v>100</v>
      </c>
      <c r="K47" s="506"/>
      <c r="L47" s="2015"/>
      <c r="M47" s="2007"/>
      <c r="N47" s="2007"/>
      <c r="O47" s="2018"/>
      <c r="P47" s="3415"/>
      <c r="Q47" s="1460">
        <f t="shared" si="13"/>
        <v>0</v>
      </c>
      <c r="R47" s="1465" t="s">
        <v>8</v>
      </c>
      <c r="S47" s="1466">
        <f t="shared" si="9"/>
        <v>100</v>
      </c>
      <c r="T47" s="1465" t="s">
        <v>8</v>
      </c>
      <c r="U47" s="1466">
        <f t="shared" si="10"/>
        <v>100</v>
      </c>
      <c r="V47" s="1465" t="s">
        <v>8</v>
      </c>
      <c r="W47" s="1466">
        <f t="shared" si="11"/>
        <v>100</v>
      </c>
      <c r="X47" s="1467"/>
      <c r="Y47" s="3415"/>
      <c r="Z47" s="1468">
        <f t="shared" si="12"/>
        <v>0</v>
      </c>
      <c r="AA47" s="1464">
        <f t="shared" si="3"/>
        <v>1</v>
      </c>
      <c r="AB47" s="1464">
        <f t="shared" si="4"/>
        <v>1</v>
      </c>
      <c r="AC47" s="1464">
        <f t="shared" si="5"/>
        <v>1</v>
      </c>
    </row>
    <row r="48" spans="1:29" ht="20.25">
      <c r="A48" s="507" t="s">
        <v>496</v>
      </c>
      <c r="B48" s="508" t="s">
        <v>3221</v>
      </c>
      <c r="C48" s="509" t="s">
        <v>1</v>
      </c>
      <c r="D48" s="510"/>
      <c r="E48" s="511">
        <f>土地案例!O8</f>
        <v>9217.5</v>
      </c>
      <c r="F48" s="512"/>
      <c r="G48" s="513">
        <f>ROUND((土地案例!N14+土地案例!N13)*10000/(土地案例!G13+土地案例!G14),0)</f>
        <v>7500</v>
      </c>
      <c r="H48" s="514"/>
      <c r="I48" s="511">
        <f>土地案例!P15</f>
        <v>7632</v>
      </c>
      <c r="J48" s="514"/>
      <c r="K48" s="1228"/>
      <c r="L48" s="2019"/>
      <c r="M48" s="2007"/>
      <c r="N48" s="2007"/>
      <c r="O48" s="2020"/>
      <c r="P48" s="3378" t="str">
        <f>A48</f>
        <v>成交单价</v>
      </c>
      <c r="Q48" s="3378"/>
      <c r="R48" s="3379">
        <f>E48</f>
        <v>9217.5</v>
      </c>
      <c r="S48" s="3379"/>
      <c r="T48" s="3379">
        <f>G48</f>
        <v>7500</v>
      </c>
      <c r="U48" s="3379"/>
      <c r="V48" s="3379">
        <f>I48</f>
        <v>7632</v>
      </c>
      <c r="W48" s="3379"/>
      <c r="X48" s="1447"/>
      <c r="Y48" s="1469"/>
      <c r="Z48" s="1447"/>
      <c r="AA48" s="1447"/>
      <c r="AB48" s="1447"/>
      <c r="AC48" s="1447"/>
    </row>
    <row r="49" spans="1:29" ht="21" thickBot="1">
      <c r="A49" s="515" t="s">
        <v>2621</v>
      </c>
      <c r="B49" s="516"/>
      <c r="C49" s="517">
        <f>R50</f>
        <v>8472</v>
      </c>
      <c r="D49" s="518"/>
      <c r="E49" s="517">
        <f>R49</f>
        <v>8333</v>
      </c>
      <c r="F49" s="519"/>
      <c r="G49" s="520">
        <f>T49</f>
        <v>8763</v>
      </c>
      <c r="H49" s="518"/>
      <c r="I49" s="517">
        <f>V49</f>
        <v>8320</v>
      </c>
      <c r="J49" s="518"/>
      <c r="K49" s="1229"/>
      <c r="L49" s="2019"/>
      <c r="M49" s="2007"/>
      <c r="N49" s="2007"/>
      <c r="O49" s="2020"/>
      <c r="P49" s="3378" t="str">
        <f>A49</f>
        <v>比较价格（元/平方米）</v>
      </c>
      <c r="Q49" s="3378"/>
      <c r="R49" s="3380">
        <f>ROUND(PRODUCT(R48,AA9:AA47),0)</f>
        <v>8333</v>
      </c>
      <c r="S49" s="3380"/>
      <c r="T49" s="3380">
        <f>ROUND(PRODUCT(T48,AB9:AB47),0)</f>
        <v>8763</v>
      </c>
      <c r="U49" s="3380"/>
      <c r="V49" s="3380">
        <f>ROUND(PRODUCT(V48,AC9:AC47),0)</f>
        <v>8320</v>
      </c>
      <c r="W49" s="3380"/>
      <c r="X49" s="1447"/>
      <c r="Y49" s="1447"/>
      <c r="Z49" s="1447"/>
      <c r="AA49" s="1447"/>
      <c r="AB49" s="1447"/>
      <c r="AC49" s="1447"/>
    </row>
    <row r="50" spans="1:29" ht="21" thickBot="1">
      <c r="A50" s="521" t="s">
        <v>3013</v>
      </c>
      <c r="B50" s="522"/>
      <c r="C50" s="523">
        <f>R50</f>
        <v>8472</v>
      </c>
      <c r="D50" s="523"/>
      <c r="E50" s="523"/>
      <c r="F50" s="523"/>
      <c r="G50" s="523"/>
      <c r="H50" s="523"/>
      <c r="I50" s="523"/>
      <c r="J50" s="523"/>
      <c r="K50" s="1230"/>
      <c r="L50" s="2019"/>
      <c r="M50" s="2007"/>
      <c r="N50" s="2007"/>
      <c r="O50" s="2020"/>
      <c r="P50" s="3375" t="str">
        <f>A50</f>
        <v>比较价格（楼面单价，元/平方米）</v>
      </c>
      <c r="Q50" s="3376"/>
      <c r="R50" s="3377">
        <f>ROUND(AVERAGE(R49:V49),0)</f>
        <v>8472</v>
      </c>
      <c r="S50" s="3377"/>
      <c r="T50" s="3377"/>
      <c r="U50" s="3377"/>
      <c r="V50" s="3377"/>
      <c r="W50" s="3377"/>
      <c r="X50" s="1447"/>
      <c r="Y50" s="1447"/>
      <c r="Z50" s="1447"/>
      <c r="AA50" s="1447"/>
      <c r="AB50" s="1447"/>
      <c r="AC50" s="1447"/>
    </row>
    <row r="51" spans="1:29" ht="20.25" hidden="1">
      <c r="A51" s="2020"/>
      <c r="B51" s="2020"/>
      <c r="C51" s="2020"/>
      <c r="D51" s="2020"/>
      <c r="E51" s="2020"/>
      <c r="F51" s="2020"/>
      <c r="G51" s="2023"/>
      <c r="H51" s="2020"/>
      <c r="I51" s="2020"/>
      <c r="J51" s="2020"/>
      <c r="K51" s="2024"/>
      <c r="L51" s="2025"/>
      <c r="M51" s="2007"/>
      <c r="N51" s="2007"/>
      <c r="O51" s="2020"/>
      <c r="P51" s="1447"/>
      <c r="Q51" s="2020"/>
      <c r="R51" s="2020"/>
      <c r="S51" s="2020"/>
      <c r="T51" s="2020"/>
      <c r="U51" s="2020"/>
      <c r="V51" s="2020"/>
      <c r="W51" s="2020"/>
      <c r="X51" s="2020"/>
      <c r="Y51" s="2020"/>
      <c r="Z51" s="2020"/>
      <c r="AA51" s="2020"/>
      <c r="AB51" s="2020"/>
      <c r="AC51" s="2020"/>
    </row>
    <row r="52" spans="1:29" ht="20.25" hidden="1">
      <c r="A52" s="2020"/>
      <c r="B52" s="2020"/>
      <c r="C52" s="2020"/>
      <c r="D52" s="2020"/>
      <c r="E52" s="2020"/>
      <c r="F52" s="2020"/>
      <c r="G52" s="2020"/>
      <c r="H52" s="2020"/>
      <c r="I52" s="2020"/>
      <c r="J52" s="2020"/>
      <c r="K52" s="2024"/>
      <c r="L52" s="2025"/>
      <c r="M52" s="2007"/>
      <c r="N52" s="2007"/>
      <c r="O52" s="2020"/>
      <c r="P52" s="1447"/>
      <c r="Q52" s="2020"/>
      <c r="R52" s="2020"/>
      <c r="S52" s="2020"/>
      <c r="T52" s="2020"/>
      <c r="U52" s="2020"/>
      <c r="V52" s="2020"/>
      <c r="W52" s="2020"/>
      <c r="X52" s="2020"/>
      <c r="Y52" s="2020"/>
      <c r="Z52" s="2020"/>
      <c r="AA52" s="2020"/>
      <c r="AB52" s="2020"/>
      <c r="AC52" s="2020"/>
    </row>
    <row r="53" spans="1:29" ht="20.25">
      <c r="A53" s="2020"/>
      <c r="B53" s="2020"/>
      <c r="C53" s="524" t="s">
        <v>497</v>
      </c>
      <c r="D53" s="525"/>
      <c r="E53" s="526">
        <f>IF(E48&lt;E49,E49/E48-1,E48/E49-1)</f>
        <v>0.10614424576983073</v>
      </c>
      <c r="F53" s="527" t="str">
        <f>IF(OR(E53&gt;=0.3,E53&lt;=-0.3),"超过30%","")</f>
        <v/>
      </c>
      <c r="G53" s="526">
        <f>IF(G48&lt;G49,G49/G48-1,G48/G49-1)</f>
        <v>0.16840000000000011</v>
      </c>
      <c r="H53" s="527" t="str">
        <f>IF(OR(G53&gt;=0.3,G53&lt;=-0.3),"超过30%","")</f>
        <v/>
      </c>
      <c r="I53" s="526">
        <f>IF(I48&lt;I49,I49/I48-1,I48/I49-1)</f>
        <v>9.0146750524108921E-2</v>
      </c>
      <c r="J53" s="527" t="str">
        <f>IF(OR(I53&gt;=0.3,I53&lt;=-0.3),"超过30%","")</f>
        <v/>
      </c>
      <c r="K53" s="2024"/>
      <c r="L53" s="2025"/>
      <c r="M53" s="2007"/>
      <c r="N53" s="2007"/>
      <c r="O53" s="2020"/>
      <c r="P53" s="1447"/>
      <c r="Q53" s="2020"/>
      <c r="R53" s="2020"/>
      <c r="S53" s="2020"/>
      <c r="T53" s="2020"/>
      <c r="U53" s="2020"/>
      <c r="V53" s="2020"/>
      <c r="W53" s="2020"/>
      <c r="X53" s="2020"/>
      <c r="Y53" s="2020"/>
      <c r="Z53" s="2020"/>
      <c r="AA53" s="2020"/>
      <c r="AB53" s="2020"/>
      <c r="AC53" s="2020"/>
    </row>
    <row r="54" spans="1:29" ht="20.25">
      <c r="A54" s="2020"/>
      <c r="B54" s="2020"/>
      <c r="C54" s="524" t="s">
        <v>498</v>
      </c>
      <c r="D54" s="528"/>
      <c r="E54" s="526">
        <f>IF(E49&lt;G49,G49/E49-1,E49/G49-1)</f>
        <v>5.1602064082563404E-2</v>
      </c>
      <c r="F54" s="527" t="str">
        <f>IF(OR(E54&gt;=0.2,E54&lt;=-0.2),"超过20%","")</f>
        <v/>
      </c>
      <c r="G54" s="526">
        <f>IF(G49&lt;I49,I49/G49-1,G49/I49-1)</f>
        <v>5.3245192307692202E-2</v>
      </c>
      <c r="H54" s="527" t="str">
        <f>IF(OR(G54&gt;=0.2,G54&lt;=-0.2),"超过20%","")</f>
        <v/>
      </c>
      <c r="I54" s="526">
        <f>IF(I49&lt;E49,E49/I49-1,I49/E49-1)</f>
        <v>1.5624999999999112E-3</v>
      </c>
      <c r="J54" s="527" t="str">
        <f>IF(OR(I54&gt;=0.2,I54&lt;=-0.2),"超过20%","")</f>
        <v/>
      </c>
      <c r="K54" s="2024"/>
      <c r="L54" s="2025"/>
      <c r="M54" s="2007"/>
      <c r="N54" s="2007"/>
      <c r="O54" s="2020"/>
      <c r="P54" s="1447"/>
      <c r="Q54" s="2020"/>
      <c r="R54" s="2020"/>
      <c r="S54" s="2020"/>
      <c r="T54" s="2020"/>
      <c r="U54" s="2020"/>
      <c r="V54" s="2020"/>
      <c r="W54" s="2020"/>
      <c r="X54" s="2020"/>
      <c r="Y54" s="2020"/>
      <c r="Z54" s="2020"/>
      <c r="AA54" s="2020"/>
      <c r="AB54" s="2020"/>
      <c r="AC54" s="2020"/>
    </row>
    <row r="55" spans="1:29" s="1233" customFormat="1" ht="20.25">
      <c r="A55" s="2021"/>
      <c r="B55" s="2021"/>
      <c r="C55" s="524" t="s">
        <v>499</v>
      </c>
      <c r="D55" s="528"/>
      <c r="E55" s="526">
        <f>IF(E48&lt;G48,G48/E48-1,E48/G48-1)</f>
        <v>0.22900000000000009</v>
      </c>
      <c r="F55" s="527" t="str">
        <f>IF(OR(E55&gt;=0.3,E55&lt;=-0.3),"超过30%","")</f>
        <v/>
      </c>
      <c r="G55" s="526">
        <f>IF(G48&lt;I48,I48/G48-1,G48/I48-1)</f>
        <v>1.760000000000006E-2</v>
      </c>
      <c r="H55" s="527" t="str">
        <f>IF(OR(G55&gt;=0.3,G55&lt;=-0.3),"超过30%","")</f>
        <v/>
      </c>
      <c r="I55" s="526">
        <f>IF(I48&lt;E48,E48/I48-1,I48/E48-1)</f>
        <v>0.20774371069182385</v>
      </c>
      <c r="J55" s="527" t="str">
        <f>IF(OR(I55&gt;=0.3,I55&lt;=-0.3),"超过30%","")</f>
        <v/>
      </c>
      <c r="K55" s="2027"/>
      <c r="L55" s="2028"/>
      <c r="M55" s="2007"/>
      <c r="N55" s="2007"/>
      <c r="O55" s="2021"/>
      <c r="P55" s="1445"/>
      <c r="Q55" s="2021"/>
      <c r="R55" s="2021"/>
      <c r="S55" s="2021"/>
      <c r="T55" s="2021"/>
      <c r="U55" s="2021"/>
      <c r="V55" s="2021"/>
      <c r="W55" s="2021"/>
      <c r="X55" s="2021"/>
      <c r="Y55" s="2021"/>
      <c r="Z55" s="2021"/>
      <c r="AA55" s="2021"/>
      <c r="AB55" s="2021"/>
      <c r="AC55" s="2021"/>
    </row>
    <row r="56" spans="1:29" s="1233" customFormat="1" ht="21" thickBot="1">
      <c r="A56" s="2021"/>
      <c r="B56" s="2022"/>
      <c r="C56" s="2026"/>
      <c r="D56" s="2021"/>
      <c r="E56" s="2021"/>
      <c r="F56" s="2021"/>
      <c r="G56" s="2021"/>
      <c r="H56" s="2021"/>
      <c r="I56" s="2021"/>
      <c r="J56" s="2021"/>
      <c r="K56" s="2027"/>
      <c r="L56" s="2028"/>
      <c r="M56" s="2007"/>
      <c r="N56" s="2007"/>
      <c r="O56" s="2021"/>
      <c r="P56" s="1445"/>
      <c r="Q56" s="2021"/>
      <c r="R56" s="2021"/>
      <c r="S56" s="2021"/>
      <c r="T56" s="2021"/>
      <c r="U56" s="2021"/>
      <c r="V56" s="2021"/>
      <c r="W56" s="2021"/>
      <c r="X56" s="2021"/>
      <c r="Y56" s="2021"/>
      <c r="Z56" s="2021"/>
      <c r="AA56" s="2021"/>
      <c r="AB56" s="2021"/>
      <c r="AC56" s="2021"/>
    </row>
    <row r="57" spans="1:29" ht="27">
      <c r="A57" s="529" t="s">
        <v>500</v>
      </c>
      <c r="B57" s="530" t="s">
        <v>501</v>
      </c>
      <c r="C57" s="1448" t="s">
        <v>1657</v>
      </c>
      <c r="D57" s="2102" t="s">
        <v>2224</v>
      </c>
      <c r="E57" s="531" t="s">
        <v>502</v>
      </c>
      <c r="F57" s="532" t="s">
        <v>503</v>
      </c>
      <c r="G57" s="3404" t="s">
        <v>2213</v>
      </c>
      <c r="H57" s="3405"/>
      <c r="I57" s="1443" t="s">
        <v>1655</v>
      </c>
      <c r="J57" s="1443" t="str">
        <f>项目基本情况!F41</f>
        <v>浙江省嘉兴市嘉善县</v>
      </c>
      <c r="K57" s="2029" t="s">
        <v>1656</v>
      </c>
      <c r="L57" s="2025"/>
      <c r="M57" s="2020"/>
      <c r="N57" s="2020"/>
      <c r="O57" s="2020"/>
      <c r="P57" s="2020"/>
      <c r="Q57" s="2020"/>
      <c r="R57" s="2020"/>
      <c r="S57" s="2020"/>
      <c r="T57" s="2020"/>
      <c r="U57" s="2020"/>
      <c r="V57" s="2020"/>
      <c r="W57" s="2020"/>
      <c r="X57" s="2020"/>
      <c r="Y57" s="2020"/>
      <c r="Z57" s="2020"/>
      <c r="AA57" s="2020"/>
      <c r="AB57" s="2020"/>
      <c r="AC57" s="2020"/>
    </row>
    <row r="58" spans="1:29" s="1234" customFormat="1" ht="12.75">
      <c r="A58" s="533" t="s">
        <v>504</v>
      </c>
      <c r="B58" s="534">
        <f>C50</f>
        <v>8472</v>
      </c>
      <c r="C58" s="535">
        <v>1</v>
      </c>
      <c r="D58" s="2103">
        <v>1</v>
      </c>
      <c r="E58" s="535">
        <f>'数据-汇总表'!E8+'数据-汇总表'!E9</f>
        <v>58058</v>
      </c>
      <c r="F58" s="536">
        <f t="shared" ref="F58:F67" si="14">ROUND(B58*E58/10000,0)</f>
        <v>49187</v>
      </c>
      <c r="G58" s="3406"/>
      <c r="H58" s="3407"/>
      <c r="I58" s="1444">
        <v>1</v>
      </c>
      <c r="J58" s="1444">
        <v>1</v>
      </c>
      <c r="K58" s="2030"/>
      <c r="L58" s="2030"/>
      <c r="M58" s="2030"/>
      <c r="N58" s="2030"/>
      <c r="O58" s="2030"/>
      <c r="P58" s="2030"/>
      <c r="Q58" s="2030"/>
      <c r="R58" s="2030"/>
      <c r="S58" s="2030"/>
      <c r="T58" s="2030"/>
      <c r="U58" s="2030"/>
      <c r="V58" s="2030"/>
      <c r="W58" s="2030"/>
      <c r="X58" s="2030"/>
      <c r="Y58" s="2030"/>
      <c r="Z58" s="2030"/>
      <c r="AA58" s="2030"/>
      <c r="AB58" s="2030"/>
      <c r="AC58" s="2030"/>
    </row>
    <row r="59" spans="1:29" s="1234" customFormat="1" ht="12.75">
      <c r="A59" s="537" t="s">
        <v>505</v>
      </c>
      <c r="B59" s="538">
        <f>ROUND($C$50*C59*D59,0)</f>
        <v>0</v>
      </c>
      <c r="C59" s="278">
        <f t="shared" ref="C59:C67" si="15">IF($C$57="北京市系数",I59,J59)</f>
        <v>0</v>
      </c>
      <c r="D59" s="2104">
        <v>0.25</v>
      </c>
      <c r="E59" s="539">
        <v>0</v>
      </c>
      <c r="F59" s="536">
        <f t="shared" si="14"/>
        <v>0</v>
      </c>
      <c r="G59" s="3408" t="s">
        <v>2214</v>
      </c>
      <c r="H59" s="1830">
        <f>项目基本情况!B43</f>
        <v>0</v>
      </c>
      <c r="I59" s="1444">
        <f>SUMIF(修正!$A$45:$A$56,H59,修正!B45:B56)</f>
        <v>0</v>
      </c>
      <c r="J59" s="1446"/>
      <c r="K59" s="2030"/>
      <c r="L59" s="2030"/>
      <c r="M59" s="2030"/>
      <c r="N59" s="2030"/>
      <c r="O59" s="2030"/>
      <c r="P59" s="2030"/>
      <c r="Q59" s="2030"/>
      <c r="R59" s="2030"/>
      <c r="S59" s="2030"/>
      <c r="T59" s="2030"/>
      <c r="U59" s="2030"/>
      <c r="V59" s="2030"/>
      <c r="W59" s="2030"/>
      <c r="X59" s="2030"/>
      <c r="Y59" s="2030"/>
      <c r="Z59" s="2030"/>
      <c r="AA59" s="2030"/>
      <c r="AB59" s="2030"/>
      <c r="AC59" s="2030"/>
    </row>
    <row r="60" spans="1:29" s="1234" customFormat="1" ht="12.75">
      <c r="A60" s="537" t="s">
        <v>506</v>
      </c>
      <c r="B60" s="538">
        <f t="shared" ref="B60:B67" si="16">ROUND($C$50*C60*D60,0)</f>
        <v>0</v>
      </c>
      <c r="C60" s="278">
        <f t="shared" si="15"/>
        <v>0</v>
      </c>
      <c r="D60" s="2104">
        <v>0.25</v>
      </c>
      <c r="E60" s="539">
        <v>0</v>
      </c>
      <c r="F60" s="536">
        <f t="shared" si="14"/>
        <v>0</v>
      </c>
      <c r="G60" s="3408"/>
      <c r="H60" s="1830">
        <f>项目基本情况!B43</f>
        <v>0</v>
      </c>
      <c r="I60" s="1444">
        <f>SUMIF(修正!$A$45:$A$56,H60,修正!C45:C56)</f>
        <v>0</v>
      </c>
      <c r="J60" s="1446"/>
      <c r="K60" s="2030"/>
      <c r="L60" s="2030"/>
      <c r="M60" s="2030"/>
      <c r="N60" s="2030"/>
      <c r="O60" s="2030"/>
      <c r="P60" s="2030"/>
      <c r="Q60" s="2030"/>
      <c r="R60" s="2030"/>
      <c r="S60" s="2030"/>
      <c r="T60" s="2030"/>
      <c r="U60" s="2030"/>
      <c r="V60" s="2030"/>
      <c r="W60" s="2030"/>
      <c r="X60" s="2030"/>
      <c r="Y60" s="2030"/>
      <c r="Z60" s="2030"/>
      <c r="AA60" s="2030"/>
      <c r="AB60" s="2030"/>
      <c r="AC60" s="2030"/>
    </row>
    <row r="61" spans="1:29" s="1234" customFormat="1" ht="12.75">
      <c r="A61" s="537" t="s">
        <v>507</v>
      </c>
      <c r="B61" s="538">
        <f t="shared" si="16"/>
        <v>0</v>
      </c>
      <c r="C61" s="278">
        <f t="shared" si="15"/>
        <v>0</v>
      </c>
      <c r="D61" s="2104">
        <v>0.25</v>
      </c>
      <c r="E61" s="539">
        <v>0</v>
      </c>
      <c r="F61" s="536">
        <f t="shared" si="14"/>
        <v>0</v>
      </c>
      <c r="G61" s="3408"/>
      <c r="H61" s="1830">
        <f>项目基本情况!B43</f>
        <v>0</v>
      </c>
      <c r="I61" s="1444">
        <f>SUMIF(修正!$A$45:$A$56,H61,修正!D45:D56)</f>
        <v>0</v>
      </c>
      <c r="J61" s="1446"/>
      <c r="K61" s="2030"/>
      <c r="L61" s="2030"/>
      <c r="M61" s="2030"/>
      <c r="N61" s="2030"/>
      <c r="O61" s="2030"/>
      <c r="P61" s="2030"/>
      <c r="Q61" s="2030"/>
      <c r="R61" s="2030"/>
      <c r="S61" s="2030"/>
      <c r="T61" s="2030"/>
      <c r="U61" s="2030"/>
      <c r="V61" s="2030"/>
      <c r="W61" s="2030"/>
      <c r="X61" s="2030"/>
      <c r="Y61" s="2030"/>
      <c r="Z61" s="2030"/>
      <c r="AA61" s="2030"/>
      <c r="AB61" s="2030"/>
      <c r="AC61" s="2030"/>
    </row>
    <row r="62" spans="1:29" s="1234" customFormat="1" ht="12.75">
      <c r="A62" s="537" t="s">
        <v>508</v>
      </c>
      <c r="B62" s="538">
        <f t="shared" si="16"/>
        <v>0</v>
      </c>
      <c r="C62" s="278">
        <f t="shared" si="15"/>
        <v>0</v>
      </c>
      <c r="D62" s="2104">
        <v>0.25</v>
      </c>
      <c r="E62" s="539">
        <v>0</v>
      </c>
      <c r="F62" s="536">
        <f t="shared" si="14"/>
        <v>0</v>
      </c>
      <c r="G62" s="3408"/>
      <c r="H62" s="1830">
        <f>项目基本情况!B43</f>
        <v>0</v>
      </c>
      <c r="I62" s="1444">
        <f>SUMIF(修正!$A$45:$A$56,H62,修正!E45:E56)</f>
        <v>0</v>
      </c>
      <c r="J62" s="1446"/>
      <c r="K62" s="2030"/>
      <c r="L62" s="2030"/>
      <c r="M62" s="2030"/>
      <c r="N62" s="2030"/>
      <c r="O62" s="2030"/>
      <c r="P62" s="2030"/>
      <c r="Q62" s="2030"/>
      <c r="R62" s="2030"/>
      <c r="S62" s="2030"/>
      <c r="T62" s="2030"/>
      <c r="U62" s="2030"/>
      <c r="V62" s="2030"/>
      <c r="W62" s="2030"/>
      <c r="X62" s="2030"/>
      <c r="Y62" s="2030"/>
      <c r="Z62" s="2030"/>
      <c r="AA62" s="2030"/>
      <c r="AB62" s="2030"/>
      <c r="AC62" s="2030"/>
    </row>
    <row r="63" spans="1:29" s="1234" customFormat="1" ht="12.75">
      <c r="A63" s="2182" t="s">
        <v>2259</v>
      </c>
      <c r="B63" s="538">
        <f t="shared" si="16"/>
        <v>0</v>
      </c>
      <c r="C63" s="278">
        <f t="shared" si="15"/>
        <v>0</v>
      </c>
      <c r="D63" s="2104">
        <v>0.25</v>
      </c>
      <c r="E63" s="541">
        <f>'数据-汇总表'!E11</f>
        <v>0</v>
      </c>
      <c r="F63" s="536">
        <f t="shared" si="14"/>
        <v>0</v>
      </c>
      <c r="G63" s="1827" t="s">
        <v>2215</v>
      </c>
      <c r="H63" s="1830">
        <f>项目基本情况!C43</f>
        <v>0</v>
      </c>
      <c r="I63" s="1444">
        <f>SUMIF(修正!$A$45:$A$56,H63,修正!F45:F56)</f>
        <v>0</v>
      </c>
      <c r="J63" s="1446"/>
      <c r="K63" s="2030"/>
      <c r="L63" s="2030"/>
      <c r="M63" s="2030"/>
      <c r="N63" s="2030"/>
      <c r="O63" s="2030"/>
      <c r="P63" s="2030"/>
      <c r="Q63" s="2030"/>
      <c r="R63" s="2030"/>
      <c r="S63" s="2030"/>
      <c r="T63" s="2030"/>
      <c r="U63" s="2030"/>
      <c r="V63" s="2030"/>
      <c r="W63" s="2030"/>
      <c r="X63" s="2030"/>
      <c r="Y63" s="2030"/>
      <c r="Z63" s="2030"/>
      <c r="AA63" s="2030"/>
      <c r="AB63" s="2030"/>
      <c r="AC63" s="2030"/>
    </row>
    <row r="64" spans="1:29" s="1234" customFormat="1" ht="12.75">
      <c r="A64" s="537" t="s">
        <v>509</v>
      </c>
      <c r="B64" s="538">
        <f t="shared" si="16"/>
        <v>0</v>
      </c>
      <c r="C64" s="278">
        <f t="shared" si="15"/>
        <v>0</v>
      </c>
      <c r="D64" s="2104">
        <v>0.25</v>
      </c>
      <c r="E64" s="541">
        <f>'数据-汇总表'!E12</f>
        <v>0</v>
      </c>
      <c r="F64" s="536">
        <f t="shared" si="14"/>
        <v>0</v>
      </c>
      <c r="G64" s="1828" t="s">
        <v>1610</v>
      </c>
      <c r="H64" s="1826">
        <f>IF(G64="商业",项目基本情况!B43,IF(G64="办公",项目基本情况!C43,IF(G64="住宅",项目基本情况!D43,项目基本情况!E43)))</f>
        <v>0</v>
      </c>
      <c r="I64" s="1444">
        <f>SUMIF(修正!$A$45:$A$56,H64,修正!G45:G56)</f>
        <v>0</v>
      </c>
      <c r="J64" s="1446"/>
      <c r="K64" s="2030"/>
      <c r="L64" s="2030"/>
      <c r="M64" s="2030"/>
      <c r="N64" s="2030"/>
      <c r="O64" s="2030"/>
      <c r="P64" s="2030"/>
      <c r="Q64" s="2030"/>
      <c r="R64" s="2030"/>
      <c r="S64" s="2030"/>
      <c r="T64" s="2030"/>
      <c r="U64" s="2030"/>
      <c r="V64" s="2030"/>
      <c r="W64" s="2030"/>
      <c r="X64" s="2030"/>
      <c r="Y64" s="2030"/>
      <c r="Z64" s="2030"/>
      <c r="AA64" s="2030"/>
      <c r="AB64" s="2030"/>
      <c r="AC64" s="2030"/>
    </row>
    <row r="65" spans="1:29" s="1234" customFormat="1" ht="12.75">
      <c r="A65" s="537" t="s">
        <v>510</v>
      </c>
      <c r="B65" s="538">
        <f t="shared" si="16"/>
        <v>0</v>
      </c>
      <c r="C65" s="278">
        <f t="shared" si="15"/>
        <v>0</v>
      </c>
      <c r="D65" s="2104">
        <v>0.25</v>
      </c>
      <c r="E65" s="541">
        <f>'数据-汇总表'!E13</f>
        <v>14467</v>
      </c>
      <c r="F65" s="536">
        <f t="shared" si="14"/>
        <v>0</v>
      </c>
      <c r="G65" s="1828" t="s">
        <v>855</v>
      </c>
      <c r="H65" s="1826">
        <f>IF(G65="商业",项目基本情况!B43,IF(G65="办公",项目基本情况!C43,IF(G65="住宅",项目基本情况!D43,项目基本情况!E43)))</f>
        <v>0</v>
      </c>
      <c r="I65" s="1444">
        <f>SUMIF(修正!$A$45:$A$56,H65,修正!H45:H56)</f>
        <v>0</v>
      </c>
      <c r="J65" s="1446"/>
      <c r="K65" s="2030"/>
      <c r="L65" s="2030"/>
      <c r="M65" s="2030"/>
      <c r="N65" s="2030"/>
      <c r="O65" s="2030"/>
      <c r="P65" s="2030"/>
      <c r="Q65" s="2030"/>
      <c r="R65" s="2030"/>
      <c r="S65" s="2030"/>
      <c r="T65" s="2030"/>
      <c r="U65" s="2030"/>
      <c r="V65" s="2030"/>
      <c r="W65" s="2030"/>
      <c r="X65" s="2030"/>
      <c r="Y65" s="2030"/>
      <c r="Z65" s="2030"/>
      <c r="AA65" s="2030"/>
      <c r="AB65" s="2030"/>
      <c r="AC65" s="2030"/>
    </row>
    <row r="66" spans="1:29" s="1234" customFormat="1" ht="12.75">
      <c r="A66" s="537" t="s">
        <v>511</v>
      </c>
      <c r="B66" s="538">
        <f t="shared" si="16"/>
        <v>0</v>
      </c>
      <c r="C66" s="278">
        <f t="shared" si="15"/>
        <v>0</v>
      </c>
      <c r="D66" s="2104">
        <v>0.25</v>
      </c>
      <c r="E66" s="541">
        <f>'数据-汇总表'!E14</f>
        <v>0</v>
      </c>
      <c r="F66" s="536">
        <f t="shared" si="14"/>
        <v>0</v>
      </c>
      <c r="G66" s="1827" t="s">
        <v>2214</v>
      </c>
      <c r="H66" s="1830">
        <f>项目基本情况!B43</f>
        <v>0</v>
      </c>
      <c r="I66" s="1444">
        <f>SUMIF(修正!$A$45:$A$56,H66,修正!H45:H56)</f>
        <v>0</v>
      </c>
      <c r="J66" s="1446"/>
      <c r="K66" s="2030"/>
      <c r="L66" s="2030"/>
      <c r="M66" s="2030"/>
      <c r="N66" s="2030"/>
      <c r="O66" s="2030"/>
      <c r="P66" s="2030"/>
      <c r="Q66" s="2030"/>
      <c r="R66" s="2030"/>
      <c r="S66" s="2030"/>
      <c r="T66" s="2030"/>
      <c r="U66" s="2030"/>
      <c r="V66" s="2030"/>
      <c r="W66" s="2030"/>
      <c r="X66" s="2030"/>
      <c r="Y66" s="2030"/>
      <c r="Z66" s="2030"/>
      <c r="AA66" s="2030"/>
      <c r="AB66" s="2030"/>
      <c r="AC66" s="2030"/>
    </row>
    <row r="67" spans="1:29" s="1234" customFormat="1" ht="13.5" thickBot="1">
      <c r="A67" s="537" t="s">
        <v>512</v>
      </c>
      <c r="B67" s="538">
        <f t="shared" si="16"/>
        <v>0</v>
      </c>
      <c r="C67" s="278">
        <f t="shared" si="15"/>
        <v>0</v>
      </c>
      <c r="D67" s="2104">
        <v>0.25</v>
      </c>
      <c r="E67" s="541">
        <f>'数据-汇总表'!E15</f>
        <v>0</v>
      </c>
      <c r="F67" s="536">
        <f t="shared" si="14"/>
        <v>0</v>
      </c>
      <c r="G67" s="1829" t="s">
        <v>2215</v>
      </c>
      <c r="H67" s="1831">
        <f>项目基本情况!C43</f>
        <v>0</v>
      </c>
      <c r="I67" s="1444">
        <f>SUMIF(修正!$A$45:$A$56,H67,修正!H45:H56)</f>
        <v>0</v>
      </c>
      <c r="J67" s="1446"/>
      <c r="K67" s="2030"/>
      <c r="L67" s="2030"/>
      <c r="M67" s="2030"/>
      <c r="N67" s="2030"/>
      <c r="O67" s="2030"/>
      <c r="P67" s="2030"/>
      <c r="Q67" s="2030"/>
      <c r="R67" s="2030"/>
      <c r="S67" s="2030"/>
      <c r="T67" s="2030"/>
      <c r="U67" s="2030"/>
      <c r="V67" s="2030"/>
      <c r="W67" s="2030"/>
      <c r="X67" s="2030"/>
      <c r="Y67" s="2030"/>
      <c r="Z67" s="2030"/>
      <c r="AA67" s="2030"/>
      <c r="AB67" s="2030"/>
      <c r="AC67" s="2030"/>
    </row>
    <row r="68" spans="1:29" s="1234" customFormat="1" ht="13.5" thickBot="1">
      <c r="A68" s="542" t="s">
        <v>513</v>
      </c>
      <c r="B68" s="543" t="s">
        <v>17</v>
      </c>
      <c r="C68" s="543" t="s">
        <v>18</v>
      </c>
      <c r="D68" s="543" t="s">
        <v>2225</v>
      </c>
      <c r="E68" s="543">
        <f>IF(B48="楼面地价",SUM(E58:E67),'数据-汇总表'!D3)</f>
        <v>72525</v>
      </c>
      <c r="F68" s="544">
        <f>IF(B48="楼面地价",SUM(F58:F67),ROUND(C50*E68/10000,0))</f>
        <v>49187</v>
      </c>
      <c r="G68" s="2031"/>
      <c r="H68" s="2031"/>
      <c r="I68" s="2031"/>
      <c r="J68" s="2031"/>
      <c r="K68" s="2031"/>
      <c r="L68" s="2030"/>
      <c r="M68" s="2030"/>
      <c r="N68" s="2030"/>
      <c r="O68" s="2030"/>
      <c r="P68" s="2030"/>
      <c r="Q68" s="2030"/>
      <c r="R68" s="2030"/>
      <c r="S68" s="2030"/>
      <c r="T68" s="2030"/>
      <c r="U68" s="2030"/>
      <c r="V68" s="2030"/>
      <c r="W68" s="2030"/>
      <c r="X68" s="2030"/>
      <c r="Y68" s="2030"/>
      <c r="Z68" s="2030"/>
      <c r="AA68" s="2030"/>
      <c r="AB68" s="2030"/>
      <c r="AC68" s="2030"/>
    </row>
    <row r="69" spans="1:29">
      <c r="A69" s="2020"/>
      <c r="B69" s="2022"/>
      <c r="C69" s="2026"/>
      <c r="D69" s="2020"/>
      <c r="E69" s="2020"/>
      <c r="F69" s="2020"/>
      <c r="G69" s="2020"/>
      <c r="H69" s="2020"/>
      <c r="I69" s="2020"/>
      <c r="J69" s="2020"/>
      <c r="K69" s="2024"/>
      <c r="L69" s="2025"/>
      <c r="M69" s="2020"/>
      <c r="N69" s="2020"/>
      <c r="O69" s="2020"/>
      <c r="P69" s="2020"/>
      <c r="Q69" s="2020"/>
      <c r="R69" s="2020"/>
      <c r="S69" s="2020"/>
      <c r="T69" s="2020"/>
      <c r="U69" s="2020"/>
      <c r="V69" s="2020"/>
      <c r="W69" s="2020"/>
      <c r="X69" s="2020"/>
      <c r="Y69" s="2020"/>
      <c r="Z69" s="2020"/>
      <c r="AA69" s="2020"/>
      <c r="AB69" s="2020"/>
      <c r="AC69" s="2020"/>
    </row>
    <row r="70" spans="1:29">
      <c r="A70" s="2020"/>
      <c r="B70" s="2022"/>
      <c r="C70" s="2664" t="str">
        <f>YEAR(C9)&amp;"-"&amp;MONTH(C9)&amp;"-1"</f>
        <v>2018-5-1</v>
      </c>
      <c r="D70" s="2664">
        <f>EDATE(C70,-3)</f>
        <v>43132</v>
      </c>
      <c r="E70" s="2664">
        <f t="shared" ref="E70:N70" si="17">EDATE(D70,-3)</f>
        <v>43040</v>
      </c>
      <c r="F70" s="2664">
        <f t="shared" si="17"/>
        <v>42948</v>
      </c>
      <c r="G70" s="2664">
        <f t="shared" si="17"/>
        <v>42856</v>
      </c>
      <c r="H70" s="2664">
        <f t="shared" si="17"/>
        <v>42767</v>
      </c>
      <c r="I70" s="2664">
        <f t="shared" si="17"/>
        <v>42675</v>
      </c>
      <c r="J70" s="2664">
        <f t="shared" si="17"/>
        <v>42583</v>
      </c>
      <c r="K70" s="2664">
        <f t="shared" si="17"/>
        <v>42491</v>
      </c>
      <c r="L70" s="2664">
        <f t="shared" si="17"/>
        <v>42401</v>
      </c>
      <c r="M70" s="2664">
        <f t="shared" si="17"/>
        <v>42309</v>
      </c>
      <c r="N70" s="2664">
        <f t="shared" si="17"/>
        <v>42217</v>
      </c>
      <c r="O70" s="2020"/>
      <c r="P70" s="2020"/>
      <c r="Q70" s="2020"/>
      <c r="R70" s="2020"/>
      <c r="S70" s="2020"/>
      <c r="T70" s="2020"/>
      <c r="U70" s="2020"/>
      <c r="V70" s="2020"/>
      <c r="W70" s="2020"/>
      <c r="X70" s="2020"/>
      <c r="Y70" s="2020"/>
      <c r="Z70" s="2020"/>
      <c r="AA70" s="2020"/>
      <c r="AB70" s="2020"/>
      <c r="AC70" s="2020"/>
    </row>
    <row r="71" spans="1:29" ht="21.75" thickBot="1">
      <c r="A71" s="1472" t="s">
        <v>514</v>
      </c>
      <c r="B71" s="1447"/>
      <c r="C71" s="1471"/>
      <c r="D71" s="1471"/>
      <c r="E71" s="1471"/>
      <c r="F71" s="1473"/>
      <c r="G71" s="1473"/>
      <c r="H71" s="1471"/>
      <c r="I71" s="1471"/>
      <c r="J71" s="1471"/>
      <c r="K71" s="1474"/>
      <c r="L71" s="1470"/>
      <c r="M71" s="1471"/>
      <c r="N71" s="1471"/>
      <c r="O71" s="2032"/>
      <c r="P71" s="2032"/>
      <c r="Q71" s="2033"/>
      <c r="R71" s="2020"/>
      <c r="S71" s="2020"/>
      <c r="T71" s="2020"/>
      <c r="U71" s="2020"/>
      <c r="V71" s="2020"/>
      <c r="W71" s="2020"/>
      <c r="X71" s="2020"/>
      <c r="Y71" s="2020"/>
      <c r="Z71" s="2020"/>
      <c r="AA71" s="2020"/>
      <c r="AB71" s="2020"/>
      <c r="AC71" s="2020"/>
    </row>
    <row r="72" spans="1:29" s="1235" customFormat="1" ht="15">
      <c r="A72" s="2434" t="s">
        <v>2460</v>
      </c>
      <c r="B72" s="2435"/>
      <c r="C72" s="2659" t="str">
        <f>YEAR(C70)&amp;"-"&amp;ROUNDUP(MONTH(C70)/3,0)</f>
        <v>2018-2</v>
      </c>
      <c r="D72" s="2666" t="str">
        <f>YEAR(D70)&amp;"-"&amp;ROUNDUP(MONTH(D70)/3,0)</f>
        <v>2018-1</v>
      </c>
      <c r="E72" s="2666" t="str">
        <f t="shared" ref="E72:N72" si="18">YEAR(E70)&amp;"-"&amp;ROUNDUP(MONTH(E70)/3,0)</f>
        <v>2017-4</v>
      </c>
      <c r="F72" s="2666" t="str">
        <f t="shared" si="18"/>
        <v>2017-3</v>
      </c>
      <c r="G72" s="2666" t="str">
        <f t="shared" si="18"/>
        <v>2017-2</v>
      </c>
      <c r="H72" s="2666" t="str">
        <f t="shared" si="18"/>
        <v>2017-1</v>
      </c>
      <c r="I72" s="2666" t="str">
        <f t="shared" si="18"/>
        <v>2016-4</v>
      </c>
      <c r="J72" s="2666" t="str">
        <f t="shared" si="18"/>
        <v>2016-3</v>
      </c>
      <c r="K72" s="2666" t="str">
        <f t="shared" si="18"/>
        <v>2016-2</v>
      </c>
      <c r="L72" s="2666" t="str">
        <f t="shared" si="18"/>
        <v>2016-1</v>
      </c>
      <c r="M72" s="2666" t="str">
        <f t="shared" si="18"/>
        <v>2015-4</v>
      </c>
      <c r="N72" s="2666" t="str">
        <f t="shared" si="18"/>
        <v>2015-3</v>
      </c>
      <c r="O72" s="2034"/>
      <c r="P72" s="2035"/>
      <c r="Q72" s="2036"/>
      <c r="R72" s="2036"/>
      <c r="S72" s="2036"/>
      <c r="T72" s="2036"/>
      <c r="U72" s="2036"/>
      <c r="V72" s="2036"/>
      <c r="W72" s="2036"/>
      <c r="X72" s="2036"/>
      <c r="Y72" s="2036"/>
      <c r="Z72" s="2036"/>
      <c r="AA72" s="2036"/>
      <c r="AB72" s="2036"/>
      <c r="AC72" s="2036"/>
    </row>
    <row r="73" spans="1:29" s="1108" customFormat="1" ht="30">
      <c r="A73" s="2671" t="s">
        <v>2575</v>
      </c>
      <c r="B73" s="379" t="str">
        <f>"北京市平均增长率"&amp;TEXT(SUMIF(基准地价!N21:N25,A73,基准地价!P21:P25),"0.00%")</f>
        <v>北京市平均增长率2.27%</v>
      </c>
      <c r="C73" s="794">
        <v>100</v>
      </c>
      <c r="D73" s="630">
        <v>97</v>
      </c>
      <c r="E73" s="630">
        <v>94</v>
      </c>
      <c r="F73" s="630">
        <v>91</v>
      </c>
      <c r="G73" s="630">
        <v>88</v>
      </c>
      <c r="H73" s="630">
        <v>85</v>
      </c>
      <c r="I73" s="630">
        <v>82</v>
      </c>
      <c r="J73" s="630">
        <v>79</v>
      </c>
      <c r="K73" s="630"/>
      <c r="L73" s="630"/>
      <c r="M73" s="2657"/>
      <c r="N73" s="2658"/>
      <c r="O73" s="2037"/>
      <c r="P73" s="2033"/>
      <c r="Q73" s="1872"/>
      <c r="R73" s="1872"/>
      <c r="S73" s="1872"/>
      <c r="T73" s="1872"/>
      <c r="U73" s="1872"/>
      <c r="V73" s="1872"/>
      <c r="W73" s="1872"/>
      <c r="X73" s="1872"/>
      <c r="Y73" s="1872"/>
      <c r="Z73" s="1872"/>
      <c r="AA73" s="1872"/>
      <c r="AB73" s="1872"/>
      <c r="AC73" s="1872"/>
    </row>
    <row r="74" spans="1:29" s="1108" customFormat="1" ht="15.75" thickBot="1">
      <c r="A74" s="2661" t="s">
        <v>2574</v>
      </c>
      <c r="B74" s="2670"/>
      <c r="C74" s="3156" t="s">
        <v>3014</v>
      </c>
      <c r="D74" s="3157">
        <v>3.15</v>
      </c>
      <c r="E74" s="3157">
        <v>3.25</v>
      </c>
      <c r="F74" s="3157">
        <v>3.52</v>
      </c>
      <c r="G74" s="3157">
        <v>9.98</v>
      </c>
      <c r="H74" s="3157">
        <v>5.81</v>
      </c>
      <c r="I74" s="3157">
        <v>5.18</v>
      </c>
      <c r="J74" s="3157">
        <v>4.09</v>
      </c>
      <c r="K74" s="3157">
        <v>0.92</v>
      </c>
      <c r="L74" s="3157">
        <v>-0.2</v>
      </c>
      <c r="M74" s="3157"/>
      <c r="N74" s="3157"/>
      <c r="O74" s="2037"/>
      <c r="P74" s="2033"/>
      <c r="Q74" s="2033"/>
      <c r="R74" s="1872"/>
      <c r="S74" s="1872"/>
      <c r="T74" s="1872"/>
      <c r="U74" s="1872"/>
      <c r="V74" s="1872"/>
      <c r="W74" s="1872"/>
      <c r="X74" s="1872"/>
      <c r="Y74" s="1872"/>
      <c r="Z74" s="1872"/>
      <c r="AA74" s="1872"/>
      <c r="AB74" s="1872"/>
      <c r="AC74" s="1872"/>
    </row>
    <row r="75" spans="1:29" s="1108" customFormat="1" ht="15">
      <c r="A75" s="559" t="s">
        <v>471</v>
      </c>
      <c r="B75" s="548"/>
      <c r="C75" s="560" t="s">
        <v>516</v>
      </c>
      <c r="D75" s="561"/>
      <c r="E75" s="561"/>
      <c r="F75" s="561"/>
      <c r="G75" s="561"/>
      <c r="H75" s="561"/>
      <c r="I75" s="561"/>
      <c r="J75" s="561"/>
      <c r="K75" s="561"/>
      <c r="L75" s="562"/>
      <c r="M75" s="563"/>
      <c r="N75" s="2037"/>
      <c r="O75" s="2037"/>
      <c r="P75" s="2038"/>
      <c r="Q75" s="2033"/>
      <c r="R75" s="1872"/>
      <c r="S75" s="1872"/>
      <c r="T75" s="1872"/>
      <c r="U75" s="1872"/>
      <c r="V75" s="1872"/>
      <c r="W75" s="1872"/>
      <c r="X75" s="1872"/>
      <c r="Y75" s="1872"/>
      <c r="Z75" s="1872"/>
      <c r="AA75" s="1872"/>
      <c r="AB75" s="1872"/>
      <c r="AC75" s="1872"/>
    </row>
    <row r="76" spans="1:29" s="1108" customFormat="1" ht="15.75" thickBot="1">
      <c r="A76" s="559"/>
      <c r="B76" s="548"/>
      <c r="C76" s="549">
        <v>100</v>
      </c>
      <c r="D76" s="550"/>
      <c r="E76" s="550"/>
      <c r="F76" s="550"/>
      <c r="G76" s="550"/>
      <c r="H76" s="550"/>
      <c r="I76" s="550"/>
      <c r="J76" s="550"/>
      <c r="K76" s="550"/>
      <c r="L76" s="550"/>
      <c r="M76" s="552"/>
      <c r="N76" s="2037"/>
      <c r="O76" s="2037"/>
      <c r="P76" s="2033"/>
      <c r="Q76" s="2033"/>
      <c r="R76" s="1872"/>
      <c r="S76" s="1872"/>
      <c r="T76" s="1872"/>
      <c r="U76" s="1872"/>
      <c r="V76" s="1872"/>
      <c r="W76" s="1872"/>
      <c r="X76" s="1872"/>
      <c r="Y76" s="1872"/>
      <c r="Z76" s="1872"/>
      <c r="AA76" s="1872"/>
      <c r="AB76" s="1872"/>
      <c r="AC76" s="1872"/>
    </row>
    <row r="77" spans="1:29">
      <c r="A77" s="564" t="s">
        <v>517</v>
      </c>
      <c r="B77" s="565" t="s">
        <v>474</v>
      </c>
      <c r="C77" s="3158" t="s">
        <v>3016</v>
      </c>
      <c r="D77" s="498"/>
      <c r="E77" s="498"/>
      <c r="F77" s="498"/>
      <c r="G77" s="498"/>
      <c r="H77" s="498"/>
      <c r="I77" s="498"/>
      <c r="J77" s="498"/>
      <c r="K77" s="566"/>
      <c r="L77" s="567"/>
      <c r="M77" s="568"/>
      <c r="N77" s="2039"/>
      <c r="O77" s="2039"/>
      <c r="P77" s="2040"/>
      <c r="Q77" s="2033"/>
      <c r="R77" s="2020"/>
      <c r="S77" s="2020"/>
      <c r="T77" s="2020"/>
      <c r="U77" s="2020"/>
      <c r="V77" s="2020"/>
      <c r="W77" s="2020"/>
      <c r="X77" s="2020"/>
      <c r="Y77" s="2020"/>
      <c r="Z77" s="2020"/>
      <c r="AA77" s="2020"/>
      <c r="AB77" s="2020"/>
      <c r="AC77" s="2020"/>
    </row>
    <row r="78" spans="1:29" ht="15.75" thickBot="1">
      <c r="A78" s="569"/>
      <c r="B78" s="570"/>
      <c r="C78" s="571">
        <v>100</v>
      </c>
      <c r="D78" s="571"/>
      <c r="E78" s="571"/>
      <c r="F78" s="571"/>
      <c r="G78" s="571"/>
      <c r="H78" s="571"/>
      <c r="I78" s="571"/>
      <c r="J78" s="571"/>
      <c r="K78" s="571"/>
      <c r="L78" s="571"/>
      <c r="M78" s="572"/>
      <c r="N78" s="2041"/>
      <c r="O78" s="2041"/>
      <c r="P78" s="2040"/>
      <c r="Q78" s="2033"/>
      <c r="R78" s="2020"/>
      <c r="S78" s="2020"/>
      <c r="T78" s="2020"/>
      <c r="U78" s="2020"/>
      <c r="V78" s="2020"/>
      <c r="W78" s="2020"/>
      <c r="X78" s="2020"/>
      <c r="Y78" s="2020"/>
      <c r="Z78" s="2020"/>
      <c r="AA78" s="2020"/>
      <c r="AB78" s="2020"/>
      <c r="AC78" s="2020"/>
    </row>
    <row r="79" spans="1:29" ht="27.75" thickTop="1">
      <c r="A79" s="569"/>
      <c r="B79" s="573" t="s">
        <v>477</v>
      </c>
      <c r="C79" s="574"/>
      <c r="D79" s="574"/>
      <c r="E79" s="574"/>
      <c r="F79" s="574"/>
      <c r="G79" s="574"/>
      <c r="H79" s="574"/>
      <c r="I79" s="574"/>
      <c r="J79" s="574"/>
      <c r="K79" s="575"/>
      <c r="L79" s="576"/>
      <c r="M79" s="577"/>
      <c r="N79" s="2039"/>
      <c r="O79" s="2039"/>
      <c r="P79" s="2040"/>
      <c r="Q79" s="2033"/>
      <c r="R79" s="2020"/>
      <c r="S79" s="2020"/>
      <c r="T79" s="2020"/>
      <c r="U79" s="2020"/>
      <c r="V79" s="2020"/>
      <c r="W79" s="2020"/>
      <c r="X79" s="2020"/>
      <c r="Y79" s="2020"/>
      <c r="Z79" s="2020"/>
      <c r="AA79" s="2020"/>
      <c r="AB79" s="2020"/>
      <c r="AC79" s="2020"/>
    </row>
    <row r="80" spans="1:29" ht="15.75" thickBot="1">
      <c r="A80" s="569"/>
      <c r="B80" s="578"/>
      <c r="C80" s="579"/>
      <c r="D80" s="579"/>
      <c r="E80" s="579"/>
      <c r="F80" s="579"/>
      <c r="G80" s="579"/>
      <c r="H80" s="579"/>
      <c r="I80" s="579"/>
      <c r="J80" s="579"/>
      <c r="K80" s="579"/>
      <c r="L80" s="579"/>
      <c r="M80" s="580"/>
      <c r="N80" s="2041"/>
      <c r="O80" s="2041"/>
      <c r="P80" s="2040"/>
      <c r="Q80" s="2033"/>
      <c r="R80" s="2020"/>
      <c r="S80" s="2020"/>
      <c r="T80" s="2020"/>
      <c r="U80" s="2020"/>
      <c r="V80" s="2020"/>
      <c r="W80" s="2020"/>
      <c r="X80" s="2020"/>
      <c r="Y80" s="2020"/>
      <c r="Z80" s="2020"/>
      <c r="AA80" s="2020"/>
      <c r="AB80" s="2020"/>
      <c r="AC80" s="2020"/>
    </row>
    <row r="81" spans="1:29" ht="15.75" thickTop="1">
      <c r="A81" s="569"/>
      <c r="B81" s="581" t="s">
        <v>478</v>
      </c>
      <c r="C81" s="582" t="str">
        <f>C82&amp;"（含）"&amp;"-"&amp;D82</f>
        <v>1（含）-1.5</v>
      </c>
      <c r="D81" s="582" t="str">
        <f t="shared" ref="D81:L81" si="19">D82&amp;"（含）"&amp;"-"&amp;E82</f>
        <v>1.5（含）-2</v>
      </c>
      <c r="E81" s="582" t="str">
        <f t="shared" si="19"/>
        <v>2（含）-2.5</v>
      </c>
      <c r="F81" s="582" t="str">
        <f t="shared" si="19"/>
        <v>2.5（含）-3</v>
      </c>
      <c r="G81" s="582" t="str">
        <f t="shared" si="19"/>
        <v>3（含）-3.5</v>
      </c>
      <c r="H81" s="582" t="str">
        <f t="shared" si="19"/>
        <v>3.5（含）-</v>
      </c>
      <c r="I81" s="582" t="str">
        <f t="shared" si="19"/>
        <v>（含）-</v>
      </c>
      <c r="J81" s="582" t="str">
        <f t="shared" si="19"/>
        <v>（含）-</v>
      </c>
      <c r="K81" s="582" t="str">
        <f t="shared" si="19"/>
        <v>（含）-</v>
      </c>
      <c r="L81" s="582" t="str">
        <f t="shared" si="19"/>
        <v>（含）-</v>
      </c>
      <c r="M81" s="455" t="str">
        <f>M82&amp;"（含）"&amp;"-"&amp;P82</f>
        <v>（含）-</v>
      </c>
      <c r="N81" s="2041"/>
      <c r="O81" s="2041"/>
      <c r="P81" s="2040"/>
      <c r="Q81" s="2033"/>
      <c r="R81" s="2020"/>
      <c r="S81" s="2020"/>
      <c r="T81" s="2020"/>
      <c r="U81" s="2020"/>
      <c r="V81" s="2020"/>
      <c r="W81" s="2020"/>
      <c r="X81" s="2020"/>
      <c r="Y81" s="2020"/>
      <c r="Z81" s="2020"/>
      <c r="AA81" s="2020"/>
      <c r="AB81" s="2020"/>
      <c r="AC81" s="2020"/>
    </row>
    <row r="82" spans="1:29" ht="15">
      <c r="A82" s="569"/>
      <c r="B82" s="583"/>
      <c r="C82" s="441">
        <v>1</v>
      </c>
      <c r="D82" s="441">
        <v>1.5</v>
      </c>
      <c r="E82" s="441">
        <v>2</v>
      </c>
      <c r="F82" s="441">
        <v>2.5</v>
      </c>
      <c r="G82" s="441">
        <v>3</v>
      </c>
      <c r="H82" s="441">
        <v>3.5</v>
      </c>
      <c r="I82" s="441"/>
      <c r="J82" s="441"/>
      <c r="K82" s="584"/>
      <c r="L82" s="585"/>
      <c r="M82" s="586"/>
      <c r="N82" s="2039"/>
      <c r="O82" s="2039"/>
      <c r="P82" s="2040"/>
      <c r="Q82" s="2033"/>
      <c r="R82" s="2020"/>
      <c r="S82" s="2020"/>
      <c r="T82" s="2020"/>
      <c r="U82" s="2020"/>
      <c r="V82" s="2020"/>
      <c r="W82" s="2020"/>
      <c r="X82" s="2020"/>
      <c r="Y82" s="2020"/>
      <c r="Z82" s="2020"/>
      <c r="AA82" s="2020"/>
      <c r="AB82" s="2020"/>
      <c r="AC82" s="2020"/>
    </row>
    <row r="83" spans="1:29" ht="15.75" thickBot="1">
      <c r="A83" s="569"/>
      <c r="B83" s="570"/>
      <c r="C83" s="579">
        <v>100</v>
      </c>
      <c r="D83" s="579">
        <f>IF($B$48="单位面积地价",C83+$K13,C83-$K13)</f>
        <v>98</v>
      </c>
      <c r="E83" s="579">
        <f t="shared" ref="E83:M83" si="20">IF($B$48="单位面积地价",D83+$K13,D83-$K13)</f>
        <v>96</v>
      </c>
      <c r="F83" s="579">
        <f t="shared" si="20"/>
        <v>94</v>
      </c>
      <c r="G83" s="579">
        <f t="shared" si="20"/>
        <v>92</v>
      </c>
      <c r="H83" s="579">
        <f t="shared" si="20"/>
        <v>90</v>
      </c>
      <c r="I83" s="579">
        <f t="shared" si="20"/>
        <v>88</v>
      </c>
      <c r="J83" s="579">
        <f t="shared" si="20"/>
        <v>86</v>
      </c>
      <c r="K83" s="579">
        <f t="shared" si="20"/>
        <v>84</v>
      </c>
      <c r="L83" s="579">
        <f t="shared" si="20"/>
        <v>82</v>
      </c>
      <c r="M83" s="579">
        <f t="shared" si="20"/>
        <v>80</v>
      </c>
      <c r="N83" s="2041"/>
      <c r="O83" s="2041"/>
      <c r="P83" s="2040"/>
      <c r="Q83" s="2033"/>
      <c r="R83" s="2020"/>
      <c r="S83" s="2020"/>
      <c r="T83" s="2020"/>
      <c r="U83" s="2020"/>
      <c r="V83" s="2020"/>
      <c r="W83" s="2020"/>
      <c r="X83" s="2020"/>
      <c r="Y83" s="2020"/>
      <c r="Z83" s="2020"/>
      <c r="AA83" s="2020"/>
      <c r="AB83" s="2020"/>
      <c r="AC83" s="2020"/>
    </row>
    <row r="84" spans="1:29" s="1227" customFormat="1" ht="15.75" thickTop="1">
      <c r="A84" s="587"/>
      <c r="B84" s="573" t="str">
        <f>B14</f>
        <v>配建</v>
      </c>
      <c r="C84" s="3159"/>
      <c r="D84" s="1263"/>
      <c r="E84" s="1264"/>
      <c r="F84" s="588"/>
      <c r="G84" s="588"/>
      <c r="H84" s="589"/>
      <c r="I84" s="589"/>
      <c r="J84" s="589"/>
      <c r="K84" s="589"/>
      <c r="L84" s="590"/>
      <c r="M84" s="591"/>
      <c r="N84" s="2042"/>
      <c r="O84" s="2042"/>
      <c r="P84" s="2043"/>
      <c r="Q84" s="2044"/>
      <c r="R84" s="2045"/>
      <c r="S84" s="2045"/>
      <c r="T84" s="2045"/>
      <c r="U84" s="2045"/>
      <c r="V84" s="2045"/>
      <c r="W84" s="2045"/>
      <c r="X84" s="2045"/>
      <c r="Y84" s="2045"/>
      <c r="Z84" s="2045"/>
      <c r="AA84" s="2045"/>
      <c r="AB84" s="2045"/>
      <c r="AC84" s="2045"/>
    </row>
    <row r="85" spans="1:29" s="1227" customFormat="1" ht="15.75" thickBot="1">
      <c r="A85" s="587"/>
      <c r="B85" s="578"/>
      <c r="C85" s="592"/>
      <c r="D85" s="571"/>
      <c r="E85" s="571"/>
      <c r="F85" s="571"/>
      <c r="G85" s="571"/>
      <c r="H85" s="571"/>
      <c r="I85" s="571"/>
      <c r="J85" s="571"/>
      <c r="K85" s="571"/>
      <c r="L85" s="571"/>
      <c r="M85" s="572"/>
      <c r="N85" s="2041"/>
      <c r="O85" s="2041"/>
      <c r="P85" s="2043"/>
      <c r="Q85" s="2044"/>
      <c r="R85" s="2045"/>
      <c r="S85" s="2045"/>
      <c r="T85" s="2045"/>
      <c r="U85" s="2045"/>
      <c r="V85" s="2045"/>
      <c r="W85" s="2045"/>
      <c r="X85" s="2045"/>
      <c r="Y85" s="2045"/>
      <c r="Z85" s="2045"/>
      <c r="AA85" s="2045"/>
      <c r="AB85" s="2045"/>
      <c r="AC85" s="2045"/>
    </row>
    <row r="86" spans="1:29" s="1227" customFormat="1" ht="15.75" thickTop="1">
      <c r="A86" s="587"/>
      <c r="B86" s="573">
        <f>B15</f>
        <v>0</v>
      </c>
      <c r="C86" s="588"/>
      <c r="D86" s="588"/>
      <c r="E86" s="588"/>
      <c r="F86" s="588"/>
      <c r="G86" s="588"/>
      <c r="H86" s="589"/>
      <c r="I86" s="589"/>
      <c r="J86" s="589"/>
      <c r="K86" s="589"/>
      <c r="L86" s="590"/>
      <c r="M86" s="591"/>
      <c r="N86" s="2042"/>
      <c r="O86" s="2042"/>
      <c r="P86" s="2046"/>
      <c r="Q86" s="2047"/>
      <c r="R86" s="2045"/>
      <c r="S86" s="2045"/>
      <c r="T86" s="2045"/>
      <c r="U86" s="2045"/>
      <c r="V86" s="2045"/>
      <c r="W86" s="2045"/>
      <c r="X86" s="2045"/>
      <c r="Y86" s="2045"/>
      <c r="Z86" s="2045"/>
      <c r="AA86" s="2045"/>
      <c r="AB86" s="2045"/>
      <c r="AC86" s="2045"/>
    </row>
    <row r="87" spans="1:29" s="1227" customFormat="1" ht="15.75" thickBot="1">
      <c r="A87" s="587"/>
      <c r="B87" s="578"/>
      <c r="C87" s="592"/>
      <c r="D87" s="592"/>
      <c r="E87" s="592"/>
      <c r="F87" s="592"/>
      <c r="G87" s="592"/>
      <c r="H87" s="593"/>
      <c r="I87" s="593"/>
      <c r="J87" s="593"/>
      <c r="K87" s="593"/>
      <c r="L87" s="593"/>
      <c r="M87" s="594"/>
      <c r="N87" s="2042"/>
      <c r="O87" s="2042"/>
      <c r="P87" s="2043"/>
      <c r="Q87" s="2044"/>
      <c r="R87" s="2045"/>
      <c r="S87" s="2045"/>
      <c r="T87" s="2045"/>
      <c r="U87" s="2045"/>
      <c r="V87" s="2045"/>
      <c r="W87" s="2045"/>
      <c r="X87" s="2045"/>
      <c r="Y87" s="2045"/>
      <c r="Z87" s="2045"/>
      <c r="AA87" s="2045"/>
      <c r="AB87" s="2045"/>
      <c r="AC87" s="2045"/>
    </row>
    <row r="88" spans="1:29" s="1227" customFormat="1" ht="15.75" thickTop="1">
      <c r="A88" s="587"/>
      <c r="B88" s="581">
        <f>B16</f>
        <v>0</v>
      </c>
      <c r="C88" s="561"/>
      <c r="D88" s="561"/>
      <c r="E88" s="561"/>
      <c r="F88" s="561"/>
      <c r="G88" s="561"/>
      <c r="H88" s="595"/>
      <c r="I88" s="595"/>
      <c r="J88" s="595"/>
      <c r="K88" s="595"/>
      <c r="L88" s="596"/>
      <c r="M88" s="597"/>
      <c r="N88" s="2042"/>
      <c r="O88" s="2042"/>
      <c r="P88" s="2048"/>
      <c r="Q88" s="2044"/>
      <c r="R88" s="2045"/>
      <c r="S88" s="2045"/>
      <c r="T88" s="2045"/>
      <c r="U88" s="2045"/>
      <c r="V88" s="2045"/>
      <c r="W88" s="2045"/>
      <c r="X88" s="2045"/>
      <c r="Y88" s="2045"/>
      <c r="Z88" s="2045"/>
      <c r="AA88" s="2045"/>
      <c r="AB88" s="2045"/>
      <c r="AC88" s="2045"/>
    </row>
    <row r="89" spans="1:29" s="1227" customFormat="1" ht="15.75" thickBot="1">
      <c r="A89" s="598"/>
      <c r="B89" s="599"/>
      <c r="C89" s="600"/>
      <c r="D89" s="600"/>
      <c r="E89" s="600"/>
      <c r="F89" s="600"/>
      <c r="G89" s="600"/>
      <c r="H89" s="601"/>
      <c r="I89" s="601"/>
      <c r="J89" s="601"/>
      <c r="K89" s="601"/>
      <c r="L89" s="601"/>
      <c r="M89" s="602"/>
      <c r="N89" s="2042"/>
      <c r="O89" s="2042"/>
      <c r="P89" s="2043"/>
      <c r="Q89" s="2044"/>
      <c r="R89" s="2045"/>
      <c r="S89" s="2045"/>
      <c r="T89" s="2045"/>
      <c r="U89" s="2045"/>
      <c r="V89" s="2045"/>
      <c r="W89" s="2045"/>
      <c r="X89" s="2045"/>
      <c r="Y89" s="2045"/>
      <c r="Z89" s="2045"/>
      <c r="AA89" s="2045"/>
      <c r="AB89" s="2045"/>
      <c r="AC89" s="2045"/>
    </row>
    <row r="90" spans="1:29">
      <c r="A90" s="564" t="s">
        <v>479</v>
      </c>
      <c r="B90" s="565" t="s">
        <v>518</v>
      </c>
      <c r="C90" s="603" t="s">
        <v>519</v>
      </c>
      <c r="D90" s="603" t="s">
        <v>520</v>
      </c>
      <c r="E90" s="603" t="s">
        <v>521</v>
      </c>
      <c r="F90" s="603" t="s">
        <v>522</v>
      </c>
      <c r="G90" s="603" t="s">
        <v>523</v>
      </c>
      <c r="H90" s="604"/>
      <c r="I90" s="604"/>
      <c r="J90" s="604"/>
      <c r="K90" s="605"/>
      <c r="L90" s="606"/>
      <c r="M90" s="607"/>
      <c r="N90" s="2039"/>
      <c r="O90" s="2039"/>
      <c r="P90" s="2049"/>
      <c r="Q90" s="2033"/>
      <c r="R90" s="2020"/>
      <c r="S90" s="2020"/>
      <c r="T90" s="2020"/>
      <c r="U90" s="2020"/>
      <c r="V90" s="2020"/>
      <c r="W90" s="2020"/>
      <c r="X90" s="2020"/>
      <c r="Y90" s="2020"/>
      <c r="Z90" s="2020"/>
      <c r="AA90" s="2020"/>
      <c r="AB90" s="2020"/>
      <c r="AC90" s="2020"/>
    </row>
    <row r="91" spans="1:29" ht="15.75" thickBot="1">
      <c r="A91" s="569"/>
      <c r="B91" s="578"/>
      <c r="C91" s="579">
        <v>100</v>
      </c>
      <c r="D91" s="579">
        <f>C91-$K17</f>
        <v>97</v>
      </c>
      <c r="E91" s="579">
        <f>D91-$K17</f>
        <v>94</v>
      </c>
      <c r="F91" s="579">
        <f>E91-$K17</f>
        <v>91</v>
      </c>
      <c r="G91" s="579">
        <f>F91-$K17</f>
        <v>88</v>
      </c>
      <c r="H91" s="579"/>
      <c r="I91" s="579"/>
      <c r="J91" s="579"/>
      <c r="K91" s="579"/>
      <c r="L91" s="579"/>
      <c r="M91" s="580"/>
      <c r="N91" s="2041"/>
      <c r="O91" s="2041"/>
      <c r="P91" s="2040"/>
      <c r="Q91" s="2033"/>
      <c r="R91" s="2020"/>
      <c r="S91" s="2020"/>
      <c r="T91" s="2020"/>
      <c r="U91" s="2020"/>
      <c r="V91" s="2020"/>
      <c r="W91" s="2020"/>
      <c r="X91" s="2020"/>
      <c r="Y91" s="2020"/>
      <c r="Z91" s="2020"/>
      <c r="AA91" s="2020"/>
      <c r="AB91" s="2020"/>
      <c r="AC91" s="2020"/>
    </row>
    <row r="92" spans="1:29" ht="15.75" thickTop="1">
      <c r="A92" s="569"/>
      <c r="B92" s="573" t="s">
        <v>524</v>
      </c>
      <c r="C92" s="608" t="s">
        <v>519</v>
      </c>
      <c r="D92" s="608" t="s">
        <v>520</v>
      </c>
      <c r="E92" s="608" t="s">
        <v>521</v>
      </c>
      <c r="F92" s="608" t="s">
        <v>522</v>
      </c>
      <c r="G92" s="608" t="s">
        <v>523</v>
      </c>
      <c r="H92" s="574"/>
      <c r="I92" s="574"/>
      <c r="J92" s="574"/>
      <c r="K92" s="575"/>
      <c r="L92" s="576"/>
      <c r="M92" s="577"/>
      <c r="N92" s="2039"/>
      <c r="O92" s="2039"/>
      <c r="P92" s="2040"/>
      <c r="Q92" s="2033"/>
      <c r="R92" s="2020"/>
      <c r="S92" s="2020"/>
      <c r="T92" s="2020"/>
      <c r="U92" s="2020"/>
      <c r="V92" s="2020"/>
      <c r="W92" s="2020"/>
      <c r="X92" s="2020"/>
      <c r="Y92" s="2020"/>
      <c r="Z92" s="2020"/>
      <c r="AA92" s="2020"/>
      <c r="AB92" s="2020"/>
      <c r="AC92" s="2020"/>
    </row>
    <row r="93" spans="1:29" ht="15.75" thickBot="1">
      <c r="A93" s="569"/>
      <c r="B93" s="578"/>
      <c r="C93" s="579">
        <v>100</v>
      </c>
      <c r="D93" s="579">
        <f>C93-$K19</f>
        <v>97</v>
      </c>
      <c r="E93" s="579">
        <f>D93-$K19</f>
        <v>94</v>
      </c>
      <c r="F93" s="579">
        <f>E93-$K19</f>
        <v>91</v>
      </c>
      <c r="G93" s="579">
        <f>F93-$K19</f>
        <v>88</v>
      </c>
      <c r="H93" s="579"/>
      <c r="I93" s="579"/>
      <c r="J93" s="579"/>
      <c r="K93" s="579"/>
      <c r="L93" s="579"/>
      <c r="M93" s="580"/>
      <c r="N93" s="2041"/>
      <c r="O93" s="2041"/>
      <c r="P93" s="2040"/>
      <c r="Q93" s="2033"/>
      <c r="R93" s="2020"/>
      <c r="S93" s="2020"/>
      <c r="T93" s="2020"/>
      <c r="U93" s="2020"/>
      <c r="V93" s="2020"/>
      <c r="W93" s="2020"/>
      <c r="X93" s="2020"/>
      <c r="Y93" s="2020"/>
      <c r="Z93" s="2020"/>
      <c r="AA93" s="2020"/>
      <c r="AB93" s="2020"/>
      <c r="AC93" s="2020"/>
    </row>
    <row r="94" spans="1:29" ht="15.75" thickTop="1">
      <c r="A94" s="569"/>
      <c r="B94" s="573" t="s">
        <v>525</v>
      </c>
      <c r="C94" s="608" t="s">
        <v>519</v>
      </c>
      <c r="D94" s="608" t="s">
        <v>520</v>
      </c>
      <c r="E94" s="608" t="s">
        <v>521</v>
      </c>
      <c r="F94" s="608" t="s">
        <v>522</v>
      </c>
      <c r="G94" s="608" t="s">
        <v>523</v>
      </c>
      <c r="H94" s="574"/>
      <c r="I94" s="574"/>
      <c r="J94" s="574"/>
      <c r="K94" s="575"/>
      <c r="L94" s="576"/>
      <c r="M94" s="577"/>
      <c r="N94" s="2039"/>
      <c r="O94" s="2039"/>
      <c r="P94" s="2040"/>
      <c r="Q94" s="2033"/>
      <c r="R94" s="2020"/>
      <c r="S94" s="2020"/>
      <c r="T94" s="2020"/>
      <c r="U94" s="2020"/>
      <c r="V94" s="2020"/>
      <c r="W94" s="2020"/>
      <c r="X94" s="2020"/>
      <c r="Y94" s="2020"/>
      <c r="Z94" s="2020"/>
      <c r="AA94" s="2020"/>
      <c r="AB94" s="2020"/>
      <c r="AC94" s="2020"/>
    </row>
    <row r="95" spans="1:29" ht="15.75" thickBot="1">
      <c r="A95" s="569"/>
      <c r="B95" s="578"/>
      <c r="C95" s="579">
        <v>100</v>
      </c>
      <c r="D95" s="579">
        <f>C95-$K21</f>
        <v>100</v>
      </c>
      <c r="E95" s="579">
        <f>D95-$K21</f>
        <v>100</v>
      </c>
      <c r="F95" s="579">
        <f>E95-$K21</f>
        <v>100</v>
      </c>
      <c r="G95" s="579">
        <f>F95-$K21</f>
        <v>100</v>
      </c>
      <c r="H95" s="579"/>
      <c r="I95" s="579"/>
      <c r="J95" s="579"/>
      <c r="K95" s="579"/>
      <c r="L95" s="579"/>
      <c r="M95" s="580"/>
      <c r="N95" s="2041"/>
      <c r="O95" s="2041"/>
      <c r="P95" s="2040"/>
      <c r="Q95" s="2033"/>
      <c r="R95" s="2020"/>
      <c r="S95" s="2020"/>
      <c r="T95" s="2020"/>
      <c r="U95" s="2020"/>
      <c r="V95" s="2020"/>
      <c r="W95" s="2020"/>
      <c r="X95" s="2020"/>
      <c r="Y95" s="2020"/>
      <c r="Z95" s="2020"/>
      <c r="AA95" s="2020"/>
      <c r="AB95" s="2020"/>
      <c r="AC95" s="2020"/>
    </row>
    <row r="96" spans="1:29" ht="15.75" thickTop="1">
      <c r="A96" s="569"/>
      <c r="B96" s="573" t="s">
        <v>526</v>
      </c>
      <c r="C96" s="608" t="s">
        <v>519</v>
      </c>
      <c r="D96" s="608" t="s">
        <v>520</v>
      </c>
      <c r="E96" s="608" t="s">
        <v>521</v>
      </c>
      <c r="F96" s="608" t="s">
        <v>522</v>
      </c>
      <c r="G96" s="608" t="s">
        <v>523</v>
      </c>
      <c r="H96" s="574"/>
      <c r="I96" s="574"/>
      <c r="J96" s="574"/>
      <c r="K96" s="575"/>
      <c r="L96" s="576"/>
      <c r="M96" s="577"/>
      <c r="N96" s="2039"/>
      <c r="O96" s="2039"/>
      <c r="P96" s="2040"/>
      <c r="Q96" s="2033"/>
      <c r="R96" s="2020"/>
      <c r="S96" s="2020"/>
      <c r="T96" s="2020"/>
      <c r="U96" s="2020"/>
      <c r="V96" s="2020"/>
      <c r="W96" s="2020"/>
      <c r="X96" s="2020"/>
      <c r="Y96" s="2020"/>
      <c r="Z96" s="2020"/>
      <c r="AA96" s="2020"/>
      <c r="AB96" s="2020"/>
      <c r="AC96" s="2020"/>
    </row>
    <row r="97" spans="1:29" ht="15.75" thickBot="1">
      <c r="A97" s="569"/>
      <c r="B97" s="578"/>
      <c r="C97" s="579">
        <v>100</v>
      </c>
      <c r="D97" s="579">
        <f>C97-$K23</f>
        <v>98</v>
      </c>
      <c r="E97" s="579">
        <f>D97-$K23</f>
        <v>96</v>
      </c>
      <c r="F97" s="579">
        <f>E97-$K23</f>
        <v>94</v>
      </c>
      <c r="G97" s="579">
        <f>F97-$K23</f>
        <v>92</v>
      </c>
      <c r="H97" s="579"/>
      <c r="I97" s="579"/>
      <c r="J97" s="579"/>
      <c r="K97" s="579"/>
      <c r="L97" s="579"/>
      <c r="M97" s="580"/>
      <c r="N97" s="2041"/>
      <c r="O97" s="2041"/>
      <c r="P97" s="2040"/>
      <c r="Q97" s="2033"/>
      <c r="R97" s="2020"/>
      <c r="S97" s="2020"/>
      <c r="T97" s="2020"/>
      <c r="U97" s="2020"/>
      <c r="V97" s="2020"/>
      <c r="W97" s="2020"/>
      <c r="X97" s="2020"/>
      <c r="Y97" s="2020"/>
      <c r="Z97" s="2020"/>
      <c r="AA97" s="2020"/>
      <c r="AB97" s="2020"/>
      <c r="AC97" s="2020"/>
    </row>
    <row r="98" spans="1:29" s="1108" customFormat="1" ht="27.75" thickTop="1">
      <c r="A98" s="609"/>
      <c r="B98" s="573" t="s">
        <v>527</v>
      </c>
      <c r="C98" s="608" t="s">
        <v>519</v>
      </c>
      <c r="D98" s="608" t="s">
        <v>520</v>
      </c>
      <c r="E98" s="608" t="s">
        <v>521</v>
      </c>
      <c r="F98" s="608" t="s">
        <v>522</v>
      </c>
      <c r="G98" s="608" t="s">
        <v>523</v>
      </c>
      <c r="H98" s="608"/>
      <c r="I98" s="608"/>
      <c r="J98" s="608"/>
      <c r="K98" s="608"/>
      <c r="L98" s="610"/>
      <c r="M98" s="611"/>
      <c r="N98" s="2037"/>
      <c r="O98" s="2037"/>
      <c r="P98" s="2040"/>
      <c r="Q98" s="2033"/>
      <c r="R98" s="1872"/>
      <c r="S98" s="1872"/>
      <c r="T98" s="1872"/>
      <c r="U98" s="1872"/>
      <c r="V98" s="1872"/>
      <c r="W98" s="1872"/>
      <c r="X98" s="1872"/>
      <c r="Y98" s="1872"/>
      <c r="Z98" s="1872"/>
      <c r="AA98" s="1872"/>
      <c r="AB98" s="1872"/>
      <c r="AC98" s="1872"/>
    </row>
    <row r="99" spans="1:29" s="1108" customFormat="1" ht="15.75" thickBot="1">
      <c r="A99" s="609"/>
      <c r="B99" s="578"/>
      <c r="C99" s="612">
        <v>100</v>
      </c>
      <c r="D99" s="579">
        <f>C99-$K25</f>
        <v>95</v>
      </c>
      <c r="E99" s="579">
        <f>D99-$K25</f>
        <v>90</v>
      </c>
      <c r="F99" s="579">
        <f>E99-$K25</f>
        <v>85</v>
      </c>
      <c r="G99" s="579">
        <f>F99-$K25</f>
        <v>80</v>
      </c>
      <c r="H99" s="579"/>
      <c r="I99" s="579"/>
      <c r="J99" s="579"/>
      <c r="K99" s="579"/>
      <c r="L99" s="579"/>
      <c r="M99" s="580"/>
      <c r="N99" s="2041"/>
      <c r="O99" s="2041"/>
      <c r="P99" s="2040"/>
      <c r="Q99" s="2033"/>
      <c r="R99" s="1872"/>
      <c r="S99" s="1872"/>
      <c r="T99" s="1872"/>
      <c r="U99" s="1872"/>
      <c r="V99" s="1872"/>
      <c r="W99" s="1872"/>
      <c r="X99" s="1872"/>
      <c r="Y99" s="1872"/>
      <c r="Z99" s="1872"/>
      <c r="AA99" s="1872"/>
      <c r="AB99" s="1872"/>
      <c r="AC99" s="1872"/>
    </row>
    <row r="100" spans="1:29" s="1108" customFormat="1" ht="27.75" thickTop="1">
      <c r="A100" s="609"/>
      <c r="B100" s="573" t="s">
        <v>528</v>
      </c>
      <c r="C100" s="603" t="s">
        <v>519</v>
      </c>
      <c r="D100" s="603" t="s">
        <v>520</v>
      </c>
      <c r="E100" s="603" t="s">
        <v>521</v>
      </c>
      <c r="F100" s="603" t="s">
        <v>522</v>
      </c>
      <c r="G100" s="603" t="s">
        <v>523</v>
      </c>
      <c r="H100" s="608"/>
      <c r="I100" s="608"/>
      <c r="J100" s="608"/>
      <c r="K100" s="608"/>
      <c r="L100" s="608"/>
      <c r="M100" s="611"/>
      <c r="N100" s="2037"/>
      <c r="O100" s="2037"/>
      <c r="P100" s="2040"/>
      <c r="Q100" s="2033"/>
      <c r="R100" s="1872"/>
      <c r="S100" s="1872"/>
      <c r="T100" s="1872"/>
      <c r="U100" s="1872"/>
      <c r="V100" s="1872"/>
      <c r="W100" s="1872"/>
      <c r="X100" s="1872"/>
      <c r="Y100" s="1872"/>
      <c r="Z100" s="1872"/>
      <c r="AA100" s="1872"/>
      <c r="AB100" s="1872"/>
      <c r="AC100" s="1872"/>
    </row>
    <row r="101" spans="1:29" s="1108" customFormat="1" ht="15.75" thickBot="1">
      <c r="A101" s="609"/>
      <c r="B101" s="578"/>
      <c r="C101" s="579">
        <v>100</v>
      </c>
      <c r="D101" s="579">
        <f>C101-$K27</f>
        <v>95</v>
      </c>
      <c r="E101" s="579">
        <f>D101-$K27</f>
        <v>90</v>
      </c>
      <c r="F101" s="579">
        <f>E101-$K27</f>
        <v>85</v>
      </c>
      <c r="G101" s="579">
        <f>F101-$K27</f>
        <v>80</v>
      </c>
      <c r="H101" s="579"/>
      <c r="I101" s="579"/>
      <c r="J101" s="579"/>
      <c r="K101" s="579"/>
      <c r="L101" s="579"/>
      <c r="M101" s="580"/>
      <c r="N101" s="2041"/>
      <c r="O101" s="2041"/>
      <c r="P101" s="2040"/>
      <c r="Q101" s="2033"/>
      <c r="R101" s="1872"/>
      <c r="S101" s="1872"/>
      <c r="T101" s="1872"/>
      <c r="U101" s="1872"/>
      <c r="V101" s="1872"/>
      <c r="W101" s="1872"/>
      <c r="X101" s="1872"/>
      <c r="Y101" s="1872"/>
      <c r="Z101" s="1872"/>
      <c r="AA101" s="1872"/>
      <c r="AB101" s="1872"/>
      <c r="AC101" s="1872"/>
    </row>
    <row r="102" spans="1:29" s="1227" customFormat="1" ht="15.75" thickTop="1">
      <c r="A102" s="587"/>
      <c r="B102" s="1778" t="s">
        <v>2476</v>
      </c>
      <c r="C102" s="603" t="s">
        <v>519</v>
      </c>
      <c r="D102" s="603" t="s">
        <v>520</v>
      </c>
      <c r="E102" s="603" t="s">
        <v>521</v>
      </c>
      <c r="F102" s="603" t="s">
        <v>522</v>
      </c>
      <c r="G102" s="603" t="s">
        <v>523</v>
      </c>
      <c r="H102" s="613"/>
      <c r="I102" s="613"/>
      <c r="J102" s="613"/>
      <c r="K102" s="613"/>
      <c r="L102" s="614"/>
      <c r="M102" s="615"/>
      <c r="N102" s="2042"/>
      <c r="O102" s="2042"/>
      <c r="P102" s="2043"/>
      <c r="Q102" s="2044"/>
      <c r="R102" s="2045"/>
      <c r="S102" s="2045"/>
      <c r="T102" s="2045"/>
      <c r="U102" s="2045"/>
      <c r="V102" s="2045"/>
      <c r="W102" s="2045"/>
      <c r="X102" s="2045"/>
      <c r="Y102" s="2045"/>
      <c r="Z102" s="2045"/>
      <c r="AA102" s="2045"/>
      <c r="AB102" s="2045"/>
      <c r="AC102" s="2045"/>
    </row>
    <row r="103" spans="1:29" s="1227" customFormat="1" ht="15.75" thickBot="1">
      <c r="A103" s="587"/>
      <c r="B103" s="578"/>
      <c r="C103" s="579">
        <v>100</v>
      </c>
      <c r="D103" s="579">
        <f>C103-$K29</f>
        <v>95</v>
      </c>
      <c r="E103" s="579">
        <f>D103-$K29</f>
        <v>90</v>
      </c>
      <c r="F103" s="579">
        <f>E103-$K29</f>
        <v>85</v>
      </c>
      <c r="G103" s="579">
        <f>F103-$K29</f>
        <v>80</v>
      </c>
      <c r="H103" s="616"/>
      <c r="I103" s="616"/>
      <c r="J103" s="616"/>
      <c r="K103" s="616"/>
      <c r="L103" s="616"/>
      <c r="M103" s="617"/>
      <c r="N103" s="2042"/>
      <c r="O103" s="2042"/>
      <c r="P103" s="2043"/>
      <c r="Q103" s="2044"/>
      <c r="R103" s="2045"/>
      <c r="S103" s="2045"/>
      <c r="T103" s="2045"/>
      <c r="U103" s="2045"/>
      <c r="V103" s="2045"/>
      <c r="W103" s="2045"/>
      <c r="X103" s="2045"/>
      <c r="Y103" s="2045"/>
      <c r="Z103" s="2045"/>
      <c r="AA103" s="2045"/>
      <c r="AB103" s="2045"/>
      <c r="AC103" s="2045"/>
    </row>
    <row r="104" spans="1:29" s="1227" customFormat="1" ht="15.75" thickTop="1">
      <c r="A104" s="587"/>
      <c r="B104" s="2463" t="s">
        <v>2478</v>
      </c>
      <c r="C104" s="2464" t="s">
        <v>2479</v>
      </c>
      <c r="D104" s="2464" t="s">
        <v>2480</v>
      </c>
      <c r="E104" s="2464" t="s">
        <v>2481</v>
      </c>
      <c r="F104" s="2464" t="s">
        <v>2482</v>
      </c>
      <c r="G104" s="2464" t="s">
        <v>2483</v>
      </c>
      <c r="H104" s="613"/>
      <c r="I104" s="613"/>
      <c r="J104" s="613"/>
      <c r="K104" s="613"/>
      <c r="L104" s="613"/>
      <c r="M104" s="615"/>
      <c r="N104" s="2042"/>
      <c r="O104" s="2042"/>
      <c r="P104" s="2043"/>
      <c r="Q104" s="2044"/>
      <c r="R104" s="2045"/>
      <c r="S104" s="2045"/>
      <c r="T104" s="2045"/>
      <c r="U104" s="2045"/>
      <c r="V104" s="2045"/>
      <c r="W104" s="2045"/>
      <c r="X104" s="2045"/>
      <c r="Y104" s="2045"/>
      <c r="Z104" s="2045"/>
      <c r="AA104" s="2045"/>
      <c r="AB104" s="2045"/>
      <c r="AC104" s="2045"/>
    </row>
    <row r="105" spans="1:29" s="1227" customFormat="1" ht="15.75" thickBot="1">
      <c r="A105" s="587"/>
      <c r="B105" s="581"/>
      <c r="C105" s="579">
        <v>100</v>
      </c>
      <c r="D105" s="579">
        <f>C105-$K31</f>
        <v>98</v>
      </c>
      <c r="E105" s="579">
        <f>D105-$K31</f>
        <v>96</v>
      </c>
      <c r="F105" s="579">
        <f>E105-$K31</f>
        <v>94</v>
      </c>
      <c r="G105" s="579">
        <f>F105-$K31</f>
        <v>92</v>
      </c>
      <c r="H105" s="583"/>
      <c r="I105" s="583"/>
      <c r="J105" s="583"/>
      <c r="K105" s="583"/>
      <c r="L105" s="583"/>
      <c r="M105" s="2456"/>
      <c r="N105" s="2042"/>
      <c r="O105" s="2042"/>
      <c r="P105" s="2043"/>
      <c r="Q105" s="2044"/>
      <c r="R105" s="2045"/>
      <c r="S105" s="2045"/>
      <c r="T105" s="2045"/>
      <c r="U105" s="2045"/>
      <c r="V105" s="2045"/>
      <c r="W105" s="2045"/>
      <c r="X105" s="2045"/>
      <c r="Y105" s="2045"/>
      <c r="Z105" s="2045"/>
      <c r="AA105" s="2045"/>
      <c r="AB105" s="2045"/>
      <c r="AC105" s="2045"/>
    </row>
    <row r="106" spans="1:29" ht="15.75" thickTop="1">
      <c r="A106" s="569"/>
      <c r="B106" s="573" t="str">
        <f>B33</f>
        <v>临街状况</v>
      </c>
      <c r="C106" s="574" t="s">
        <v>529</v>
      </c>
      <c r="D106" s="574" t="s">
        <v>530</v>
      </c>
      <c r="E106" s="574" t="s">
        <v>531</v>
      </c>
      <c r="F106" s="574" t="s">
        <v>532</v>
      </c>
      <c r="G106" s="574"/>
      <c r="H106" s="574"/>
      <c r="I106" s="574"/>
      <c r="J106" s="574"/>
      <c r="K106" s="575"/>
      <c r="L106" s="576"/>
      <c r="M106" s="577"/>
      <c r="N106" s="2039"/>
      <c r="O106" s="2039"/>
      <c r="P106" s="2040"/>
      <c r="Q106" s="2033"/>
      <c r="R106" s="2020"/>
      <c r="S106" s="2020"/>
      <c r="T106" s="2020"/>
      <c r="U106" s="2020"/>
      <c r="V106" s="2020"/>
      <c r="W106" s="2020"/>
      <c r="X106" s="2020"/>
      <c r="Y106" s="2020"/>
      <c r="Z106" s="2020"/>
      <c r="AA106" s="2020"/>
      <c r="AB106" s="2020"/>
      <c r="AC106" s="2020"/>
    </row>
    <row r="107" spans="1:29" ht="15.75" thickBot="1">
      <c r="A107" s="569"/>
      <c r="B107" s="578"/>
      <c r="C107" s="579">
        <v>100</v>
      </c>
      <c r="D107" s="579">
        <f>C107-$K33</f>
        <v>100</v>
      </c>
      <c r="E107" s="579">
        <f t="shared" ref="E107:M107" si="21">D107-$K33</f>
        <v>100</v>
      </c>
      <c r="F107" s="579">
        <f t="shared" si="21"/>
        <v>100</v>
      </c>
      <c r="G107" s="579">
        <f t="shared" si="21"/>
        <v>100</v>
      </c>
      <c r="H107" s="579">
        <f t="shared" si="21"/>
        <v>100</v>
      </c>
      <c r="I107" s="579">
        <f t="shared" si="21"/>
        <v>100</v>
      </c>
      <c r="J107" s="579">
        <f t="shared" si="21"/>
        <v>100</v>
      </c>
      <c r="K107" s="579">
        <f t="shared" si="21"/>
        <v>100</v>
      </c>
      <c r="L107" s="579">
        <f t="shared" si="21"/>
        <v>100</v>
      </c>
      <c r="M107" s="579">
        <f t="shared" si="21"/>
        <v>100</v>
      </c>
      <c r="N107" s="2041"/>
      <c r="O107" s="2041"/>
      <c r="P107" s="2040"/>
      <c r="Q107" s="2033"/>
      <c r="R107" s="2020"/>
      <c r="S107" s="2020"/>
      <c r="T107" s="2020"/>
      <c r="U107" s="2020"/>
      <c r="V107" s="2020"/>
      <c r="W107" s="2020"/>
      <c r="X107" s="2020"/>
      <c r="Y107" s="2020"/>
      <c r="Z107" s="2020"/>
      <c r="AA107" s="2020"/>
      <c r="AB107" s="2020"/>
      <c r="AC107" s="2020"/>
    </row>
    <row r="108" spans="1:29" ht="27.75" thickTop="1">
      <c r="A108" s="569"/>
      <c r="B108" s="573" t="s">
        <v>488</v>
      </c>
      <c r="C108" s="3159" t="s">
        <v>3017</v>
      </c>
      <c r="D108" s="3159" t="s">
        <v>3018</v>
      </c>
      <c r="E108" s="3159" t="s">
        <v>3019</v>
      </c>
      <c r="F108" s="3159" t="s">
        <v>3020</v>
      </c>
      <c r="G108" s="588" t="s">
        <v>3021</v>
      </c>
      <c r="H108" s="618"/>
      <c r="I108" s="618"/>
      <c r="J108" s="618"/>
      <c r="K108" s="619"/>
      <c r="L108" s="620"/>
      <c r="M108" s="621"/>
      <c r="N108" s="2039"/>
      <c r="O108" s="2039"/>
      <c r="P108" s="2040"/>
      <c r="Q108" s="2033"/>
      <c r="R108" s="2020"/>
      <c r="S108" s="2020"/>
      <c r="T108" s="2020"/>
      <c r="U108" s="2020"/>
      <c r="V108" s="2020"/>
      <c r="W108" s="2020"/>
      <c r="X108" s="2020"/>
      <c r="Y108" s="2020"/>
      <c r="Z108" s="2020"/>
      <c r="AA108" s="2020"/>
      <c r="AB108" s="2020"/>
      <c r="AC108" s="2020"/>
    </row>
    <row r="109" spans="1:29" ht="15.75" thickBot="1">
      <c r="A109" s="569"/>
      <c r="B109" s="578"/>
      <c r="C109" s="579">
        <v>100</v>
      </c>
      <c r="D109" s="579">
        <f>C109-$K34</f>
        <v>98</v>
      </c>
      <c r="E109" s="579">
        <f t="shared" ref="E109:M109" si="22">D109-$K34</f>
        <v>96</v>
      </c>
      <c r="F109" s="579">
        <f t="shared" si="22"/>
        <v>94</v>
      </c>
      <c r="G109" s="579">
        <f t="shared" si="22"/>
        <v>92</v>
      </c>
      <c r="H109" s="579">
        <f t="shared" si="22"/>
        <v>90</v>
      </c>
      <c r="I109" s="579">
        <f t="shared" si="22"/>
        <v>88</v>
      </c>
      <c r="J109" s="579">
        <f t="shared" si="22"/>
        <v>86</v>
      </c>
      <c r="K109" s="579">
        <f t="shared" si="22"/>
        <v>84</v>
      </c>
      <c r="L109" s="579">
        <f t="shared" si="22"/>
        <v>82</v>
      </c>
      <c r="M109" s="579">
        <f t="shared" si="22"/>
        <v>80</v>
      </c>
      <c r="N109" s="2041"/>
      <c r="O109" s="2041"/>
      <c r="P109" s="2040"/>
      <c r="Q109" s="2033"/>
      <c r="R109" s="2020"/>
      <c r="S109" s="2020"/>
      <c r="T109" s="2020"/>
      <c r="U109" s="2020"/>
      <c r="V109" s="2020"/>
      <c r="W109" s="2020"/>
      <c r="X109" s="2020"/>
      <c r="Y109" s="2020"/>
      <c r="Z109" s="2020"/>
      <c r="AA109" s="2020"/>
      <c r="AB109" s="2020"/>
      <c r="AC109" s="2020"/>
    </row>
    <row r="110" spans="1:29" ht="15.75" thickTop="1">
      <c r="A110" s="569"/>
      <c r="B110" s="573" t="s">
        <v>489</v>
      </c>
      <c r="C110" s="618"/>
      <c r="D110" s="618"/>
      <c r="E110" s="618"/>
      <c r="F110" s="618"/>
      <c r="G110" s="618"/>
      <c r="H110" s="618"/>
      <c r="I110" s="618"/>
      <c r="J110" s="618"/>
      <c r="K110" s="619"/>
      <c r="L110" s="620"/>
      <c r="M110" s="621"/>
      <c r="N110" s="2039"/>
      <c r="O110" s="2039"/>
      <c r="P110" s="2040"/>
      <c r="Q110" s="2033"/>
      <c r="R110" s="2020"/>
      <c r="S110" s="2020"/>
      <c r="T110" s="2020"/>
      <c r="U110" s="2020"/>
      <c r="V110" s="2020"/>
      <c r="W110" s="2020"/>
      <c r="X110" s="2020"/>
      <c r="Y110" s="2020"/>
      <c r="Z110" s="2020"/>
      <c r="AA110" s="2020"/>
      <c r="AB110" s="2020"/>
      <c r="AC110" s="2020"/>
    </row>
    <row r="111" spans="1:29" ht="15.75" thickBot="1">
      <c r="A111" s="569"/>
      <c r="B111" s="578"/>
      <c r="C111" s="579">
        <v>100</v>
      </c>
      <c r="D111" s="579">
        <f>C111-$K36</f>
        <v>100</v>
      </c>
      <c r="E111" s="579">
        <f t="shared" ref="E111:M111" si="23">D111-$K36</f>
        <v>100</v>
      </c>
      <c r="F111" s="579">
        <f t="shared" si="23"/>
        <v>100</v>
      </c>
      <c r="G111" s="579">
        <f t="shared" si="23"/>
        <v>100</v>
      </c>
      <c r="H111" s="579">
        <f t="shared" si="23"/>
        <v>100</v>
      </c>
      <c r="I111" s="579">
        <f t="shared" si="23"/>
        <v>100</v>
      </c>
      <c r="J111" s="579">
        <f t="shared" si="23"/>
        <v>100</v>
      </c>
      <c r="K111" s="579">
        <f t="shared" si="23"/>
        <v>100</v>
      </c>
      <c r="L111" s="579">
        <f t="shared" si="23"/>
        <v>100</v>
      </c>
      <c r="M111" s="579">
        <f t="shared" si="23"/>
        <v>100</v>
      </c>
      <c r="N111" s="2041"/>
      <c r="O111" s="2041"/>
      <c r="P111" s="2040"/>
      <c r="Q111" s="2033"/>
      <c r="R111" s="2020"/>
      <c r="S111" s="2020"/>
      <c r="T111" s="2020"/>
      <c r="U111" s="2020"/>
      <c r="V111" s="2020"/>
      <c r="W111" s="2020"/>
      <c r="X111" s="2020"/>
      <c r="Y111" s="2020"/>
      <c r="Z111" s="2020"/>
      <c r="AA111" s="2020"/>
      <c r="AB111" s="2020"/>
      <c r="AC111" s="2020"/>
    </row>
    <row r="112" spans="1:29" ht="15.75" thickTop="1">
      <c r="A112" s="569"/>
      <c r="B112" s="581">
        <f>B37</f>
        <v>0</v>
      </c>
      <c r="C112" s="588"/>
      <c r="D112" s="588"/>
      <c r="E112" s="588"/>
      <c r="F112" s="588"/>
      <c r="G112" s="622"/>
      <c r="H112" s="622"/>
      <c r="I112" s="622"/>
      <c r="J112" s="622"/>
      <c r="K112" s="623"/>
      <c r="L112" s="624"/>
      <c r="M112" s="625"/>
      <c r="N112" s="2039"/>
      <c r="O112" s="2039"/>
      <c r="P112" s="2040"/>
      <c r="Q112" s="2033"/>
      <c r="R112" s="2020"/>
      <c r="S112" s="2020"/>
      <c r="T112" s="2020"/>
      <c r="U112" s="2020"/>
      <c r="V112" s="2020"/>
      <c r="W112" s="2020"/>
      <c r="X112" s="2020"/>
      <c r="Y112" s="2020"/>
      <c r="Z112" s="2020"/>
      <c r="AA112" s="2020"/>
      <c r="AB112" s="2020"/>
      <c r="AC112" s="2020"/>
    </row>
    <row r="113" spans="1:29" ht="15.75" thickBot="1">
      <c r="A113" s="569"/>
      <c r="B113" s="599"/>
      <c r="C113" s="592"/>
      <c r="D113" s="592"/>
      <c r="E113" s="592"/>
      <c r="F113" s="592"/>
      <c r="G113" s="626"/>
      <c r="H113" s="626"/>
      <c r="I113" s="626"/>
      <c r="J113" s="626"/>
      <c r="K113" s="626"/>
      <c r="L113" s="626"/>
      <c r="M113" s="627"/>
      <c r="N113" s="2041"/>
      <c r="O113" s="2041"/>
      <c r="P113" s="2040"/>
      <c r="Q113" s="2033"/>
      <c r="R113" s="2020"/>
      <c r="S113" s="2020"/>
      <c r="T113" s="2020"/>
      <c r="U113" s="2020"/>
      <c r="V113" s="2020"/>
      <c r="W113" s="2020"/>
      <c r="X113" s="2020"/>
      <c r="Y113" s="2020"/>
      <c r="Z113" s="2020"/>
      <c r="AA113" s="2020"/>
      <c r="AB113" s="2020"/>
      <c r="AC113" s="2020"/>
    </row>
    <row r="114" spans="1:29" ht="15" thickTop="1">
      <c r="A114" s="487"/>
      <c r="B114" s="573">
        <f>B38</f>
        <v>0</v>
      </c>
      <c r="C114" s="561"/>
      <c r="D114" s="561"/>
      <c r="E114" s="561"/>
      <c r="F114" s="561"/>
      <c r="G114" s="618"/>
      <c r="H114" s="618"/>
      <c r="I114" s="618"/>
      <c r="J114" s="618"/>
      <c r="K114" s="619"/>
      <c r="L114" s="620"/>
      <c r="M114" s="621"/>
      <c r="N114" s="2039"/>
      <c r="O114" s="2039"/>
      <c r="P114" s="2040"/>
      <c r="Q114" s="2033"/>
      <c r="R114" s="2020"/>
      <c r="S114" s="2020"/>
      <c r="T114" s="2020"/>
      <c r="U114" s="2020"/>
      <c r="V114" s="2020"/>
      <c r="W114" s="2020"/>
      <c r="X114" s="2020"/>
      <c r="Y114" s="2020"/>
      <c r="Z114" s="2020"/>
      <c r="AA114" s="2020"/>
      <c r="AB114" s="2020"/>
      <c r="AC114" s="2020"/>
    </row>
    <row r="115" spans="1:29" ht="15.75" thickBot="1">
      <c r="A115" s="569"/>
      <c r="B115" s="578"/>
      <c r="C115" s="600"/>
      <c r="D115" s="600"/>
      <c r="E115" s="600"/>
      <c r="F115" s="600"/>
      <c r="G115" s="571"/>
      <c r="H115" s="571"/>
      <c r="I115" s="571"/>
      <c r="J115" s="571"/>
      <c r="K115" s="571"/>
      <c r="L115" s="571"/>
      <c r="M115" s="572"/>
      <c r="N115" s="2041"/>
      <c r="O115" s="2041"/>
      <c r="P115" s="2040"/>
      <c r="Q115" s="2033"/>
      <c r="R115" s="2020"/>
      <c r="S115" s="2020"/>
      <c r="T115" s="2020"/>
      <c r="U115" s="2020"/>
      <c r="V115" s="2020"/>
      <c r="W115" s="2020"/>
      <c r="X115" s="2020"/>
      <c r="Y115" s="2020"/>
      <c r="Z115" s="2020"/>
      <c r="AA115" s="2020"/>
      <c r="AB115" s="2020"/>
      <c r="AC115" s="2020"/>
    </row>
    <row r="116" spans="1:29" s="1227" customFormat="1" ht="15" thickTop="1">
      <c r="A116" s="628"/>
      <c r="B116" s="629">
        <f>B39</f>
        <v>0</v>
      </c>
      <c r="C116" s="630"/>
      <c r="D116" s="630"/>
      <c r="E116" s="630"/>
      <c r="F116" s="630"/>
      <c r="G116" s="630"/>
      <c r="H116" s="630"/>
      <c r="I116" s="630"/>
      <c r="J116" s="631"/>
      <c r="K116" s="631"/>
      <c r="L116" s="632"/>
      <c r="M116" s="633"/>
      <c r="N116" s="2042"/>
      <c r="O116" s="2042"/>
      <c r="P116" s="2043"/>
      <c r="Q116" s="2044"/>
      <c r="R116" s="2045"/>
      <c r="S116" s="2045"/>
      <c r="T116" s="2045"/>
      <c r="U116" s="2045"/>
      <c r="V116" s="2045"/>
      <c r="W116" s="2045"/>
      <c r="X116" s="2045"/>
      <c r="Y116" s="2045"/>
      <c r="Z116" s="2045"/>
      <c r="AA116" s="2045"/>
      <c r="AB116" s="2045"/>
      <c r="AC116" s="2045"/>
    </row>
    <row r="117" spans="1:29" s="1227" customFormat="1" ht="15.75" thickBot="1">
      <c r="A117" s="587"/>
      <c r="B117" s="581"/>
      <c r="C117" s="550"/>
      <c r="D117" s="492"/>
      <c r="E117" s="492"/>
      <c r="F117" s="492"/>
      <c r="G117" s="492"/>
      <c r="H117" s="492"/>
      <c r="I117" s="492"/>
      <c r="J117" s="492"/>
      <c r="K117" s="492"/>
      <c r="L117" s="492"/>
      <c r="M117" s="634"/>
      <c r="N117" s="2041"/>
      <c r="O117" s="2041"/>
      <c r="P117" s="2043"/>
      <c r="Q117" s="2044"/>
      <c r="R117" s="2045"/>
      <c r="S117" s="2045"/>
      <c r="T117" s="2045"/>
      <c r="U117" s="2045"/>
      <c r="V117" s="2045"/>
      <c r="W117" s="2045"/>
      <c r="X117" s="2045"/>
      <c r="Y117" s="2045"/>
      <c r="Z117" s="2045"/>
      <c r="AA117" s="2045"/>
      <c r="AB117" s="2045"/>
      <c r="AC117" s="2045"/>
    </row>
    <row r="118" spans="1:29">
      <c r="A118" s="564" t="s">
        <v>491</v>
      </c>
      <c r="B118" s="565" t="s">
        <v>533</v>
      </c>
      <c r="C118" s="604" t="str">
        <f t="shared" ref="C118:L118" si="24">C119&amp;"(含)"&amp;"-"&amp;D119</f>
        <v>100(含)-</v>
      </c>
      <c r="D118" s="604" t="str">
        <f t="shared" si="24"/>
        <v>(含)-</v>
      </c>
      <c r="E118" s="604" t="str">
        <f t="shared" si="24"/>
        <v>(含)-</v>
      </c>
      <c r="F118" s="604" t="str">
        <f t="shared" si="24"/>
        <v>(含)-</v>
      </c>
      <c r="G118" s="604" t="str">
        <f t="shared" si="24"/>
        <v>(含)-</v>
      </c>
      <c r="H118" s="604" t="str">
        <f t="shared" si="24"/>
        <v>(含)-</v>
      </c>
      <c r="I118" s="604" t="str">
        <f t="shared" si="24"/>
        <v>(含)-</v>
      </c>
      <c r="J118" s="2947" t="str">
        <f t="shared" si="24"/>
        <v>(含)-</v>
      </c>
      <c r="K118" s="2947" t="str">
        <f t="shared" si="24"/>
        <v>(含)-</v>
      </c>
      <c r="L118" s="2948" t="str">
        <f t="shared" si="24"/>
        <v>(含)-</v>
      </c>
      <c r="M118" s="2949" t="str">
        <f>M119&amp;"(含)"&amp;"-"&amp;P119</f>
        <v>(含)-</v>
      </c>
      <c r="N118" s="2039"/>
      <c r="O118" s="2039"/>
      <c r="P118" s="2040"/>
      <c r="Q118" s="2033"/>
      <c r="R118" s="2020"/>
      <c r="S118" s="2020"/>
      <c r="T118" s="2020"/>
      <c r="U118" s="2020"/>
      <c r="V118" s="2020"/>
      <c r="W118" s="2020"/>
      <c r="X118" s="2020"/>
      <c r="Y118" s="2020"/>
      <c r="Z118" s="2020"/>
      <c r="AA118" s="2020"/>
      <c r="AB118" s="2020"/>
      <c r="AC118" s="2020"/>
    </row>
    <row r="119" spans="1:29" ht="15">
      <c r="A119" s="569"/>
      <c r="B119" s="581"/>
      <c r="C119" s="630">
        <v>100</v>
      </c>
      <c r="D119" s="630"/>
      <c r="E119" s="630"/>
      <c r="F119" s="630"/>
      <c r="G119" s="630"/>
      <c r="H119" s="630"/>
      <c r="I119" s="630"/>
      <c r="J119" s="2213"/>
      <c r="K119" s="2213"/>
      <c r="L119" s="2214"/>
      <c r="M119" s="2215"/>
      <c r="N119" s="2039"/>
      <c r="O119" s="2039"/>
      <c r="P119" s="2040"/>
      <c r="Q119" s="2033"/>
      <c r="R119" s="2020"/>
      <c r="S119" s="2020"/>
      <c r="T119" s="2020"/>
      <c r="U119" s="2020"/>
      <c r="V119" s="2020"/>
      <c r="W119" s="2020"/>
      <c r="X119" s="2020"/>
      <c r="Y119" s="2020"/>
      <c r="Z119" s="2020"/>
      <c r="AA119" s="2020"/>
      <c r="AB119" s="2020"/>
      <c r="AC119" s="2020"/>
    </row>
    <row r="120" spans="1:29" ht="15.75" thickBot="1">
      <c r="A120" s="569"/>
      <c r="B120" s="578"/>
      <c r="C120" s="600">
        <v>100</v>
      </c>
      <c r="D120" s="626"/>
      <c r="E120" s="626"/>
      <c r="F120" s="626"/>
      <c r="G120" s="626"/>
      <c r="H120" s="626"/>
      <c r="I120" s="626"/>
      <c r="J120" s="626"/>
      <c r="K120" s="626"/>
      <c r="L120" s="626"/>
      <c r="M120" s="627"/>
      <c r="N120" s="2041"/>
      <c r="O120" s="2041"/>
      <c r="P120" s="2040"/>
      <c r="Q120" s="2033"/>
      <c r="R120" s="2020"/>
      <c r="S120" s="2020"/>
      <c r="T120" s="2020"/>
      <c r="U120" s="2020"/>
      <c r="V120" s="2020"/>
      <c r="W120" s="2020"/>
      <c r="X120" s="2020"/>
      <c r="Y120" s="2020"/>
      <c r="Z120" s="2020"/>
      <c r="AA120" s="2020"/>
      <c r="AB120" s="2020"/>
      <c r="AC120" s="2020"/>
    </row>
    <row r="121" spans="1:29" ht="15" thickTop="1">
      <c r="A121" s="635"/>
      <c r="B121" s="573" t="s">
        <v>534</v>
      </c>
      <c r="C121" s="3160" t="s">
        <v>3022</v>
      </c>
      <c r="D121" s="3160" t="s">
        <v>3023</v>
      </c>
      <c r="E121" s="618"/>
      <c r="F121" s="618"/>
      <c r="G121" s="618"/>
      <c r="H121" s="618"/>
      <c r="I121" s="618"/>
      <c r="J121" s="618"/>
      <c r="K121" s="619"/>
      <c r="L121" s="620"/>
      <c r="M121" s="621"/>
      <c r="N121" s="2039"/>
      <c r="O121" s="2039"/>
      <c r="P121" s="2040"/>
      <c r="Q121" s="2033"/>
      <c r="R121" s="2020"/>
      <c r="S121" s="2020"/>
      <c r="T121" s="2020"/>
      <c r="U121" s="2020"/>
      <c r="V121" s="2020"/>
      <c r="W121" s="2020"/>
      <c r="X121" s="2020"/>
      <c r="Y121" s="2020"/>
      <c r="Z121" s="2020"/>
      <c r="AA121" s="2020"/>
      <c r="AB121" s="2020"/>
      <c r="AC121" s="2020"/>
    </row>
    <row r="122" spans="1:29" ht="15.75" thickBot="1">
      <c r="A122" s="569"/>
      <c r="B122" s="578"/>
      <c r="C122" s="579">
        <v>100</v>
      </c>
      <c r="D122" s="579">
        <f t="shared" ref="D122:M122" si="25">C122-$K41</f>
        <v>100</v>
      </c>
      <c r="E122" s="579">
        <f t="shared" si="25"/>
        <v>100</v>
      </c>
      <c r="F122" s="579">
        <f t="shared" si="25"/>
        <v>100</v>
      </c>
      <c r="G122" s="579">
        <f t="shared" si="25"/>
        <v>100</v>
      </c>
      <c r="H122" s="579">
        <f t="shared" si="25"/>
        <v>100</v>
      </c>
      <c r="I122" s="579">
        <f t="shared" si="25"/>
        <v>100</v>
      </c>
      <c r="J122" s="579">
        <f t="shared" si="25"/>
        <v>100</v>
      </c>
      <c r="K122" s="579">
        <f t="shared" si="25"/>
        <v>100</v>
      </c>
      <c r="L122" s="579">
        <f t="shared" si="25"/>
        <v>100</v>
      </c>
      <c r="M122" s="580">
        <f t="shared" si="25"/>
        <v>100</v>
      </c>
      <c r="N122" s="2041"/>
      <c r="O122" s="2041"/>
      <c r="P122" s="2040"/>
      <c r="Q122" s="2033"/>
      <c r="R122" s="2020"/>
      <c r="S122" s="2020"/>
      <c r="T122" s="2020"/>
      <c r="U122" s="2020"/>
      <c r="V122" s="2020"/>
      <c r="W122" s="2020"/>
      <c r="X122" s="2020"/>
      <c r="Y122" s="2020"/>
      <c r="Z122" s="2020"/>
      <c r="AA122" s="2020"/>
      <c r="AB122" s="2020"/>
      <c r="AC122" s="2020"/>
    </row>
    <row r="123" spans="1:29" ht="15" thickTop="1">
      <c r="A123" s="635"/>
      <c r="B123" s="573" t="s">
        <v>535</v>
      </c>
      <c r="C123" s="3159" t="s">
        <v>3024</v>
      </c>
      <c r="D123" s="588"/>
      <c r="E123" s="588"/>
      <c r="F123" s="618"/>
      <c r="G123" s="618"/>
      <c r="H123" s="618"/>
      <c r="I123" s="618"/>
      <c r="J123" s="618"/>
      <c r="K123" s="619"/>
      <c r="L123" s="620"/>
      <c r="M123" s="621"/>
      <c r="N123" s="2039"/>
      <c r="O123" s="2039"/>
      <c r="P123" s="2040"/>
      <c r="Q123" s="2033"/>
      <c r="R123" s="2020"/>
      <c r="S123" s="2020"/>
      <c r="T123" s="2020"/>
      <c r="U123" s="2020"/>
      <c r="V123" s="2020"/>
      <c r="W123" s="2020"/>
      <c r="X123" s="2020"/>
      <c r="Y123" s="2020"/>
      <c r="Z123" s="2020"/>
      <c r="AA123" s="2020"/>
      <c r="AB123" s="2020"/>
      <c r="AC123" s="2020"/>
    </row>
    <row r="124" spans="1:29" ht="15.75" thickBot="1">
      <c r="A124" s="569"/>
      <c r="B124" s="578"/>
      <c r="C124" s="579">
        <v>100</v>
      </c>
      <c r="D124" s="579">
        <f t="shared" ref="D124:M124" si="26">C124-$K42</f>
        <v>100</v>
      </c>
      <c r="E124" s="579">
        <f t="shared" si="26"/>
        <v>100</v>
      </c>
      <c r="F124" s="579">
        <f t="shared" si="26"/>
        <v>100</v>
      </c>
      <c r="G124" s="579">
        <f t="shared" si="26"/>
        <v>100</v>
      </c>
      <c r="H124" s="579">
        <f t="shared" si="26"/>
        <v>100</v>
      </c>
      <c r="I124" s="579">
        <f t="shared" si="26"/>
        <v>100</v>
      </c>
      <c r="J124" s="579">
        <f t="shared" si="26"/>
        <v>100</v>
      </c>
      <c r="K124" s="579">
        <f t="shared" si="26"/>
        <v>100</v>
      </c>
      <c r="L124" s="579">
        <f t="shared" si="26"/>
        <v>100</v>
      </c>
      <c r="M124" s="580">
        <f t="shared" si="26"/>
        <v>100</v>
      </c>
      <c r="N124" s="2041"/>
      <c r="O124" s="2041"/>
      <c r="P124" s="2040"/>
      <c r="Q124" s="2033"/>
      <c r="R124" s="2020"/>
      <c r="S124" s="2020"/>
      <c r="T124" s="2020"/>
      <c r="U124" s="2020"/>
      <c r="V124" s="2020"/>
      <c r="W124" s="2020"/>
      <c r="X124" s="2020"/>
      <c r="Y124" s="2020"/>
      <c r="Z124" s="2020"/>
      <c r="AA124" s="2020"/>
      <c r="AB124" s="2020"/>
      <c r="AC124" s="2020"/>
    </row>
    <row r="125" spans="1:29" s="1227" customFormat="1" ht="15" thickTop="1">
      <c r="A125" s="628"/>
      <c r="B125" s="1778" t="s">
        <v>2353</v>
      </c>
      <c r="C125" s="1263" t="s">
        <v>3025</v>
      </c>
      <c r="D125" s="1263" t="s">
        <v>3026</v>
      </c>
      <c r="E125" s="1263" t="s">
        <v>3027</v>
      </c>
      <c r="F125" s="1263" t="s">
        <v>3028</v>
      </c>
      <c r="G125" s="1263" t="s">
        <v>3029</v>
      </c>
      <c r="H125" s="618"/>
      <c r="I125" s="618"/>
      <c r="J125" s="618"/>
      <c r="K125" s="619"/>
      <c r="L125" s="620"/>
      <c r="M125" s="621"/>
      <c r="N125" s="2042"/>
      <c r="O125" s="2042"/>
      <c r="P125" s="2043"/>
      <c r="Q125" s="2044"/>
      <c r="R125" s="2045"/>
      <c r="S125" s="2045"/>
      <c r="T125" s="2045"/>
      <c r="U125" s="2045"/>
      <c r="V125" s="2045"/>
      <c r="W125" s="2045"/>
      <c r="X125" s="2045"/>
      <c r="Y125" s="2045"/>
      <c r="Z125" s="2045"/>
      <c r="AA125" s="2045"/>
      <c r="AB125" s="2045"/>
      <c r="AC125" s="2045"/>
    </row>
    <row r="126" spans="1:29" s="1227" customFormat="1" ht="15.75" thickBot="1">
      <c r="A126" s="587"/>
      <c r="B126" s="578"/>
      <c r="C126" s="579">
        <v>100</v>
      </c>
      <c r="D126" s="579">
        <f>C126-$K43</f>
        <v>100</v>
      </c>
      <c r="E126" s="579">
        <f t="shared" ref="E126:M126" si="27">D126-$K43</f>
        <v>100</v>
      </c>
      <c r="F126" s="579">
        <f t="shared" si="27"/>
        <v>100</v>
      </c>
      <c r="G126" s="579">
        <f t="shared" si="27"/>
        <v>100</v>
      </c>
      <c r="H126" s="579">
        <f t="shared" si="27"/>
        <v>100</v>
      </c>
      <c r="I126" s="579">
        <f t="shared" si="27"/>
        <v>100</v>
      </c>
      <c r="J126" s="579">
        <f t="shared" si="27"/>
        <v>100</v>
      </c>
      <c r="K126" s="579">
        <f t="shared" si="27"/>
        <v>100</v>
      </c>
      <c r="L126" s="579">
        <f t="shared" si="27"/>
        <v>100</v>
      </c>
      <c r="M126" s="580">
        <f t="shared" si="27"/>
        <v>100</v>
      </c>
      <c r="N126" s="2042"/>
      <c r="O126" s="2042"/>
      <c r="P126" s="2043"/>
      <c r="Q126" s="2044"/>
      <c r="R126" s="2045"/>
      <c r="S126" s="2045"/>
      <c r="T126" s="2045"/>
      <c r="U126" s="2045"/>
      <c r="V126" s="2045"/>
      <c r="W126" s="2045"/>
      <c r="X126" s="2045"/>
      <c r="Y126" s="2045"/>
      <c r="Z126" s="2045"/>
      <c r="AA126" s="2045"/>
      <c r="AB126" s="2045"/>
      <c r="AC126" s="2045"/>
    </row>
    <row r="127" spans="1:29" ht="15" thickTop="1">
      <c r="A127" s="635"/>
      <c r="B127" s="573" t="s">
        <v>536</v>
      </c>
      <c r="C127" s="3159" t="s">
        <v>3024</v>
      </c>
      <c r="D127" s="588"/>
      <c r="E127" s="618"/>
      <c r="F127" s="618"/>
      <c r="G127" s="618"/>
      <c r="H127" s="618"/>
      <c r="I127" s="618"/>
      <c r="J127" s="618"/>
      <c r="K127" s="619"/>
      <c r="L127" s="620"/>
      <c r="M127" s="621"/>
      <c r="N127" s="2039"/>
      <c r="O127" s="2039"/>
      <c r="P127" s="2040"/>
      <c r="Q127" s="2033"/>
      <c r="R127" s="2020"/>
      <c r="S127" s="2020"/>
      <c r="T127" s="2020"/>
      <c r="U127" s="2020"/>
      <c r="V127" s="2020"/>
      <c r="W127" s="2020"/>
      <c r="X127" s="2020"/>
      <c r="Y127" s="2020"/>
      <c r="Z127" s="2020"/>
      <c r="AA127" s="2020"/>
      <c r="AB127" s="2020"/>
      <c r="AC127" s="2020"/>
    </row>
    <row r="128" spans="1:29" ht="15.75" thickBot="1">
      <c r="A128" s="569"/>
      <c r="B128" s="578"/>
      <c r="C128" s="579">
        <v>100</v>
      </c>
      <c r="D128" s="579">
        <f t="shared" ref="D128:M128" si="28">C128-$K44</f>
        <v>100</v>
      </c>
      <c r="E128" s="579">
        <f t="shared" si="28"/>
        <v>100</v>
      </c>
      <c r="F128" s="579">
        <f t="shared" si="28"/>
        <v>100</v>
      </c>
      <c r="G128" s="579">
        <f t="shared" si="28"/>
        <v>100</v>
      </c>
      <c r="H128" s="579">
        <f t="shared" si="28"/>
        <v>100</v>
      </c>
      <c r="I128" s="579">
        <f t="shared" si="28"/>
        <v>100</v>
      </c>
      <c r="J128" s="579">
        <f t="shared" si="28"/>
        <v>100</v>
      </c>
      <c r="K128" s="579">
        <f t="shared" si="28"/>
        <v>100</v>
      </c>
      <c r="L128" s="579">
        <f t="shared" si="28"/>
        <v>100</v>
      </c>
      <c r="M128" s="580">
        <f t="shared" si="28"/>
        <v>100</v>
      </c>
      <c r="N128" s="2041"/>
      <c r="O128" s="2041"/>
      <c r="P128" s="2040"/>
      <c r="Q128" s="2033"/>
      <c r="R128" s="2020"/>
      <c r="S128" s="2020"/>
      <c r="T128" s="2020"/>
      <c r="U128" s="2020"/>
      <c r="V128" s="2020"/>
      <c r="W128" s="2020"/>
      <c r="X128" s="2020"/>
      <c r="Y128" s="2020"/>
      <c r="Z128" s="2020"/>
      <c r="AA128" s="2020"/>
      <c r="AB128" s="2020"/>
      <c r="AC128" s="2020"/>
    </row>
    <row r="129" spans="1:29" ht="15" thickTop="1">
      <c r="A129" s="635"/>
      <c r="B129" s="573" t="str">
        <f>B45</f>
        <v>毗邻水系</v>
      </c>
      <c r="C129" s="588"/>
      <c r="D129" s="588"/>
      <c r="E129" s="588"/>
      <c r="F129" s="588"/>
      <c r="G129" s="588"/>
      <c r="H129" s="618"/>
      <c r="I129" s="618"/>
      <c r="J129" s="618"/>
      <c r="K129" s="619"/>
      <c r="L129" s="620"/>
      <c r="M129" s="621"/>
      <c r="N129" s="2039"/>
      <c r="O129" s="2039"/>
      <c r="P129" s="2040"/>
      <c r="Q129" s="2033"/>
      <c r="R129" s="2020"/>
      <c r="S129" s="2020"/>
      <c r="T129" s="2020"/>
      <c r="U129" s="2020"/>
      <c r="V129" s="2020"/>
      <c r="W129" s="2020"/>
      <c r="X129" s="2020"/>
      <c r="Y129" s="2020"/>
      <c r="Z129" s="2020"/>
      <c r="AA129" s="2020"/>
      <c r="AB129" s="2020"/>
      <c r="AC129" s="2020"/>
    </row>
    <row r="130" spans="1:29" ht="15.75" thickBot="1">
      <c r="A130" s="569"/>
      <c r="B130" s="578"/>
      <c r="C130" s="592"/>
      <c r="D130" s="592"/>
      <c r="E130" s="592"/>
      <c r="F130" s="592"/>
      <c r="G130" s="571"/>
      <c r="H130" s="571"/>
      <c r="I130" s="571"/>
      <c r="J130" s="571"/>
      <c r="K130" s="571"/>
      <c r="L130" s="571"/>
      <c r="M130" s="572"/>
      <c r="N130" s="2041"/>
      <c r="O130" s="2041"/>
      <c r="P130" s="2040"/>
      <c r="Q130" s="2033"/>
      <c r="R130" s="2020"/>
      <c r="S130" s="2020"/>
      <c r="T130" s="2020"/>
      <c r="U130" s="2020"/>
      <c r="V130" s="2020"/>
      <c r="W130" s="2020"/>
      <c r="X130" s="2020"/>
      <c r="Y130" s="2020"/>
      <c r="Z130" s="2020"/>
      <c r="AA130" s="2020"/>
      <c r="AB130" s="2020"/>
      <c r="AC130" s="2020"/>
    </row>
    <row r="131" spans="1:29" ht="15" thickTop="1">
      <c r="A131" s="635"/>
      <c r="B131" s="573">
        <f>B46</f>
        <v>0</v>
      </c>
      <c r="C131" s="561"/>
      <c r="D131" s="561"/>
      <c r="E131" s="561"/>
      <c r="F131" s="561"/>
      <c r="G131" s="618"/>
      <c r="H131" s="618"/>
      <c r="I131" s="618"/>
      <c r="J131" s="618"/>
      <c r="K131" s="619"/>
      <c r="L131" s="620"/>
      <c r="M131" s="621"/>
      <c r="N131" s="2039"/>
      <c r="O131" s="2039"/>
      <c r="P131" s="2040"/>
      <c r="Q131" s="2033"/>
      <c r="R131" s="2020"/>
      <c r="S131" s="2020"/>
      <c r="T131" s="2020"/>
      <c r="U131" s="2020"/>
      <c r="V131" s="2020"/>
      <c r="W131" s="2020"/>
      <c r="X131" s="2020"/>
      <c r="Y131" s="2020"/>
      <c r="Z131" s="2020"/>
      <c r="AA131" s="2020"/>
      <c r="AB131" s="2020"/>
      <c r="AC131" s="2020"/>
    </row>
    <row r="132" spans="1:29" ht="15.75" thickBot="1">
      <c r="A132" s="569"/>
      <c r="B132" s="578"/>
      <c r="C132" s="600"/>
      <c r="D132" s="600"/>
      <c r="E132" s="600"/>
      <c r="F132" s="600"/>
      <c r="G132" s="571"/>
      <c r="H132" s="571"/>
      <c r="I132" s="571"/>
      <c r="J132" s="571"/>
      <c r="K132" s="571"/>
      <c r="L132" s="571"/>
      <c r="M132" s="572"/>
      <c r="N132" s="2041"/>
      <c r="O132" s="2041"/>
      <c r="P132" s="2040"/>
      <c r="Q132" s="2033"/>
      <c r="R132" s="2020"/>
      <c r="S132" s="2020"/>
      <c r="T132" s="2020"/>
      <c r="U132" s="2020"/>
      <c r="V132" s="2020"/>
      <c r="W132" s="2020"/>
      <c r="X132" s="2020"/>
      <c r="Y132" s="2020"/>
      <c r="Z132" s="2020"/>
      <c r="AA132" s="2020"/>
      <c r="AB132" s="2020"/>
      <c r="AC132" s="2020"/>
    </row>
    <row r="133" spans="1:29" s="1227" customFormat="1" ht="15" thickTop="1">
      <c r="A133" s="628"/>
      <c r="B133" s="573">
        <f>B47</f>
        <v>0</v>
      </c>
      <c r="C133" s="561"/>
      <c r="D133" s="561"/>
      <c r="E133" s="561"/>
      <c r="F133" s="561"/>
      <c r="G133" s="589"/>
      <c r="H133" s="589"/>
      <c r="I133" s="589"/>
      <c r="J133" s="589"/>
      <c r="K133" s="589"/>
      <c r="L133" s="590"/>
      <c r="M133" s="591"/>
      <c r="N133" s="2042"/>
      <c r="O133" s="2042"/>
      <c r="P133" s="2043"/>
      <c r="Q133" s="2044"/>
      <c r="R133" s="2045"/>
      <c r="S133" s="2045"/>
      <c r="T133" s="2045"/>
      <c r="U133" s="2045"/>
      <c r="V133" s="2045"/>
      <c r="W133" s="2045"/>
      <c r="X133" s="2045"/>
      <c r="Y133" s="2045"/>
      <c r="Z133" s="2045"/>
      <c r="AA133" s="2045"/>
      <c r="AB133" s="2045"/>
      <c r="AC133" s="2045"/>
    </row>
    <row r="134" spans="1:29" s="1227" customFormat="1" ht="15.75" thickBot="1">
      <c r="A134" s="598"/>
      <c r="B134" s="636"/>
      <c r="C134" s="600"/>
      <c r="D134" s="600"/>
      <c r="E134" s="600"/>
      <c r="F134" s="600"/>
      <c r="G134" s="626"/>
      <c r="H134" s="626"/>
      <c r="I134" s="626"/>
      <c r="J134" s="626"/>
      <c r="K134" s="626"/>
      <c r="L134" s="626"/>
      <c r="M134" s="627"/>
      <c r="N134" s="2042"/>
      <c r="O134" s="2042"/>
      <c r="P134" s="2043"/>
      <c r="Q134" s="2044"/>
      <c r="R134" s="2045"/>
      <c r="S134" s="2045"/>
      <c r="T134" s="2045"/>
      <c r="U134" s="2045"/>
      <c r="V134" s="2045"/>
      <c r="W134" s="2045"/>
      <c r="X134" s="2045"/>
      <c r="Y134" s="2045"/>
      <c r="Z134" s="2045"/>
      <c r="AA134" s="2045"/>
      <c r="AB134" s="2045"/>
      <c r="AC134" s="2045"/>
    </row>
    <row r="135" spans="1:29" s="1475" customFormat="1">
      <c r="A135" s="2050"/>
      <c r="B135" s="2050"/>
      <c r="C135" s="2050"/>
      <c r="D135" s="2050"/>
      <c r="E135" s="2050"/>
      <c r="F135" s="2050"/>
      <c r="G135" s="2050"/>
      <c r="H135" s="2050"/>
      <c r="I135" s="2050"/>
      <c r="J135" s="2050"/>
      <c r="K135" s="2051"/>
      <c r="L135" s="2052"/>
      <c r="M135" s="2050"/>
      <c r="N135" s="2050"/>
      <c r="O135" s="2050"/>
      <c r="P135" s="2050"/>
      <c r="Q135" s="2050"/>
      <c r="R135" s="2050"/>
      <c r="S135" s="2050"/>
      <c r="T135" s="2050"/>
      <c r="U135" s="2050"/>
      <c r="V135" s="2050"/>
      <c r="W135" s="2050"/>
      <c r="X135" s="2050"/>
      <c r="Y135" s="2050"/>
      <c r="Z135" s="2050"/>
      <c r="AA135" s="2050"/>
      <c r="AB135" s="2050"/>
      <c r="AC135" s="2050"/>
    </row>
    <row r="136" spans="1:29" s="1475" customFormat="1">
      <c r="A136" s="2050"/>
      <c r="B136" s="2050"/>
      <c r="C136" s="2050"/>
      <c r="D136" s="2050"/>
      <c r="E136" s="2050"/>
      <c r="F136" s="2050"/>
      <c r="G136" s="2050"/>
      <c r="H136" s="2050"/>
      <c r="I136" s="2050"/>
      <c r="J136" s="2050"/>
      <c r="K136" s="2051"/>
      <c r="L136" s="2052"/>
      <c r="M136" s="2050"/>
      <c r="N136" s="2050"/>
      <c r="O136" s="2050"/>
      <c r="P136" s="2050"/>
      <c r="Q136" s="2050"/>
      <c r="R136" s="2050"/>
      <c r="S136" s="2050"/>
      <c r="T136" s="2050"/>
      <c r="U136" s="2050"/>
      <c r="V136" s="2050"/>
      <c r="W136" s="2050"/>
      <c r="X136" s="2050"/>
      <c r="Y136" s="2050"/>
      <c r="Z136" s="2050"/>
      <c r="AA136" s="2050"/>
      <c r="AB136" s="2050"/>
      <c r="AC136" s="2050"/>
    </row>
    <row r="137" spans="1:29" s="1475" customFormat="1">
      <c r="A137" s="2050"/>
      <c r="B137" s="2050"/>
      <c r="C137" s="2050"/>
      <c r="D137" s="2050"/>
      <c r="E137" s="2050"/>
      <c r="F137" s="2050"/>
      <c r="G137" s="2050"/>
      <c r="H137" s="2050"/>
      <c r="I137" s="2050"/>
      <c r="J137" s="2050"/>
      <c r="K137" s="2051"/>
      <c r="L137" s="2052"/>
      <c r="M137" s="2050"/>
      <c r="N137" s="2050"/>
      <c r="O137" s="2050"/>
      <c r="P137" s="2050"/>
      <c r="Q137" s="2050"/>
      <c r="R137" s="2050"/>
      <c r="S137" s="2050"/>
      <c r="T137" s="2050"/>
      <c r="U137" s="2050"/>
      <c r="V137" s="2050"/>
      <c r="W137" s="2050"/>
      <c r="X137" s="2050"/>
      <c r="Y137" s="2050"/>
      <c r="Z137" s="2050"/>
      <c r="AA137" s="2050"/>
      <c r="AB137" s="2050"/>
      <c r="AC137" s="2050"/>
    </row>
    <row r="138" spans="1:29" s="1475" customFormat="1">
      <c r="A138" s="2050"/>
      <c r="B138" s="2050"/>
      <c r="C138" s="2050"/>
      <c r="D138" s="2050"/>
      <c r="E138" s="2050"/>
      <c r="F138" s="2050"/>
      <c r="G138" s="2050"/>
      <c r="H138" s="2050"/>
      <c r="I138" s="2050"/>
      <c r="J138" s="2050"/>
      <c r="K138" s="2051"/>
      <c r="L138" s="2052"/>
      <c r="M138" s="2050"/>
      <c r="N138" s="2050"/>
      <c r="O138" s="2050"/>
      <c r="P138" s="2050"/>
      <c r="Q138" s="2050"/>
      <c r="R138" s="2050"/>
      <c r="S138" s="2050"/>
      <c r="T138" s="2050"/>
      <c r="U138" s="2050"/>
      <c r="V138" s="2050"/>
      <c r="W138" s="2050"/>
      <c r="X138" s="2050"/>
      <c r="Y138" s="2050"/>
      <c r="Z138" s="2050"/>
      <c r="AA138" s="2050"/>
      <c r="AB138" s="2050"/>
      <c r="AC138" s="2050"/>
    </row>
    <row r="139" spans="1:29" s="1475" customFormat="1">
      <c r="A139" s="2050"/>
      <c r="B139" s="2050"/>
      <c r="C139" s="2050"/>
      <c r="D139" s="2050"/>
      <c r="E139" s="2050"/>
      <c r="F139" s="2050"/>
      <c r="G139" s="2050"/>
      <c r="H139" s="2050"/>
      <c r="I139" s="2050"/>
      <c r="J139" s="2050"/>
      <c r="K139" s="2051"/>
      <c r="L139" s="2052"/>
      <c r="M139" s="2050"/>
      <c r="N139" s="2050"/>
      <c r="O139" s="2050"/>
      <c r="P139" s="2050"/>
      <c r="Q139" s="2050"/>
      <c r="R139" s="2050"/>
      <c r="S139" s="2050"/>
      <c r="T139" s="2050"/>
      <c r="U139" s="2050"/>
      <c r="V139" s="2050"/>
      <c r="W139" s="2050"/>
      <c r="X139" s="2050"/>
      <c r="Y139" s="2050"/>
      <c r="Z139" s="2050"/>
      <c r="AA139" s="2050"/>
      <c r="AB139" s="2050"/>
      <c r="AC139" s="2050"/>
    </row>
    <row r="140" spans="1:29" s="1475" customFormat="1">
      <c r="A140" s="2050"/>
      <c r="B140" s="2050"/>
      <c r="C140" s="2050"/>
      <c r="D140" s="2050"/>
      <c r="E140" s="2050"/>
      <c r="F140" s="2050"/>
      <c r="G140" s="2050"/>
      <c r="H140" s="2050"/>
      <c r="I140" s="2050"/>
      <c r="J140" s="2050"/>
      <c r="K140" s="2051"/>
      <c r="L140" s="2052"/>
      <c r="M140" s="2050"/>
      <c r="N140" s="2050"/>
      <c r="O140" s="2050"/>
      <c r="P140" s="2050"/>
      <c r="Q140" s="2050"/>
      <c r="R140" s="2050"/>
      <c r="S140" s="2050"/>
      <c r="T140" s="2050"/>
      <c r="U140" s="2050"/>
      <c r="V140" s="2050"/>
      <c r="W140" s="2050"/>
      <c r="X140" s="2050"/>
      <c r="Y140" s="2050"/>
      <c r="Z140" s="2050"/>
      <c r="AA140" s="2050"/>
      <c r="AB140" s="2050"/>
      <c r="AC140" s="2050"/>
    </row>
    <row r="141" spans="1:29" s="1475" customFormat="1">
      <c r="A141" s="2050"/>
      <c r="B141" s="2050"/>
      <c r="C141" s="2050"/>
      <c r="D141" s="2050"/>
      <c r="E141" s="2050"/>
      <c r="F141" s="2050"/>
      <c r="G141" s="2050"/>
      <c r="H141" s="2050"/>
      <c r="I141" s="2050"/>
      <c r="J141" s="2050"/>
      <c r="K141" s="2051"/>
      <c r="L141" s="2052"/>
      <c r="M141" s="2050"/>
      <c r="N141" s="2050"/>
      <c r="O141" s="2050"/>
      <c r="P141" s="2050"/>
      <c r="Q141" s="2050"/>
      <c r="R141" s="2050"/>
      <c r="S141" s="2050"/>
      <c r="T141" s="2050"/>
      <c r="U141" s="2050"/>
      <c r="V141" s="2050"/>
      <c r="W141" s="2050"/>
      <c r="X141" s="2050"/>
      <c r="Y141" s="2050"/>
      <c r="Z141" s="2050"/>
      <c r="AA141" s="2050"/>
      <c r="AB141" s="2050"/>
      <c r="AC141" s="2050"/>
    </row>
    <row r="142" spans="1:29" s="1475" customFormat="1">
      <c r="A142" s="2050"/>
      <c r="B142" s="2050"/>
      <c r="C142" s="2050"/>
      <c r="D142" s="2050"/>
      <c r="E142" s="2050"/>
      <c r="F142" s="2050"/>
      <c r="G142" s="2050"/>
      <c r="H142" s="2050"/>
      <c r="I142" s="2050"/>
      <c r="J142" s="2050"/>
      <c r="K142" s="2051"/>
      <c r="L142" s="2052"/>
      <c r="M142" s="2050"/>
      <c r="N142" s="2050"/>
      <c r="O142" s="2050"/>
      <c r="P142" s="2050"/>
      <c r="Q142" s="2050"/>
      <c r="R142" s="2050"/>
      <c r="S142" s="2050"/>
      <c r="T142" s="2050"/>
      <c r="U142" s="2050"/>
      <c r="V142" s="2050"/>
      <c r="W142" s="2050"/>
      <c r="X142" s="2050"/>
      <c r="Y142" s="2050"/>
      <c r="Z142" s="2050"/>
      <c r="AA142" s="2050"/>
      <c r="AB142" s="2050"/>
      <c r="AC142" s="2050"/>
    </row>
    <row r="143" spans="1:29" s="1475" customFormat="1">
      <c r="A143" s="2050"/>
      <c r="B143" s="2050"/>
      <c r="C143" s="2050"/>
      <c r="D143" s="2050"/>
      <c r="E143" s="2050"/>
      <c r="F143" s="2050"/>
      <c r="G143" s="2050"/>
      <c r="H143" s="2050"/>
      <c r="I143" s="2050"/>
      <c r="J143" s="2050"/>
      <c r="K143" s="2051"/>
      <c r="L143" s="2052"/>
      <c r="M143" s="2050"/>
      <c r="N143" s="2050"/>
      <c r="O143" s="2050"/>
      <c r="P143" s="2050"/>
      <c r="Q143" s="2050"/>
      <c r="R143" s="2050"/>
      <c r="S143" s="2050"/>
      <c r="T143" s="2050"/>
      <c r="U143" s="2050"/>
      <c r="V143" s="2050"/>
      <c r="W143" s="2050"/>
      <c r="X143" s="2050"/>
      <c r="Y143" s="2050"/>
      <c r="Z143" s="2050"/>
      <c r="AA143" s="2050"/>
      <c r="AB143" s="2050"/>
      <c r="AC143" s="2050"/>
    </row>
    <row r="144" spans="1:29" s="1475" customFormat="1">
      <c r="A144" s="2050"/>
      <c r="B144" s="2050"/>
      <c r="C144" s="2050"/>
      <c r="D144" s="2050"/>
      <c r="E144" s="2050"/>
      <c r="F144" s="2050"/>
      <c r="G144" s="2050"/>
      <c r="H144" s="2050"/>
      <c r="I144" s="2050"/>
      <c r="J144" s="2050"/>
      <c r="K144" s="2051"/>
      <c r="L144" s="2052"/>
      <c r="M144" s="2050"/>
      <c r="N144" s="2050"/>
      <c r="O144" s="2050"/>
      <c r="P144" s="2050"/>
      <c r="Q144" s="2050"/>
      <c r="R144" s="2050"/>
      <c r="S144" s="2050"/>
      <c r="T144" s="2050"/>
      <c r="U144" s="2050"/>
      <c r="V144" s="2050"/>
      <c r="W144" s="2050"/>
      <c r="X144" s="2050"/>
      <c r="Y144" s="2050"/>
      <c r="Z144" s="2050"/>
      <c r="AA144" s="2050"/>
      <c r="AB144" s="2050"/>
      <c r="AC144" s="2050"/>
    </row>
    <row r="145" spans="1:29" s="1475" customFormat="1">
      <c r="A145" s="2050"/>
      <c r="B145" s="2050"/>
      <c r="C145" s="2050"/>
      <c r="D145" s="2050"/>
      <c r="E145" s="2050"/>
      <c r="F145" s="2050"/>
      <c r="G145" s="2050"/>
      <c r="H145" s="2050"/>
      <c r="I145" s="2050"/>
      <c r="J145" s="2050"/>
      <c r="K145" s="2051"/>
      <c r="L145" s="2052"/>
      <c r="M145" s="2050"/>
      <c r="N145" s="2050"/>
      <c r="O145" s="2050"/>
      <c r="P145" s="2050"/>
      <c r="Q145" s="2050"/>
      <c r="R145" s="2050"/>
      <c r="S145" s="2050"/>
      <c r="T145" s="2050"/>
      <c r="U145" s="2050"/>
      <c r="V145" s="2050"/>
      <c r="W145" s="2050"/>
      <c r="X145" s="2050"/>
      <c r="Y145" s="2050"/>
      <c r="Z145" s="2050"/>
      <c r="AA145" s="2050"/>
      <c r="AB145" s="2050"/>
      <c r="AC145" s="2050"/>
    </row>
    <row r="146" spans="1:29" s="1475" customFormat="1">
      <c r="A146" s="2050"/>
      <c r="B146" s="2050"/>
      <c r="C146" s="2050"/>
      <c r="D146" s="2050"/>
      <c r="E146" s="2050"/>
      <c r="F146" s="2050"/>
      <c r="G146" s="2050"/>
      <c r="H146" s="2050"/>
      <c r="I146" s="2050"/>
      <c r="J146" s="2050"/>
      <c r="K146" s="2051"/>
      <c r="L146" s="2052"/>
      <c r="M146" s="2050"/>
      <c r="N146" s="2050"/>
      <c r="O146" s="2050"/>
      <c r="P146" s="2050"/>
      <c r="Q146" s="2050"/>
      <c r="R146" s="2050"/>
      <c r="S146" s="2050"/>
      <c r="T146" s="2050"/>
      <c r="U146" s="2050"/>
      <c r="V146" s="2050"/>
      <c r="W146" s="2050"/>
      <c r="X146" s="2050"/>
      <c r="Y146" s="2050"/>
      <c r="Z146" s="2050"/>
      <c r="AA146" s="2050"/>
      <c r="AB146" s="2050"/>
      <c r="AC146" s="2050"/>
    </row>
    <row r="147" spans="1:29" s="1475" customFormat="1">
      <c r="A147" s="2050"/>
      <c r="B147" s="2050"/>
      <c r="C147" s="2050"/>
      <c r="D147" s="2050"/>
      <c r="E147" s="2050"/>
      <c r="F147" s="2050"/>
      <c r="G147" s="2050"/>
      <c r="H147" s="2050"/>
      <c r="I147" s="2050"/>
      <c r="J147" s="2050"/>
      <c r="K147" s="2051"/>
      <c r="L147" s="2052"/>
      <c r="M147" s="2050"/>
      <c r="N147" s="2050"/>
      <c r="O147" s="2050"/>
      <c r="P147" s="2050"/>
      <c r="Q147" s="2050"/>
      <c r="R147" s="2050"/>
      <c r="S147" s="2050"/>
      <c r="T147" s="2050"/>
      <c r="U147" s="2050"/>
      <c r="V147" s="2050"/>
      <c r="W147" s="2050"/>
      <c r="X147" s="2050"/>
      <c r="Y147" s="2050"/>
      <c r="Z147" s="2050"/>
      <c r="AA147" s="2050"/>
      <c r="AB147" s="2050"/>
      <c r="AC147" s="2050"/>
    </row>
    <row r="148" spans="1:29" s="1475" customFormat="1">
      <c r="A148" s="2050"/>
      <c r="B148" s="2050"/>
      <c r="C148" s="2050"/>
      <c r="D148" s="2050"/>
      <c r="E148" s="2050"/>
      <c r="F148" s="2050"/>
      <c r="G148" s="2050"/>
      <c r="H148" s="2050"/>
      <c r="I148" s="2050"/>
      <c r="J148" s="2050"/>
      <c r="K148" s="2051"/>
      <c r="L148" s="2052"/>
      <c r="M148" s="2050"/>
      <c r="N148" s="2050"/>
      <c r="O148" s="2050"/>
      <c r="P148" s="2050"/>
      <c r="Q148" s="2050"/>
      <c r="R148" s="2050"/>
      <c r="S148" s="2050"/>
      <c r="T148" s="2050"/>
      <c r="U148" s="2050"/>
      <c r="V148" s="2050"/>
      <c r="W148" s="2050"/>
      <c r="X148" s="2050"/>
      <c r="Y148" s="2050"/>
      <c r="Z148" s="2050"/>
      <c r="AA148" s="2050"/>
      <c r="AB148" s="2050"/>
      <c r="AC148" s="2050"/>
    </row>
    <row r="149" spans="1:29" s="1475" customFormat="1">
      <c r="A149" s="2050"/>
      <c r="B149" s="2050"/>
      <c r="C149" s="2050"/>
      <c r="D149" s="2050"/>
      <c r="E149" s="2050"/>
      <c r="F149" s="2050"/>
      <c r="G149" s="2050"/>
      <c r="H149" s="2050"/>
      <c r="I149" s="2050"/>
      <c r="J149" s="2050"/>
      <c r="K149" s="2051"/>
      <c r="L149" s="2052"/>
      <c r="M149" s="2050"/>
      <c r="N149" s="2050"/>
      <c r="O149" s="2050"/>
      <c r="P149" s="2050"/>
      <c r="Q149" s="2050"/>
      <c r="R149" s="2050"/>
      <c r="S149" s="2050"/>
      <c r="T149" s="2050"/>
      <c r="U149" s="2050"/>
      <c r="V149" s="2050"/>
      <c r="W149" s="2050"/>
      <c r="X149" s="2050"/>
      <c r="Y149" s="2050"/>
      <c r="Z149" s="2050"/>
      <c r="AA149" s="2050"/>
      <c r="AB149" s="2050"/>
      <c r="AC149" s="2050"/>
    </row>
    <row r="150" spans="1:29" s="1475" customFormat="1">
      <c r="A150" s="2050"/>
      <c r="B150" s="2050"/>
      <c r="C150" s="2050"/>
      <c r="D150" s="2050"/>
      <c r="E150" s="2050"/>
      <c r="F150" s="2050"/>
      <c r="G150" s="2050"/>
      <c r="H150" s="2050"/>
      <c r="I150" s="2050"/>
      <c r="J150" s="2050"/>
      <c r="K150" s="2051"/>
      <c r="L150" s="2052"/>
      <c r="M150" s="2050"/>
      <c r="N150" s="2050"/>
      <c r="O150" s="2050"/>
      <c r="P150" s="2050"/>
      <c r="Q150" s="2050"/>
      <c r="R150" s="2050"/>
      <c r="S150" s="2050"/>
      <c r="T150" s="2050"/>
      <c r="U150" s="2050"/>
      <c r="V150" s="2050"/>
      <c r="W150" s="2050"/>
      <c r="X150" s="2050"/>
      <c r="Y150" s="2050"/>
      <c r="Z150" s="2050"/>
      <c r="AA150" s="2050"/>
      <c r="AB150" s="2050"/>
      <c r="AC150" s="2050"/>
    </row>
    <row r="151" spans="1:29" s="1475" customFormat="1">
      <c r="A151" s="2050"/>
      <c r="B151" s="2050"/>
      <c r="C151" s="2050"/>
      <c r="D151" s="2050"/>
      <c r="E151" s="2050"/>
      <c r="F151" s="2050"/>
      <c r="G151" s="2050"/>
      <c r="H151" s="2050"/>
      <c r="I151" s="2050"/>
      <c r="J151" s="2050"/>
      <c r="K151" s="2051"/>
      <c r="L151" s="2052"/>
      <c r="M151" s="2050"/>
      <c r="N151" s="2050"/>
      <c r="O151" s="2050"/>
      <c r="P151" s="2050"/>
      <c r="Q151" s="2050"/>
      <c r="R151" s="2050"/>
      <c r="S151" s="2050"/>
      <c r="T151" s="2050"/>
      <c r="U151" s="2050"/>
      <c r="V151" s="2050"/>
      <c r="W151" s="2050"/>
      <c r="X151" s="2050"/>
      <c r="Y151" s="2050"/>
      <c r="Z151" s="2050"/>
      <c r="AA151" s="2050"/>
      <c r="AB151" s="2050"/>
      <c r="AC151" s="2050"/>
    </row>
    <row r="152" spans="1:29" s="1475" customFormat="1">
      <c r="A152" s="2050"/>
      <c r="B152" s="2050"/>
      <c r="C152" s="2050"/>
      <c r="D152" s="2050"/>
      <c r="E152" s="2050"/>
      <c r="F152" s="2050"/>
      <c r="G152" s="2050"/>
      <c r="H152" s="2050"/>
      <c r="I152" s="2050"/>
      <c r="J152" s="2050"/>
      <c r="K152" s="2051"/>
      <c r="L152" s="2052"/>
      <c r="M152" s="2050"/>
      <c r="N152" s="2050"/>
      <c r="O152" s="2050"/>
      <c r="P152" s="2050"/>
      <c r="Q152" s="2050"/>
      <c r="R152" s="2050"/>
      <c r="S152" s="2050"/>
      <c r="T152" s="2050"/>
      <c r="U152" s="2050"/>
      <c r="V152" s="2050"/>
      <c r="W152" s="2050"/>
      <c r="X152" s="2050"/>
      <c r="Y152" s="2050"/>
      <c r="Z152" s="2050"/>
      <c r="AA152" s="2050"/>
      <c r="AB152" s="2050"/>
      <c r="AC152" s="2050"/>
    </row>
    <row r="153" spans="1:29" s="1475" customFormat="1">
      <c r="A153" s="2050"/>
      <c r="B153" s="2050"/>
      <c r="C153" s="2050"/>
      <c r="D153" s="2050"/>
      <c r="E153" s="2050"/>
      <c r="F153" s="2050"/>
      <c r="G153" s="2050"/>
      <c r="H153" s="2050"/>
      <c r="I153" s="2050"/>
      <c r="J153" s="2050"/>
      <c r="K153" s="2051"/>
      <c r="L153" s="2052"/>
      <c r="M153" s="2050"/>
      <c r="N153" s="2050"/>
      <c r="O153" s="2050"/>
      <c r="P153" s="2050"/>
      <c r="Q153" s="2050"/>
      <c r="R153" s="2050"/>
      <c r="S153" s="2050"/>
      <c r="T153" s="2050"/>
      <c r="U153" s="2050"/>
      <c r="V153" s="2050"/>
      <c r="W153" s="2050"/>
      <c r="X153" s="2050"/>
      <c r="Y153" s="2050"/>
      <c r="Z153" s="2050"/>
      <c r="AA153" s="2050"/>
      <c r="AB153" s="2050"/>
      <c r="AC153" s="2050"/>
    </row>
    <row r="154" spans="1:29" s="1475" customFormat="1">
      <c r="A154" s="2050"/>
      <c r="B154" s="2050"/>
      <c r="C154" s="2050"/>
      <c r="D154" s="2050"/>
      <c r="E154" s="2050"/>
      <c r="F154" s="2050"/>
      <c r="G154" s="2050"/>
      <c r="H154" s="2050"/>
      <c r="I154" s="2050"/>
      <c r="J154" s="2050"/>
      <c r="K154" s="2051"/>
      <c r="L154" s="2052"/>
      <c r="M154" s="2050"/>
      <c r="N154" s="2050"/>
      <c r="O154" s="2050"/>
      <c r="P154" s="2050"/>
      <c r="Q154" s="2050"/>
      <c r="R154" s="2050"/>
      <c r="S154" s="2050"/>
      <c r="T154" s="2050"/>
      <c r="U154" s="2050"/>
      <c r="V154" s="2050"/>
      <c r="W154" s="2050"/>
      <c r="X154" s="2050"/>
      <c r="Y154" s="2050"/>
      <c r="Z154" s="2050"/>
      <c r="AA154" s="2050"/>
      <c r="AB154" s="2050"/>
      <c r="AC154" s="2050"/>
    </row>
    <row r="155" spans="1:29" s="1475" customFormat="1">
      <c r="A155" s="2050"/>
      <c r="B155" s="2050"/>
      <c r="C155" s="2050"/>
      <c r="D155" s="2050"/>
      <c r="E155" s="2050"/>
      <c r="F155" s="2050"/>
      <c r="G155" s="2050"/>
      <c r="H155" s="2050"/>
      <c r="I155" s="2050"/>
      <c r="J155" s="2050"/>
      <c r="K155" s="2051"/>
      <c r="L155" s="2052"/>
      <c r="M155" s="2050"/>
      <c r="N155" s="2050"/>
      <c r="O155" s="2050"/>
      <c r="P155" s="2050"/>
      <c r="Q155" s="2050"/>
      <c r="R155" s="2050"/>
      <c r="S155" s="2050"/>
      <c r="T155" s="2050"/>
      <c r="U155" s="2050"/>
      <c r="V155" s="2050"/>
      <c r="W155" s="2050"/>
      <c r="X155" s="2050"/>
      <c r="Y155" s="2050"/>
      <c r="Z155" s="2050"/>
      <c r="AA155" s="2050"/>
      <c r="AB155" s="2050"/>
      <c r="AC155" s="2050"/>
    </row>
    <row r="156" spans="1:29" s="1475" customFormat="1">
      <c r="A156" s="2050"/>
      <c r="B156" s="2050"/>
      <c r="C156" s="2050"/>
      <c r="D156" s="2050"/>
      <c r="E156" s="2050"/>
      <c r="F156" s="2050"/>
      <c r="G156" s="2050"/>
      <c r="H156" s="2050"/>
      <c r="I156" s="2050"/>
      <c r="J156" s="2050"/>
      <c r="K156" s="2051"/>
      <c r="L156" s="2052"/>
      <c r="M156" s="2050"/>
      <c r="N156" s="2050"/>
      <c r="O156" s="2050"/>
      <c r="P156" s="2050"/>
      <c r="Q156" s="2050"/>
      <c r="R156" s="2050"/>
      <c r="S156" s="2050"/>
      <c r="T156" s="2050"/>
      <c r="U156" s="2050"/>
      <c r="V156" s="2050"/>
      <c r="W156" s="2050"/>
      <c r="X156" s="2050"/>
      <c r="Y156" s="2050"/>
      <c r="Z156" s="2050"/>
      <c r="AA156" s="2050"/>
      <c r="AB156" s="2050"/>
      <c r="AC156" s="2050"/>
    </row>
    <row r="157" spans="1:29" s="1475" customFormat="1">
      <c r="A157" s="2050"/>
      <c r="B157" s="2050"/>
      <c r="C157" s="2050"/>
      <c r="D157" s="2050"/>
      <c r="E157" s="2050"/>
      <c r="F157" s="2050"/>
      <c r="G157" s="2050"/>
      <c r="H157" s="2050"/>
      <c r="I157" s="2050"/>
      <c r="J157" s="2050"/>
      <c r="K157" s="2051"/>
      <c r="L157" s="2052"/>
      <c r="M157" s="2050"/>
      <c r="N157" s="2050"/>
      <c r="O157" s="2050"/>
      <c r="P157" s="2050"/>
      <c r="Q157" s="2050"/>
      <c r="R157" s="2050"/>
      <c r="S157" s="2050"/>
      <c r="T157" s="2050"/>
      <c r="U157" s="2050"/>
      <c r="V157" s="2050"/>
      <c r="W157" s="2050"/>
      <c r="X157" s="2050"/>
      <c r="Y157" s="2050"/>
      <c r="Z157" s="2050"/>
      <c r="AA157" s="2050"/>
      <c r="AB157" s="2050"/>
      <c r="AC157" s="2050"/>
    </row>
    <row r="158" spans="1:29" s="1475" customFormat="1">
      <c r="A158" s="2050"/>
      <c r="B158" s="2050"/>
      <c r="C158" s="2050"/>
      <c r="D158" s="2050"/>
      <c r="E158" s="2050"/>
      <c r="F158" s="2050"/>
      <c r="G158" s="2050"/>
      <c r="H158" s="2050"/>
      <c r="I158" s="2050"/>
      <c r="J158" s="2050"/>
      <c r="K158" s="2051"/>
      <c r="L158" s="2052"/>
      <c r="M158" s="2050"/>
      <c r="N158" s="2050"/>
      <c r="O158" s="2050"/>
      <c r="P158" s="2050"/>
      <c r="Q158" s="2050"/>
      <c r="R158" s="2050"/>
      <c r="S158" s="2050"/>
      <c r="T158" s="2050"/>
      <c r="U158" s="2050"/>
      <c r="V158" s="2050"/>
      <c r="W158" s="2050"/>
      <c r="X158" s="2050"/>
      <c r="Y158" s="2050"/>
      <c r="Z158" s="2050"/>
      <c r="AA158" s="2050"/>
      <c r="AB158" s="2050"/>
      <c r="AC158" s="2050"/>
    </row>
    <row r="159" spans="1:29" s="1475" customFormat="1">
      <c r="A159" s="2050"/>
      <c r="B159" s="2050"/>
      <c r="C159" s="2050"/>
      <c r="D159" s="2050"/>
      <c r="E159" s="2050"/>
      <c r="F159" s="2050"/>
      <c r="G159" s="2050"/>
      <c r="H159" s="2050"/>
      <c r="I159" s="2050"/>
      <c r="J159" s="2050"/>
      <c r="K159" s="2051"/>
      <c r="L159" s="2052"/>
      <c r="M159" s="2050"/>
      <c r="N159" s="2050"/>
      <c r="O159" s="2050"/>
      <c r="P159" s="2050"/>
      <c r="Q159" s="2050"/>
      <c r="R159" s="2050"/>
      <c r="S159" s="2050"/>
      <c r="T159" s="2050"/>
      <c r="U159" s="2050"/>
      <c r="V159" s="2050"/>
      <c r="W159" s="2050"/>
      <c r="X159" s="2050"/>
      <c r="Y159" s="2050"/>
      <c r="Z159" s="2050"/>
      <c r="AA159" s="2050"/>
      <c r="AB159" s="2050"/>
      <c r="AC159" s="2050"/>
    </row>
    <row r="160" spans="1:29" s="1475" customFormat="1">
      <c r="A160" s="2050"/>
      <c r="B160" s="2050"/>
      <c r="C160" s="2050"/>
      <c r="D160" s="2050"/>
      <c r="E160" s="2050"/>
      <c r="F160" s="2050"/>
      <c r="G160" s="2050"/>
      <c r="H160" s="2050"/>
      <c r="I160" s="2050"/>
      <c r="J160" s="2050"/>
      <c r="K160" s="2051"/>
      <c r="L160" s="2052"/>
      <c r="M160" s="2050"/>
      <c r="N160" s="2050"/>
      <c r="O160" s="2050"/>
      <c r="P160" s="2050"/>
      <c r="Q160" s="2050"/>
      <c r="R160" s="2050"/>
      <c r="S160" s="2050"/>
      <c r="T160" s="2050"/>
      <c r="U160" s="2050"/>
      <c r="V160" s="2050"/>
      <c r="W160" s="2050"/>
      <c r="X160" s="2050"/>
      <c r="Y160" s="2050"/>
      <c r="Z160" s="2050"/>
      <c r="AA160" s="2050"/>
      <c r="AB160" s="2050"/>
      <c r="AC160" s="2050"/>
    </row>
    <row r="161" spans="1:29" s="1475" customFormat="1">
      <c r="A161" s="2050"/>
      <c r="B161" s="2050"/>
      <c r="C161" s="2050"/>
      <c r="D161" s="2050"/>
      <c r="E161" s="2050"/>
      <c r="F161" s="2050"/>
      <c r="G161" s="2050"/>
      <c r="H161" s="2050"/>
      <c r="I161" s="2050"/>
      <c r="J161" s="2050"/>
      <c r="K161" s="2051"/>
      <c r="L161" s="2052"/>
      <c r="M161" s="2050"/>
      <c r="N161" s="2050"/>
      <c r="O161" s="2050"/>
      <c r="P161" s="2050"/>
      <c r="Q161" s="2050"/>
      <c r="R161" s="2050"/>
      <c r="S161" s="2050"/>
      <c r="T161" s="2050"/>
      <c r="U161" s="2050"/>
      <c r="V161" s="2050"/>
      <c r="W161" s="2050"/>
      <c r="X161" s="2050"/>
      <c r="Y161" s="2050"/>
      <c r="Z161" s="2050"/>
      <c r="AA161" s="2050"/>
      <c r="AB161" s="2050"/>
      <c r="AC161" s="2050"/>
    </row>
    <row r="162" spans="1:29" s="1475" customFormat="1">
      <c r="A162" s="2050"/>
      <c r="B162" s="2050"/>
      <c r="C162" s="2050"/>
      <c r="D162" s="2050"/>
      <c r="E162" s="2050"/>
      <c r="F162" s="2050"/>
      <c r="G162" s="2050"/>
      <c r="H162" s="2050"/>
      <c r="I162" s="2050"/>
      <c r="J162" s="2050"/>
      <c r="K162" s="2051"/>
      <c r="L162" s="2052"/>
      <c r="M162" s="2050"/>
      <c r="N162" s="2050"/>
      <c r="O162" s="2050"/>
      <c r="P162" s="2050"/>
      <c r="Q162" s="2050"/>
      <c r="R162" s="2050"/>
      <c r="S162" s="2050"/>
      <c r="T162" s="2050"/>
      <c r="U162" s="2050"/>
      <c r="V162" s="2050"/>
      <c r="W162" s="2050"/>
      <c r="X162" s="2050"/>
      <c r="Y162" s="2050"/>
      <c r="Z162" s="2050"/>
      <c r="AA162" s="2050"/>
      <c r="AB162" s="2050"/>
      <c r="AC162" s="2050"/>
    </row>
    <row r="163" spans="1:29" s="1475" customFormat="1">
      <c r="A163" s="2050"/>
      <c r="B163" s="2050"/>
      <c r="C163" s="2050"/>
      <c r="D163" s="2050"/>
      <c r="E163" s="2050"/>
      <c r="F163" s="2050"/>
      <c r="G163" s="2050"/>
      <c r="H163" s="2050"/>
      <c r="I163" s="2050"/>
      <c r="J163" s="2050"/>
      <c r="K163" s="2051"/>
      <c r="L163" s="2052"/>
      <c r="M163" s="2050"/>
      <c r="N163" s="2050"/>
      <c r="O163" s="2050"/>
      <c r="P163" s="2050"/>
      <c r="Q163" s="2050"/>
      <c r="R163" s="2050"/>
      <c r="S163" s="2050"/>
      <c r="T163" s="2050"/>
      <c r="U163" s="2050"/>
      <c r="V163" s="2050"/>
      <c r="W163" s="2050"/>
      <c r="X163" s="2050"/>
      <c r="Y163" s="2050"/>
      <c r="Z163" s="2050"/>
      <c r="AA163" s="2050"/>
      <c r="AB163" s="2050"/>
      <c r="AC163" s="2050"/>
    </row>
    <row r="164" spans="1:29" s="1475" customFormat="1">
      <c r="A164" s="2050"/>
      <c r="B164" s="2050"/>
      <c r="C164" s="2050"/>
      <c r="D164" s="2050"/>
      <c r="E164" s="2050"/>
      <c r="F164" s="2050"/>
      <c r="G164" s="2050"/>
      <c r="H164" s="2050"/>
      <c r="I164" s="2050"/>
      <c r="J164" s="2050"/>
      <c r="K164" s="2051"/>
      <c r="L164" s="2052"/>
      <c r="M164" s="2050"/>
      <c r="N164" s="2050"/>
      <c r="O164" s="2050"/>
      <c r="P164" s="2050"/>
      <c r="Q164" s="2050"/>
      <c r="R164" s="2050"/>
      <c r="S164" s="2050"/>
      <c r="T164" s="2050"/>
      <c r="U164" s="2050"/>
      <c r="V164" s="2050"/>
      <c r="W164" s="2050"/>
      <c r="X164" s="2050"/>
      <c r="Y164" s="2050"/>
      <c r="Z164" s="2050"/>
      <c r="AA164" s="2050"/>
      <c r="AB164" s="2050"/>
      <c r="AC164" s="2050"/>
    </row>
    <row r="165" spans="1:29" s="1475" customFormat="1">
      <c r="A165" s="2050"/>
      <c r="B165" s="2050"/>
      <c r="C165" s="2050"/>
      <c r="D165" s="2050"/>
      <c r="E165" s="2050"/>
      <c r="F165" s="2050"/>
      <c r="G165" s="2050"/>
      <c r="H165" s="2050"/>
      <c r="I165" s="2050"/>
      <c r="J165" s="2050"/>
      <c r="K165" s="2051"/>
      <c r="L165" s="2052"/>
      <c r="M165" s="2050"/>
      <c r="N165" s="2050"/>
      <c r="O165" s="2050"/>
      <c r="P165" s="2050"/>
      <c r="Q165" s="2050"/>
      <c r="R165" s="2050"/>
      <c r="S165" s="2050"/>
      <c r="T165" s="2050"/>
      <c r="U165" s="2050"/>
      <c r="V165" s="2050"/>
      <c r="W165" s="2050"/>
      <c r="X165" s="2050"/>
      <c r="Y165" s="2050"/>
      <c r="Z165" s="2050"/>
      <c r="AA165" s="2050"/>
      <c r="AB165" s="2050"/>
      <c r="AC165" s="2050"/>
    </row>
    <row r="166" spans="1:29" s="1475" customFormat="1">
      <c r="A166" s="2050"/>
      <c r="B166" s="2050"/>
      <c r="C166" s="2050"/>
      <c r="D166" s="2050"/>
      <c r="E166" s="2050"/>
      <c r="F166" s="2050"/>
      <c r="G166" s="2050"/>
      <c r="H166" s="2050"/>
      <c r="I166" s="2050"/>
      <c r="J166" s="2050"/>
      <c r="K166" s="2051"/>
      <c r="L166" s="2052"/>
      <c r="M166" s="2050"/>
      <c r="N166" s="2050"/>
      <c r="O166" s="2050"/>
      <c r="P166" s="2050"/>
      <c r="Q166" s="2050"/>
      <c r="R166" s="2050"/>
      <c r="S166" s="2050"/>
      <c r="T166" s="2050"/>
      <c r="U166" s="2050"/>
      <c r="V166" s="2050"/>
      <c r="W166" s="2050"/>
      <c r="X166" s="2050"/>
      <c r="Y166" s="2050"/>
      <c r="Z166" s="2050"/>
      <c r="AA166" s="2050"/>
      <c r="AB166" s="2050"/>
      <c r="AC166" s="2050"/>
    </row>
    <row r="167" spans="1:29" s="1475" customFormat="1">
      <c r="A167" s="2050"/>
      <c r="B167" s="2050"/>
      <c r="C167" s="2050"/>
      <c r="D167" s="2050"/>
      <c r="E167" s="2050"/>
      <c r="F167" s="2050"/>
      <c r="G167" s="2050"/>
      <c r="H167" s="2050"/>
      <c r="I167" s="2050"/>
      <c r="J167" s="2050"/>
      <c r="K167" s="2051"/>
      <c r="L167" s="2052"/>
      <c r="M167" s="2050"/>
      <c r="N167" s="2050"/>
      <c r="O167" s="2050"/>
      <c r="P167" s="2050"/>
      <c r="Q167" s="2050"/>
      <c r="R167" s="2050"/>
      <c r="S167" s="2050"/>
      <c r="T167" s="2050"/>
      <c r="U167" s="2050"/>
      <c r="V167" s="2050"/>
      <c r="W167" s="2050"/>
      <c r="X167" s="2050"/>
      <c r="Y167" s="2050"/>
      <c r="Z167" s="2050"/>
      <c r="AA167" s="2050"/>
      <c r="AB167" s="2050"/>
      <c r="AC167" s="2050"/>
    </row>
    <row r="168" spans="1:29" s="1475" customFormat="1">
      <c r="A168" s="2050"/>
      <c r="B168" s="2050"/>
      <c r="C168" s="2050"/>
      <c r="D168" s="2050"/>
      <c r="E168" s="2050"/>
      <c r="F168" s="2050"/>
      <c r="G168" s="2050"/>
      <c r="H168" s="2050"/>
      <c r="I168" s="2050"/>
      <c r="J168" s="2050"/>
      <c r="K168" s="2051"/>
      <c r="L168" s="2052"/>
      <c r="M168" s="2050"/>
      <c r="N168" s="2050"/>
      <c r="O168" s="2050"/>
      <c r="P168" s="2050"/>
      <c r="Q168" s="2050"/>
      <c r="R168" s="2050"/>
      <c r="S168" s="2050"/>
      <c r="T168" s="2050"/>
      <c r="U168" s="2050"/>
      <c r="V168" s="2050"/>
      <c r="W168" s="2050"/>
      <c r="X168" s="2050"/>
      <c r="Y168" s="2050"/>
      <c r="Z168" s="2050"/>
      <c r="AA168" s="2050"/>
      <c r="AB168" s="2050"/>
      <c r="AC168" s="2050"/>
    </row>
    <row r="169" spans="1:29" s="1475" customFormat="1">
      <c r="A169" s="2050"/>
      <c r="B169" s="2050"/>
      <c r="C169" s="2050"/>
      <c r="D169" s="2050"/>
      <c r="E169" s="2050"/>
      <c r="F169" s="2050"/>
      <c r="G169" s="2050"/>
      <c r="H169" s="2050"/>
      <c r="I169" s="2050"/>
      <c r="J169" s="2050"/>
      <c r="K169" s="2051"/>
      <c r="L169" s="2052"/>
      <c r="M169" s="2050"/>
      <c r="N169" s="2050"/>
      <c r="O169" s="2050"/>
      <c r="P169" s="2050"/>
      <c r="Q169" s="2050"/>
      <c r="R169" s="2050"/>
      <c r="S169" s="2050"/>
      <c r="T169" s="2050"/>
      <c r="U169" s="2050"/>
      <c r="V169" s="2050"/>
      <c r="W169" s="2050"/>
      <c r="X169" s="2050"/>
      <c r="Y169" s="2050"/>
      <c r="Z169" s="2050"/>
      <c r="AA169" s="2050"/>
      <c r="AB169" s="2050"/>
      <c r="AC169" s="2050"/>
    </row>
    <row r="170" spans="1:29" s="1475" customFormat="1">
      <c r="A170" s="2050"/>
      <c r="B170" s="2050"/>
      <c r="C170" s="2050"/>
      <c r="D170" s="2050"/>
      <c r="E170" s="2050"/>
      <c r="F170" s="2050"/>
      <c r="G170" s="2050"/>
      <c r="H170" s="2050"/>
      <c r="I170" s="2050"/>
      <c r="J170" s="2050"/>
      <c r="K170" s="2051"/>
      <c r="L170" s="2052"/>
      <c r="M170" s="2050"/>
      <c r="N170" s="2050"/>
      <c r="O170" s="2050"/>
      <c r="P170" s="2050"/>
      <c r="Q170" s="2050"/>
      <c r="R170" s="2050"/>
      <c r="S170" s="2050"/>
      <c r="T170" s="2050"/>
      <c r="U170" s="2050"/>
      <c r="V170" s="2050"/>
      <c r="W170" s="2050"/>
      <c r="X170" s="2050"/>
      <c r="Y170" s="2050"/>
      <c r="Z170" s="2050"/>
      <c r="AA170" s="2050"/>
      <c r="AB170" s="2050"/>
      <c r="AC170" s="2050"/>
    </row>
    <row r="171" spans="1:29" s="1475" customFormat="1">
      <c r="A171" s="2050"/>
      <c r="B171" s="2050"/>
      <c r="C171" s="2050"/>
      <c r="D171" s="2050"/>
      <c r="E171" s="2050"/>
      <c r="F171" s="2050"/>
      <c r="G171" s="2050"/>
      <c r="H171" s="2050"/>
      <c r="I171" s="2050"/>
      <c r="J171" s="2050"/>
      <c r="K171" s="2051"/>
      <c r="L171" s="2052"/>
      <c r="M171" s="2050"/>
      <c r="N171" s="2050"/>
      <c r="O171" s="2050"/>
      <c r="P171" s="2050"/>
      <c r="Q171" s="2050"/>
      <c r="R171" s="2050"/>
      <c r="S171" s="2050"/>
      <c r="T171" s="2050"/>
      <c r="U171" s="2050"/>
      <c r="V171" s="2050"/>
      <c r="W171" s="2050"/>
      <c r="X171" s="2050"/>
      <c r="Y171" s="2050"/>
      <c r="Z171" s="2050"/>
      <c r="AA171" s="2050"/>
      <c r="AB171" s="2050"/>
      <c r="AC171" s="2050"/>
    </row>
    <row r="172" spans="1:29" s="1475" customFormat="1">
      <c r="A172" s="2050"/>
      <c r="B172" s="2050"/>
      <c r="C172" s="2050"/>
      <c r="D172" s="2050"/>
      <c r="E172" s="2050"/>
      <c r="F172" s="2050"/>
      <c r="G172" s="2050"/>
      <c r="H172" s="2050"/>
      <c r="I172" s="2050"/>
      <c r="J172" s="2050"/>
      <c r="K172" s="2051"/>
      <c r="L172" s="2052"/>
      <c r="M172" s="2050"/>
      <c r="N172" s="2050"/>
      <c r="O172" s="2050"/>
      <c r="P172" s="2050"/>
      <c r="Q172" s="2050"/>
      <c r="R172" s="2050"/>
      <c r="S172" s="2050"/>
      <c r="T172" s="2050"/>
      <c r="U172" s="2050"/>
      <c r="V172" s="2050"/>
      <c r="W172" s="2050"/>
      <c r="X172" s="2050"/>
      <c r="Y172" s="2050"/>
      <c r="Z172" s="2050"/>
      <c r="AA172" s="2050"/>
      <c r="AB172" s="2050"/>
      <c r="AC172" s="2050"/>
    </row>
    <row r="173" spans="1:29" s="1475" customFormat="1">
      <c r="A173" s="2050"/>
      <c r="B173" s="2050"/>
      <c r="C173" s="2050"/>
      <c r="D173" s="2050"/>
      <c r="E173" s="2050"/>
      <c r="F173" s="2050"/>
      <c r="G173" s="2050"/>
      <c r="H173" s="2050"/>
      <c r="I173" s="2050"/>
      <c r="J173" s="2050"/>
      <c r="K173" s="2051"/>
      <c r="L173" s="2052"/>
      <c r="M173" s="2050"/>
      <c r="N173" s="2050"/>
      <c r="O173" s="2050"/>
      <c r="P173" s="2050"/>
      <c r="Q173" s="2050"/>
      <c r="R173" s="2050"/>
      <c r="S173" s="2050"/>
      <c r="T173" s="2050"/>
      <c r="U173" s="2050"/>
      <c r="V173" s="2050"/>
      <c r="W173" s="2050"/>
      <c r="X173" s="2050"/>
      <c r="Y173" s="2050"/>
      <c r="Z173" s="2050"/>
      <c r="AA173" s="2050"/>
      <c r="AB173" s="2050"/>
      <c r="AC173" s="2050"/>
    </row>
    <row r="174" spans="1:29" s="1475" customFormat="1">
      <c r="A174" s="2050"/>
      <c r="B174" s="2050"/>
      <c r="C174" s="2050"/>
      <c r="D174" s="2050"/>
      <c r="E174" s="2050"/>
      <c r="F174" s="2050"/>
      <c r="G174" s="2050"/>
      <c r="H174" s="2050"/>
      <c r="I174" s="2050"/>
      <c r="J174" s="2050"/>
      <c r="K174" s="2051"/>
      <c r="L174" s="2052"/>
      <c r="M174" s="2050"/>
      <c r="N174" s="2050"/>
      <c r="O174" s="2050"/>
      <c r="P174" s="2050"/>
      <c r="Q174" s="2050"/>
      <c r="R174" s="2050"/>
      <c r="S174" s="2050"/>
      <c r="T174" s="2050"/>
      <c r="U174" s="2050"/>
      <c r="V174" s="2050"/>
      <c r="W174" s="2050"/>
      <c r="X174" s="2050"/>
      <c r="Y174" s="2050"/>
      <c r="Z174" s="2050"/>
      <c r="AA174" s="2050"/>
      <c r="AB174" s="2050"/>
      <c r="AC174" s="2050"/>
    </row>
    <row r="175" spans="1:29" s="1475" customFormat="1">
      <c r="A175" s="2050"/>
      <c r="B175" s="2050"/>
      <c r="C175" s="2050"/>
      <c r="D175" s="2050"/>
      <c r="E175" s="2050"/>
      <c r="F175" s="2050"/>
      <c r="G175" s="2050"/>
      <c r="H175" s="2050"/>
      <c r="I175" s="2050"/>
      <c r="J175" s="2050"/>
      <c r="K175" s="2051"/>
      <c r="L175" s="2052"/>
      <c r="M175" s="2050"/>
      <c r="N175" s="2050"/>
      <c r="O175" s="2050"/>
      <c r="P175" s="2050"/>
      <c r="Q175" s="2050"/>
      <c r="R175" s="2050"/>
      <c r="S175" s="2050"/>
      <c r="T175" s="2050"/>
      <c r="U175" s="2050"/>
      <c r="V175" s="2050"/>
      <c r="W175" s="2050"/>
      <c r="X175" s="2050"/>
      <c r="Y175" s="2050"/>
      <c r="Z175" s="2050"/>
      <c r="AA175" s="2050"/>
      <c r="AB175" s="2050"/>
      <c r="AC175" s="2050"/>
    </row>
    <row r="176" spans="1:29" s="1475" customFormat="1">
      <c r="A176" s="2050"/>
      <c r="B176" s="2050"/>
      <c r="C176" s="2050"/>
      <c r="D176" s="2050"/>
      <c r="E176" s="2050"/>
      <c r="F176" s="2050"/>
      <c r="G176" s="2050"/>
      <c r="H176" s="2050"/>
      <c r="I176" s="2050"/>
      <c r="J176" s="2050"/>
      <c r="K176" s="2051"/>
      <c r="L176" s="2052"/>
      <c r="M176" s="2050"/>
      <c r="N176" s="2050"/>
      <c r="O176" s="2050"/>
      <c r="P176" s="2050"/>
      <c r="Q176" s="2050"/>
      <c r="R176" s="2050"/>
      <c r="S176" s="2050"/>
      <c r="T176" s="2050"/>
      <c r="U176" s="2050"/>
      <c r="V176" s="2050"/>
      <c r="W176" s="2050"/>
      <c r="X176" s="2050"/>
      <c r="Y176" s="2050"/>
      <c r="Z176" s="2050"/>
      <c r="AA176" s="2050"/>
      <c r="AB176" s="2050"/>
      <c r="AC176" s="2050"/>
    </row>
    <row r="177" spans="1:29" s="1475" customFormat="1">
      <c r="A177" s="2050"/>
      <c r="B177" s="2050"/>
      <c r="C177" s="2050"/>
      <c r="D177" s="2050"/>
      <c r="E177" s="2050"/>
      <c r="F177" s="2050"/>
      <c r="G177" s="2050"/>
      <c r="H177" s="2050"/>
      <c r="I177" s="2050"/>
      <c r="J177" s="2050"/>
      <c r="K177" s="2051"/>
      <c r="L177" s="2052"/>
      <c r="M177" s="2050"/>
      <c r="N177" s="2050"/>
      <c r="O177" s="2050"/>
      <c r="P177" s="2050"/>
      <c r="Q177" s="2050"/>
      <c r="R177" s="2050"/>
      <c r="S177" s="2050"/>
      <c r="T177" s="2050"/>
      <c r="U177" s="2050"/>
      <c r="V177" s="2050"/>
      <c r="W177" s="2050"/>
      <c r="X177" s="2050"/>
      <c r="Y177" s="2050"/>
      <c r="Z177" s="2050"/>
      <c r="AA177" s="2050"/>
      <c r="AB177" s="2050"/>
      <c r="AC177" s="2050"/>
    </row>
    <row r="178" spans="1:29" s="1475" customFormat="1">
      <c r="A178" s="2050"/>
      <c r="B178" s="2050"/>
      <c r="C178" s="2050"/>
      <c r="D178" s="2050"/>
      <c r="E178" s="2050"/>
      <c r="F178" s="2050"/>
      <c r="G178" s="2050"/>
      <c r="H178" s="2050"/>
      <c r="I178" s="2050"/>
      <c r="J178" s="2050"/>
      <c r="K178" s="2051"/>
      <c r="L178" s="2052"/>
      <c r="M178" s="2050"/>
      <c r="N178" s="2050"/>
      <c r="O178" s="2050"/>
      <c r="P178" s="2050"/>
      <c r="Q178" s="2050"/>
      <c r="R178" s="2050"/>
      <c r="S178" s="2050"/>
      <c r="T178" s="2050"/>
      <c r="U178" s="2050"/>
      <c r="V178" s="2050"/>
      <c r="W178" s="2050"/>
      <c r="X178" s="2050"/>
      <c r="Y178" s="2050"/>
      <c r="Z178" s="2050"/>
      <c r="AA178" s="2050"/>
      <c r="AB178" s="2050"/>
      <c r="AC178" s="2050"/>
    </row>
    <row r="179" spans="1:29" s="1475" customFormat="1">
      <c r="A179" s="2050"/>
      <c r="B179" s="2050"/>
      <c r="C179" s="2050"/>
      <c r="D179" s="2050"/>
      <c r="E179" s="2050"/>
      <c r="F179" s="2050"/>
      <c r="G179" s="2050"/>
      <c r="H179" s="2050"/>
      <c r="I179" s="2050"/>
      <c r="J179" s="2050"/>
      <c r="K179" s="2051"/>
      <c r="L179" s="2052"/>
      <c r="M179" s="2050"/>
      <c r="N179" s="2050"/>
      <c r="O179" s="2050"/>
      <c r="P179" s="2050"/>
      <c r="Q179" s="2050"/>
      <c r="R179" s="2050"/>
      <c r="S179" s="2050"/>
      <c r="T179" s="2050"/>
      <c r="U179" s="2050"/>
      <c r="V179" s="2050"/>
      <c r="W179" s="2050"/>
      <c r="X179" s="2050"/>
      <c r="Y179" s="2050"/>
      <c r="Z179" s="2050"/>
      <c r="AA179" s="2050"/>
      <c r="AB179" s="2050"/>
      <c r="AC179" s="2050"/>
    </row>
    <row r="180" spans="1:29" s="1475" customFormat="1">
      <c r="A180" s="2050"/>
      <c r="B180" s="2050"/>
      <c r="C180" s="2050"/>
      <c r="D180" s="2050"/>
      <c r="E180" s="2050"/>
      <c r="F180" s="2050"/>
      <c r="G180" s="2050"/>
      <c r="H180" s="2050"/>
      <c r="I180" s="2050"/>
      <c r="J180" s="2050"/>
      <c r="K180" s="2051"/>
      <c r="L180" s="2052"/>
      <c r="M180" s="2050"/>
      <c r="N180" s="2050"/>
      <c r="O180" s="2050"/>
      <c r="P180" s="2050"/>
      <c r="Q180" s="2050"/>
      <c r="R180" s="2050"/>
      <c r="S180" s="2050"/>
      <c r="T180" s="2050"/>
      <c r="U180" s="2050"/>
      <c r="V180" s="2050"/>
      <c r="W180" s="2050"/>
      <c r="X180" s="2050"/>
      <c r="Y180" s="2050"/>
      <c r="Z180" s="2050"/>
      <c r="AA180" s="2050"/>
      <c r="AB180" s="2050"/>
      <c r="AC180" s="2050"/>
    </row>
    <row r="181" spans="1:29" s="1475" customFormat="1">
      <c r="A181" s="2050"/>
      <c r="B181" s="2050"/>
      <c r="C181" s="2050"/>
      <c r="D181" s="2050"/>
      <c r="E181" s="2050"/>
      <c r="F181" s="2050"/>
      <c r="G181" s="2050"/>
      <c r="H181" s="2050"/>
      <c r="I181" s="2050"/>
      <c r="J181" s="2050"/>
      <c r="K181" s="2051"/>
      <c r="L181" s="2052"/>
      <c r="M181" s="2050"/>
      <c r="N181" s="2050"/>
      <c r="O181" s="2050"/>
      <c r="P181" s="2050"/>
      <c r="Q181" s="2050"/>
      <c r="R181" s="2050"/>
      <c r="S181" s="2050"/>
      <c r="T181" s="2050"/>
      <c r="U181" s="2050"/>
      <c r="V181" s="2050"/>
      <c r="W181" s="2050"/>
      <c r="X181" s="2050"/>
      <c r="Y181" s="2050"/>
      <c r="Z181" s="2050"/>
      <c r="AA181" s="2050"/>
      <c r="AB181" s="2050"/>
      <c r="AC181" s="2050"/>
    </row>
    <row r="182" spans="1:29" s="1475" customFormat="1">
      <c r="A182" s="2050"/>
      <c r="B182" s="2050"/>
      <c r="C182" s="2050"/>
      <c r="D182" s="2050"/>
      <c r="E182" s="2050"/>
      <c r="F182" s="2050"/>
      <c r="G182" s="2050"/>
      <c r="H182" s="2050"/>
      <c r="I182" s="2050"/>
      <c r="J182" s="2050"/>
      <c r="K182" s="2051"/>
      <c r="L182" s="2052"/>
      <c r="M182" s="2050"/>
      <c r="N182" s="2050"/>
      <c r="O182" s="2050"/>
      <c r="P182" s="2050"/>
      <c r="Q182" s="2050"/>
      <c r="R182" s="2050"/>
      <c r="S182" s="2050"/>
      <c r="T182" s="2050"/>
      <c r="U182" s="2050"/>
      <c r="V182" s="2050"/>
      <c r="W182" s="2050"/>
      <c r="X182" s="2050"/>
      <c r="Y182" s="2050"/>
      <c r="Z182" s="2050"/>
      <c r="AA182" s="2050"/>
      <c r="AB182" s="2050"/>
      <c r="AC182" s="2050"/>
    </row>
    <row r="183" spans="1:29" s="1475" customFormat="1">
      <c r="A183" s="2050"/>
      <c r="B183" s="2050"/>
      <c r="C183" s="2050"/>
      <c r="D183" s="2050"/>
      <c r="E183" s="2050"/>
      <c r="F183" s="2050"/>
      <c r="G183" s="2050"/>
      <c r="H183" s="2050"/>
      <c r="I183" s="2050"/>
      <c r="J183" s="2050"/>
      <c r="K183" s="2051"/>
      <c r="L183" s="2052"/>
      <c r="M183" s="2050"/>
      <c r="N183" s="2050"/>
      <c r="O183" s="2050"/>
      <c r="P183" s="2050"/>
      <c r="Q183" s="2050"/>
      <c r="R183" s="2050"/>
      <c r="S183" s="2050"/>
      <c r="T183" s="2050"/>
      <c r="U183" s="2050"/>
      <c r="V183" s="2050"/>
      <c r="W183" s="2050"/>
      <c r="X183" s="2050"/>
      <c r="Y183" s="2050"/>
      <c r="Z183" s="2050"/>
      <c r="AA183" s="2050"/>
      <c r="AB183" s="2050"/>
      <c r="AC183" s="2050"/>
    </row>
    <row r="184" spans="1:29" s="1475" customFormat="1">
      <c r="A184" s="2050"/>
      <c r="B184" s="2050"/>
      <c r="C184" s="2050"/>
      <c r="D184" s="2050"/>
      <c r="E184" s="2050"/>
      <c r="F184" s="2050"/>
      <c r="G184" s="2050"/>
      <c r="H184" s="2050"/>
      <c r="I184" s="2050"/>
      <c r="J184" s="2050"/>
      <c r="K184" s="2051"/>
      <c r="L184" s="2052"/>
      <c r="M184" s="2050"/>
      <c r="N184" s="2050"/>
      <c r="O184" s="2050"/>
      <c r="P184" s="2050"/>
      <c r="Q184" s="2050"/>
      <c r="R184" s="2050"/>
      <c r="S184" s="2050"/>
      <c r="T184" s="2050"/>
      <c r="U184" s="2050"/>
      <c r="V184" s="2050"/>
      <c r="W184" s="2050"/>
      <c r="X184" s="2050"/>
      <c r="Y184" s="2050"/>
      <c r="Z184" s="2050"/>
      <c r="AA184" s="2050"/>
      <c r="AB184" s="2050"/>
      <c r="AC184" s="2050"/>
    </row>
    <row r="185" spans="1:29" s="1475" customFormat="1">
      <c r="A185" s="2050"/>
      <c r="B185" s="2050"/>
      <c r="C185" s="2050"/>
      <c r="D185" s="2050"/>
      <c r="E185" s="2050"/>
      <c r="F185" s="2050"/>
      <c r="G185" s="2050"/>
      <c r="H185" s="2050"/>
      <c r="I185" s="2050"/>
      <c r="J185" s="2050"/>
      <c r="K185" s="2051"/>
      <c r="L185" s="2052"/>
      <c r="M185" s="2050"/>
      <c r="N185" s="2050"/>
      <c r="O185" s="2050"/>
      <c r="P185" s="2050"/>
      <c r="Q185" s="2050"/>
      <c r="R185" s="2050"/>
      <c r="S185" s="2050"/>
      <c r="T185" s="2050"/>
      <c r="U185" s="2050"/>
      <c r="V185" s="2050"/>
      <c r="W185" s="2050"/>
      <c r="X185" s="2050"/>
      <c r="Y185" s="2050"/>
      <c r="Z185" s="2050"/>
      <c r="AA185" s="2050"/>
      <c r="AB185" s="2050"/>
      <c r="AC185" s="2050"/>
    </row>
    <row r="186" spans="1:29" s="1475" customFormat="1">
      <c r="A186" s="2050"/>
      <c r="B186" s="2050"/>
      <c r="C186" s="2050"/>
      <c r="D186" s="2050"/>
      <c r="E186" s="2050"/>
      <c r="F186" s="2050"/>
      <c r="G186" s="2050"/>
      <c r="H186" s="2050"/>
      <c r="I186" s="2050"/>
      <c r="J186" s="2050"/>
      <c r="K186" s="2051"/>
      <c r="L186" s="2052"/>
      <c r="M186" s="2050"/>
      <c r="N186" s="2050"/>
      <c r="O186" s="2050"/>
      <c r="P186" s="2050"/>
      <c r="Q186" s="2050"/>
      <c r="R186" s="2050"/>
      <c r="S186" s="2050"/>
      <c r="T186" s="2050"/>
      <c r="U186" s="2050"/>
      <c r="V186" s="2050"/>
      <c r="W186" s="2050"/>
      <c r="X186" s="2050"/>
      <c r="Y186" s="2050"/>
      <c r="Z186" s="2050"/>
      <c r="AA186" s="2050"/>
      <c r="AB186" s="2050"/>
      <c r="AC186" s="2050"/>
    </row>
    <row r="187" spans="1:29" s="1475" customFormat="1">
      <c r="A187" s="2050"/>
      <c r="B187" s="2050"/>
      <c r="C187" s="2050"/>
      <c r="D187" s="2050"/>
      <c r="E187" s="2050"/>
      <c r="F187" s="2050"/>
      <c r="G187" s="2050"/>
      <c r="H187" s="2050"/>
      <c r="I187" s="2050"/>
      <c r="J187" s="2050"/>
      <c r="K187" s="2051"/>
      <c r="L187" s="2052"/>
      <c r="M187" s="2050"/>
      <c r="N187" s="2050"/>
      <c r="O187" s="2050"/>
      <c r="P187" s="2050"/>
      <c r="Q187" s="2050"/>
      <c r="R187" s="2050"/>
      <c r="S187" s="2050"/>
      <c r="T187" s="2050"/>
      <c r="U187" s="2050"/>
      <c r="V187" s="2050"/>
      <c r="W187" s="2050"/>
      <c r="X187" s="2050"/>
      <c r="Y187" s="2050"/>
      <c r="Z187" s="2050"/>
      <c r="AA187" s="2050"/>
      <c r="AB187" s="2050"/>
      <c r="AC187" s="2050"/>
    </row>
    <row r="188" spans="1:29" s="1475" customFormat="1">
      <c r="A188" s="2050"/>
      <c r="B188" s="2050"/>
      <c r="C188" s="2050"/>
      <c r="D188" s="2050"/>
      <c r="E188" s="2050"/>
      <c r="F188" s="2050"/>
      <c r="G188" s="2050"/>
      <c r="H188" s="2050"/>
      <c r="I188" s="2050"/>
      <c r="J188" s="2050"/>
      <c r="K188" s="2051"/>
      <c r="L188" s="2052"/>
      <c r="M188" s="2050"/>
      <c r="N188" s="2050"/>
      <c r="O188" s="2050"/>
      <c r="P188" s="2050"/>
      <c r="Q188" s="2050"/>
      <c r="R188" s="2050"/>
      <c r="S188" s="2050"/>
      <c r="T188" s="2050"/>
      <c r="U188" s="2050"/>
      <c r="V188" s="2050"/>
      <c r="W188" s="2050"/>
      <c r="X188" s="2050"/>
      <c r="Y188" s="2050"/>
      <c r="Z188" s="2050"/>
      <c r="AA188" s="2050"/>
      <c r="AB188" s="2050"/>
      <c r="AC188" s="2050"/>
    </row>
    <row r="189" spans="1:29" s="1475" customFormat="1">
      <c r="A189" s="2050"/>
      <c r="B189" s="2050"/>
      <c r="C189" s="2050"/>
      <c r="D189" s="2050"/>
      <c r="E189" s="2050"/>
      <c r="F189" s="2050"/>
      <c r="G189" s="2050"/>
      <c r="H189" s="2050"/>
      <c r="I189" s="2050"/>
      <c r="J189" s="2050"/>
      <c r="K189" s="2051"/>
      <c r="L189" s="2052"/>
      <c r="M189" s="2050"/>
      <c r="N189" s="2050"/>
      <c r="O189" s="2050"/>
      <c r="P189" s="2050"/>
      <c r="Q189" s="2050"/>
      <c r="R189" s="2050"/>
      <c r="S189" s="2050"/>
      <c r="T189" s="2050"/>
      <c r="U189" s="2050"/>
      <c r="V189" s="2050"/>
      <c r="W189" s="2050"/>
      <c r="X189" s="2050"/>
      <c r="Y189" s="2050"/>
      <c r="Z189" s="2050"/>
      <c r="AA189" s="2050"/>
      <c r="AB189" s="2050"/>
      <c r="AC189" s="2050"/>
    </row>
    <row r="190" spans="1:29" s="1475" customFormat="1">
      <c r="A190" s="2050"/>
      <c r="B190" s="2050"/>
      <c r="C190" s="2050"/>
      <c r="D190" s="2050"/>
      <c r="E190" s="2050"/>
      <c r="F190" s="2050"/>
      <c r="G190" s="2050"/>
      <c r="H190" s="2050"/>
      <c r="I190" s="2050"/>
      <c r="J190" s="2050"/>
      <c r="K190" s="2051"/>
      <c r="L190" s="2052"/>
      <c r="M190" s="2050"/>
      <c r="N190" s="2050"/>
      <c r="O190" s="2050"/>
      <c r="P190" s="2050"/>
      <c r="Q190" s="2050"/>
      <c r="R190" s="2050"/>
      <c r="S190" s="2050"/>
      <c r="T190" s="2050"/>
      <c r="U190" s="2050"/>
      <c r="V190" s="2050"/>
      <c r="W190" s="2050"/>
      <c r="X190" s="2050"/>
      <c r="Y190" s="2050"/>
      <c r="Z190" s="2050"/>
      <c r="AA190" s="2050"/>
      <c r="AB190" s="2050"/>
      <c r="AC190" s="2050"/>
    </row>
    <row r="191" spans="1:29" s="1475" customFormat="1">
      <c r="A191" s="2050"/>
      <c r="B191" s="2050"/>
      <c r="C191" s="2050"/>
      <c r="D191" s="2050"/>
      <c r="E191" s="2050"/>
      <c r="F191" s="2050"/>
      <c r="G191" s="2050"/>
      <c r="H191" s="2050"/>
      <c r="I191" s="2050"/>
      <c r="J191" s="2050"/>
      <c r="K191" s="2051"/>
      <c r="L191" s="2052"/>
      <c r="M191" s="2050"/>
      <c r="N191" s="2050"/>
      <c r="O191" s="2050"/>
      <c r="P191" s="2050"/>
      <c r="Q191" s="2050"/>
      <c r="R191" s="2050"/>
      <c r="S191" s="2050"/>
      <c r="T191" s="2050"/>
      <c r="U191" s="2050"/>
      <c r="V191" s="2050"/>
      <c r="W191" s="2050"/>
      <c r="X191" s="2050"/>
      <c r="Y191" s="2050"/>
      <c r="Z191" s="2050"/>
      <c r="AA191" s="2050"/>
      <c r="AB191" s="2050"/>
      <c r="AC191" s="2050"/>
    </row>
    <row r="192" spans="1:29" s="1475" customFormat="1">
      <c r="A192" s="2050"/>
      <c r="B192" s="2050"/>
      <c r="C192" s="2050"/>
      <c r="D192" s="2050"/>
      <c r="E192" s="2050"/>
      <c r="F192" s="2050"/>
      <c r="G192" s="2050"/>
      <c r="H192" s="2050"/>
      <c r="I192" s="2050"/>
      <c r="J192" s="2050"/>
      <c r="K192" s="2051"/>
      <c r="L192" s="2052"/>
      <c r="M192" s="2050"/>
      <c r="N192" s="2050"/>
      <c r="O192" s="2050"/>
      <c r="P192" s="2050"/>
      <c r="Q192" s="2050"/>
      <c r="R192" s="2050"/>
      <c r="S192" s="2050"/>
      <c r="T192" s="2050"/>
      <c r="U192" s="2050"/>
      <c r="V192" s="2050"/>
      <c r="W192" s="2050"/>
      <c r="X192" s="2050"/>
      <c r="Y192" s="2050"/>
      <c r="Z192" s="2050"/>
      <c r="AA192" s="2050"/>
      <c r="AB192" s="2050"/>
      <c r="AC192" s="2050"/>
    </row>
    <row r="193" spans="1:29" s="1475" customFormat="1">
      <c r="A193" s="2050"/>
      <c r="B193" s="2050"/>
      <c r="C193" s="2050"/>
      <c r="D193" s="2050"/>
      <c r="E193" s="2050"/>
      <c r="F193" s="2050"/>
      <c r="G193" s="2050"/>
      <c r="H193" s="2050"/>
      <c r="I193" s="2050"/>
      <c r="J193" s="2050"/>
      <c r="K193" s="2051"/>
      <c r="L193" s="2052"/>
      <c r="M193" s="2050"/>
      <c r="N193" s="2050"/>
      <c r="O193" s="2050"/>
      <c r="P193" s="2050"/>
      <c r="Q193" s="2050"/>
      <c r="R193" s="2050"/>
      <c r="S193" s="2050"/>
      <c r="T193" s="2050"/>
      <c r="U193" s="2050"/>
      <c r="V193" s="2050"/>
      <c r="W193" s="2050"/>
      <c r="X193" s="2050"/>
      <c r="Y193" s="2050"/>
      <c r="Z193" s="2050"/>
      <c r="AA193" s="2050"/>
      <c r="AB193" s="2050"/>
      <c r="AC193" s="2050"/>
    </row>
    <row r="194" spans="1:29" s="1475" customFormat="1">
      <c r="A194" s="2050"/>
      <c r="B194" s="2050"/>
      <c r="C194" s="2050"/>
      <c r="D194" s="2050"/>
      <c r="E194" s="2050"/>
      <c r="F194" s="2050"/>
      <c r="G194" s="2050"/>
      <c r="H194" s="2050"/>
      <c r="I194" s="2050"/>
      <c r="J194" s="2050"/>
      <c r="K194" s="2051"/>
      <c r="L194" s="2052"/>
      <c r="M194" s="2050"/>
      <c r="N194" s="2050"/>
      <c r="O194" s="2050"/>
      <c r="P194" s="2050"/>
      <c r="Q194" s="2050"/>
      <c r="R194" s="2050"/>
      <c r="S194" s="2050"/>
      <c r="T194" s="2050"/>
      <c r="U194" s="2050"/>
      <c r="V194" s="2050"/>
      <c r="W194" s="2050"/>
      <c r="X194" s="2050"/>
      <c r="Y194" s="2050"/>
      <c r="Z194" s="2050"/>
      <c r="AA194" s="2050"/>
      <c r="AB194" s="2050"/>
      <c r="AC194" s="2050"/>
    </row>
    <row r="195" spans="1:29" s="1475" customFormat="1">
      <c r="A195" s="2050"/>
      <c r="B195" s="2050"/>
      <c r="C195" s="2050"/>
      <c r="D195" s="2050"/>
      <c r="E195" s="2050"/>
      <c r="F195" s="2050"/>
      <c r="G195" s="2050"/>
      <c r="H195" s="2050"/>
      <c r="I195" s="2050"/>
      <c r="J195" s="2050"/>
      <c r="K195" s="2051"/>
      <c r="L195" s="2052"/>
      <c r="M195" s="2050"/>
      <c r="N195" s="2050"/>
      <c r="O195" s="2050"/>
      <c r="P195" s="2050"/>
      <c r="Q195" s="2050"/>
      <c r="R195" s="2050"/>
      <c r="S195" s="2050"/>
      <c r="T195" s="2050"/>
      <c r="U195" s="2050"/>
      <c r="V195" s="2050"/>
      <c r="W195" s="2050"/>
      <c r="X195" s="2050"/>
      <c r="Y195" s="2050"/>
      <c r="Z195" s="2050"/>
      <c r="AA195" s="2050"/>
      <c r="AB195" s="2050"/>
      <c r="AC195" s="2050"/>
    </row>
    <row r="196" spans="1:29" s="1475" customFormat="1">
      <c r="A196" s="2050"/>
      <c r="B196" s="2050"/>
      <c r="C196" s="2050"/>
      <c r="D196" s="2050"/>
      <c r="E196" s="2050"/>
      <c r="F196" s="2050"/>
      <c r="G196" s="2050"/>
      <c r="H196" s="2050"/>
      <c r="I196" s="2050"/>
      <c r="J196" s="2050"/>
      <c r="K196" s="2051"/>
      <c r="L196" s="2052"/>
      <c r="M196" s="2050"/>
      <c r="N196" s="2050"/>
      <c r="O196" s="2050"/>
      <c r="P196" s="2050"/>
      <c r="Q196" s="2050"/>
      <c r="R196" s="2050"/>
      <c r="S196" s="2050"/>
      <c r="T196" s="2050"/>
      <c r="U196" s="2050"/>
      <c r="V196" s="2050"/>
      <c r="W196" s="2050"/>
      <c r="X196" s="2050"/>
      <c r="Y196" s="2050"/>
      <c r="Z196" s="2050"/>
      <c r="AA196" s="2050"/>
      <c r="AB196" s="2050"/>
      <c r="AC196" s="2050"/>
    </row>
    <row r="197" spans="1:29" s="1475" customFormat="1">
      <c r="A197" s="2050"/>
      <c r="B197" s="2050"/>
      <c r="C197" s="2050"/>
      <c r="D197" s="2050"/>
      <c r="E197" s="2050"/>
      <c r="F197" s="2050"/>
      <c r="G197" s="2050"/>
      <c r="H197" s="2050"/>
      <c r="I197" s="2050"/>
      <c r="J197" s="2050"/>
      <c r="K197" s="2051"/>
      <c r="L197" s="2052"/>
      <c r="M197" s="2050"/>
      <c r="N197" s="2050"/>
      <c r="O197" s="2050"/>
      <c r="P197" s="2050"/>
      <c r="Q197" s="2050"/>
      <c r="R197" s="2050"/>
      <c r="S197" s="2050"/>
      <c r="T197" s="2050"/>
      <c r="U197" s="2050"/>
      <c r="V197" s="2050"/>
      <c r="W197" s="2050"/>
      <c r="X197" s="2050"/>
      <c r="Y197" s="2050"/>
      <c r="Z197" s="2050"/>
      <c r="AA197" s="2050"/>
      <c r="AB197" s="2050"/>
      <c r="AC197" s="2050"/>
    </row>
    <row r="198" spans="1:29" s="1475" customFormat="1">
      <c r="A198" s="2050"/>
      <c r="B198" s="2050"/>
      <c r="C198" s="2050"/>
      <c r="D198" s="2050"/>
      <c r="E198" s="2050"/>
      <c r="F198" s="2050"/>
      <c r="G198" s="2050"/>
      <c r="H198" s="2050"/>
      <c r="I198" s="2050"/>
      <c r="J198" s="2050"/>
      <c r="K198" s="2051"/>
      <c r="L198" s="2052"/>
      <c r="M198" s="2050"/>
      <c r="N198" s="2050"/>
      <c r="O198" s="2050"/>
      <c r="P198" s="2050"/>
      <c r="Q198" s="2050"/>
      <c r="R198" s="2050"/>
      <c r="S198" s="2050"/>
      <c r="T198" s="2050"/>
      <c r="U198" s="2050"/>
      <c r="V198" s="2050"/>
      <c r="W198" s="2050"/>
      <c r="X198" s="2050"/>
      <c r="Y198" s="2050"/>
      <c r="Z198" s="2050"/>
      <c r="AA198" s="2050"/>
      <c r="AB198" s="2050"/>
      <c r="AC198" s="2050"/>
    </row>
    <row r="199" spans="1:29" s="1475" customFormat="1">
      <c r="A199" s="2050"/>
      <c r="B199" s="2050"/>
      <c r="C199" s="2050"/>
      <c r="D199" s="2050"/>
      <c r="E199" s="2050"/>
      <c r="F199" s="2050"/>
      <c r="G199" s="2050"/>
      <c r="H199" s="2050"/>
      <c r="I199" s="2050"/>
      <c r="J199" s="2050"/>
      <c r="K199" s="2051"/>
      <c r="L199" s="2052"/>
      <c r="M199" s="2050"/>
      <c r="N199" s="2050"/>
      <c r="O199" s="2050"/>
      <c r="P199" s="2050"/>
      <c r="Q199" s="2050"/>
      <c r="R199" s="2050"/>
      <c r="S199" s="2050"/>
      <c r="T199" s="2050"/>
      <c r="U199" s="2050"/>
      <c r="V199" s="2050"/>
      <c r="W199" s="2050"/>
      <c r="X199" s="2050"/>
      <c r="Y199" s="2050"/>
      <c r="Z199" s="2050"/>
      <c r="AA199" s="2050"/>
      <c r="AB199" s="2050"/>
      <c r="AC199" s="2050"/>
    </row>
    <row r="200" spans="1:29" s="1475" customFormat="1">
      <c r="A200" s="2050"/>
      <c r="B200" s="2050"/>
      <c r="C200" s="2050"/>
      <c r="D200" s="2050"/>
      <c r="E200" s="2050"/>
      <c r="F200" s="2050"/>
      <c r="G200" s="2050"/>
      <c r="H200" s="2050"/>
      <c r="I200" s="2050"/>
      <c r="J200" s="2050"/>
      <c r="K200" s="2051"/>
      <c r="L200" s="2052"/>
      <c r="M200" s="2050"/>
      <c r="N200" s="2050"/>
      <c r="O200" s="2050"/>
      <c r="P200" s="2050"/>
      <c r="Q200" s="2050"/>
      <c r="R200" s="2050"/>
      <c r="S200" s="2050"/>
      <c r="T200" s="2050"/>
      <c r="U200" s="2050"/>
      <c r="V200" s="2050"/>
      <c r="W200" s="2050"/>
      <c r="X200" s="2050"/>
      <c r="Y200" s="2050"/>
      <c r="Z200" s="2050"/>
      <c r="AA200" s="2050"/>
      <c r="AB200" s="2050"/>
      <c r="AC200" s="2050"/>
    </row>
    <row r="201" spans="1:29" s="1475" customFormat="1">
      <c r="A201" s="2050"/>
      <c r="B201" s="2050"/>
      <c r="C201" s="2050"/>
      <c r="D201" s="2050"/>
      <c r="E201" s="2050"/>
      <c r="F201" s="2050"/>
      <c r="G201" s="2050"/>
      <c r="H201" s="2050"/>
      <c r="I201" s="2050"/>
      <c r="J201" s="2050"/>
      <c r="K201" s="2051"/>
      <c r="L201" s="2052"/>
      <c r="M201" s="2050"/>
      <c r="N201" s="2050"/>
      <c r="O201" s="2050"/>
      <c r="P201" s="2050"/>
      <c r="Q201" s="2050"/>
      <c r="R201" s="2050"/>
      <c r="S201" s="2050"/>
      <c r="T201" s="2050"/>
      <c r="U201" s="2050"/>
      <c r="V201" s="2050"/>
      <c r="W201" s="2050"/>
      <c r="X201" s="2050"/>
      <c r="Y201" s="2050"/>
      <c r="Z201" s="2050"/>
      <c r="AA201" s="2050"/>
      <c r="AB201" s="2050"/>
      <c r="AC201" s="2050"/>
    </row>
    <row r="202" spans="1:29" s="1475" customFormat="1">
      <c r="A202" s="2050"/>
      <c r="B202" s="2050"/>
      <c r="C202" s="2050"/>
      <c r="D202" s="2050"/>
      <c r="E202" s="2050"/>
      <c r="F202" s="2050"/>
      <c r="G202" s="2050"/>
      <c r="H202" s="2050"/>
      <c r="I202" s="2050"/>
      <c r="J202" s="2050"/>
      <c r="K202" s="2051"/>
      <c r="L202" s="2052"/>
      <c r="M202" s="2050"/>
      <c r="N202" s="2050"/>
      <c r="O202" s="2050"/>
      <c r="P202" s="2050"/>
      <c r="Q202" s="2050"/>
      <c r="R202" s="2050"/>
      <c r="S202" s="2050"/>
      <c r="T202" s="2050"/>
      <c r="U202" s="2050"/>
      <c r="V202" s="2050"/>
      <c r="W202" s="2050"/>
      <c r="X202" s="2050"/>
      <c r="Y202" s="2050"/>
      <c r="Z202" s="2050"/>
      <c r="AA202" s="2050"/>
      <c r="AB202" s="2050"/>
      <c r="AC202" s="2050"/>
    </row>
    <row r="203" spans="1:29" s="1475" customFormat="1">
      <c r="A203" s="2050"/>
      <c r="B203" s="2050"/>
      <c r="C203" s="2050"/>
      <c r="D203" s="2050"/>
      <c r="E203" s="2050"/>
      <c r="F203" s="2050"/>
      <c r="G203" s="2050"/>
      <c r="H203" s="2050"/>
      <c r="I203" s="2050"/>
      <c r="J203" s="2050"/>
      <c r="K203" s="2051"/>
      <c r="L203" s="2052"/>
      <c r="M203" s="2050"/>
      <c r="N203" s="2050"/>
      <c r="O203" s="2050"/>
      <c r="P203" s="2050"/>
      <c r="Q203" s="2050"/>
      <c r="R203" s="2050"/>
      <c r="S203" s="2050"/>
      <c r="T203" s="2050"/>
      <c r="U203" s="2050"/>
      <c r="V203" s="2050"/>
      <c r="W203" s="2050"/>
      <c r="X203" s="2050"/>
      <c r="Y203" s="2050"/>
      <c r="Z203" s="2050"/>
      <c r="AA203" s="2050"/>
      <c r="AB203" s="2050"/>
      <c r="AC203" s="2050"/>
    </row>
    <row r="204" spans="1:29" s="1475" customFormat="1">
      <c r="A204" s="2050"/>
      <c r="B204" s="2050"/>
      <c r="C204" s="2050"/>
      <c r="D204" s="2050"/>
      <c r="E204" s="2050"/>
      <c r="F204" s="2050"/>
      <c r="G204" s="2050"/>
      <c r="H204" s="2050"/>
      <c r="I204" s="2050"/>
      <c r="J204" s="2050"/>
      <c r="K204" s="2051"/>
      <c r="L204" s="2052"/>
      <c r="M204" s="2050"/>
      <c r="N204" s="2050"/>
      <c r="O204" s="2050"/>
      <c r="P204" s="2050"/>
      <c r="Q204" s="2050"/>
      <c r="R204" s="2050"/>
      <c r="S204" s="2050"/>
      <c r="T204" s="2050"/>
      <c r="U204" s="2050"/>
      <c r="V204" s="2050"/>
      <c r="W204" s="2050"/>
      <c r="X204" s="2050"/>
      <c r="Y204" s="2050"/>
      <c r="Z204" s="2050"/>
      <c r="AA204" s="2050"/>
      <c r="AB204" s="2050"/>
      <c r="AC204" s="2050"/>
    </row>
    <row r="205" spans="1:29" s="1475" customFormat="1">
      <c r="A205" s="2050"/>
      <c r="B205" s="2050"/>
      <c r="C205" s="2050"/>
      <c r="D205" s="2050"/>
      <c r="E205" s="2050"/>
      <c r="F205" s="2050"/>
      <c r="G205" s="2050"/>
      <c r="H205" s="2050"/>
      <c r="I205" s="2050"/>
      <c r="J205" s="2050"/>
      <c r="K205" s="2051"/>
      <c r="L205" s="2052"/>
      <c r="M205" s="2050"/>
      <c r="N205" s="2050"/>
      <c r="O205" s="2050"/>
      <c r="P205" s="2050"/>
      <c r="Q205" s="2050"/>
      <c r="R205" s="2050"/>
      <c r="S205" s="2050"/>
      <c r="T205" s="2050"/>
      <c r="U205" s="2050"/>
      <c r="V205" s="2050"/>
      <c r="W205" s="2050"/>
      <c r="X205" s="2050"/>
      <c r="Y205" s="2050"/>
      <c r="Z205" s="2050"/>
      <c r="AA205" s="2050"/>
      <c r="AB205" s="2050"/>
      <c r="AC205" s="2050"/>
    </row>
    <row r="206" spans="1:29" s="1475" customFormat="1">
      <c r="A206" s="2050"/>
      <c r="B206" s="2050"/>
      <c r="C206" s="2050"/>
      <c r="D206" s="2050"/>
      <c r="E206" s="2050"/>
      <c r="F206" s="2050"/>
      <c r="G206" s="2050"/>
      <c r="H206" s="2050"/>
      <c r="I206" s="2050"/>
      <c r="J206" s="2050"/>
      <c r="K206" s="2051"/>
      <c r="L206" s="2052"/>
      <c r="M206" s="2050"/>
      <c r="N206" s="2050"/>
      <c r="O206" s="2050"/>
      <c r="P206" s="2050"/>
      <c r="Q206" s="2050"/>
      <c r="R206" s="2050"/>
      <c r="S206" s="2050"/>
      <c r="T206" s="2050"/>
      <c r="U206" s="2050"/>
      <c r="V206" s="2050"/>
      <c r="W206" s="2050"/>
      <c r="X206" s="2050"/>
      <c r="Y206" s="2050"/>
      <c r="Z206" s="2050"/>
      <c r="AA206" s="2050"/>
      <c r="AB206" s="2050"/>
      <c r="AC206" s="2050"/>
    </row>
    <row r="207" spans="1:29" s="1475" customFormat="1">
      <c r="A207" s="2050"/>
      <c r="B207" s="2050"/>
      <c r="C207" s="2050"/>
      <c r="D207" s="2050"/>
      <c r="E207" s="2050"/>
      <c r="F207" s="2050"/>
      <c r="G207" s="2050"/>
      <c r="H207" s="2050"/>
      <c r="I207" s="2050"/>
      <c r="J207" s="2050"/>
      <c r="K207" s="2051"/>
      <c r="L207" s="2052"/>
      <c r="M207" s="2050"/>
      <c r="N207" s="2050"/>
      <c r="O207" s="2050"/>
      <c r="P207" s="2050"/>
      <c r="Q207" s="2050"/>
      <c r="R207" s="2050"/>
      <c r="S207" s="2050"/>
      <c r="T207" s="2050"/>
      <c r="U207" s="2050"/>
      <c r="V207" s="2050"/>
      <c r="W207" s="2050"/>
      <c r="X207" s="2050"/>
      <c r="Y207" s="2050"/>
      <c r="Z207" s="2050"/>
      <c r="AA207" s="2050"/>
      <c r="AB207" s="2050"/>
      <c r="AC207" s="2050"/>
    </row>
    <row r="208" spans="1:29" s="1475" customFormat="1">
      <c r="A208" s="2050"/>
      <c r="B208" s="2050"/>
      <c r="C208" s="2050"/>
      <c r="D208" s="2050"/>
      <c r="E208" s="2050"/>
      <c r="F208" s="2050"/>
      <c r="G208" s="2050"/>
      <c r="H208" s="2050"/>
      <c r="I208" s="2050"/>
      <c r="J208" s="2050"/>
      <c r="K208" s="2051"/>
      <c r="L208" s="2052"/>
      <c r="M208" s="2050"/>
      <c r="N208" s="2050"/>
      <c r="O208" s="2050"/>
      <c r="P208" s="2050"/>
      <c r="Q208" s="2050"/>
      <c r="R208" s="2050"/>
      <c r="S208" s="2050"/>
      <c r="T208" s="2050"/>
      <c r="U208" s="2050"/>
      <c r="V208" s="2050"/>
      <c r="W208" s="2050"/>
      <c r="X208" s="2050"/>
      <c r="Y208" s="2050"/>
      <c r="Z208" s="2050"/>
      <c r="AA208" s="2050"/>
      <c r="AB208" s="2050"/>
      <c r="AC208" s="2050"/>
    </row>
    <row r="209" spans="1:29" s="1475" customFormat="1">
      <c r="A209" s="2050"/>
      <c r="B209" s="2050"/>
      <c r="C209" s="2050"/>
      <c r="D209" s="2050"/>
      <c r="E209" s="2050"/>
      <c r="F209" s="2050"/>
      <c r="G209" s="2050"/>
      <c r="H209" s="2050"/>
      <c r="I209" s="2050"/>
      <c r="J209" s="2050"/>
      <c r="K209" s="2051"/>
      <c r="L209" s="2052"/>
      <c r="M209" s="2050"/>
      <c r="N209" s="2050"/>
      <c r="O209" s="2050"/>
      <c r="P209" s="2050"/>
      <c r="Q209" s="2050"/>
      <c r="R209" s="2050"/>
      <c r="S209" s="2050"/>
      <c r="T209" s="2050"/>
      <c r="U209" s="2050"/>
      <c r="V209" s="2050"/>
      <c r="W209" s="2050"/>
      <c r="X209" s="2050"/>
      <c r="Y209" s="2050"/>
      <c r="Z209" s="2050"/>
      <c r="AA209" s="2050"/>
      <c r="AB209" s="2050"/>
      <c r="AC209" s="2050"/>
    </row>
    <row r="210" spans="1:29" s="1475" customFormat="1">
      <c r="A210" s="2050"/>
      <c r="B210" s="2050"/>
      <c r="C210" s="2050"/>
      <c r="D210" s="2050"/>
      <c r="E210" s="2050"/>
      <c r="F210" s="2050"/>
      <c r="G210" s="2050"/>
      <c r="H210" s="2050"/>
      <c r="I210" s="2050"/>
      <c r="J210" s="2050"/>
      <c r="K210" s="2051"/>
      <c r="L210" s="2052"/>
      <c r="M210" s="2050"/>
      <c r="N210" s="2050"/>
      <c r="O210" s="2050"/>
      <c r="P210" s="2050"/>
      <c r="Q210" s="2050"/>
      <c r="R210" s="2050"/>
      <c r="S210" s="2050"/>
      <c r="T210" s="2050"/>
      <c r="U210" s="2050"/>
      <c r="V210" s="2050"/>
      <c r="W210" s="2050"/>
      <c r="X210" s="2050"/>
      <c r="Y210" s="2050"/>
      <c r="Z210" s="2050"/>
      <c r="AA210" s="2050"/>
      <c r="AB210" s="2050"/>
      <c r="AC210" s="2050"/>
    </row>
    <row r="211" spans="1:29" s="1475" customFormat="1">
      <c r="A211" s="2050"/>
      <c r="B211" s="2050"/>
      <c r="C211" s="2050"/>
      <c r="D211" s="2050"/>
      <c r="E211" s="2050"/>
      <c r="F211" s="2050"/>
      <c r="G211" s="2050"/>
      <c r="H211" s="2050"/>
      <c r="I211" s="2050"/>
      <c r="J211" s="2050"/>
      <c r="K211" s="2051"/>
      <c r="L211" s="2052"/>
      <c r="M211" s="2050"/>
      <c r="N211" s="2050"/>
      <c r="O211" s="2050"/>
      <c r="P211" s="2050"/>
      <c r="Q211" s="2050"/>
      <c r="R211" s="2050"/>
      <c r="S211" s="2050"/>
      <c r="T211" s="2050"/>
      <c r="U211" s="2050"/>
      <c r="V211" s="2050"/>
      <c r="W211" s="2050"/>
      <c r="X211" s="2050"/>
      <c r="Y211" s="2050"/>
      <c r="Z211" s="2050"/>
      <c r="AA211" s="2050"/>
      <c r="AB211" s="2050"/>
      <c r="AC211" s="2050"/>
    </row>
    <row r="212" spans="1:29" s="1475" customFormat="1">
      <c r="A212" s="2050"/>
      <c r="B212" s="2050"/>
      <c r="C212" s="2050"/>
      <c r="D212" s="2050"/>
      <c r="E212" s="2050"/>
      <c r="F212" s="2050"/>
      <c r="G212" s="2050"/>
      <c r="H212" s="2050"/>
      <c r="I212" s="2050"/>
      <c r="J212" s="2050"/>
      <c r="K212" s="2051"/>
      <c r="L212" s="2052"/>
      <c r="M212" s="2050"/>
      <c r="N212" s="2050"/>
      <c r="O212" s="2050"/>
      <c r="P212" s="2050"/>
      <c r="Q212" s="2050"/>
      <c r="R212" s="2050"/>
      <c r="S212" s="2050"/>
      <c r="T212" s="2050"/>
      <c r="U212" s="2050"/>
      <c r="V212" s="2050"/>
      <c r="W212" s="2050"/>
      <c r="X212" s="2050"/>
      <c r="Y212" s="2050"/>
      <c r="Z212" s="2050"/>
      <c r="AA212" s="2050"/>
      <c r="AB212" s="2050"/>
      <c r="AC212" s="2050"/>
    </row>
    <row r="213" spans="1:29" s="1475" customFormat="1">
      <c r="A213" s="2050"/>
      <c r="B213" s="2050"/>
      <c r="C213" s="2050"/>
      <c r="D213" s="2050"/>
      <c r="E213" s="2050"/>
      <c r="F213" s="2050"/>
      <c r="G213" s="2050"/>
      <c r="H213" s="2050"/>
      <c r="I213" s="2050"/>
      <c r="J213" s="2050"/>
      <c r="K213" s="2051"/>
      <c r="L213" s="2052"/>
      <c r="M213" s="2050"/>
      <c r="N213" s="2050"/>
      <c r="O213" s="2050"/>
      <c r="P213" s="2050"/>
      <c r="Q213" s="2050"/>
      <c r="R213" s="2050"/>
      <c r="S213" s="2050"/>
      <c r="T213" s="2050"/>
      <c r="U213" s="2050"/>
      <c r="V213" s="2050"/>
      <c r="W213" s="2050"/>
      <c r="X213" s="2050"/>
      <c r="Y213" s="2050"/>
      <c r="Z213" s="2050"/>
      <c r="AA213" s="2050"/>
      <c r="AB213" s="2050"/>
      <c r="AC213" s="2050"/>
    </row>
    <row r="214" spans="1:29" s="1475" customFormat="1">
      <c r="A214" s="2050"/>
      <c r="B214" s="2050"/>
      <c r="C214" s="2050"/>
      <c r="D214" s="2050"/>
      <c r="E214" s="2050"/>
      <c r="F214" s="2050"/>
      <c r="G214" s="2050"/>
      <c r="H214" s="2050"/>
      <c r="I214" s="2050"/>
      <c r="J214" s="2050"/>
      <c r="K214" s="2051"/>
      <c r="L214" s="2052"/>
      <c r="M214" s="2050"/>
      <c r="N214" s="2050"/>
      <c r="O214" s="2050"/>
      <c r="P214" s="2050"/>
      <c r="Q214" s="2050"/>
      <c r="R214" s="2050"/>
      <c r="S214" s="2050"/>
      <c r="T214" s="2050"/>
      <c r="U214" s="2050"/>
      <c r="V214" s="2050"/>
      <c r="W214" s="2050"/>
      <c r="X214" s="2050"/>
      <c r="Y214" s="2050"/>
      <c r="Z214" s="2050"/>
      <c r="AA214" s="2050"/>
      <c r="AB214" s="2050"/>
      <c r="AC214" s="2050"/>
    </row>
    <row r="215" spans="1:29" s="1475" customFormat="1">
      <c r="A215" s="2050"/>
      <c r="B215" s="2050"/>
      <c r="C215" s="2050"/>
      <c r="D215" s="2050"/>
      <c r="E215" s="2050"/>
      <c r="F215" s="2050"/>
      <c r="G215" s="2050"/>
      <c r="H215" s="2050"/>
      <c r="I215" s="2050"/>
      <c r="J215" s="2050"/>
      <c r="K215" s="2051"/>
      <c r="L215" s="2052"/>
      <c r="M215" s="2050"/>
      <c r="N215" s="2050"/>
      <c r="O215" s="2050"/>
      <c r="P215" s="2050"/>
      <c r="Q215" s="2050"/>
      <c r="R215" s="2050"/>
      <c r="S215" s="2050"/>
      <c r="T215" s="2050"/>
      <c r="U215" s="2050"/>
      <c r="V215" s="2050"/>
      <c r="W215" s="2050"/>
      <c r="X215" s="2050"/>
      <c r="Y215" s="2050"/>
      <c r="Z215" s="2050"/>
      <c r="AA215" s="2050"/>
      <c r="AB215" s="2050"/>
      <c r="AC215" s="2050"/>
    </row>
    <row r="216" spans="1:29" s="1475" customFormat="1">
      <c r="A216" s="2050"/>
      <c r="B216" s="2050"/>
      <c r="C216" s="2050"/>
      <c r="D216" s="2050"/>
      <c r="E216" s="2050"/>
      <c r="F216" s="2050"/>
      <c r="G216" s="2050"/>
      <c r="H216" s="2050"/>
      <c r="I216" s="2050"/>
      <c r="J216" s="2050"/>
      <c r="K216" s="2051"/>
      <c r="L216" s="2052"/>
      <c r="M216" s="2050"/>
      <c r="N216" s="2050"/>
      <c r="O216" s="2050"/>
      <c r="P216" s="2050"/>
      <c r="Q216" s="2050"/>
      <c r="R216" s="2050"/>
      <c r="S216" s="2050"/>
      <c r="T216" s="2050"/>
      <c r="U216" s="2050"/>
      <c r="V216" s="2050"/>
      <c r="W216" s="2050"/>
      <c r="X216" s="2050"/>
      <c r="Y216" s="2050"/>
      <c r="Z216" s="2050"/>
      <c r="AA216" s="2050"/>
      <c r="AB216" s="2050"/>
      <c r="AC216" s="2050"/>
    </row>
    <row r="217" spans="1:29" s="1475" customFormat="1">
      <c r="A217" s="2050"/>
      <c r="B217" s="2050"/>
      <c r="C217" s="2050"/>
      <c r="D217" s="2050"/>
      <c r="E217" s="2050"/>
      <c r="F217" s="2050"/>
      <c r="G217" s="2050"/>
      <c r="H217" s="2050"/>
      <c r="I217" s="2050"/>
      <c r="J217" s="2050"/>
      <c r="K217" s="2051"/>
      <c r="L217" s="2052"/>
      <c r="M217" s="2050"/>
      <c r="N217" s="2050"/>
      <c r="O217" s="2050"/>
      <c r="P217" s="2050"/>
      <c r="Q217" s="2050"/>
      <c r="R217" s="2050"/>
      <c r="S217" s="2050"/>
      <c r="T217" s="2050"/>
      <c r="U217" s="2050"/>
      <c r="V217" s="2050"/>
      <c r="W217" s="2050"/>
      <c r="X217" s="2050"/>
      <c r="Y217" s="2050"/>
      <c r="Z217" s="2050"/>
      <c r="AA217" s="2050"/>
      <c r="AB217" s="2050"/>
      <c r="AC217" s="2050"/>
    </row>
    <row r="218" spans="1:29" s="1475" customFormat="1">
      <c r="A218" s="2050"/>
      <c r="B218" s="2050"/>
      <c r="C218" s="2050"/>
      <c r="D218" s="2050"/>
      <c r="E218" s="2050"/>
      <c r="F218" s="2050"/>
      <c r="G218" s="2050"/>
      <c r="H218" s="2050"/>
      <c r="I218" s="2050"/>
      <c r="J218" s="2050"/>
      <c r="K218" s="2051"/>
      <c r="L218" s="2052"/>
      <c r="M218" s="2050"/>
      <c r="N218" s="2050"/>
      <c r="O218" s="2050"/>
      <c r="P218" s="2050"/>
      <c r="Q218" s="2050"/>
      <c r="R218" s="2050"/>
      <c r="S218" s="2050"/>
      <c r="T218" s="2050"/>
      <c r="U218" s="2050"/>
      <c r="V218" s="2050"/>
      <c r="W218" s="2050"/>
      <c r="X218" s="2050"/>
      <c r="Y218" s="2050"/>
      <c r="Z218" s="2050"/>
      <c r="AA218" s="2050"/>
      <c r="AB218" s="2050"/>
      <c r="AC218" s="2050"/>
    </row>
    <row r="219" spans="1:29" s="1475" customFormat="1">
      <c r="A219" s="2050"/>
      <c r="B219" s="2050"/>
      <c r="C219" s="2050"/>
      <c r="D219" s="2050"/>
      <c r="E219" s="2050"/>
      <c r="F219" s="2050"/>
      <c r="G219" s="2050"/>
      <c r="H219" s="2050"/>
      <c r="I219" s="2050"/>
      <c r="J219" s="2050"/>
      <c r="K219" s="2051"/>
      <c r="L219" s="2052"/>
      <c r="M219" s="2050"/>
      <c r="N219" s="2050"/>
      <c r="O219" s="2050"/>
      <c r="P219" s="2050"/>
      <c r="Q219" s="2050"/>
      <c r="R219" s="2050"/>
      <c r="S219" s="2050"/>
      <c r="T219" s="2050"/>
      <c r="U219" s="2050"/>
      <c r="V219" s="2050"/>
      <c r="W219" s="2050"/>
      <c r="X219" s="2050"/>
      <c r="Y219" s="2050"/>
      <c r="Z219" s="2050"/>
      <c r="AA219" s="2050"/>
      <c r="AB219" s="2050"/>
      <c r="AC219" s="2050"/>
    </row>
    <row r="220" spans="1:29" s="1475" customFormat="1">
      <c r="A220" s="2050"/>
      <c r="B220" s="2050"/>
      <c r="C220" s="2050"/>
      <c r="D220" s="2050"/>
      <c r="E220" s="2050"/>
      <c r="F220" s="2050"/>
      <c r="G220" s="2050"/>
      <c r="H220" s="2050"/>
      <c r="I220" s="2050"/>
      <c r="J220" s="2050"/>
      <c r="K220" s="2051"/>
      <c r="L220" s="2052"/>
      <c r="M220" s="2050"/>
      <c r="N220" s="2050"/>
      <c r="O220" s="2050"/>
      <c r="P220" s="2050"/>
      <c r="Q220" s="2050"/>
      <c r="R220" s="2050"/>
      <c r="S220" s="2050"/>
      <c r="T220" s="2050"/>
      <c r="U220" s="2050"/>
      <c r="V220" s="2050"/>
      <c r="W220" s="2050"/>
      <c r="X220" s="2050"/>
      <c r="Y220" s="2050"/>
      <c r="Z220" s="2050"/>
      <c r="AA220" s="2050"/>
      <c r="AB220" s="2050"/>
      <c r="AC220" s="2050"/>
    </row>
    <row r="221" spans="1:29" s="1475" customFormat="1">
      <c r="A221" s="2050"/>
      <c r="B221" s="2050"/>
      <c r="C221" s="2050"/>
      <c r="D221" s="2050"/>
      <c r="E221" s="2050"/>
      <c r="F221" s="2050"/>
      <c r="G221" s="2050"/>
      <c r="H221" s="2050"/>
      <c r="I221" s="2050"/>
      <c r="J221" s="2050"/>
      <c r="K221" s="2051"/>
      <c r="L221" s="2052"/>
      <c r="M221" s="2050"/>
      <c r="N221" s="2050"/>
      <c r="O221" s="2050"/>
      <c r="P221" s="2050"/>
      <c r="Q221" s="2050"/>
      <c r="R221" s="2050"/>
      <c r="S221" s="2050"/>
      <c r="T221" s="2050"/>
      <c r="U221" s="2050"/>
      <c r="V221" s="2050"/>
      <c r="W221" s="2050"/>
      <c r="X221" s="2050"/>
      <c r="Y221" s="2050"/>
      <c r="Z221" s="2050"/>
      <c r="AA221" s="2050"/>
      <c r="AB221" s="2050"/>
      <c r="AC221" s="2050"/>
    </row>
    <row r="222" spans="1:29" s="1475" customFormat="1">
      <c r="A222" s="2050"/>
      <c r="B222" s="2050"/>
      <c r="C222" s="2050"/>
      <c r="D222" s="2050"/>
      <c r="E222" s="2050"/>
      <c r="F222" s="2050"/>
      <c r="G222" s="2050"/>
      <c r="H222" s="2050"/>
      <c r="I222" s="2050"/>
      <c r="J222" s="2050"/>
      <c r="K222" s="2051"/>
      <c r="L222" s="2052"/>
      <c r="M222" s="2050"/>
      <c r="N222" s="2050"/>
      <c r="O222" s="2050"/>
      <c r="P222" s="2050"/>
      <c r="Q222" s="2050"/>
      <c r="R222" s="2050"/>
      <c r="S222" s="2050"/>
      <c r="T222" s="2050"/>
      <c r="U222" s="2050"/>
      <c r="V222" s="2050"/>
      <c r="W222" s="2050"/>
      <c r="X222" s="2050"/>
      <c r="Y222" s="2050"/>
      <c r="Z222" s="2050"/>
      <c r="AA222" s="2050"/>
      <c r="AB222" s="2050"/>
      <c r="AC222" s="2050"/>
    </row>
    <row r="223" spans="1:29" s="1475" customFormat="1">
      <c r="A223" s="2050"/>
      <c r="B223" s="2050"/>
      <c r="C223" s="2050"/>
      <c r="D223" s="2050"/>
      <c r="E223" s="2050"/>
      <c r="F223" s="2050"/>
      <c r="G223" s="2050"/>
      <c r="H223" s="2050"/>
      <c r="I223" s="2050"/>
      <c r="J223" s="2050"/>
      <c r="K223" s="2051"/>
      <c r="L223" s="2052"/>
      <c r="M223" s="2050"/>
      <c r="N223" s="2050"/>
      <c r="O223" s="2050"/>
      <c r="P223" s="2050"/>
      <c r="Q223" s="2050"/>
      <c r="R223" s="2050"/>
      <c r="S223" s="2050"/>
      <c r="T223" s="2050"/>
      <c r="U223" s="2050"/>
      <c r="V223" s="2050"/>
      <c r="W223" s="2050"/>
      <c r="X223" s="2050"/>
      <c r="Y223" s="2050"/>
      <c r="Z223" s="2050"/>
      <c r="AA223" s="2050"/>
      <c r="AB223" s="2050"/>
      <c r="AC223" s="2050"/>
    </row>
    <row r="224" spans="1:29" s="1475" customFormat="1">
      <c r="A224" s="2050"/>
      <c r="B224" s="2050"/>
      <c r="C224" s="2050"/>
      <c r="D224" s="2050"/>
      <c r="E224" s="2050"/>
      <c r="F224" s="2050"/>
      <c r="G224" s="2050"/>
      <c r="H224" s="2050"/>
      <c r="I224" s="2050"/>
      <c r="J224" s="2050"/>
      <c r="K224" s="2051"/>
      <c r="L224" s="2052"/>
      <c r="M224" s="2050"/>
      <c r="N224" s="2050"/>
      <c r="O224" s="2050"/>
      <c r="P224" s="2050"/>
      <c r="Q224" s="2050"/>
      <c r="R224" s="2050"/>
      <c r="S224" s="2050"/>
      <c r="T224" s="2050"/>
      <c r="U224" s="2050"/>
      <c r="V224" s="2050"/>
      <c r="W224" s="2050"/>
      <c r="X224" s="2050"/>
      <c r="Y224" s="2050"/>
      <c r="Z224" s="2050"/>
      <c r="AA224" s="2050"/>
      <c r="AB224" s="2050"/>
      <c r="AC224" s="2050"/>
    </row>
    <row r="225" spans="1:29" s="1475" customFormat="1">
      <c r="A225" s="2050"/>
      <c r="B225" s="2050"/>
      <c r="C225" s="2050"/>
      <c r="D225" s="2050"/>
      <c r="E225" s="2050"/>
      <c r="F225" s="2050"/>
      <c r="G225" s="2050"/>
      <c r="H225" s="2050"/>
      <c r="I225" s="2050"/>
      <c r="J225" s="2050"/>
      <c r="K225" s="2051"/>
      <c r="L225" s="2052"/>
      <c r="M225" s="2050"/>
      <c r="N225" s="2050"/>
      <c r="O225" s="2050"/>
      <c r="P225" s="2050"/>
      <c r="Q225" s="2050"/>
      <c r="R225" s="2050"/>
      <c r="S225" s="2050"/>
      <c r="T225" s="2050"/>
      <c r="U225" s="2050"/>
      <c r="V225" s="2050"/>
      <c r="W225" s="2050"/>
      <c r="X225" s="2050"/>
      <c r="Y225" s="2050"/>
      <c r="Z225" s="2050"/>
      <c r="AA225" s="2050"/>
      <c r="AB225" s="2050"/>
      <c r="AC225" s="2050"/>
    </row>
    <row r="226" spans="1:29" s="1475" customFormat="1">
      <c r="A226" s="2050"/>
      <c r="B226" s="2050"/>
      <c r="C226" s="2050"/>
      <c r="D226" s="2050"/>
      <c r="E226" s="2050"/>
      <c r="F226" s="2050"/>
      <c r="G226" s="2050"/>
      <c r="H226" s="2050"/>
      <c r="I226" s="2050"/>
      <c r="J226" s="2050"/>
      <c r="K226" s="2051"/>
      <c r="L226" s="2052"/>
      <c r="M226" s="2050"/>
      <c r="N226" s="2050"/>
      <c r="O226" s="2050"/>
      <c r="P226" s="2050"/>
      <c r="Q226" s="2050"/>
      <c r="R226" s="2050"/>
      <c r="S226" s="2050"/>
      <c r="T226" s="2050"/>
      <c r="U226" s="2050"/>
      <c r="V226" s="2050"/>
      <c r="W226" s="2050"/>
      <c r="X226" s="2050"/>
      <c r="Y226" s="2050"/>
      <c r="Z226" s="2050"/>
      <c r="AA226" s="2050"/>
      <c r="AB226" s="2050"/>
      <c r="AC226" s="2050"/>
    </row>
    <row r="227" spans="1:29" s="1475" customFormat="1">
      <c r="A227" s="2050"/>
      <c r="B227" s="2050"/>
      <c r="C227" s="2050"/>
      <c r="D227" s="2050"/>
      <c r="E227" s="2050"/>
      <c r="F227" s="2050"/>
      <c r="G227" s="2050"/>
      <c r="H227" s="2050"/>
      <c r="I227" s="2050"/>
      <c r="J227" s="2050"/>
      <c r="K227" s="2051"/>
      <c r="L227" s="2052"/>
      <c r="M227" s="2050"/>
      <c r="N227" s="2050"/>
      <c r="O227" s="2050"/>
      <c r="P227" s="2050"/>
      <c r="Q227" s="2050"/>
      <c r="R227" s="2050"/>
      <c r="S227" s="2050"/>
      <c r="T227" s="2050"/>
      <c r="U227" s="2050"/>
      <c r="V227" s="2050"/>
      <c r="W227" s="2050"/>
      <c r="X227" s="2050"/>
      <c r="Y227" s="2050"/>
      <c r="Z227" s="2050"/>
      <c r="AA227" s="2050"/>
      <c r="AB227" s="2050"/>
      <c r="AC227" s="2050"/>
    </row>
    <row r="228" spans="1:29" s="1475" customFormat="1">
      <c r="A228" s="2050"/>
      <c r="B228" s="2050"/>
      <c r="C228" s="2050"/>
      <c r="D228" s="2050"/>
      <c r="E228" s="2050"/>
      <c r="F228" s="2050"/>
      <c r="G228" s="2050"/>
      <c r="H228" s="2050"/>
      <c r="I228" s="2050"/>
      <c r="J228" s="2050"/>
      <c r="K228" s="2051"/>
      <c r="L228" s="2052"/>
      <c r="M228" s="2050"/>
      <c r="N228" s="2050"/>
      <c r="O228" s="2050"/>
      <c r="P228" s="2050"/>
      <c r="Q228" s="2050"/>
      <c r="R228" s="2050"/>
      <c r="S228" s="2050"/>
      <c r="T228" s="2050"/>
      <c r="U228" s="2050"/>
      <c r="V228" s="2050"/>
      <c r="W228" s="2050"/>
      <c r="X228" s="2050"/>
      <c r="Y228" s="2050"/>
      <c r="Z228" s="2050"/>
      <c r="AA228" s="2050"/>
      <c r="AB228" s="2050"/>
      <c r="AC228" s="2050"/>
    </row>
    <row r="229" spans="1:29" s="1475" customFormat="1">
      <c r="A229" s="2050"/>
      <c r="B229" s="2050"/>
      <c r="C229" s="2050"/>
      <c r="D229" s="2050"/>
      <c r="E229" s="2050"/>
      <c r="F229" s="2050"/>
      <c r="G229" s="2050"/>
      <c r="H229" s="2050"/>
      <c r="I229" s="2050"/>
      <c r="J229" s="2050"/>
      <c r="K229" s="2051"/>
      <c r="L229" s="2052"/>
      <c r="M229" s="2050"/>
      <c r="N229" s="2050"/>
      <c r="O229" s="2050"/>
      <c r="P229" s="2050"/>
      <c r="Q229" s="2050"/>
      <c r="R229" s="2050"/>
      <c r="S229" s="2050"/>
      <c r="T229" s="2050"/>
      <c r="U229" s="2050"/>
      <c r="V229" s="2050"/>
      <c r="W229" s="2050"/>
      <c r="X229" s="2050"/>
      <c r="Y229" s="2050"/>
      <c r="Z229" s="2050"/>
      <c r="AA229" s="2050"/>
      <c r="AB229" s="2050"/>
      <c r="AC229" s="2050"/>
    </row>
    <row r="230" spans="1:29" s="1475" customFormat="1">
      <c r="A230" s="2050"/>
      <c r="B230" s="2050"/>
      <c r="C230" s="2050"/>
      <c r="D230" s="2050"/>
      <c r="E230" s="2050"/>
      <c r="F230" s="2050"/>
      <c r="G230" s="2050"/>
      <c r="H230" s="2050"/>
      <c r="I230" s="2050"/>
      <c r="J230" s="2050"/>
      <c r="K230" s="2051"/>
      <c r="L230" s="2052"/>
      <c r="M230" s="2050"/>
      <c r="N230" s="2050"/>
      <c r="O230" s="2050"/>
      <c r="P230" s="2050"/>
      <c r="Q230" s="2050"/>
      <c r="R230" s="2050"/>
      <c r="S230" s="2050"/>
      <c r="T230" s="2050"/>
      <c r="U230" s="2050"/>
      <c r="V230" s="2050"/>
      <c r="W230" s="2050"/>
      <c r="X230" s="2050"/>
      <c r="Y230" s="2050"/>
      <c r="Z230" s="2050"/>
      <c r="AA230" s="2050"/>
      <c r="AB230" s="2050"/>
      <c r="AC230" s="2050"/>
    </row>
    <row r="231" spans="1:29" s="1475" customFormat="1">
      <c r="A231" s="2050"/>
      <c r="B231" s="2050"/>
      <c r="C231" s="2050"/>
      <c r="D231" s="2050"/>
      <c r="E231" s="2050"/>
      <c r="F231" s="2050"/>
      <c r="G231" s="2050"/>
      <c r="H231" s="2050"/>
      <c r="I231" s="2050"/>
      <c r="J231" s="2050"/>
      <c r="K231" s="2051"/>
      <c r="L231" s="2052"/>
      <c r="M231" s="2050"/>
      <c r="N231" s="2050"/>
      <c r="O231" s="2050"/>
      <c r="P231" s="2050"/>
      <c r="Q231" s="2050"/>
      <c r="R231" s="2050"/>
      <c r="S231" s="2050"/>
      <c r="T231" s="2050"/>
      <c r="U231" s="2050"/>
      <c r="V231" s="2050"/>
      <c r="W231" s="2050"/>
      <c r="X231" s="2050"/>
      <c r="Y231" s="2050"/>
      <c r="Z231" s="2050"/>
      <c r="AA231" s="2050"/>
      <c r="AB231" s="2050"/>
      <c r="AC231" s="2050"/>
    </row>
    <row r="232" spans="1:29" s="1475" customFormat="1">
      <c r="A232" s="2050"/>
      <c r="B232" s="2050"/>
      <c r="C232" s="2050"/>
      <c r="D232" s="2050"/>
      <c r="E232" s="2050"/>
      <c r="F232" s="2050"/>
      <c r="G232" s="2050"/>
      <c r="H232" s="2050"/>
      <c r="I232" s="2050"/>
      <c r="J232" s="2050"/>
      <c r="K232" s="2051"/>
      <c r="L232" s="2052"/>
      <c r="M232" s="2050"/>
      <c r="N232" s="2050"/>
      <c r="O232" s="2050"/>
      <c r="P232" s="2050"/>
      <c r="Q232" s="2050"/>
      <c r="R232" s="2050"/>
      <c r="S232" s="2050"/>
      <c r="T232" s="2050"/>
      <c r="U232" s="2050"/>
      <c r="V232" s="2050"/>
      <c r="W232" s="2050"/>
      <c r="X232" s="2050"/>
      <c r="Y232" s="2050"/>
      <c r="Z232" s="2050"/>
      <c r="AA232" s="2050"/>
      <c r="AB232" s="2050"/>
      <c r="AC232" s="2050"/>
    </row>
    <row r="233" spans="1:29" s="1475" customFormat="1">
      <c r="A233" s="2050"/>
      <c r="B233" s="2050"/>
      <c r="C233" s="2050"/>
      <c r="D233" s="2050"/>
      <c r="E233" s="2050"/>
      <c r="F233" s="2050"/>
      <c r="G233" s="2050"/>
      <c r="H233" s="2050"/>
      <c r="I233" s="2050"/>
      <c r="J233" s="2050"/>
      <c r="K233" s="2051"/>
      <c r="L233" s="2052"/>
      <c r="M233" s="2050"/>
      <c r="N233" s="2050"/>
      <c r="O233" s="2050"/>
      <c r="P233" s="2050"/>
      <c r="Q233" s="2050"/>
      <c r="R233" s="2050"/>
      <c r="S233" s="2050"/>
      <c r="T233" s="2050"/>
      <c r="U233" s="2050"/>
      <c r="V233" s="2050"/>
      <c r="W233" s="2050"/>
      <c r="X233" s="2050"/>
      <c r="Y233" s="2050"/>
      <c r="Z233" s="2050"/>
      <c r="AA233" s="2050"/>
      <c r="AB233" s="2050"/>
      <c r="AC233" s="2050"/>
    </row>
    <row r="234" spans="1:29" s="1475" customFormat="1">
      <c r="A234" s="2050"/>
      <c r="B234" s="2050"/>
      <c r="C234" s="2050"/>
      <c r="D234" s="2050"/>
      <c r="E234" s="2050"/>
      <c r="F234" s="2050"/>
      <c r="G234" s="2050"/>
      <c r="H234" s="2050"/>
      <c r="I234" s="2050"/>
      <c r="J234" s="2050"/>
      <c r="K234" s="2051"/>
      <c r="L234" s="2052"/>
      <c r="M234" s="2050"/>
      <c r="N234" s="2050"/>
      <c r="O234" s="2050"/>
      <c r="P234" s="2050"/>
      <c r="Q234" s="2050"/>
      <c r="R234" s="2050"/>
      <c r="S234" s="2050"/>
      <c r="T234" s="2050"/>
      <c r="U234" s="2050"/>
      <c r="V234" s="2050"/>
      <c r="W234" s="2050"/>
      <c r="X234" s="2050"/>
      <c r="Y234" s="2050"/>
      <c r="Z234" s="2050"/>
      <c r="AA234" s="2050"/>
      <c r="AB234" s="2050"/>
      <c r="AC234" s="2050"/>
    </row>
    <row r="235" spans="1:29" s="1475" customFormat="1">
      <c r="A235" s="2050"/>
      <c r="B235" s="2050"/>
      <c r="C235" s="2050"/>
      <c r="D235" s="2050"/>
      <c r="E235" s="2050"/>
      <c r="F235" s="2050"/>
      <c r="G235" s="2050"/>
      <c r="H235" s="2050"/>
      <c r="I235" s="2050"/>
      <c r="J235" s="2050"/>
      <c r="K235" s="2051"/>
      <c r="L235" s="2052"/>
      <c r="M235" s="2050"/>
      <c r="N235" s="2050"/>
      <c r="O235" s="2050"/>
      <c r="P235" s="2050"/>
      <c r="Q235" s="2050"/>
      <c r="R235" s="2050"/>
      <c r="S235" s="2050"/>
      <c r="T235" s="2050"/>
      <c r="U235" s="2050"/>
      <c r="V235" s="2050"/>
      <c r="W235" s="2050"/>
      <c r="X235" s="2050"/>
      <c r="Y235" s="2050"/>
      <c r="Z235" s="2050"/>
      <c r="AA235" s="2050"/>
      <c r="AB235" s="2050"/>
      <c r="AC235" s="2050"/>
    </row>
    <row r="236" spans="1:29" s="1475" customFormat="1">
      <c r="A236" s="2050"/>
      <c r="B236" s="2050"/>
      <c r="C236" s="2050"/>
      <c r="D236" s="2050"/>
      <c r="E236" s="2050"/>
      <c r="F236" s="2050"/>
      <c r="G236" s="2050"/>
      <c r="H236" s="2050"/>
      <c r="I236" s="2050"/>
      <c r="J236" s="2050"/>
      <c r="K236" s="2051"/>
      <c r="L236" s="2052"/>
      <c r="M236" s="2050"/>
      <c r="N236" s="2050"/>
      <c r="O236" s="2050"/>
      <c r="P236" s="2050"/>
      <c r="Q236" s="2050"/>
      <c r="R236" s="2050"/>
      <c r="S236" s="2050"/>
      <c r="T236" s="2050"/>
      <c r="U236" s="2050"/>
      <c r="V236" s="2050"/>
      <c r="W236" s="2050"/>
      <c r="X236" s="2050"/>
      <c r="Y236" s="2050"/>
      <c r="Z236" s="2050"/>
      <c r="AA236" s="2050"/>
      <c r="AB236" s="2050"/>
      <c r="AC236" s="2050"/>
    </row>
    <row r="237" spans="1:29" s="1475" customFormat="1">
      <c r="A237" s="2050"/>
      <c r="B237" s="2050"/>
      <c r="C237" s="2050"/>
      <c r="D237" s="2050"/>
      <c r="E237" s="2050"/>
      <c r="F237" s="2050"/>
      <c r="G237" s="2050"/>
      <c r="H237" s="2050"/>
      <c r="I237" s="2050"/>
      <c r="J237" s="2050"/>
      <c r="K237" s="2051"/>
      <c r="L237" s="2052"/>
      <c r="M237" s="2050"/>
      <c r="N237" s="2050"/>
      <c r="O237" s="2050"/>
      <c r="P237" s="2050"/>
      <c r="Q237" s="2050"/>
      <c r="R237" s="2050"/>
      <c r="S237" s="2050"/>
      <c r="T237" s="2050"/>
      <c r="U237" s="2050"/>
      <c r="V237" s="2050"/>
      <c r="W237" s="2050"/>
      <c r="X237" s="2050"/>
      <c r="Y237" s="2050"/>
      <c r="Z237" s="2050"/>
      <c r="AA237" s="2050"/>
      <c r="AB237" s="2050"/>
      <c r="AC237" s="2050"/>
    </row>
    <row r="238" spans="1:29" s="1475" customFormat="1">
      <c r="A238" s="2050"/>
      <c r="B238" s="2050"/>
      <c r="C238" s="2050"/>
      <c r="D238" s="2050"/>
      <c r="E238" s="2050"/>
      <c r="F238" s="2050"/>
      <c r="G238" s="2050"/>
      <c r="H238" s="2050"/>
      <c r="I238" s="2050"/>
      <c r="J238" s="2050"/>
      <c r="K238" s="2051"/>
      <c r="L238" s="2052"/>
      <c r="M238" s="2050"/>
      <c r="N238" s="2050"/>
      <c r="O238" s="2050"/>
      <c r="P238" s="2050"/>
      <c r="Q238" s="2050"/>
      <c r="R238" s="2050"/>
      <c r="S238" s="2050"/>
      <c r="T238" s="2050"/>
      <c r="U238" s="2050"/>
      <c r="V238" s="2050"/>
      <c r="W238" s="2050"/>
      <c r="X238" s="2050"/>
      <c r="Y238" s="2050"/>
      <c r="Z238" s="2050"/>
      <c r="AA238" s="2050"/>
      <c r="AB238" s="2050"/>
      <c r="AC238" s="2050"/>
    </row>
    <row r="239" spans="1:29" s="1475" customFormat="1">
      <c r="A239" s="2050"/>
      <c r="B239" s="2050"/>
      <c r="C239" s="2050"/>
      <c r="D239" s="2050"/>
      <c r="E239" s="2050"/>
      <c r="F239" s="2050"/>
      <c r="G239" s="2050"/>
      <c r="H239" s="2050"/>
      <c r="I239" s="2050"/>
      <c r="J239" s="2050"/>
      <c r="K239" s="2051"/>
      <c r="L239" s="2052"/>
      <c r="M239" s="2050"/>
      <c r="N239" s="2050"/>
      <c r="O239" s="2050"/>
      <c r="P239" s="2050"/>
      <c r="Q239" s="2050"/>
      <c r="R239" s="2050"/>
      <c r="S239" s="2050"/>
      <c r="T239" s="2050"/>
      <c r="U239" s="2050"/>
      <c r="V239" s="2050"/>
      <c r="W239" s="2050"/>
      <c r="X239" s="2050"/>
      <c r="Y239" s="2050"/>
      <c r="Z239" s="2050"/>
      <c r="AA239" s="2050"/>
      <c r="AB239" s="2050"/>
      <c r="AC239" s="2050"/>
    </row>
    <row r="240" spans="1:29" s="1475" customFormat="1">
      <c r="A240" s="2050"/>
      <c r="B240" s="2050"/>
      <c r="C240" s="2050"/>
      <c r="D240" s="2050"/>
      <c r="E240" s="2050"/>
      <c r="F240" s="2050"/>
      <c r="G240" s="2050"/>
      <c r="H240" s="2050"/>
      <c r="I240" s="2050"/>
      <c r="J240" s="2050"/>
      <c r="K240" s="2051"/>
      <c r="L240" s="2052"/>
      <c r="M240" s="2050"/>
      <c r="N240" s="2050"/>
      <c r="O240" s="2050"/>
      <c r="P240" s="2050"/>
      <c r="Q240" s="2050"/>
      <c r="R240" s="2050"/>
      <c r="S240" s="2050"/>
      <c r="T240" s="2050"/>
      <c r="U240" s="2050"/>
      <c r="V240" s="2050"/>
      <c r="W240" s="2050"/>
      <c r="X240" s="2050"/>
      <c r="Y240" s="2050"/>
      <c r="Z240" s="2050"/>
      <c r="AA240" s="2050"/>
      <c r="AB240" s="2050"/>
      <c r="AC240" s="2050"/>
    </row>
    <row r="241" spans="1:29" s="1475" customFormat="1">
      <c r="A241" s="2050"/>
      <c r="B241" s="2050"/>
      <c r="C241" s="2050"/>
      <c r="D241" s="2050"/>
      <c r="E241" s="2050"/>
      <c r="F241" s="2050"/>
      <c r="G241" s="2050"/>
      <c r="H241" s="2050"/>
      <c r="I241" s="2050"/>
      <c r="J241" s="2050"/>
      <c r="K241" s="2051"/>
      <c r="L241" s="2052"/>
      <c r="M241" s="2050"/>
      <c r="N241" s="2050"/>
      <c r="O241" s="2050"/>
      <c r="P241" s="2050"/>
      <c r="Q241" s="2050"/>
      <c r="R241" s="2050"/>
      <c r="S241" s="2050"/>
      <c r="T241" s="2050"/>
      <c r="U241" s="2050"/>
      <c r="V241" s="2050"/>
      <c r="W241" s="2050"/>
      <c r="X241" s="2050"/>
      <c r="Y241" s="2050"/>
      <c r="Z241" s="2050"/>
      <c r="AA241" s="2050"/>
      <c r="AB241" s="2050"/>
      <c r="AC241" s="2050"/>
    </row>
    <row r="242" spans="1:29" s="1475" customFormat="1">
      <c r="A242" s="2050"/>
      <c r="B242" s="2050"/>
      <c r="C242" s="2050"/>
      <c r="D242" s="2050"/>
      <c r="E242" s="2050"/>
      <c r="F242" s="2050"/>
      <c r="G242" s="2050"/>
      <c r="H242" s="2050"/>
      <c r="I242" s="2050"/>
      <c r="J242" s="2050"/>
      <c r="K242" s="2051"/>
      <c r="L242" s="2052"/>
      <c r="M242" s="2050"/>
      <c r="N242" s="2050"/>
      <c r="O242" s="2050"/>
      <c r="P242" s="2050"/>
      <c r="Q242" s="2050"/>
      <c r="R242" s="2050"/>
      <c r="S242" s="2050"/>
      <c r="T242" s="2050"/>
      <c r="U242" s="2050"/>
      <c r="V242" s="2050"/>
      <c r="W242" s="2050"/>
      <c r="X242" s="2050"/>
      <c r="Y242" s="2050"/>
      <c r="Z242" s="2050"/>
      <c r="AA242" s="2050"/>
      <c r="AB242" s="2050"/>
      <c r="AC242" s="2050"/>
    </row>
    <row r="243" spans="1:29" s="1475" customFormat="1">
      <c r="A243" s="2050"/>
      <c r="B243" s="2050"/>
      <c r="C243" s="2050"/>
      <c r="D243" s="2050"/>
      <c r="E243" s="2050"/>
      <c r="F243" s="2050"/>
      <c r="G243" s="2050"/>
      <c r="H243" s="2050"/>
      <c r="I243" s="2050"/>
      <c r="J243" s="2050"/>
      <c r="K243" s="2051"/>
      <c r="L243" s="2052"/>
      <c r="M243" s="2050"/>
      <c r="N243" s="2050"/>
      <c r="O243" s="2050"/>
      <c r="P243" s="2050"/>
      <c r="Q243" s="2050"/>
      <c r="R243" s="2050"/>
      <c r="S243" s="2050"/>
      <c r="T243" s="2050"/>
      <c r="U243" s="2050"/>
      <c r="V243" s="2050"/>
      <c r="W243" s="2050"/>
      <c r="X243" s="2050"/>
      <c r="Y243" s="2050"/>
      <c r="Z243" s="2050"/>
      <c r="AA243" s="2050"/>
      <c r="AB243" s="2050"/>
      <c r="AC243" s="2050"/>
    </row>
    <row r="244" spans="1:29" s="1475" customFormat="1">
      <c r="A244" s="2050"/>
      <c r="B244" s="2050"/>
      <c r="C244" s="2050"/>
      <c r="D244" s="2050"/>
      <c r="E244" s="2050"/>
      <c r="F244" s="2050"/>
      <c r="G244" s="2050"/>
      <c r="H244" s="2050"/>
      <c r="I244" s="2050"/>
      <c r="J244" s="2050"/>
      <c r="K244" s="2051"/>
      <c r="L244" s="2052"/>
      <c r="M244" s="2050"/>
      <c r="N244" s="2050"/>
      <c r="O244" s="2050"/>
      <c r="P244" s="2050"/>
      <c r="Q244" s="2050"/>
      <c r="R244" s="2050"/>
      <c r="S244" s="2050"/>
      <c r="T244" s="2050"/>
      <c r="U244" s="2050"/>
      <c r="V244" s="2050"/>
      <c r="W244" s="2050"/>
      <c r="X244" s="2050"/>
      <c r="Y244" s="2050"/>
      <c r="Z244" s="2050"/>
      <c r="AA244" s="2050"/>
      <c r="AB244" s="2050"/>
      <c r="AC244" s="2050"/>
    </row>
    <row r="245" spans="1:29" s="1475" customFormat="1">
      <c r="A245" s="2050"/>
      <c r="B245" s="2050"/>
      <c r="C245" s="2050"/>
      <c r="D245" s="2050"/>
      <c r="E245" s="2050"/>
      <c r="F245" s="2050"/>
      <c r="G245" s="2050"/>
      <c r="H245" s="2050"/>
      <c r="I245" s="2050"/>
      <c r="J245" s="2050"/>
      <c r="K245" s="2051"/>
      <c r="L245" s="2052"/>
      <c r="M245" s="2050"/>
      <c r="N245" s="2050"/>
      <c r="O245" s="2050"/>
      <c r="P245" s="2050"/>
      <c r="Q245" s="2050"/>
      <c r="R245" s="2050"/>
      <c r="S245" s="2050"/>
      <c r="T245" s="2050"/>
      <c r="U245" s="2050"/>
      <c r="V245" s="2050"/>
      <c r="W245" s="2050"/>
      <c r="X245" s="2050"/>
      <c r="Y245" s="2050"/>
      <c r="Z245" s="2050"/>
      <c r="AA245" s="2050"/>
      <c r="AB245" s="2050"/>
      <c r="AC245" s="2050"/>
    </row>
    <row r="246" spans="1:29" s="1475" customFormat="1">
      <c r="A246" s="2050"/>
      <c r="B246" s="2050"/>
      <c r="C246" s="2050"/>
      <c r="D246" s="2050"/>
      <c r="E246" s="2050"/>
      <c r="F246" s="2050"/>
      <c r="G246" s="2050"/>
      <c r="H246" s="2050"/>
      <c r="I246" s="2050"/>
      <c r="J246" s="2050"/>
      <c r="K246" s="2051"/>
      <c r="L246" s="2052"/>
      <c r="M246" s="2050"/>
      <c r="N246" s="2050"/>
      <c r="O246" s="2050"/>
      <c r="P246" s="2050"/>
      <c r="Q246" s="2050"/>
      <c r="R246" s="2050"/>
      <c r="S246" s="2050"/>
      <c r="T246" s="2050"/>
      <c r="U246" s="2050"/>
      <c r="V246" s="2050"/>
      <c r="W246" s="2050"/>
      <c r="X246" s="2050"/>
      <c r="Y246" s="2050"/>
      <c r="Z246" s="2050"/>
      <c r="AA246" s="2050"/>
      <c r="AB246" s="2050"/>
      <c r="AC246" s="2050"/>
    </row>
    <row r="247" spans="1:29" s="1475" customFormat="1">
      <c r="A247" s="2050"/>
      <c r="B247" s="2050"/>
      <c r="C247" s="2050"/>
      <c r="D247" s="2050"/>
      <c r="E247" s="2050"/>
      <c r="F247" s="2050"/>
      <c r="G247" s="2050"/>
      <c r="H247" s="2050"/>
      <c r="I247" s="2050"/>
      <c r="J247" s="2050"/>
      <c r="K247" s="2051"/>
      <c r="L247" s="2052"/>
      <c r="M247" s="2050"/>
      <c r="N247" s="2050"/>
      <c r="O247" s="2050"/>
      <c r="P247" s="2050"/>
      <c r="Q247" s="2050"/>
      <c r="R247" s="2050"/>
      <c r="S247" s="2050"/>
      <c r="T247" s="2050"/>
      <c r="U247" s="2050"/>
      <c r="V247" s="2050"/>
      <c r="W247" s="2050"/>
      <c r="X247" s="2050"/>
      <c r="Y247" s="2050"/>
      <c r="Z247" s="2050"/>
      <c r="AA247" s="2050"/>
      <c r="AB247" s="2050"/>
      <c r="AC247" s="2050"/>
    </row>
    <row r="248" spans="1:29" s="1475" customFormat="1">
      <c r="A248" s="2050"/>
      <c r="B248" s="2050"/>
      <c r="C248" s="2050"/>
      <c r="D248" s="2050"/>
      <c r="E248" s="2050"/>
      <c r="F248" s="2050"/>
      <c r="G248" s="2050"/>
      <c r="H248" s="2050"/>
      <c r="I248" s="2050"/>
      <c r="J248" s="2050"/>
      <c r="K248" s="2051"/>
      <c r="L248" s="2052"/>
      <c r="M248" s="2050"/>
      <c r="N248" s="2050"/>
      <c r="O248" s="2050"/>
      <c r="P248" s="2050"/>
      <c r="Q248" s="2050"/>
      <c r="R248" s="2050"/>
      <c r="S248" s="2050"/>
      <c r="T248" s="2050"/>
      <c r="U248" s="2050"/>
      <c r="V248" s="2050"/>
      <c r="W248" s="2050"/>
      <c r="X248" s="2050"/>
      <c r="Y248" s="2050"/>
      <c r="Z248" s="2050"/>
      <c r="AA248" s="2050"/>
      <c r="AB248" s="2050"/>
      <c r="AC248" s="2050"/>
    </row>
    <row r="249" spans="1:29" s="1475" customFormat="1">
      <c r="A249" s="2050"/>
      <c r="B249" s="2050"/>
      <c r="C249" s="2050"/>
      <c r="D249" s="2050"/>
      <c r="E249" s="2050"/>
      <c r="F249" s="2050"/>
      <c r="G249" s="2050"/>
      <c r="H249" s="2050"/>
      <c r="I249" s="2050"/>
      <c r="J249" s="2050"/>
      <c r="K249" s="2051"/>
      <c r="L249" s="2052"/>
      <c r="M249" s="2050"/>
      <c r="N249" s="2050"/>
      <c r="O249" s="2050"/>
      <c r="P249" s="2050"/>
      <c r="Q249" s="2050"/>
      <c r="R249" s="2050"/>
      <c r="S249" s="2050"/>
      <c r="T249" s="2050"/>
      <c r="U249" s="2050"/>
      <c r="V249" s="2050"/>
      <c r="W249" s="2050"/>
      <c r="X249" s="2050"/>
      <c r="Y249" s="2050"/>
      <c r="Z249" s="2050"/>
      <c r="AA249" s="2050"/>
      <c r="AB249" s="2050"/>
      <c r="AC249" s="2050"/>
    </row>
    <row r="250" spans="1:29" s="1475" customFormat="1">
      <c r="A250" s="2050"/>
      <c r="B250" s="2050"/>
      <c r="C250" s="2050"/>
      <c r="D250" s="2050"/>
      <c r="E250" s="2050"/>
      <c r="F250" s="2050"/>
      <c r="G250" s="2050"/>
      <c r="H250" s="2050"/>
      <c r="I250" s="2050"/>
      <c r="J250" s="2050"/>
      <c r="K250" s="2051"/>
      <c r="L250" s="2052"/>
      <c r="M250" s="2050"/>
      <c r="N250" s="2050"/>
      <c r="O250" s="2050"/>
      <c r="P250" s="2050"/>
      <c r="Q250" s="2050"/>
      <c r="R250" s="2050"/>
      <c r="S250" s="2050"/>
      <c r="T250" s="2050"/>
      <c r="U250" s="2050"/>
      <c r="V250" s="2050"/>
      <c r="W250" s="2050"/>
      <c r="X250" s="2050"/>
      <c r="Y250" s="2050"/>
      <c r="Z250" s="2050"/>
      <c r="AA250" s="2050"/>
      <c r="AB250" s="2050"/>
      <c r="AC250" s="2050"/>
    </row>
    <row r="251" spans="1:29" s="1475" customFormat="1">
      <c r="A251" s="2050"/>
      <c r="B251" s="2050"/>
      <c r="C251" s="2050"/>
      <c r="D251" s="2050"/>
      <c r="E251" s="2050"/>
      <c r="F251" s="2050"/>
      <c r="G251" s="2050"/>
      <c r="H251" s="2050"/>
      <c r="I251" s="2050"/>
      <c r="J251" s="2050"/>
      <c r="K251" s="2051"/>
      <c r="L251" s="2052"/>
      <c r="M251" s="2050"/>
      <c r="N251" s="2050"/>
      <c r="O251" s="2050"/>
      <c r="P251" s="2050"/>
      <c r="Q251" s="2050"/>
      <c r="R251" s="2050"/>
      <c r="S251" s="2050"/>
      <c r="T251" s="2050"/>
      <c r="U251" s="2050"/>
      <c r="V251" s="2050"/>
      <c r="W251" s="2050"/>
      <c r="X251" s="2050"/>
      <c r="Y251" s="2050"/>
      <c r="Z251" s="2050"/>
      <c r="AA251" s="2050"/>
      <c r="AB251" s="2050"/>
      <c r="AC251" s="2050"/>
    </row>
    <row r="252" spans="1:29" s="1475" customFormat="1">
      <c r="A252" s="2050"/>
      <c r="B252" s="2050"/>
      <c r="C252" s="2050"/>
      <c r="D252" s="2050"/>
      <c r="E252" s="2050"/>
      <c r="F252" s="2050"/>
      <c r="G252" s="2050"/>
      <c r="H252" s="2050"/>
      <c r="I252" s="2050"/>
      <c r="J252" s="2050"/>
      <c r="K252" s="2051"/>
      <c r="L252" s="2052"/>
      <c r="M252" s="2050"/>
      <c r="N252" s="2050"/>
      <c r="O252" s="2050"/>
      <c r="P252" s="2050"/>
      <c r="Q252" s="2050"/>
      <c r="R252" s="2050"/>
      <c r="S252" s="2050"/>
      <c r="T252" s="2050"/>
      <c r="U252" s="2050"/>
      <c r="V252" s="2050"/>
      <c r="W252" s="2050"/>
      <c r="X252" s="2050"/>
      <c r="Y252" s="2050"/>
      <c r="Z252" s="2050"/>
      <c r="AA252" s="2050"/>
      <c r="AB252" s="2050"/>
      <c r="AC252" s="2050"/>
    </row>
    <row r="253" spans="1:29" s="1475" customFormat="1">
      <c r="A253" s="2050"/>
      <c r="B253" s="2050"/>
      <c r="C253" s="2050"/>
      <c r="D253" s="2050"/>
      <c r="E253" s="2050"/>
      <c r="F253" s="2050"/>
      <c r="G253" s="2050"/>
      <c r="H253" s="2050"/>
      <c r="I253" s="2050"/>
      <c r="J253" s="2050"/>
      <c r="K253" s="2051"/>
      <c r="L253" s="2052"/>
      <c r="M253" s="2050"/>
      <c r="N253" s="2050"/>
      <c r="O253" s="2050"/>
      <c r="P253" s="2050"/>
      <c r="Q253" s="2050"/>
      <c r="R253" s="2050"/>
      <c r="S253" s="2050"/>
      <c r="T253" s="2050"/>
      <c r="U253" s="2050"/>
      <c r="V253" s="2050"/>
      <c r="W253" s="2050"/>
      <c r="X253" s="2050"/>
      <c r="Y253" s="2050"/>
      <c r="Z253" s="2050"/>
      <c r="AA253" s="2050"/>
      <c r="AB253" s="2050"/>
      <c r="AC253" s="2050"/>
    </row>
    <row r="254" spans="1:29" s="1475" customFormat="1">
      <c r="A254" s="2050"/>
      <c r="B254" s="2050"/>
      <c r="C254" s="2050"/>
      <c r="D254" s="2050"/>
      <c r="E254" s="2050"/>
      <c r="F254" s="2050"/>
      <c r="G254" s="2050"/>
      <c r="H254" s="2050"/>
      <c r="I254" s="2050"/>
      <c r="J254" s="2050"/>
      <c r="K254" s="2051"/>
      <c r="L254" s="2052"/>
      <c r="M254" s="2050"/>
      <c r="N254" s="2050"/>
      <c r="O254" s="2050"/>
      <c r="P254" s="2050"/>
      <c r="Q254" s="2050"/>
      <c r="R254" s="2050"/>
      <c r="S254" s="2050"/>
      <c r="T254" s="2050"/>
      <c r="U254" s="2050"/>
      <c r="V254" s="2050"/>
      <c r="W254" s="2050"/>
      <c r="X254" s="2050"/>
      <c r="Y254" s="2050"/>
      <c r="Z254" s="2050"/>
      <c r="AA254" s="2050"/>
      <c r="AB254" s="2050"/>
      <c r="AC254" s="2050"/>
    </row>
    <row r="255" spans="1:29" s="1475" customFormat="1">
      <c r="A255" s="2050"/>
      <c r="B255" s="2050"/>
      <c r="C255" s="2050"/>
      <c r="D255" s="2050"/>
      <c r="E255" s="2050"/>
      <c r="F255" s="2050"/>
      <c r="G255" s="2050"/>
      <c r="H255" s="2050"/>
      <c r="I255" s="2050"/>
      <c r="J255" s="2050"/>
      <c r="K255" s="2051"/>
      <c r="L255" s="2052"/>
      <c r="M255" s="2050"/>
      <c r="N255" s="2050"/>
      <c r="O255" s="2050"/>
      <c r="P255" s="2050"/>
      <c r="Q255" s="2050"/>
      <c r="R255" s="2050"/>
      <c r="S255" s="2050"/>
      <c r="T255" s="2050"/>
      <c r="U255" s="2050"/>
      <c r="V255" s="2050"/>
      <c r="W255" s="2050"/>
      <c r="X255" s="2050"/>
      <c r="Y255" s="2050"/>
      <c r="Z255" s="2050"/>
      <c r="AA255" s="2050"/>
      <c r="AB255" s="2050"/>
      <c r="AC255" s="2050"/>
    </row>
    <row r="256" spans="1:29" s="1475" customFormat="1">
      <c r="K256" s="1476"/>
      <c r="L256" s="1477"/>
    </row>
    <row r="257" spans="11:12" s="1475" customFormat="1">
      <c r="K257" s="1476"/>
      <c r="L257" s="1477"/>
    </row>
    <row r="258" spans="11:12" s="1475" customFormat="1">
      <c r="K258" s="1476"/>
      <c r="L258" s="1477"/>
    </row>
    <row r="259" spans="11:12" s="1475" customFormat="1">
      <c r="K259" s="1476"/>
      <c r="L259" s="1477"/>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1" fitToHeight="0" orientation="portrait" r:id="rId1"/>
  <rowBreaks count="1" manualBreakCount="1">
    <brk id="55" max="1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225" customWidth="1"/>
    <col min="2" max="2" width="15.75" style="1225" customWidth="1"/>
    <col min="3" max="3" width="14.375" style="1225" customWidth="1"/>
    <col min="4" max="4" width="12.25" style="1225" customWidth="1"/>
    <col min="5" max="5" width="14.3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456</v>
      </c>
      <c r="B1" s="403"/>
      <c r="C1" s="404" t="s">
        <v>537</v>
      </c>
      <c r="D1" s="405" t="s">
        <v>458</v>
      </c>
      <c r="E1" s="637"/>
      <c r="F1" s="638"/>
      <c r="G1" s="637"/>
      <c r="H1" s="637"/>
      <c r="I1" s="637"/>
      <c r="J1" s="637"/>
      <c r="K1" s="639"/>
      <c r="L1" s="1450"/>
      <c r="M1" s="1451"/>
      <c r="N1" s="1451"/>
      <c r="O1" s="1451"/>
      <c r="P1" s="1452"/>
      <c r="Q1" s="1452"/>
      <c r="R1" s="1452"/>
      <c r="S1" s="1452"/>
      <c r="T1" s="1452"/>
      <c r="U1" s="1452"/>
      <c r="V1" s="1452"/>
      <c r="W1" s="1452"/>
      <c r="X1" s="1452"/>
      <c r="Y1" s="1452"/>
      <c r="Z1" s="1452"/>
      <c r="AA1" s="1452"/>
      <c r="AB1" s="1452"/>
      <c r="AC1" s="1453"/>
    </row>
    <row r="2" spans="1:29" s="1224" customFormat="1" ht="28.5" customHeight="1">
      <c r="A2" s="323" t="s">
        <v>407</v>
      </c>
      <c r="B2" s="408" t="e">
        <f>F63</f>
        <v>#DIV/0!</v>
      </c>
      <c r="C2" s="2003"/>
      <c r="D2" s="2003"/>
      <c r="E2" s="2003"/>
      <c r="F2" s="2004"/>
      <c r="G2" s="2003"/>
      <c r="H2" s="2003"/>
      <c r="I2" s="2003"/>
      <c r="J2" s="2003"/>
      <c r="K2" s="2005"/>
      <c r="L2" s="2006"/>
      <c r="M2" s="2007"/>
      <c r="N2" s="2007"/>
      <c r="O2" s="2007"/>
      <c r="P2" s="1452"/>
      <c r="Q2" s="1452"/>
      <c r="R2" s="1452"/>
      <c r="S2" s="1452"/>
      <c r="T2" s="1452"/>
      <c r="U2" s="1452"/>
      <c r="V2" s="1452"/>
      <c r="W2" s="1452"/>
      <c r="X2" s="1452"/>
      <c r="Y2" s="1452"/>
      <c r="Z2" s="1452"/>
      <c r="AA2" s="1452"/>
      <c r="AB2" s="1452"/>
      <c r="AC2" s="1453"/>
    </row>
    <row r="3" spans="1:29" s="1224" customFormat="1" ht="28.5" customHeight="1">
      <c r="A3" s="1268" t="s">
        <v>1618</v>
      </c>
      <c r="B3" s="410" t="e">
        <f>ROUND(B2*10000/'数据-汇总表'!E3,0)</f>
        <v>#DIV/0!</v>
      </c>
      <c r="C3" s="1936"/>
      <c r="D3" s="1936"/>
      <c r="E3" s="1936"/>
      <c r="F3" s="1936"/>
      <c r="G3" s="2003"/>
      <c r="H3" s="2003"/>
      <c r="I3" s="2003"/>
      <c r="J3" s="2003"/>
      <c r="K3" s="2005"/>
      <c r="L3" s="2006"/>
      <c r="M3" s="2007"/>
      <c r="N3" s="2007"/>
      <c r="O3" s="2007"/>
      <c r="P3" s="1452"/>
      <c r="Q3" s="1452"/>
      <c r="R3" s="1452"/>
      <c r="S3" s="1452"/>
      <c r="T3" s="1452"/>
      <c r="U3" s="1452"/>
      <c r="V3" s="1452"/>
      <c r="W3" s="1452"/>
      <c r="X3" s="1452"/>
      <c r="Y3" s="1452"/>
      <c r="Z3" s="1452"/>
      <c r="AA3" s="1452"/>
      <c r="AB3" s="328"/>
      <c r="AC3" s="328"/>
    </row>
    <row r="4" spans="1:29" s="1224" customFormat="1" ht="28.5" customHeight="1">
      <c r="A4" s="411" t="s">
        <v>460</v>
      </c>
      <c r="B4" s="327" t="e">
        <f>IF(B43="单位面积地价",C45,ROUND(B2*10000/'数据-汇总表'!D3,0))</f>
        <v>#DIV/0!</v>
      </c>
      <c r="C4" s="1936"/>
      <c r="D4" s="1936"/>
      <c r="E4" s="1936"/>
      <c r="F4" s="1936"/>
      <c r="G4" s="2003"/>
      <c r="H4" s="2003"/>
      <c r="I4" s="2003"/>
      <c r="J4" s="2003"/>
      <c r="K4" s="2005"/>
      <c r="L4" s="2006"/>
      <c r="M4" s="2007"/>
      <c r="N4" s="2007"/>
      <c r="O4" s="2007"/>
      <c r="P4" s="1452"/>
      <c r="Q4" s="1452"/>
      <c r="R4" s="1452"/>
      <c r="S4" s="1452"/>
      <c r="T4" s="1452"/>
      <c r="U4" s="1452"/>
      <c r="V4" s="1452"/>
      <c r="W4" s="1452"/>
      <c r="X4" s="1452"/>
      <c r="Y4" s="1452"/>
      <c r="Z4" s="1452"/>
      <c r="AA4" s="1452"/>
      <c r="AB4" s="1452"/>
      <c r="AC4" s="328"/>
    </row>
    <row r="5" spans="1:29" s="1224" customFormat="1" ht="28.5" customHeight="1" thickBot="1">
      <c r="A5" s="329"/>
      <c r="B5" s="330" t="e">
        <f>ROUND(B2/('数据-汇总表'!D3/666.67),0)</f>
        <v>#DIV/0!</v>
      </c>
      <c r="C5" s="331" t="s">
        <v>409</v>
      </c>
      <c r="D5" s="1936"/>
      <c r="E5" s="1936"/>
      <c r="F5" s="1936"/>
      <c r="G5" s="2003"/>
      <c r="H5" s="2003"/>
      <c r="I5" s="2003"/>
      <c r="J5" s="2003"/>
      <c r="K5" s="2005"/>
      <c r="L5" s="2006"/>
      <c r="M5" s="2007"/>
      <c r="N5" s="2007"/>
      <c r="O5" s="2007"/>
      <c r="P5" s="1452"/>
      <c r="Q5" s="1452"/>
      <c r="R5" s="1452"/>
      <c r="S5" s="1452"/>
      <c r="T5" s="1452"/>
      <c r="U5" s="1452"/>
      <c r="V5" s="1452"/>
      <c r="W5" s="1452"/>
      <c r="X5" s="1452"/>
      <c r="Y5" s="1452"/>
      <c r="Z5" s="1452"/>
      <c r="AA5" s="1452"/>
      <c r="AB5" s="1454"/>
      <c r="AC5" s="328"/>
    </row>
    <row r="6" spans="1:29" ht="15">
      <c r="A6" s="412" t="s">
        <v>461</v>
      </c>
      <c r="B6" s="413"/>
      <c r="C6" s="3384" t="s">
        <v>462</v>
      </c>
      <c r="D6" s="3385"/>
      <c r="E6" s="3418" t="s">
        <v>463</v>
      </c>
      <c r="F6" s="3419"/>
      <c r="G6" s="3384" t="s">
        <v>464</v>
      </c>
      <c r="H6" s="3385"/>
      <c r="I6" s="3384" t="s">
        <v>465</v>
      </c>
      <c r="J6" s="3385"/>
      <c r="K6" s="414" t="s">
        <v>466</v>
      </c>
      <c r="L6" s="2008"/>
      <c r="M6" s="2009"/>
      <c r="N6" s="2009"/>
      <c r="O6" s="2009"/>
      <c r="P6" s="3386" t="s">
        <v>467</v>
      </c>
      <c r="Q6" s="3387"/>
      <c r="R6" s="3392" t="s">
        <v>463</v>
      </c>
      <c r="S6" s="3393"/>
      <c r="T6" s="3392" t="s">
        <v>464</v>
      </c>
      <c r="U6" s="3393"/>
      <c r="V6" s="3379" t="s">
        <v>465</v>
      </c>
      <c r="W6" s="3379"/>
      <c r="X6" s="1455"/>
      <c r="Y6" s="3392" t="s">
        <v>467</v>
      </c>
      <c r="Z6" s="3393"/>
      <c r="AA6" s="3381" t="s">
        <v>463</v>
      </c>
      <c r="AB6" s="3382" t="s">
        <v>464</v>
      </c>
      <c r="AC6" s="3381" t="s">
        <v>465</v>
      </c>
    </row>
    <row r="7" spans="1:29" ht="15">
      <c r="A7" s="415"/>
      <c r="B7" s="416"/>
      <c r="C7" s="3400" t="s">
        <v>2841</v>
      </c>
      <c r="D7" s="3401"/>
      <c r="E7" s="3420" t="s">
        <v>2842</v>
      </c>
      <c r="F7" s="3421"/>
      <c r="G7" s="3400" t="s">
        <v>2843</v>
      </c>
      <c r="H7" s="3401"/>
      <c r="I7" s="3400" t="s">
        <v>2844</v>
      </c>
      <c r="J7" s="3401"/>
      <c r="K7" s="414"/>
      <c r="L7" s="2008"/>
      <c r="M7" s="2009"/>
      <c r="N7" s="2009"/>
      <c r="O7" s="2009"/>
      <c r="P7" s="3388"/>
      <c r="Q7" s="3389"/>
      <c r="R7" s="3394"/>
      <c r="S7" s="3395"/>
      <c r="T7" s="3394"/>
      <c r="U7" s="3395"/>
      <c r="V7" s="3379"/>
      <c r="W7" s="3379"/>
      <c r="X7" s="1455"/>
      <c r="Y7" s="3394"/>
      <c r="Z7" s="3395"/>
      <c r="AA7" s="3382"/>
      <c r="AB7" s="3382"/>
      <c r="AC7" s="3382"/>
    </row>
    <row r="8" spans="1:29" ht="15.75" thickBot="1">
      <c r="A8" s="417"/>
      <c r="B8" s="418"/>
      <c r="C8" s="3398" t="s">
        <v>2845</v>
      </c>
      <c r="D8" s="3399"/>
      <c r="E8" s="3416" t="s">
        <v>2845</v>
      </c>
      <c r="F8" s="3417"/>
      <c r="G8" s="3398" t="s">
        <v>2845</v>
      </c>
      <c r="H8" s="3399"/>
      <c r="I8" s="3398" t="s">
        <v>2845</v>
      </c>
      <c r="J8" s="3399"/>
      <c r="K8" s="414" t="s">
        <v>468</v>
      </c>
      <c r="L8" s="2008"/>
      <c r="M8" s="2009"/>
      <c r="N8" s="2009"/>
      <c r="O8" s="2009"/>
      <c r="P8" s="3390"/>
      <c r="Q8" s="3391"/>
      <c r="R8" s="3394"/>
      <c r="S8" s="3395"/>
      <c r="T8" s="3396"/>
      <c r="U8" s="3397"/>
      <c r="V8" s="3379"/>
      <c r="W8" s="3379"/>
      <c r="X8" s="1455"/>
      <c r="Y8" s="3396"/>
      <c r="Z8" s="3397"/>
      <c r="AA8" s="3383"/>
      <c r="AB8" s="3383"/>
      <c r="AC8" s="3383"/>
    </row>
    <row r="9" spans="1:29" s="1108" customFormat="1" ht="15.75" thickBot="1">
      <c r="A9" s="2777"/>
      <c r="B9" s="2784" t="s">
        <v>469</v>
      </c>
      <c r="C9" s="419">
        <f>'数据-取费表'!B2</f>
        <v>43240</v>
      </c>
      <c r="D9" s="420">
        <v>100</v>
      </c>
      <c r="E9" s="421"/>
      <c r="F9" s="422">
        <f>SUMIF(67:67,YEAR(E9)&amp;"-"&amp;INT((MONTH(E9)+2)/3),68:68)</f>
        <v>0</v>
      </c>
      <c r="G9" s="423"/>
      <c r="H9" s="420">
        <f>SUMIF(67:67,YEAR(G9)&amp;"-"&amp;INT((MONTH(G9)+2)/3),68:68)</f>
        <v>0</v>
      </c>
      <c r="I9" s="423"/>
      <c r="J9" s="420">
        <f>SUMIF(67:67,YEAR(I9)&amp;"-"&amp;INT((MONTH(I9)+2)/3),68:68)</f>
        <v>0</v>
      </c>
      <c r="K9" s="424"/>
      <c r="L9" s="2010"/>
      <c r="M9" s="2011"/>
      <c r="N9" s="2011"/>
      <c r="O9" s="2011"/>
      <c r="P9" s="3409" t="s">
        <v>470</v>
      </c>
      <c r="Q9" s="3411"/>
      <c r="R9" s="1456" t="s">
        <v>8</v>
      </c>
      <c r="S9" s="1457">
        <f t="shared" ref="S9:S17" si="0">F9</f>
        <v>0</v>
      </c>
      <c r="T9" s="1456" t="s">
        <v>8</v>
      </c>
      <c r="U9" s="1457">
        <f t="shared" ref="U9:U17" si="1">H9</f>
        <v>0</v>
      </c>
      <c r="V9" s="1456" t="s">
        <v>8</v>
      </c>
      <c r="W9" s="1457">
        <f t="shared" ref="W9:W17" si="2">J9</f>
        <v>0</v>
      </c>
      <c r="X9" s="1458"/>
      <c r="Y9" s="3409" t="s">
        <v>470</v>
      </c>
      <c r="Z9" s="3410"/>
      <c r="AA9" s="1459" t="e">
        <f>D9/F9</f>
        <v>#DIV/0!</v>
      </c>
      <c r="AB9" s="1459" t="e">
        <f>D9/H9</f>
        <v>#DIV/0!</v>
      </c>
      <c r="AC9" s="1459" t="e">
        <f>D9/J9</f>
        <v>#DIV/0!</v>
      </c>
    </row>
    <row r="10" spans="1:29" s="1108" customFormat="1" ht="15.75" thickBot="1">
      <c r="A10" s="2778"/>
      <c r="B10" s="2785" t="s">
        <v>471</v>
      </c>
      <c r="C10" s="425" t="s">
        <v>472</v>
      </c>
      <c r="D10" s="420">
        <v>100</v>
      </c>
      <c r="E10" s="425"/>
      <c r="F10" s="422">
        <f>SUMIF(70:70,E10,71:71)-SUMIF(70:70,C10,71:71)+100</f>
        <v>0</v>
      </c>
      <c r="G10" s="425"/>
      <c r="H10" s="420">
        <f>SUMIF(70:70,G10,71:71)-SUMIF(70:70,C10,71:71)+100</f>
        <v>0</v>
      </c>
      <c r="I10" s="425"/>
      <c r="J10" s="420">
        <f>SUMIF(70:70,I10,71:71)-SUMIF(70:70,C10,71:71)+100</f>
        <v>0</v>
      </c>
      <c r="K10" s="424"/>
      <c r="L10" s="2010"/>
      <c r="M10" s="2011"/>
      <c r="N10" s="2011"/>
      <c r="O10" s="2011"/>
      <c r="P10" s="3409" t="s">
        <v>473</v>
      </c>
      <c r="Q10" s="3410"/>
      <c r="R10" s="1456" t="s">
        <v>8</v>
      </c>
      <c r="S10" s="1457">
        <f t="shared" si="0"/>
        <v>0</v>
      </c>
      <c r="T10" s="1456" t="s">
        <v>8</v>
      </c>
      <c r="U10" s="1457">
        <f t="shared" si="1"/>
        <v>0</v>
      </c>
      <c r="V10" s="1456" t="s">
        <v>8</v>
      </c>
      <c r="W10" s="1457">
        <f t="shared" si="2"/>
        <v>0</v>
      </c>
      <c r="X10" s="1458"/>
      <c r="Y10" s="3409" t="s">
        <v>473</v>
      </c>
      <c r="Z10" s="3410"/>
      <c r="AA10" s="1459" t="e">
        <f t="shared" ref="AA10:AA42" si="3">D10/F10</f>
        <v>#DIV/0!</v>
      </c>
      <c r="AB10" s="1459" t="e">
        <f t="shared" ref="AB10:AB42" si="4">D10/H10</f>
        <v>#DIV/0!</v>
      </c>
      <c r="AC10" s="1459" t="e">
        <f t="shared" ref="AC10:AC42" si="5">D10/J10</f>
        <v>#DIV/0!</v>
      </c>
    </row>
    <row r="11" spans="1:29" s="1108" customFormat="1" ht="15">
      <c r="A11" s="2779"/>
      <c r="B11" s="2786" t="s">
        <v>2684</v>
      </c>
      <c r="C11" s="426"/>
      <c r="D11" s="158">
        <v>100</v>
      </c>
      <c r="E11" s="426"/>
      <c r="F11" s="158">
        <f>SUMIF(72:72,E11,73:73)-SUMIF(72:72,C11,73:73)+100</f>
        <v>100</v>
      </c>
      <c r="G11" s="426"/>
      <c r="H11" s="158">
        <f>SUMIF(72:72,G11,73:73)-SUMIF(72:72,C11,73:73)+100</f>
        <v>100</v>
      </c>
      <c r="I11" s="426"/>
      <c r="J11" s="158">
        <f>SUMIF(72:72,I11,73:73)-SUMIF(72:72,C11,73:73)+100</f>
        <v>100</v>
      </c>
      <c r="K11" s="424"/>
      <c r="L11" s="2010"/>
      <c r="M11" s="2011"/>
      <c r="N11" s="2011"/>
      <c r="O11" s="2012"/>
      <c r="P11" s="3378" t="s">
        <v>475</v>
      </c>
      <c r="Q11" s="1049" t="str">
        <f t="shared" ref="Q11:Q17" si="6">B11</f>
        <v>用途</v>
      </c>
      <c r="R11" s="1456" t="s">
        <v>8</v>
      </c>
      <c r="S11" s="1457">
        <f t="shared" si="0"/>
        <v>100</v>
      </c>
      <c r="T11" s="1456" t="s">
        <v>8</v>
      </c>
      <c r="U11" s="1457">
        <f t="shared" si="1"/>
        <v>100</v>
      </c>
      <c r="V11" s="1456" t="s">
        <v>8</v>
      </c>
      <c r="W11" s="1457">
        <f t="shared" si="2"/>
        <v>100</v>
      </c>
      <c r="X11" s="1458"/>
      <c r="Y11" s="3324" t="s">
        <v>476</v>
      </c>
      <c r="Z11" s="1048" t="str">
        <f t="shared" ref="Z11:Z17" si="7">Q11</f>
        <v>用途</v>
      </c>
      <c r="AA11" s="1459">
        <f t="shared" si="3"/>
        <v>1</v>
      </c>
      <c r="AB11" s="1459">
        <f t="shared" si="4"/>
        <v>1</v>
      </c>
      <c r="AC11" s="1459">
        <f t="shared" si="5"/>
        <v>1</v>
      </c>
    </row>
    <row r="12" spans="1:29" s="1226" customFormat="1" ht="27">
      <c r="A12" s="2780"/>
      <c r="B12" s="2785" t="s">
        <v>2685</v>
      </c>
      <c r="C12" s="428"/>
      <c r="D12" s="159">
        <v>100</v>
      </c>
      <c r="E12" s="428"/>
      <c r="F12" s="159">
        <f>ROUND(100/'数据-取费表'!G16,0)</f>
        <v>100</v>
      </c>
      <c r="G12" s="428"/>
      <c r="H12" s="159">
        <f>ROUND(100/'数据-取费表'!G16,0)</f>
        <v>100</v>
      </c>
      <c r="I12" s="428"/>
      <c r="J12" s="159">
        <f>ROUND(100/'数据-取费表'!G16,0)</f>
        <v>100</v>
      </c>
      <c r="K12" s="431"/>
      <c r="L12" s="2013"/>
      <c r="M12" s="2053"/>
      <c r="N12" s="2053"/>
      <c r="O12" s="2014"/>
      <c r="P12" s="3378"/>
      <c r="Q12" s="1049" t="str">
        <f t="shared" si="6"/>
        <v>土地使用年限（年）</v>
      </c>
      <c r="R12" s="1456" t="s">
        <v>8</v>
      </c>
      <c r="S12" s="1457">
        <f t="shared" si="0"/>
        <v>100</v>
      </c>
      <c r="T12" s="1456" t="s">
        <v>8</v>
      </c>
      <c r="U12" s="1457">
        <f t="shared" si="1"/>
        <v>100</v>
      </c>
      <c r="V12" s="1456" t="s">
        <v>8</v>
      </c>
      <c r="W12" s="1457">
        <f t="shared" si="2"/>
        <v>100</v>
      </c>
      <c r="X12" s="1458"/>
      <c r="Y12" s="3324"/>
      <c r="Z12" s="1048" t="str">
        <f t="shared" si="7"/>
        <v>土地使用年限（年）</v>
      </c>
      <c r="AA12" s="1459">
        <f t="shared" si="3"/>
        <v>1</v>
      </c>
      <c r="AB12" s="1459">
        <f t="shared" si="4"/>
        <v>1</v>
      </c>
      <c r="AC12" s="1459">
        <f t="shared" si="5"/>
        <v>1</v>
      </c>
    </row>
    <row r="13" spans="1:29" ht="15">
      <c r="A13" s="2781"/>
      <c r="B13" s="2785" t="s">
        <v>2686</v>
      </c>
      <c r="C13" s="433"/>
      <c r="D13" s="159">
        <v>100</v>
      </c>
      <c r="E13" s="433"/>
      <c r="F13" s="159" t="e">
        <f>LOOKUP(E13,77:77,78:78)-LOOKUP(C13,77:77,78:78)+100</f>
        <v>#N/A</v>
      </c>
      <c r="G13" s="434"/>
      <c r="H13" s="159" t="e">
        <f>LOOKUP(G13,77:77,78:78)-LOOKUP(C13,77:77,78:78)+100</f>
        <v>#N/A</v>
      </c>
      <c r="I13" s="433"/>
      <c r="J13" s="159" t="e">
        <f>LOOKUP(I13,77:77,78:78)-LOOKUP(C13,77:77,78:78)+100</f>
        <v>#N/A</v>
      </c>
      <c r="K13" s="435"/>
      <c r="L13" s="2015"/>
      <c r="M13" s="2009"/>
      <c r="N13" s="2009"/>
      <c r="O13" s="2016"/>
      <c r="P13" s="3378"/>
      <c r="Q13" s="1049" t="str">
        <f t="shared" si="6"/>
        <v>容积率</v>
      </c>
      <c r="R13" s="1456" t="s">
        <v>8</v>
      </c>
      <c r="S13" s="1457" t="e">
        <f t="shared" si="0"/>
        <v>#N/A</v>
      </c>
      <c r="T13" s="1456" t="s">
        <v>8</v>
      </c>
      <c r="U13" s="1457" t="e">
        <f t="shared" si="1"/>
        <v>#N/A</v>
      </c>
      <c r="V13" s="1456" t="s">
        <v>8</v>
      </c>
      <c r="W13" s="1457" t="e">
        <f t="shared" si="2"/>
        <v>#N/A</v>
      </c>
      <c r="X13" s="1458"/>
      <c r="Y13" s="3324"/>
      <c r="Z13" s="1048" t="str">
        <f t="shared" si="7"/>
        <v>容积率</v>
      </c>
      <c r="AA13" s="1459" t="e">
        <f t="shared" si="3"/>
        <v>#N/A</v>
      </c>
      <c r="AB13" s="1459" t="e">
        <f t="shared" si="4"/>
        <v>#N/A</v>
      </c>
      <c r="AC13" s="1459" t="e">
        <f t="shared" si="5"/>
        <v>#N/A</v>
      </c>
    </row>
    <row r="14" spans="1:29" s="1108" customFormat="1" ht="15">
      <c r="A14" s="2782"/>
      <c r="B14" s="2788">
        <v>111</v>
      </c>
      <c r="C14" s="428"/>
      <c r="D14" s="438">
        <v>100</v>
      </c>
      <c r="E14" s="441"/>
      <c r="F14" s="159">
        <f>SUMIF(79:79,E14,80:80)-SUMIF(79:79,C14,80:80)+100</f>
        <v>100</v>
      </c>
      <c r="G14" s="442"/>
      <c r="H14" s="159">
        <f>SUMIF(79:79,G14,80:80)-SUMIF(79:79,C14,80:80)+100</f>
        <v>100</v>
      </c>
      <c r="I14" s="441"/>
      <c r="J14" s="159">
        <f>SUMIF(79:79,I14,80:80)-SUMIF(79:79,C14,80:80)+100</f>
        <v>100</v>
      </c>
      <c r="K14" s="431"/>
      <c r="L14" s="2010"/>
      <c r="M14" s="2011"/>
      <c r="N14" s="2011"/>
      <c r="O14" s="2012"/>
      <c r="P14" s="3378"/>
      <c r="Q14" s="1049">
        <f t="shared" si="6"/>
        <v>111</v>
      </c>
      <c r="R14" s="1456" t="s">
        <v>8</v>
      </c>
      <c r="S14" s="1457">
        <f t="shared" si="0"/>
        <v>100</v>
      </c>
      <c r="T14" s="1456" t="s">
        <v>8</v>
      </c>
      <c r="U14" s="1457">
        <f t="shared" si="1"/>
        <v>100</v>
      </c>
      <c r="V14" s="1456" t="s">
        <v>8</v>
      </c>
      <c r="W14" s="1457">
        <f t="shared" si="2"/>
        <v>100</v>
      </c>
      <c r="X14" s="1458"/>
      <c r="Y14" s="3324"/>
      <c r="Z14" s="1048">
        <f t="shared" si="7"/>
        <v>111</v>
      </c>
      <c r="AA14" s="1459">
        <f>D14/F14</f>
        <v>1</v>
      </c>
      <c r="AB14" s="1459">
        <f>D14/H14</f>
        <v>1</v>
      </c>
      <c r="AC14" s="1459">
        <f>D14/J14</f>
        <v>1</v>
      </c>
    </row>
    <row r="15" spans="1:29" ht="15">
      <c r="A15" s="2782"/>
      <c r="B15" s="2788">
        <v>111</v>
      </c>
      <c r="C15" s="439"/>
      <c r="D15" s="440">
        <v>100</v>
      </c>
      <c r="E15" s="441"/>
      <c r="F15" s="159">
        <f>SUMIF(81:81,E15,82:82)-SUMIF(81:81,C15,82:82)+100</f>
        <v>100</v>
      </c>
      <c r="G15" s="442"/>
      <c r="H15" s="440">
        <f>SUMIF(81:81,G15,82:82)-SUMIF(81:81,C15,82:82)+100</f>
        <v>100</v>
      </c>
      <c r="I15" s="441"/>
      <c r="J15" s="440">
        <f>SUMIF(81:81,I15,82:82)-SUMIF(81:81,C15,82:82)+100</f>
        <v>100</v>
      </c>
      <c r="K15" s="431"/>
      <c r="L15" s="2017"/>
      <c r="M15" s="2009"/>
      <c r="N15" s="2009"/>
      <c r="O15" s="2016"/>
      <c r="P15" s="3378"/>
      <c r="Q15" s="1049">
        <f t="shared" si="6"/>
        <v>111</v>
      </c>
      <c r="R15" s="1456" t="s">
        <v>8</v>
      </c>
      <c r="S15" s="1457">
        <f t="shared" si="0"/>
        <v>100</v>
      </c>
      <c r="T15" s="1456" t="s">
        <v>8</v>
      </c>
      <c r="U15" s="1457">
        <f t="shared" si="1"/>
        <v>100</v>
      </c>
      <c r="V15" s="1456" t="s">
        <v>8</v>
      </c>
      <c r="W15" s="1457">
        <f t="shared" si="2"/>
        <v>100</v>
      </c>
      <c r="X15" s="1458"/>
      <c r="Y15" s="3324"/>
      <c r="Z15" s="1048">
        <f t="shared" si="7"/>
        <v>111</v>
      </c>
      <c r="AA15" s="1459">
        <f t="shared" si="3"/>
        <v>1</v>
      </c>
      <c r="AB15" s="1459">
        <f t="shared" si="4"/>
        <v>1</v>
      </c>
      <c r="AC15" s="1459">
        <f t="shared" si="5"/>
        <v>1</v>
      </c>
    </row>
    <row r="16" spans="1:29" ht="15.75" thickBot="1">
      <c r="A16" s="2783"/>
      <c r="B16" s="2789">
        <v>111</v>
      </c>
      <c r="C16" s="445"/>
      <c r="D16" s="446">
        <v>100</v>
      </c>
      <c r="E16" s="441"/>
      <c r="F16" s="446">
        <f>SUMIF(83:83,E16,84:84)-SUMIF(83:83,C16,84:84)+100</f>
        <v>100</v>
      </c>
      <c r="G16" s="442"/>
      <c r="H16" s="446">
        <f>SUMIF(83:83,G16,84:84)-SUMIF(83:83,C16,84:84)+100</f>
        <v>100</v>
      </c>
      <c r="I16" s="441"/>
      <c r="J16" s="446">
        <f>SUMIF(83:83,I16,84:84)-SUMIF(83:83,C16,84:84)+100</f>
        <v>100</v>
      </c>
      <c r="K16" s="431"/>
      <c r="L16" s="2017"/>
      <c r="M16" s="2009"/>
      <c r="N16" s="2009"/>
      <c r="O16" s="2016"/>
      <c r="P16" s="3378"/>
      <c r="Q16" s="1049">
        <f t="shared" si="6"/>
        <v>111</v>
      </c>
      <c r="R16" s="1456" t="s">
        <v>8</v>
      </c>
      <c r="S16" s="1457">
        <f t="shared" si="0"/>
        <v>100</v>
      </c>
      <c r="T16" s="1456" t="s">
        <v>8</v>
      </c>
      <c r="U16" s="1457">
        <f t="shared" si="1"/>
        <v>100</v>
      </c>
      <c r="V16" s="1456" t="s">
        <v>8</v>
      </c>
      <c r="W16" s="1457">
        <f t="shared" si="2"/>
        <v>100</v>
      </c>
      <c r="X16" s="1458"/>
      <c r="Y16" s="3324"/>
      <c r="Z16" s="1048">
        <f t="shared" si="7"/>
        <v>111</v>
      </c>
      <c r="AA16" s="1459">
        <f t="shared" si="3"/>
        <v>1</v>
      </c>
      <c r="AB16" s="1459">
        <f t="shared" si="4"/>
        <v>1</v>
      </c>
      <c r="AC16" s="1459">
        <f t="shared" si="5"/>
        <v>1</v>
      </c>
    </row>
    <row r="17" spans="1:29" ht="15">
      <c r="A17" s="2775" t="s">
        <v>2682</v>
      </c>
      <c r="B17" s="146" t="s">
        <v>538</v>
      </c>
      <c r="C17" s="821">
        <f>估价对象房地状况!G15</f>
        <v>0</v>
      </c>
      <c r="D17" s="449">
        <v>100</v>
      </c>
      <c r="E17" s="450"/>
      <c r="F17" s="449">
        <f>SUMIF(85:85,E18,86:86)-SUMIF(85:85,C18,86:86)+100</f>
        <v>100</v>
      </c>
      <c r="G17" s="450"/>
      <c r="H17" s="449">
        <f>SUMIF(85:85,G18,86:86)-SUMIF(85:85,C18,86:86)+100</f>
        <v>100</v>
      </c>
      <c r="I17" s="452"/>
      <c r="J17" s="449">
        <f>SUMIF(85:85,I18,86:86)-SUMIF(85:85,C18,86:86)+100</f>
        <v>100</v>
      </c>
      <c r="K17" s="435"/>
      <c r="L17" s="2017"/>
      <c r="M17" s="2009"/>
      <c r="N17" s="2009"/>
      <c r="O17" s="2016"/>
      <c r="P17" s="3412" t="s">
        <v>480</v>
      </c>
      <c r="Q17" s="1460" t="str">
        <f t="shared" si="6"/>
        <v>产业集聚程度</v>
      </c>
      <c r="R17" s="1461" t="s">
        <v>8</v>
      </c>
      <c r="S17" s="1462">
        <f t="shared" si="0"/>
        <v>100</v>
      </c>
      <c r="T17" s="1461" t="s">
        <v>8</v>
      </c>
      <c r="U17" s="1462">
        <f t="shared" si="1"/>
        <v>100</v>
      </c>
      <c r="V17" s="1461" t="s">
        <v>8</v>
      </c>
      <c r="W17" s="1462">
        <f t="shared" si="2"/>
        <v>100</v>
      </c>
      <c r="X17" s="1455"/>
      <c r="Y17" s="3412" t="s">
        <v>480</v>
      </c>
      <c r="Z17" s="1463" t="str">
        <f t="shared" si="7"/>
        <v>产业集聚程度</v>
      </c>
      <c r="AA17" s="1464">
        <f t="shared" si="3"/>
        <v>1</v>
      </c>
      <c r="AB17" s="1464">
        <f t="shared" si="4"/>
        <v>1</v>
      </c>
      <c r="AC17" s="1464">
        <f t="shared" si="5"/>
        <v>1</v>
      </c>
    </row>
    <row r="18" spans="1:29" ht="15">
      <c r="A18" s="432"/>
      <c r="B18" s="769"/>
      <c r="C18" s="476"/>
      <c r="D18" s="455"/>
      <c r="E18" s="454"/>
      <c r="F18" s="455"/>
      <c r="G18" s="454"/>
      <c r="H18" s="459"/>
      <c r="I18" s="454"/>
      <c r="J18" s="455"/>
      <c r="K18" s="431"/>
      <c r="L18" s="2017"/>
      <c r="M18" s="2009"/>
      <c r="N18" s="2009"/>
      <c r="O18" s="2016"/>
      <c r="P18" s="3413"/>
      <c r="Q18" s="1460"/>
      <c r="R18" s="1461"/>
      <c r="S18" s="1462"/>
      <c r="T18" s="1461"/>
      <c r="U18" s="1462"/>
      <c r="V18" s="1461"/>
      <c r="W18" s="1462"/>
      <c r="X18" s="1455"/>
      <c r="Y18" s="3413"/>
      <c r="Z18" s="1463"/>
      <c r="AA18" s="1464">
        <v>1</v>
      </c>
      <c r="AB18" s="1464">
        <v>1</v>
      </c>
      <c r="AC18" s="1464">
        <v>1</v>
      </c>
    </row>
    <row r="19" spans="1:29" ht="15">
      <c r="A19" s="432"/>
      <c r="B19" s="771" t="s">
        <v>483</v>
      </c>
      <c r="C19" s="772">
        <f>估价对象房地状况!G16</f>
        <v>0</v>
      </c>
      <c r="D19" s="459">
        <v>100</v>
      </c>
      <c r="E19" s="462"/>
      <c r="F19" s="465">
        <f>SUMIF(87:87,E20,88:88)-SUMIF(87:87,C20,88:88)+100</f>
        <v>100</v>
      </c>
      <c r="G19" s="462"/>
      <c r="H19" s="465">
        <f>SUMIF(87:87,G20,88:88)-SUMIF(87:87,C20,88:88)+100</f>
        <v>100</v>
      </c>
      <c r="I19" s="464"/>
      <c r="J19" s="459">
        <f>SUMIF(87:87,I20,88:88)-SUMIF(87:87,C20,88:88)+100</f>
        <v>100</v>
      </c>
      <c r="K19" s="435"/>
      <c r="L19" s="2017"/>
      <c r="M19" s="2009"/>
      <c r="N19" s="2009"/>
      <c r="O19" s="2016"/>
      <c r="P19" s="3413"/>
      <c r="Q19" s="1460" t="str">
        <f>B19</f>
        <v>交通便捷度</v>
      </c>
      <c r="R19" s="1461" t="s">
        <v>8</v>
      </c>
      <c r="S19" s="1462">
        <f>F19</f>
        <v>100</v>
      </c>
      <c r="T19" s="1461" t="s">
        <v>8</v>
      </c>
      <c r="U19" s="1462">
        <f>H19</f>
        <v>100</v>
      </c>
      <c r="V19" s="1461" t="s">
        <v>8</v>
      </c>
      <c r="W19" s="1462">
        <f>J19</f>
        <v>100</v>
      </c>
      <c r="X19" s="1455"/>
      <c r="Y19" s="3413"/>
      <c r="Z19" s="1463" t="str">
        <f>Q19</f>
        <v>交通便捷度</v>
      </c>
      <c r="AA19" s="1464">
        <f t="shared" si="3"/>
        <v>1</v>
      </c>
      <c r="AB19" s="1464">
        <f t="shared" si="4"/>
        <v>1</v>
      </c>
      <c r="AC19" s="1464">
        <f t="shared" si="5"/>
        <v>1</v>
      </c>
    </row>
    <row r="20" spans="1:29" ht="15">
      <c r="A20" s="432"/>
      <c r="B20" s="822"/>
      <c r="C20" s="476"/>
      <c r="D20" s="455"/>
      <c r="E20" s="456"/>
      <c r="F20" s="455"/>
      <c r="G20" s="456"/>
      <c r="H20" s="455"/>
      <c r="I20" s="458"/>
      <c r="J20" s="455"/>
      <c r="K20" s="431"/>
      <c r="L20" s="2017"/>
      <c r="M20" s="2009"/>
      <c r="N20" s="2009"/>
      <c r="O20" s="2016"/>
      <c r="P20" s="3413"/>
      <c r="Q20" s="1460"/>
      <c r="R20" s="1461"/>
      <c r="S20" s="1462"/>
      <c r="T20" s="1461"/>
      <c r="U20" s="1462"/>
      <c r="V20" s="1461"/>
      <c r="W20" s="1462"/>
      <c r="X20" s="1455"/>
      <c r="Y20" s="3413"/>
      <c r="Z20" s="1463"/>
      <c r="AA20" s="1464">
        <v>1</v>
      </c>
      <c r="AB20" s="1464">
        <v>1</v>
      </c>
      <c r="AC20" s="1464">
        <v>1</v>
      </c>
    </row>
    <row r="21" spans="1:29" ht="27">
      <c r="A21" s="415"/>
      <c r="B21" s="771" t="s">
        <v>484</v>
      </c>
      <c r="C21" s="772">
        <f>估价对象房地状况!G17</f>
        <v>0</v>
      </c>
      <c r="D21" s="459">
        <v>100</v>
      </c>
      <c r="E21" s="462"/>
      <c r="F21" s="463">
        <f>SUMIF(89:89,E22,90:90)-SUMIF(89:89,C22,90:90)+100</f>
        <v>100</v>
      </c>
      <c r="G21" s="464"/>
      <c r="H21" s="463">
        <f>SUMIF(89:89,G22,90:90)-SUMIF(89:89,C22,90:90)+100</f>
        <v>100</v>
      </c>
      <c r="I21" s="464"/>
      <c r="J21" s="463">
        <f>SUMIF(89:89,I22,90:90)-SUMIF(89:89,C22,90:90)+100</f>
        <v>100</v>
      </c>
      <c r="K21" s="906"/>
      <c r="L21" s="2017"/>
      <c r="M21" s="2009"/>
      <c r="N21" s="2009"/>
      <c r="O21" s="2016"/>
      <c r="P21" s="3413"/>
      <c r="Q21" s="1460" t="str">
        <f t="shared" ref="Q21:Q35" si="8">B21</f>
        <v>区域土地利用方向</v>
      </c>
      <c r="R21" s="1461" t="s">
        <v>8</v>
      </c>
      <c r="S21" s="1462">
        <f>F21</f>
        <v>100</v>
      </c>
      <c r="T21" s="1461" t="s">
        <v>8</v>
      </c>
      <c r="U21" s="1462">
        <f>H21</f>
        <v>100</v>
      </c>
      <c r="V21" s="1461" t="s">
        <v>8</v>
      </c>
      <c r="W21" s="1462">
        <f>J21</f>
        <v>100</v>
      </c>
      <c r="X21" s="1455"/>
      <c r="Y21" s="3413"/>
      <c r="Z21" s="1463" t="str">
        <f>Q21</f>
        <v>区域土地利用方向</v>
      </c>
      <c r="AA21" s="1464">
        <f t="shared" si="3"/>
        <v>1</v>
      </c>
      <c r="AB21" s="1464">
        <f t="shared" si="4"/>
        <v>1</v>
      </c>
      <c r="AC21" s="1464">
        <f t="shared" si="5"/>
        <v>1</v>
      </c>
    </row>
    <row r="22" spans="1:29" ht="15">
      <c r="A22" s="415"/>
      <c r="B22" s="495"/>
      <c r="C22" s="476"/>
      <c r="D22" s="455"/>
      <c r="E22" s="456"/>
      <c r="F22" s="457"/>
      <c r="G22" s="458"/>
      <c r="H22" s="457"/>
      <c r="I22" s="458"/>
      <c r="J22" s="457"/>
      <c r="K22" s="1236"/>
      <c r="L22" s="2017"/>
      <c r="M22" s="2009"/>
      <c r="N22" s="2009"/>
      <c r="O22" s="2016"/>
      <c r="P22" s="3413"/>
      <c r="Q22" s="1460"/>
      <c r="R22" s="1461"/>
      <c r="S22" s="1462"/>
      <c r="T22" s="1461"/>
      <c r="U22" s="1462"/>
      <c r="V22" s="1461"/>
      <c r="W22" s="1462"/>
      <c r="X22" s="1455"/>
      <c r="Y22" s="3413"/>
      <c r="Z22" s="1463"/>
      <c r="AA22" s="1464"/>
      <c r="AB22" s="1464"/>
      <c r="AC22" s="1464"/>
    </row>
    <row r="23" spans="1:29" ht="15">
      <c r="A23" s="415"/>
      <c r="B23" s="822" t="s">
        <v>539</v>
      </c>
      <c r="C23" s="772">
        <f>估价对象房地状况!G18</f>
        <v>0</v>
      </c>
      <c r="D23" s="459">
        <v>100</v>
      </c>
      <c r="E23" s="462"/>
      <c r="F23" s="459">
        <f>SUMIF(91:91,E24,92:92)-SUMIF(91:91,C24,92:92)+100</f>
        <v>100</v>
      </c>
      <c r="G23" s="462"/>
      <c r="H23" s="459">
        <f>SUMIF(91:91,G24,92:92)-SUMIF(91:91,C24,92:92)+100</f>
        <v>100</v>
      </c>
      <c r="I23" s="464"/>
      <c r="J23" s="459">
        <f>SUMIF(91:91,I24,92:92)-SUMIF(91:91,C24,92:92)+100</f>
        <v>100</v>
      </c>
      <c r="K23" s="435"/>
      <c r="L23" s="2017"/>
      <c r="M23" s="2009"/>
      <c r="N23" s="2009"/>
      <c r="O23" s="2016"/>
      <c r="P23" s="3413"/>
      <c r="Q23" s="1460" t="str">
        <f t="shared" si="8"/>
        <v>环境状况</v>
      </c>
      <c r="R23" s="1461" t="s">
        <v>8</v>
      </c>
      <c r="S23" s="1462">
        <f>F23</f>
        <v>100</v>
      </c>
      <c r="T23" s="1461" t="s">
        <v>8</v>
      </c>
      <c r="U23" s="1462">
        <f>H23</f>
        <v>100</v>
      </c>
      <c r="V23" s="1461" t="s">
        <v>8</v>
      </c>
      <c r="W23" s="1462">
        <f>J23</f>
        <v>100</v>
      </c>
      <c r="X23" s="1455"/>
      <c r="Y23" s="3413"/>
      <c r="Z23" s="1463" t="str">
        <f>Q23</f>
        <v>环境状况</v>
      </c>
      <c r="AA23" s="1464">
        <f t="shared" si="3"/>
        <v>1</v>
      </c>
      <c r="AB23" s="1464">
        <f t="shared" si="4"/>
        <v>1</v>
      </c>
      <c r="AC23" s="1464">
        <f t="shared" si="5"/>
        <v>1</v>
      </c>
    </row>
    <row r="24" spans="1:29" ht="15">
      <c r="A24" s="415"/>
      <c r="B24" s="495"/>
      <c r="C24" s="476"/>
      <c r="D24" s="455"/>
      <c r="E24" s="454"/>
      <c r="F24" s="455"/>
      <c r="G24" s="454"/>
      <c r="H24" s="455"/>
      <c r="I24" s="476"/>
      <c r="J24" s="455"/>
      <c r="K24" s="431"/>
      <c r="L24" s="2017"/>
      <c r="M24" s="2009"/>
      <c r="N24" s="2009"/>
      <c r="O24" s="2016"/>
      <c r="P24" s="3413"/>
      <c r="Q24" s="1460"/>
      <c r="R24" s="1461"/>
      <c r="S24" s="1462"/>
      <c r="T24" s="1461"/>
      <c r="U24" s="1462"/>
      <c r="V24" s="1461"/>
      <c r="W24" s="1462"/>
      <c r="X24" s="1455"/>
      <c r="Y24" s="3413"/>
      <c r="Z24" s="1463"/>
      <c r="AA24" s="1464">
        <v>1</v>
      </c>
      <c r="AB24" s="1464">
        <v>1</v>
      </c>
      <c r="AC24" s="1464">
        <v>1</v>
      </c>
    </row>
    <row r="25" spans="1:29" s="1108" customFormat="1" ht="15">
      <c r="A25" s="477"/>
      <c r="B25" s="2459" t="s">
        <v>2476</v>
      </c>
      <c r="C25" s="772">
        <f>估价对象房地状况!G19</f>
        <v>0</v>
      </c>
      <c r="D25" s="459">
        <v>100</v>
      </c>
      <c r="E25" s="462"/>
      <c r="F25" s="459">
        <f>SUMIF(93:93,E26,94:94)-SUMIF(93:93,C26,94:94)+100</f>
        <v>100</v>
      </c>
      <c r="G25" s="462"/>
      <c r="H25" s="459">
        <f>SUMIF(93:93,G26,94:94)-SUMIF(93:93,C26,94:94)+100</f>
        <v>100</v>
      </c>
      <c r="I25" s="464"/>
      <c r="J25" s="459">
        <f>SUMIF(93:93,I26,94:94)-SUMIF(93:93,C26,94:94)+100</f>
        <v>100</v>
      </c>
      <c r="K25" s="435"/>
      <c r="L25" s="2010"/>
      <c r="M25" s="2011"/>
      <c r="N25" s="2011"/>
      <c r="O25" s="2012"/>
      <c r="P25" s="3413"/>
      <c r="Q25" s="1049" t="str">
        <f t="shared" si="8"/>
        <v>公共配套设施</v>
      </c>
      <c r="R25" s="1456" t="s">
        <v>8</v>
      </c>
      <c r="S25" s="1457">
        <f>F25</f>
        <v>100</v>
      </c>
      <c r="T25" s="1456" t="s">
        <v>8</v>
      </c>
      <c r="U25" s="1457">
        <f>H25</f>
        <v>100</v>
      </c>
      <c r="V25" s="1456" t="s">
        <v>8</v>
      </c>
      <c r="W25" s="1457">
        <f>J25</f>
        <v>100</v>
      </c>
      <c r="X25" s="1458"/>
      <c r="Y25" s="3413"/>
      <c r="Z25" s="1048" t="str">
        <f>Q25</f>
        <v>公共配套设施</v>
      </c>
      <c r="AA25" s="1464">
        <f>D25/F25</f>
        <v>1</v>
      </c>
      <c r="AB25" s="1464">
        <f>D25/H25</f>
        <v>1</v>
      </c>
      <c r="AC25" s="1464">
        <f>D25/J25</f>
        <v>1</v>
      </c>
    </row>
    <row r="26" spans="1:29" s="1108" customFormat="1" ht="15">
      <c r="A26" s="477"/>
      <c r="B26" s="495"/>
      <c r="C26" s="2458"/>
      <c r="D26" s="455"/>
      <c r="E26" s="454"/>
      <c r="F26" s="455"/>
      <c r="G26" s="454"/>
      <c r="H26" s="455"/>
      <c r="I26" s="476"/>
      <c r="J26" s="455"/>
      <c r="K26" s="431"/>
      <c r="L26" s="2010"/>
      <c r="M26" s="2011"/>
      <c r="N26" s="2011"/>
      <c r="O26" s="2012"/>
      <c r="P26" s="3413"/>
      <c r="Q26" s="1049"/>
      <c r="R26" s="1456"/>
      <c r="S26" s="1457"/>
      <c r="T26" s="1456"/>
      <c r="U26" s="1457"/>
      <c r="V26" s="1456"/>
      <c r="W26" s="1457"/>
      <c r="X26" s="1458"/>
      <c r="Y26" s="3413"/>
      <c r="Z26" s="1048"/>
      <c r="AA26" s="1459">
        <v>1</v>
      </c>
      <c r="AB26" s="1459">
        <v>1</v>
      </c>
      <c r="AC26" s="1459">
        <v>1</v>
      </c>
    </row>
    <row r="27" spans="1:29" s="1108" customFormat="1" ht="15">
      <c r="A27" s="477"/>
      <c r="B27" s="2459" t="s">
        <v>2477</v>
      </c>
      <c r="C27" s="772">
        <f>估价对象房地状况!G20</f>
        <v>0</v>
      </c>
      <c r="D27" s="459">
        <v>100</v>
      </c>
      <c r="E27" s="462"/>
      <c r="F27" s="459">
        <f>SUMIF(95:95,E28,96:96)-SUMIF(95:95,C28,96:96)+100</f>
        <v>100</v>
      </c>
      <c r="G27" s="462"/>
      <c r="H27" s="459">
        <f>SUMIF(95:95,G28,96:96)-SUMIF(95:95,C28,96:96)+100</f>
        <v>100</v>
      </c>
      <c r="I27" s="464"/>
      <c r="J27" s="459">
        <f>SUMIF(95:95,I28,96:96)-SUMIF(95:95,C28,96:96)+100</f>
        <v>100</v>
      </c>
      <c r="K27" s="435"/>
      <c r="L27" s="2010"/>
      <c r="M27" s="2011"/>
      <c r="N27" s="2011"/>
      <c r="O27" s="2012"/>
      <c r="P27" s="3413"/>
      <c r="Q27" s="2444" t="str">
        <f>B27</f>
        <v>基础设施水平</v>
      </c>
      <c r="R27" s="1456" t="s">
        <v>8</v>
      </c>
      <c r="S27" s="1457">
        <f>F27</f>
        <v>100</v>
      </c>
      <c r="T27" s="1456" t="s">
        <v>8</v>
      </c>
      <c r="U27" s="1457">
        <f>H27</f>
        <v>100</v>
      </c>
      <c r="V27" s="1456" t="s">
        <v>8</v>
      </c>
      <c r="W27" s="1457">
        <f>J27</f>
        <v>100</v>
      </c>
      <c r="X27" s="1458"/>
      <c r="Y27" s="3413"/>
      <c r="Z27" s="2441" t="str">
        <f>Q27</f>
        <v>基础设施水平</v>
      </c>
      <c r="AA27" s="1464">
        <f>D27/F27</f>
        <v>1</v>
      </c>
      <c r="AB27" s="1464">
        <f>D27/H27</f>
        <v>1</v>
      </c>
      <c r="AC27" s="1464">
        <f>D27/J27</f>
        <v>1</v>
      </c>
    </row>
    <row r="28" spans="1:29" s="1108" customFormat="1" ht="15">
      <c r="A28" s="477"/>
      <c r="B28" s="495"/>
      <c r="C28" s="2458"/>
      <c r="D28" s="455"/>
      <c r="E28" s="479"/>
      <c r="F28" s="455"/>
      <c r="G28" s="479"/>
      <c r="H28" s="455"/>
      <c r="I28" s="479"/>
      <c r="J28" s="455"/>
      <c r="K28" s="431"/>
      <c r="L28" s="2010"/>
      <c r="M28" s="2011"/>
      <c r="N28" s="2011"/>
      <c r="O28" s="2012"/>
      <c r="P28" s="3413"/>
      <c r="Q28" s="2444"/>
      <c r="R28" s="1456"/>
      <c r="S28" s="1457"/>
      <c r="T28" s="1456"/>
      <c r="U28" s="1457"/>
      <c r="V28" s="1456"/>
      <c r="W28" s="1457"/>
      <c r="X28" s="1458"/>
      <c r="Y28" s="3413"/>
      <c r="Z28" s="2441"/>
      <c r="AA28" s="1459">
        <v>1</v>
      </c>
      <c r="AB28" s="1459">
        <v>1</v>
      </c>
      <c r="AC28" s="1459">
        <v>1</v>
      </c>
    </row>
    <row r="29" spans="1:29" ht="15">
      <c r="A29" s="432"/>
      <c r="B29" s="495" t="s">
        <v>487</v>
      </c>
      <c r="C29" s="483"/>
      <c r="D29" s="440">
        <v>100</v>
      </c>
      <c r="E29" s="480"/>
      <c r="F29" s="440">
        <f>SUMIF(97:97,E29,98:98)-SUMIF(97:97,C29,98:98)+100</f>
        <v>100</v>
      </c>
      <c r="G29" s="480"/>
      <c r="H29" s="440">
        <f>SUMIF(97:97,G29,98:98)-SUMIF(97:97,C29,98:98)+100</f>
        <v>100</v>
      </c>
      <c r="I29" s="480"/>
      <c r="J29" s="440">
        <f>SUMIF(97:97,I29,98:98)-SUMIF(97:97,C29,98:98)+100</f>
        <v>100</v>
      </c>
      <c r="K29" s="435"/>
      <c r="L29" s="2017"/>
      <c r="M29" s="2009"/>
      <c r="N29" s="2009"/>
      <c r="O29" s="2016"/>
      <c r="P29" s="3413"/>
      <c r="Q29" s="1460" t="str">
        <f t="shared" si="8"/>
        <v>临街状况</v>
      </c>
      <c r="R29" s="1461" t="s">
        <v>8</v>
      </c>
      <c r="S29" s="1462">
        <f t="shared" ref="S29:S42" si="9">F29</f>
        <v>100</v>
      </c>
      <c r="T29" s="1461" t="s">
        <v>8</v>
      </c>
      <c r="U29" s="1462">
        <f t="shared" ref="U29:U42" si="10">H29</f>
        <v>100</v>
      </c>
      <c r="V29" s="1461" t="s">
        <v>8</v>
      </c>
      <c r="W29" s="1462">
        <f t="shared" ref="W29:W42" si="11">J29</f>
        <v>100</v>
      </c>
      <c r="X29" s="1455"/>
      <c r="Y29" s="3413"/>
      <c r="Z29" s="1463" t="str">
        <f t="shared" ref="Z29:Z42" si="12">Q29</f>
        <v>临街状况</v>
      </c>
      <c r="AA29" s="1464">
        <f t="shared" si="3"/>
        <v>1</v>
      </c>
      <c r="AB29" s="1464">
        <f t="shared" si="4"/>
        <v>1</v>
      </c>
      <c r="AC29" s="1464">
        <f t="shared" si="5"/>
        <v>1</v>
      </c>
    </row>
    <row r="30" spans="1:29" ht="27">
      <c r="A30" s="432"/>
      <c r="B30" s="822" t="s">
        <v>488</v>
      </c>
      <c r="C30" s="2461">
        <f>估价对象房地状况!G22</f>
        <v>0</v>
      </c>
      <c r="D30" s="459">
        <v>100</v>
      </c>
      <c r="E30" s="462"/>
      <c r="F30" s="459">
        <f>SUMIF(99:99,E31,100:100)-SUMIF(99:99,C31,100:100)+100</f>
        <v>100</v>
      </c>
      <c r="G30" s="462"/>
      <c r="H30" s="459">
        <f>SUMIF(99:99,G31,100:100)-SUMIF(99:99,C31,100:100)+100</f>
        <v>100</v>
      </c>
      <c r="I30" s="464"/>
      <c r="J30" s="459">
        <f>SUMIF(99:99,I31,100:100)-SUMIF(99:99,C31,100:100)+100</f>
        <v>100</v>
      </c>
      <c r="K30" s="435"/>
      <c r="L30" s="2017"/>
      <c r="M30" s="2009"/>
      <c r="N30" s="2009"/>
      <c r="O30" s="2016"/>
      <c r="P30" s="3413"/>
      <c r="Q30" s="1460" t="str">
        <f t="shared" si="8"/>
        <v>毗邻道路的类型与等级</v>
      </c>
      <c r="R30" s="1461" t="s">
        <v>8</v>
      </c>
      <c r="S30" s="1462">
        <f t="shared" si="9"/>
        <v>100</v>
      </c>
      <c r="T30" s="1461" t="s">
        <v>8</v>
      </c>
      <c r="U30" s="1462">
        <f t="shared" si="10"/>
        <v>100</v>
      </c>
      <c r="V30" s="1461" t="s">
        <v>8</v>
      </c>
      <c r="W30" s="1462">
        <f t="shared" si="11"/>
        <v>100</v>
      </c>
      <c r="X30" s="1455"/>
      <c r="Y30" s="3413"/>
      <c r="Z30" s="1463" t="str">
        <f t="shared" si="12"/>
        <v>毗邻道路的类型与等级</v>
      </c>
      <c r="AA30" s="1464">
        <f t="shared" si="3"/>
        <v>1</v>
      </c>
      <c r="AB30" s="1464">
        <f t="shared" si="4"/>
        <v>1</v>
      </c>
      <c r="AC30" s="1464">
        <f t="shared" si="5"/>
        <v>1</v>
      </c>
    </row>
    <row r="31" spans="1:29" ht="15">
      <c r="A31" s="432"/>
      <c r="B31" s="495"/>
      <c r="C31" s="476"/>
      <c r="D31" s="455"/>
      <c r="E31" s="476"/>
      <c r="F31" s="455"/>
      <c r="G31" s="476"/>
      <c r="H31" s="455"/>
      <c r="I31" s="476"/>
      <c r="J31" s="455"/>
      <c r="K31" s="481"/>
      <c r="L31" s="2017"/>
      <c r="M31" s="2009"/>
      <c r="N31" s="2009"/>
      <c r="O31" s="2016"/>
      <c r="P31" s="3413"/>
      <c r="Q31" s="1460"/>
      <c r="R31" s="1461"/>
      <c r="S31" s="1462"/>
      <c r="T31" s="1461"/>
      <c r="U31" s="1462"/>
      <c r="V31" s="1461"/>
      <c r="W31" s="1462"/>
      <c r="X31" s="1455"/>
      <c r="Y31" s="3413"/>
      <c r="Z31" s="1463"/>
      <c r="AA31" s="1464">
        <v>1</v>
      </c>
      <c r="AB31" s="1464">
        <v>1</v>
      </c>
      <c r="AC31" s="1464">
        <v>1</v>
      </c>
    </row>
    <row r="32" spans="1:29" ht="15">
      <c r="A32" s="432"/>
      <c r="B32" s="427" t="s">
        <v>489</v>
      </c>
      <c r="C32" s="2462">
        <f>估价对象房地状况!G23</f>
        <v>0</v>
      </c>
      <c r="D32" s="440">
        <v>100</v>
      </c>
      <c r="E32" s="480"/>
      <c r="F32" s="440">
        <f>SUMIF(101:101,E32,102:102)-SUMIF(101:101,C32,102:102)+100</f>
        <v>100</v>
      </c>
      <c r="G32" s="480"/>
      <c r="H32" s="440">
        <f>SUMIF(101:101,G32,102:102)-SUMIF(101:101,C32,102:102)+100</f>
        <v>100</v>
      </c>
      <c r="I32" s="480"/>
      <c r="J32" s="440">
        <f>SUMIF(101:101,I32,102:102)-SUMIF(101:101,C32,102:102)+100</f>
        <v>100</v>
      </c>
      <c r="K32" s="484"/>
      <c r="L32" s="2017"/>
      <c r="M32" s="2009"/>
      <c r="N32" s="2009"/>
      <c r="O32" s="2016"/>
      <c r="P32" s="3413"/>
      <c r="Q32" s="1460" t="str">
        <f t="shared" si="8"/>
        <v>土地级别</v>
      </c>
      <c r="R32" s="1461" t="s">
        <v>8</v>
      </c>
      <c r="S32" s="1462">
        <f t="shared" si="9"/>
        <v>100</v>
      </c>
      <c r="T32" s="1461" t="s">
        <v>8</v>
      </c>
      <c r="U32" s="1462">
        <f t="shared" si="10"/>
        <v>100</v>
      </c>
      <c r="V32" s="1461" t="s">
        <v>8</v>
      </c>
      <c r="W32" s="1462">
        <f t="shared" si="11"/>
        <v>100</v>
      </c>
      <c r="X32" s="1455"/>
      <c r="Y32" s="3413"/>
      <c r="Z32" s="1463" t="str">
        <f t="shared" si="12"/>
        <v>土地级别</v>
      </c>
      <c r="AA32" s="1464">
        <f t="shared" si="3"/>
        <v>1</v>
      </c>
      <c r="AB32" s="1464">
        <f t="shared" si="4"/>
        <v>1</v>
      </c>
      <c r="AC32" s="1464">
        <f t="shared" si="5"/>
        <v>1</v>
      </c>
    </row>
    <row r="33" spans="1:29" ht="15">
      <c r="A33" s="415"/>
      <c r="B33" s="777">
        <v>111</v>
      </c>
      <c r="C33" s="442"/>
      <c r="D33" s="440">
        <v>100</v>
      </c>
      <c r="E33" s="486"/>
      <c r="F33" s="440">
        <f>SUMIF(103:103,E33,104:104)-SUMIF(103:103,C33,104:104)+100</f>
        <v>100</v>
      </c>
      <c r="G33" s="486"/>
      <c r="H33" s="440">
        <f>SUMIF(103:103,G33,104:104)-SUMIF(103:103,C33,104:104)+100</f>
        <v>100</v>
      </c>
      <c r="I33" s="441"/>
      <c r="J33" s="440">
        <f>SUMIF(103:103,I33,104:104)-SUMIF(103:103,C33,104:104)+100</f>
        <v>100</v>
      </c>
      <c r="K33" s="481"/>
      <c r="L33" s="2017"/>
      <c r="M33" s="2009"/>
      <c r="N33" s="2009"/>
      <c r="O33" s="2016"/>
      <c r="P33" s="3413"/>
      <c r="Q33" s="1460">
        <f t="shared" si="8"/>
        <v>111</v>
      </c>
      <c r="R33" s="1461" t="s">
        <v>8</v>
      </c>
      <c r="S33" s="1462">
        <f t="shared" si="9"/>
        <v>100</v>
      </c>
      <c r="T33" s="1461" t="s">
        <v>8</v>
      </c>
      <c r="U33" s="1462">
        <f t="shared" si="10"/>
        <v>100</v>
      </c>
      <c r="V33" s="1461" t="s">
        <v>8</v>
      </c>
      <c r="W33" s="1462">
        <f t="shared" si="11"/>
        <v>100</v>
      </c>
      <c r="X33" s="1455"/>
      <c r="Y33" s="3413"/>
      <c r="Z33" s="1463">
        <f t="shared" si="12"/>
        <v>111</v>
      </c>
      <c r="AA33" s="1464">
        <f t="shared" si="3"/>
        <v>1</v>
      </c>
      <c r="AB33" s="1464">
        <f t="shared" si="4"/>
        <v>1</v>
      </c>
      <c r="AC33" s="1464">
        <f t="shared" si="5"/>
        <v>1</v>
      </c>
    </row>
    <row r="34" spans="1:29" ht="15">
      <c r="A34" s="487"/>
      <c r="B34" s="502">
        <v>111</v>
      </c>
      <c r="C34" s="442"/>
      <c r="D34" s="440">
        <v>100</v>
      </c>
      <c r="E34" s="486"/>
      <c r="F34" s="440">
        <f>SUMIF(105:105,E35,106:106)-SUMIF(105:105,C35,106:106)+100</f>
        <v>100</v>
      </c>
      <c r="G34" s="486"/>
      <c r="H34" s="440">
        <f>SUMIF(105:105,G34,106:106)-SUMIF(105:105,C34,106:106)+100</f>
        <v>100</v>
      </c>
      <c r="I34" s="442"/>
      <c r="J34" s="440">
        <f>SUMIF(105:105,I34,106:106)-SUMIF(105:105,C34,106:106)+100</f>
        <v>100</v>
      </c>
      <c r="K34" s="481"/>
      <c r="L34" s="2017"/>
      <c r="M34" s="2009"/>
      <c r="N34" s="2009"/>
      <c r="O34" s="2016"/>
      <c r="P34" s="3414" t="s">
        <v>490</v>
      </c>
      <c r="Q34" s="1460">
        <f t="shared" si="8"/>
        <v>111</v>
      </c>
      <c r="R34" s="1461" t="s">
        <v>8</v>
      </c>
      <c r="S34" s="1462">
        <f t="shared" si="9"/>
        <v>100</v>
      </c>
      <c r="T34" s="1461" t="s">
        <v>8</v>
      </c>
      <c r="U34" s="1462">
        <f t="shared" si="10"/>
        <v>100</v>
      </c>
      <c r="V34" s="1461" t="s">
        <v>8</v>
      </c>
      <c r="W34" s="1462">
        <f t="shared" si="11"/>
        <v>100</v>
      </c>
      <c r="X34" s="1455"/>
      <c r="Y34" s="3415" t="s">
        <v>490</v>
      </c>
      <c r="Z34" s="1463">
        <f t="shared" si="12"/>
        <v>111</v>
      </c>
      <c r="AA34" s="1464">
        <f t="shared" si="3"/>
        <v>1</v>
      </c>
      <c r="AB34" s="1464">
        <f t="shared" si="4"/>
        <v>1</v>
      </c>
      <c r="AC34" s="1464">
        <f t="shared" si="5"/>
        <v>1</v>
      </c>
    </row>
    <row r="35" spans="1:29" s="1227" customFormat="1" ht="15.75" thickBot="1">
      <c r="A35" s="489"/>
      <c r="B35" s="2460">
        <v>111</v>
      </c>
      <c r="C35" s="493"/>
      <c r="D35" s="160">
        <v>100</v>
      </c>
      <c r="E35" s="641"/>
      <c r="F35" s="446">
        <f>SUMIF(107:107,E35,108:108)-SUMIF(107:107,C35,108:108)+100</f>
        <v>100</v>
      </c>
      <c r="G35" s="641"/>
      <c r="H35" s="446">
        <f>SUMIF(107:107,G35,108:108)-SUMIF(107:107,C35,108:108)+100</f>
        <v>100</v>
      </c>
      <c r="I35" s="493"/>
      <c r="J35" s="446">
        <f>SUMIF(107:107,I35,108:108)-SUMIF(107:107,C35,108:108)+100</f>
        <v>100</v>
      </c>
      <c r="K35" s="481"/>
      <c r="L35" s="2015"/>
      <c r="M35" s="2046"/>
      <c r="N35" s="2046"/>
      <c r="O35" s="2018"/>
      <c r="P35" s="3415"/>
      <c r="Q35" s="1460">
        <f t="shared" si="8"/>
        <v>111</v>
      </c>
      <c r="R35" s="1465" t="s">
        <v>8</v>
      </c>
      <c r="S35" s="1466">
        <f t="shared" si="9"/>
        <v>100</v>
      </c>
      <c r="T35" s="1465" t="s">
        <v>8</v>
      </c>
      <c r="U35" s="1466">
        <f t="shared" si="10"/>
        <v>100</v>
      </c>
      <c r="V35" s="1465" t="s">
        <v>8</v>
      </c>
      <c r="W35" s="1466">
        <f t="shared" si="11"/>
        <v>100</v>
      </c>
      <c r="X35" s="1467"/>
      <c r="Y35" s="3415"/>
      <c r="Z35" s="1468">
        <f t="shared" si="12"/>
        <v>111</v>
      </c>
      <c r="AA35" s="1464">
        <f t="shared" si="3"/>
        <v>1</v>
      </c>
      <c r="AB35" s="1464">
        <f t="shared" si="4"/>
        <v>1</v>
      </c>
      <c r="AC35" s="1464">
        <f t="shared" si="5"/>
        <v>1</v>
      </c>
    </row>
    <row r="36" spans="1:29" ht="15">
      <c r="A36" s="2772" t="s">
        <v>2683</v>
      </c>
      <c r="B36" s="495" t="s">
        <v>492</v>
      </c>
      <c r="C36" s="496"/>
      <c r="D36" s="497">
        <v>100</v>
      </c>
      <c r="E36" s="496"/>
      <c r="F36" s="497" t="e">
        <f>LOOKUP(E36,110:110,111:111)-LOOKUP(C36,110:110,111:111)+100</f>
        <v>#N/A</v>
      </c>
      <c r="G36" s="496"/>
      <c r="H36" s="497" t="e">
        <f>LOOKUP(G36,110:110,111:111)-LOOKUP(C36,110:110,111:111)+100</f>
        <v>#N/A</v>
      </c>
      <c r="I36" s="498"/>
      <c r="J36" s="497" t="e">
        <f>LOOKUP(I36,110:110,111:111)-LOOKUP(C36,110:110,111:111)+100</f>
        <v>#N/A</v>
      </c>
      <c r="K36" s="481"/>
      <c r="L36" s="2017"/>
      <c r="M36" s="2009"/>
      <c r="N36" s="2009"/>
      <c r="O36" s="2016"/>
      <c r="P36" s="3415"/>
      <c r="Q36" s="1460" t="str">
        <f>B36</f>
        <v>宗地面积</v>
      </c>
      <c r="R36" s="1461" t="s">
        <v>8</v>
      </c>
      <c r="S36" s="1462" t="e">
        <f t="shared" si="9"/>
        <v>#N/A</v>
      </c>
      <c r="T36" s="1461" t="s">
        <v>8</v>
      </c>
      <c r="U36" s="1462" t="e">
        <f t="shared" si="10"/>
        <v>#N/A</v>
      </c>
      <c r="V36" s="1461" t="s">
        <v>8</v>
      </c>
      <c r="W36" s="1462" t="e">
        <f t="shared" si="11"/>
        <v>#N/A</v>
      </c>
      <c r="X36" s="1455"/>
      <c r="Y36" s="3415"/>
      <c r="Z36" s="1463" t="str">
        <f t="shared" si="12"/>
        <v>宗地面积</v>
      </c>
      <c r="AA36" s="1464" t="e">
        <f t="shared" si="3"/>
        <v>#N/A</v>
      </c>
      <c r="AB36" s="1464" t="e">
        <f t="shared" si="4"/>
        <v>#N/A</v>
      </c>
      <c r="AC36" s="1464" t="e">
        <f t="shared" si="5"/>
        <v>#N/A</v>
      </c>
    </row>
    <row r="37" spans="1:29" ht="15">
      <c r="A37" s="494"/>
      <c r="B37" s="427" t="s">
        <v>493</v>
      </c>
      <c r="C37" s="499"/>
      <c r="D37" s="440">
        <v>100</v>
      </c>
      <c r="E37" s="499"/>
      <c r="F37" s="440">
        <f>SUMIF(112:112,E37,113:113)-SUMIF(112:112,C37,113:113)+100</f>
        <v>100</v>
      </c>
      <c r="G37" s="499"/>
      <c r="H37" s="440">
        <f>SUMIF(112:112,G37,113:113)-SUMIF(112:112,C37,113:113)+100</f>
        <v>100</v>
      </c>
      <c r="I37" s="499"/>
      <c r="J37" s="440">
        <f>SUMIF(112:112,I37,113:113)-SUMIF(112:112,C37,113:113)+100</f>
        <v>100</v>
      </c>
      <c r="K37" s="484"/>
      <c r="L37" s="2017"/>
      <c r="M37" s="2009"/>
      <c r="N37" s="2009"/>
      <c r="O37" s="2016"/>
      <c r="P37" s="3415"/>
      <c r="Q37" s="1460" t="str">
        <f t="shared" ref="Q37:Q42" si="13">B37</f>
        <v>宗地形状</v>
      </c>
      <c r="R37" s="1461" t="s">
        <v>8</v>
      </c>
      <c r="S37" s="1462">
        <f t="shared" si="9"/>
        <v>100</v>
      </c>
      <c r="T37" s="1461" t="s">
        <v>8</v>
      </c>
      <c r="U37" s="1462">
        <f t="shared" si="10"/>
        <v>100</v>
      </c>
      <c r="V37" s="1461" t="s">
        <v>8</v>
      </c>
      <c r="W37" s="1462">
        <f t="shared" si="11"/>
        <v>100</v>
      </c>
      <c r="X37" s="1455"/>
      <c r="Y37" s="3415"/>
      <c r="Z37" s="1463" t="str">
        <f t="shared" si="12"/>
        <v>宗地形状</v>
      </c>
      <c r="AA37" s="1464">
        <f t="shared" si="3"/>
        <v>1</v>
      </c>
      <c r="AB37" s="1464">
        <f t="shared" si="4"/>
        <v>1</v>
      </c>
      <c r="AC37" s="1464">
        <f t="shared" si="5"/>
        <v>1</v>
      </c>
    </row>
    <row r="38" spans="1:29" s="1108" customFormat="1" ht="15">
      <c r="A38" s="500"/>
      <c r="B38" s="1777" t="s">
        <v>2352</v>
      </c>
      <c r="C38" s="501"/>
      <c r="D38" s="159">
        <v>100</v>
      </c>
      <c r="E38" s="501"/>
      <c r="F38" s="440">
        <f>SUMIF(114:114,E38,115:115)-SUMIF(114:114,C38,115:115)+100</f>
        <v>100</v>
      </c>
      <c r="G38" s="501"/>
      <c r="H38" s="440">
        <f>SUMIF(114:114,G38,115:115)-SUMIF(114:114,C38,115:115)+100</f>
        <v>100</v>
      </c>
      <c r="I38" s="501"/>
      <c r="J38" s="440">
        <f>SUMIF(114:114,I38,115:115)-SUMIF(114:114,C38,115:115)+100</f>
        <v>100</v>
      </c>
      <c r="K38" s="484"/>
      <c r="L38" s="2010"/>
      <c r="M38" s="2011"/>
      <c r="N38" s="2011"/>
      <c r="O38" s="2012"/>
      <c r="P38" s="3415"/>
      <c r="Q38" s="1460" t="str">
        <f t="shared" si="13"/>
        <v>宗地开发程度</v>
      </c>
      <c r="R38" s="1456" t="s">
        <v>8</v>
      </c>
      <c r="S38" s="1457">
        <f t="shared" si="9"/>
        <v>100</v>
      </c>
      <c r="T38" s="1456" t="s">
        <v>8</v>
      </c>
      <c r="U38" s="1457">
        <f t="shared" si="10"/>
        <v>100</v>
      </c>
      <c r="V38" s="1456" t="s">
        <v>8</v>
      </c>
      <c r="W38" s="1457">
        <f t="shared" si="11"/>
        <v>100</v>
      </c>
      <c r="X38" s="1458"/>
      <c r="Y38" s="3415"/>
      <c r="Z38" s="1048" t="str">
        <f t="shared" si="12"/>
        <v>宗地开发程度</v>
      </c>
      <c r="AA38" s="1459">
        <f t="shared" si="3"/>
        <v>1</v>
      </c>
      <c r="AB38" s="1459">
        <f t="shared" si="4"/>
        <v>1</v>
      </c>
      <c r="AC38" s="1459">
        <f t="shared" si="5"/>
        <v>1</v>
      </c>
    </row>
    <row r="39" spans="1:29" ht="15">
      <c r="A39" s="494"/>
      <c r="B39" s="427" t="s">
        <v>495</v>
      </c>
      <c r="C39" s="499"/>
      <c r="D39" s="440">
        <v>100</v>
      </c>
      <c r="E39" s="499"/>
      <c r="F39" s="440">
        <f>SUMIF(116:116,E39,117:117)-SUMIF(116:116,C39,117:117)+100</f>
        <v>100</v>
      </c>
      <c r="G39" s="499"/>
      <c r="H39" s="440">
        <f>SUMIF(116:116,G39,117:117)-SUMIF(116:116,C39,117:117)+100</f>
        <v>100</v>
      </c>
      <c r="I39" s="499"/>
      <c r="J39" s="440">
        <f>SUMIF(116:116,I39,117:117)-SUMIF(116:116,C39,117:117)+100</f>
        <v>100</v>
      </c>
      <c r="K39" s="484"/>
      <c r="L39" s="2017"/>
      <c r="M39" s="2009"/>
      <c r="N39" s="2009"/>
      <c r="O39" s="2016"/>
      <c r="P39" s="3415" t="s">
        <v>541</v>
      </c>
      <c r="Q39" s="1460" t="str">
        <f t="shared" si="13"/>
        <v>工程地质条件</v>
      </c>
      <c r="R39" s="1461" t="s">
        <v>8</v>
      </c>
      <c r="S39" s="1462">
        <f t="shared" si="9"/>
        <v>100</v>
      </c>
      <c r="T39" s="1461" t="s">
        <v>8</v>
      </c>
      <c r="U39" s="1462">
        <f t="shared" si="10"/>
        <v>100</v>
      </c>
      <c r="V39" s="1461" t="s">
        <v>8</v>
      </c>
      <c r="W39" s="1462">
        <f t="shared" si="11"/>
        <v>100</v>
      </c>
      <c r="X39" s="1455"/>
      <c r="Y39" s="3415" t="s">
        <v>541</v>
      </c>
      <c r="Z39" s="1463" t="str">
        <f t="shared" si="12"/>
        <v>工程地质条件</v>
      </c>
      <c r="AA39" s="1464">
        <f t="shared" si="3"/>
        <v>1</v>
      </c>
      <c r="AB39" s="1464">
        <f t="shared" si="4"/>
        <v>1</v>
      </c>
      <c r="AC39" s="1464">
        <f t="shared" si="5"/>
        <v>1</v>
      </c>
    </row>
    <row r="40" spans="1:29" ht="15">
      <c r="A40" s="494"/>
      <c r="B40" s="502">
        <v>111</v>
      </c>
      <c r="C40" s="442"/>
      <c r="D40" s="440">
        <v>100</v>
      </c>
      <c r="E40" s="442"/>
      <c r="F40" s="440">
        <f>SUMIF(118:118,E40,119:119)-SUMIF(118:118,C40,119:119)+100</f>
        <v>100</v>
      </c>
      <c r="G40" s="442"/>
      <c r="H40" s="440">
        <f>SUMIF(118:118,G40,119:119)-SUMIF(118:118,C40,119:119)+100</f>
        <v>100</v>
      </c>
      <c r="I40" s="441"/>
      <c r="J40" s="440">
        <f>SUMIF(118:118,I40,119:119)-SUMIF(118:118,C40,119:119)+100</f>
        <v>100</v>
      </c>
      <c r="K40" s="481"/>
      <c r="L40" s="2017"/>
      <c r="M40" s="2009"/>
      <c r="N40" s="2009"/>
      <c r="O40" s="2016"/>
      <c r="P40" s="3415"/>
      <c r="Q40" s="1460">
        <f t="shared" si="13"/>
        <v>111</v>
      </c>
      <c r="R40" s="1461" t="s">
        <v>8</v>
      </c>
      <c r="S40" s="1462">
        <f t="shared" si="9"/>
        <v>100</v>
      </c>
      <c r="T40" s="1461" t="s">
        <v>8</v>
      </c>
      <c r="U40" s="1462">
        <f t="shared" si="10"/>
        <v>100</v>
      </c>
      <c r="V40" s="1461" t="s">
        <v>8</v>
      </c>
      <c r="W40" s="1462">
        <f t="shared" si="11"/>
        <v>100</v>
      </c>
      <c r="X40" s="1455"/>
      <c r="Y40" s="3415"/>
      <c r="Z40" s="1463">
        <f t="shared" si="12"/>
        <v>111</v>
      </c>
      <c r="AA40" s="1464">
        <f t="shared" si="3"/>
        <v>1</v>
      </c>
      <c r="AB40" s="1464">
        <f t="shared" si="4"/>
        <v>1</v>
      </c>
      <c r="AC40" s="1464">
        <f t="shared" si="5"/>
        <v>1</v>
      </c>
    </row>
    <row r="41" spans="1:29" ht="15">
      <c r="A41" s="494"/>
      <c r="B41" s="502">
        <v>111</v>
      </c>
      <c r="C41" s="442"/>
      <c r="D41" s="440">
        <v>100</v>
      </c>
      <c r="E41" s="442"/>
      <c r="F41" s="440">
        <f>SUMIF(120:120,E41,121:121)-SUMIF(120:120,C41,121:121)+100</f>
        <v>100</v>
      </c>
      <c r="G41" s="442"/>
      <c r="H41" s="440">
        <f>SUMIF(120:120,G41,121:121)-SUMIF(120:120,C41,121:121)+100</f>
        <v>100</v>
      </c>
      <c r="I41" s="441"/>
      <c r="J41" s="440">
        <f>SUMIF(120:120,I41,121:121)-SUMIF(120:120,C41,121:121)+100</f>
        <v>100</v>
      </c>
      <c r="K41" s="481"/>
      <c r="L41" s="2017"/>
      <c r="M41" s="2009"/>
      <c r="N41" s="2009"/>
      <c r="O41" s="2016"/>
      <c r="P41" s="3415"/>
      <c r="Q41" s="1460">
        <f t="shared" si="13"/>
        <v>111</v>
      </c>
      <c r="R41" s="1461" t="s">
        <v>8</v>
      </c>
      <c r="S41" s="1462">
        <f t="shared" si="9"/>
        <v>100</v>
      </c>
      <c r="T41" s="1461" t="s">
        <v>8</v>
      </c>
      <c r="U41" s="1462">
        <f t="shared" si="10"/>
        <v>100</v>
      </c>
      <c r="V41" s="1461" t="s">
        <v>8</v>
      </c>
      <c r="W41" s="1462">
        <f t="shared" si="11"/>
        <v>100</v>
      </c>
      <c r="X41" s="1455"/>
      <c r="Y41" s="3415"/>
      <c r="Z41" s="1463">
        <f t="shared" si="12"/>
        <v>111</v>
      </c>
      <c r="AA41" s="1464">
        <f t="shared" si="3"/>
        <v>1</v>
      </c>
      <c r="AB41" s="1464">
        <f t="shared" si="4"/>
        <v>1</v>
      </c>
      <c r="AC41" s="1464">
        <f t="shared" si="5"/>
        <v>1</v>
      </c>
    </row>
    <row r="42" spans="1:29" s="1227" customFormat="1" ht="15.75" thickBot="1">
      <c r="A42" s="503"/>
      <c r="B42" s="502">
        <v>111</v>
      </c>
      <c r="C42" s="504"/>
      <c r="D42" s="160">
        <v>100</v>
      </c>
      <c r="E42" s="442"/>
      <c r="F42" s="446">
        <f>SUMIF(122:122,E42,123:123)-SUMIF(122:122,C42,123:123)+100</f>
        <v>100</v>
      </c>
      <c r="G42" s="442"/>
      <c r="H42" s="446">
        <f>SUMIF(122:122,G42,123:123)-SUMIF(122:122,C42,123:123)+100</f>
        <v>100</v>
      </c>
      <c r="I42" s="441"/>
      <c r="J42" s="446">
        <f>SUMIF(122:122,I42,123:123)-SUMIF(122:122,C42,123:123)+100</f>
        <v>100</v>
      </c>
      <c r="K42" s="506"/>
      <c r="L42" s="2015"/>
      <c r="M42" s="2046"/>
      <c r="N42" s="2046"/>
      <c r="O42" s="2018"/>
      <c r="P42" s="3415"/>
      <c r="Q42" s="1460">
        <f t="shared" si="13"/>
        <v>111</v>
      </c>
      <c r="R42" s="1465" t="s">
        <v>8</v>
      </c>
      <c r="S42" s="1466">
        <f t="shared" si="9"/>
        <v>100</v>
      </c>
      <c r="T42" s="1465" t="s">
        <v>8</v>
      </c>
      <c r="U42" s="1466">
        <f t="shared" si="10"/>
        <v>100</v>
      </c>
      <c r="V42" s="1465" t="s">
        <v>8</v>
      </c>
      <c r="W42" s="1466">
        <f t="shared" si="11"/>
        <v>100</v>
      </c>
      <c r="X42" s="1467"/>
      <c r="Y42" s="3415"/>
      <c r="Z42" s="1468">
        <f t="shared" si="12"/>
        <v>111</v>
      </c>
      <c r="AA42" s="1464">
        <f t="shared" si="3"/>
        <v>1</v>
      </c>
      <c r="AB42" s="1464">
        <f t="shared" si="4"/>
        <v>1</v>
      </c>
      <c r="AC42" s="1464">
        <f t="shared" si="5"/>
        <v>1</v>
      </c>
    </row>
    <row r="43" spans="1:29" ht="15">
      <c r="A43" s="507" t="s">
        <v>496</v>
      </c>
      <c r="B43" s="508" t="s">
        <v>2846</v>
      </c>
      <c r="C43" s="509" t="s">
        <v>1</v>
      </c>
      <c r="D43" s="510"/>
      <c r="E43" s="511"/>
      <c r="F43" s="512"/>
      <c r="G43" s="513"/>
      <c r="H43" s="514"/>
      <c r="I43" s="511"/>
      <c r="J43" s="514"/>
      <c r="K43" s="1228"/>
      <c r="L43" s="2019"/>
      <c r="M43" s="2009"/>
      <c r="N43" s="2009"/>
      <c r="O43" s="2020"/>
      <c r="P43" s="3378" t="str">
        <f>A43</f>
        <v>成交单价</v>
      </c>
      <c r="Q43" s="3378"/>
      <c r="R43" s="3379">
        <f>E43</f>
        <v>0</v>
      </c>
      <c r="S43" s="3379"/>
      <c r="T43" s="3379">
        <f>G43</f>
        <v>0</v>
      </c>
      <c r="U43" s="3379"/>
      <c r="V43" s="3379">
        <f>I43</f>
        <v>0</v>
      </c>
      <c r="W43" s="3379"/>
      <c r="X43" s="1447"/>
      <c r="Y43" s="1469"/>
      <c r="Z43" s="1447"/>
      <c r="AA43" s="1447"/>
      <c r="AB43" s="1447"/>
      <c r="AC43" s="1447"/>
    </row>
    <row r="44" spans="1:29" ht="15.75" thickBot="1">
      <c r="A44" s="515" t="s">
        <v>2621</v>
      </c>
      <c r="B44" s="516"/>
      <c r="C44" s="517" t="e">
        <f>R45</f>
        <v>#DIV/0!</v>
      </c>
      <c r="D44" s="518"/>
      <c r="E44" s="517" t="e">
        <f>R44</f>
        <v>#DIV/0!</v>
      </c>
      <c r="F44" s="519"/>
      <c r="G44" s="520" t="e">
        <f>T44</f>
        <v>#DIV/0!</v>
      </c>
      <c r="H44" s="518"/>
      <c r="I44" s="517" t="e">
        <f>V44</f>
        <v>#DIV/0!</v>
      </c>
      <c r="J44" s="518"/>
      <c r="K44" s="1229"/>
      <c r="L44" s="2019"/>
      <c r="M44" s="2009"/>
      <c r="N44" s="2009"/>
      <c r="O44" s="2020"/>
      <c r="P44" s="3378" t="str">
        <f>A44</f>
        <v>比较价格（元/平方米）</v>
      </c>
      <c r="Q44" s="3378"/>
      <c r="R44" s="3380" t="e">
        <f>ROUND(PRODUCT(R43,AA9:AA42),0)</f>
        <v>#DIV/0!</v>
      </c>
      <c r="S44" s="3380"/>
      <c r="T44" s="3380" t="e">
        <f>ROUND(PRODUCT(T43,AB9:AB42),0)</f>
        <v>#DIV/0!</v>
      </c>
      <c r="U44" s="3380"/>
      <c r="V44" s="3380" t="e">
        <f>ROUND(PRODUCT(V43,AC9:AC42),0)</f>
        <v>#DIV/0!</v>
      </c>
      <c r="W44" s="3380"/>
      <c r="X44" s="1447"/>
      <c r="Y44" s="1447"/>
      <c r="Z44" s="1447"/>
      <c r="AA44" s="1447"/>
      <c r="AB44" s="1447"/>
      <c r="AC44" s="1447"/>
    </row>
    <row r="45" spans="1:29" ht="15.75" thickBot="1">
      <c r="A45" s="521" t="s">
        <v>2847</v>
      </c>
      <c r="B45" s="522"/>
      <c r="C45" s="523" t="e">
        <f>R45</f>
        <v>#DIV/0!</v>
      </c>
      <c r="D45" s="523"/>
      <c r="E45" s="523"/>
      <c r="F45" s="523"/>
      <c r="G45" s="523"/>
      <c r="H45" s="523"/>
      <c r="I45" s="523"/>
      <c r="J45" s="523"/>
      <c r="K45" s="1230"/>
      <c r="L45" s="2019"/>
      <c r="M45" s="2009"/>
      <c r="N45" s="2009"/>
      <c r="O45" s="2020"/>
      <c r="P45" s="3375" t="str">
        <f>A45</f>
        <v>估价对象XX用房的比较价格（楼面单价，元/平方米）</v>
      </c>
      <c r="Q45" s="3376"/>
      <c r="R45" s="3377" t="e">
        <f>ROUND(AVERAGE(R44:V44),0)</f>
        <v>#DIV/0!</v>
      </c>
      <c r="S45" s="3377"/>
      <c r="T45" s="3377"/>
      <c r="U45" s="3377"/>
      <c r="V45" s="3377"/>
      <c r="W45" s="3377"/>
      <c r="X45" s="1447"/>
      <c r="Y45" s="1447"/>
      <c r="Z45" s="1447"/>
      <c r="AA45" s="1447"/>
      <c r="AB45" s="1447"/>
      <c r="AC45" s="1447"/>
    </row>
    <row r="46" spans="1:29">
      <c r="A46" s="2020"/>
      <c r="B46" s="2020"/>
      <c r="C46" s="2020"/>
      <c r="D46" s="2020"/>
      <c r="E46" s="2020"/>
      <c r="F46" s="2020"/>
      <c r="G46" s="2023"/>
      <c r="H46" s="2020"/>
      <c r="I46" s="2020"/>
      <c r="J46" s="2020"/>
      <c r="K46" s="2024"/>
      <c r="L46" s="2025"/>
      <c r="M46" s="2009"/>
      <c r="N46" s="2009"/>
      <c r="O46" s="2020"/>
      <c r="P46" s="1447"/>
      <c r="Q46" s="1447"/>
      <c r="R46" s="1447"/>
      <c r="S46" s="1447"/>
      <c r="T46" s="1447"/>
      <c r="U46" s="1447"/>
      <c r="V46" s="1447"/>
      <c r="W46" s="1447"/>
      <c r="X46" s="1447"/>
      <c r="Y46" s="1447"/>
      <c r="Z46" s="1447"/>
      <c r="AA46" s="1447"/>
      <c r="AB46" s="1447"/>
      <c r="AC46" s="1447"/>
    </row>
    <row r="47" spans="1:29">
      <c r="A47" s="2020"/>
      <c r="B47" s="2020"/>
      <c r="C47" s="2020"/>
      <c r="D47" s="2020"/>
      <c r="E47" s="2020"/>
      <c r="F47" s="2020"/>
      <c r="G47" s="2020"/>
      <c r="H47" s="2020"/>
      <c r="I47" s="2020"/>
      <c r="J47" s="2020"/>
      <c r="K47" s="2024"/>
      <c r="L47" s="2025"/>
      <c r="M47" s="2009"/>
      <c r="N47" s="2009"/>
      <c r="O47" s="2020"/>
      <c r="P47" s="2020"/>
      <c r="Q47" s="2020"/>
      <c r="R47" s="2020"/>
      <c r="S47" s="2020"/>
      <c r="T47" s="2020"/>
      <c r="U47" s="2020"/>
      <c r="V47" s="2020"/>
      <c r="W47" s="2020"/>
      <c r="X47" s="2020"/>
      <c r="Y47" s="2020"/>
      <c r="Z47" s="2020"/>
      <c r="AA47" s="2020"/>
      <c r="AB47" s="2020"/>
      <c r="AC47" s="2020"/>
    </row>
    <row r="48" spans="1:29" ht="13.5" customHeight="1">
      <c r="A48" s="2020"/>
      <c r="B48" s="2020"/>
      <c r="C48" s="524" t="s">
        <v>497</v>
      </c>
      <c r="D48" s="525"/>
      <c r="E48" s="526" t="e">
        <f>IF(E43&lt;E44,E44/E43-1,E43/E44-1)</f>
        <v>#DIV/0!</v>
      </c>
      <c r="F48" s="527" t="e">
        <f>IF(OR(E48&gt;=0.3,E48&lt;=-0.3),"超过30%","")</f>
        <v>#DIV/0!</v>
      </c>
      <c r="G48" s="526" t="e">
        <f>IF(G43&lt;G44,G44/G43-1,G43/G44-1)</f>
        <v>#DIV/0!</v>
      </c>
      <c r="H48" s="527" t="e">
        <f>IF(OR(G48&gt;=0.3,G48&lt;=-0.3),"超过30%","")</f>
        <v>#DIV/0!</v>
      </c>
      <c r="I48" s="526" t="e">
        <f>IF(I43&lt;I44,I44/I43-1,I43/I44-1)</f>
        <v>#DIV/0!</v>
      </c>
      <c r="J48" s="527" t="e">
        <f>IF(OR(I48&gt;=0.3,I48&lt;=-0.3),"超过30%","")</f>
        <v>#DIV/0!</v>
      </c>
      <c r="K48" s="2024"/>
      <c r="L48" s="2025"/>
      <c r="M48" s="2009"/>
      <c r="N48" s="2009"/>
      <c r="O48" s="2020"/>
      <c r="P48" s="2020"/>
      <c r="Q48" s="2020"/>
      <c r="R48" s="2020"/>
      <c r="S48" s="2020"/>
      <c r="T48" s="2020"/>
      <c r="U48" s="2020"/>
      <c r="V48" s="2020"/>
      <c r="W48" s="2020"/>
      <c r="X48" s="2020"/>
      <c r="Y48" s="2020"/>
      <c r="Z48" s="2020"/>
      <c r="AA48" s="2020"/>
      <c r="AB48" s="2020"/>
      <c r="AC48" s="2020"/>
    </row>
    <row r="49" spans="1:29" ht="13.5" customHeight="1">
      <c r="A49" s="2020"/>
      <c r="B49" s="2020"/>
      <c r="C49" s="524" t="s">
        <v>498</v>
      </c>
      <c r="D49" s="528"/>
      <c r="E49" s="526" t="e">
        <f>IF(E44&lt;G44,G44/E44-1,E44/G44-1)</f>
        <v>#DIV/0!</v>
      </c>
      <c r="F49" s="527" t="e">
        <f>IF(OR(E49&gt;=0.2,E49&lt;=-0.2),"超过20%","")</f>
        <v>#DIV/0!</v>
      </c>
      <c r="G49" s="526" t="e">
        <f>IF(G44&lt;I44,I44/G44-1,G44/I44-1)</f>
        <v>#DIV/0!</v>
      </c>
      <c r="H49" s="527" t="e">
        <f>IF(OR(G49&gt;=0.2,G49&lt;=-0.2),"超过20%","")</f>
        <v>#DIV/0!</v>
      </c>
      <c r="I49" s="526" t="e">
        <f>IF(I44&lt;E44,E44/I44-1,I44/E44-1)</f>
        <v>#DIV/0!</v>
      </c>
      <c r="J49" s="527" t="e">
        <f>IF(OR(I49&gt;=0.2,I49&lt;=-0.2),"超过20%","")</f>
        <v>#DIV/0!</v>
      </c>
      <c r="K49" s="2024"/>
      <c r="L49" s="2025"/>
      <c r="M49" s="2020"/>
      <c r="N49" s="2020"/>
      <c r="O49" s="2020"/>
      <c r="P49" s="2020"/>
      <c r="Q49" s="2020"/>
      <c r="R49" s="2020"/>
      <c r="S49" s="2020"/>
      <c r="T49" s="2020"/>
      <c r="U49" s="2020"/>
      <c r="V49" s="2020"/>
      <c r="W49" s="2020"/>
      <c r="X49" s="2020"/>
      <c r="Y49" s="2020"/>
      <c r="Z49" s="2020"/>
      <c r="AA49" s="2020"/>
      <c r="AB49" s="2020"/>
      <c r="AC49" s="2020"/>
    </row>
    <row r="50" spans="1:29" s="1233" customFormat="1" ht="13.5" customHeight="1">
      <c r="A50" s="2021"/>
      <c r="B50" s="2021"/>
      <c r="C50" s="524" t="s">
        <v>499</v>
      </c>
      <c r="D50" s="528"/>
      <c r="E50" s="526" t="e">
        <f>IF(E43&lt;G43,G43/E43-1,E43/G43-1)</f>
        <v>#DIV/0!</v>
      </c>
      <c r="F50" s="527" t="e">
        <f>IF(OR(E50&gt;=0.3,E50&lt;=-0.3),"超过30%","")</f>
        <v>#DIV/0!</v>
      </c>
      <c r="G50" s="526" t="e">
        <f>IF(G43&lt;I43,I43/G43-1,G43/I43-1)</f>
        <v>#DIV/0!</v>
      </c>
      <c r="H50" s="527" t="e">
        <f>IF(OR(G50&gt;=0.3,G50&lt;=-0.3),"超过30%","")</f>
        <v>#DIV/0!</v>
      </c>
      <c r="I50" s="526" t="e">
        <f>IF(I43&lt;E43,E43/I43-1,I43/E43-1)</f>
        <v>#DIV/0!</v>
      </c>
      <c r="J50" s="527" t="e">
        <f>IF(OR(I50&gt;=0.3,I50&lt;=-0.3),"超过30%","")</f>
        <v>#DIV/0!</v>
      </c>
      <c r="K50" s="2027"/>
      <c r="L50" s="2028"/>
      <c r="M50" s="2021"/>
      <c r="N50" s="2021"/>
      <c r="O50" s="2021"/>
      <c r="P50" s="2021"/>
      <c r="Q50" s="2021"/>
      <c r="R50" s="2021"/>
      <c r="S50" s="2021"/>
      <c r="T50" s="2021"/>
      <c r="U50" s="2021"/>
      <c r="V50" s="2021"/>
      <c r="W50" s="2021"/>
      <c r="X50" s="2021"/>
      <c r="Y50" s="2021"/>
      <c r="Z50" s="2021"/>
      <c r="AA50" s="2021"/>
      <c r="AB50" s="2021"/>
      <c r="AC50" s="2021"/>
    </row>
    <row r="51" spans="1:29" s="1233" customFormat="1" ht="15" thickBot="1">
      <c r="A51" s="2021"/>
      <c r="B51" s="2022"/>
      <c r="C51" s="2026"/>
      <c r="D51" s="2021"/>
      <c r="E51" s="2021"/>
      <c r="F51" s="2021"/>
      <c r="G51" s="2021"/>
      <c r="H51" s="2021"/>
      <c r="I51" s="2021"/>
      <c r="J51" s="2021"/>
      <c r="K51" s="2027"/>
      <c r="L51" s="2028"/>
      <c r="M51" s="2021"/>
      <c r="N51" s="2021"/>
      <c r="O51" s="2021"/>
      <c r="P51" s="2021"/>
      <c r="Q51" s="2021"/>
      <c r="R51" s="2021"/>
      <c r="S51" s="2021"/>
      <c r="T51" s="2021"/>
      <c r="U51" s="2021"/>
      <c r="V51" s="2021"/>
      <c r="W51" s="2021"/>
      <c r="X51" s="2021"/>
      <c r="Y51" s="2021"/>
      <c r="Z51" s="2021"/>
      <c r="AA51" s="2021"/>
      <c r="AB51" s="2021"/>
      <c r="AC51" s="2021"/>
    </row>
    <row r="52" spans="1:29" ht="27">
      <c r="A52" s="529" t="s">
        <v>500</v>
      </c>
      <c r="B52" s="530" t="s">
        <v>501</v>
      </c>
      <c r="C52" s="1448" t="s">
        <v>1657</v>
      </c>
      <c r="D52" s="2102" t="s">
        <v>2224</v>
      </c>
      <c r="E52" s="531" t="s">
        <v>502</v>
      </c>
      <c r="F52" s="1833" t="s">
        <v>503</v>
      </c>
      <c r="G52" s="3422" t="s">
        <v>2216</v>
      </c>
      <c r="H52" s="3423"/>
      <c r="I52" s="1834" t="s">
        <v>1880</v>
      </c>
      <c r="J52" s="1443" t="str">
        <f>项目基本情况!F41</f>
        <v>浙江省嘉兴市嘉善县</v>
      </c>
      <c r="K52" s="2029" t="s">
        <v>1656</v>
      </c>
      <c r="L52" s="2025"/>
      <c r="M52" s="2020"/>
      <c r="N52" s="2020"/>
      <c r="O52" s="2020"/>
      <c r="P52" s="2020"/>
      <c r="Q52" s="2020"/>
      <c r="R52" s="2020"/>
      <c r="S52" s="2020"/>
      <c r="T52" s="2020"/>
      <c r="U52" s="2020"/>
      <c r="V52" s="2020"/>
      <c r="W52" s="2020"/>
      <c r="X52" s="2020"/>
      <c r="Y52" s="2020"/>
      <c r="Z52" s="2020"/>
      <c r="AA52" s="2020"/>
      <c r="AB52" s="2020"/>
      <c r="AC52" s="2020"/>
    </row>
    <row r="53" spans="1:29" s="1234" customFormat="1" ht="12.75">
      <c r="A53" s="533" t="s">
        <v>504</v>
      </c>
      <c r="B53" s="534" t="e">
        <f>C45</f>
        <v>#DIV/0!</v>
      </c>
      <c r="C53" s="535">
        <v>1</v>
      </c>
      <c r="D53" s="2103">
        <v>1</v>
      </c>
      <c r="E53" s="535">
        <f>'数据-汇总表'!E8+'数据-汇总表'!E9</f>
        <v>58058</v>
      </c>
      <c r="F53" s="1832" t="e">
        <f t="shared" ref="F53:F62" si="14">ROUND(B53*E53/10000,0)</f>
        <v>#DIV/0!</v>
      </c>
      <c r="G53" s="3424"/>
      <c r="H53" s="3425"/>
      <c r="I53" s="1835">
        <v>1</v>
      </c>
      <c r="J53" s="1444">
        <v>1</v>
      </c>
      <c r="K53" s="2030"/>
      <c r="L53" s="2030"/>
      <c r="M53" s="2030"/>
      <c r="N53" s="2030"/>
      <c r="O53" s="2030"/>
      <c r="P53" s="2030"/>
      <c r="Q53" s="2030"/>
      <c r="R53" s="2030"/>
      <c r="S53" s="2030"/>
      <c r="T53" s="2030"/>
      <c r="U53" s="2030"/>
      <c r="V53" s="2030"/>
      <c r="W53" s="2030"/>
      <c r="X53" s="2030"/>
      <c r="Y53" s="2030"/>
      <c r="Z53" s="2030"/>
      <c r="AA53" s="2030"/>
      <c r="AB53" s="2030"/>
      <c r="AC53" s="2030"/>
    </row>
    <row r="54" spans="1:29" s="1234" customFormat="1" ht="12.75">
      <c r="A54" s="537" t="s">
        <v>505</v>
      </c>
      <c r="B54" s="538" t="e">
        <f>ROUND($C$45*C54*D54,0)</f>
        <v>#DIV/0!</v>
      </c>
      <c r="C54" s="278">
        <f t="shared" ref="C54:C62" si="15">IF($C$52="北京市系数",I54,J54)</f>
        <v>0</v>
      </c>
      <c r="D54" s="2104">
        <v>0.25</v>
      </c>
      <c r="E54" s="539"/>
      <c r="F54" s="1832" t="e">
        <f t="shared" si="14"/>
        <v>#DIV/0!</v>
      </c>
      <c r="G54" s="3426" t="s">
        <v>2217</v>
      </c>
      <c r="H54" s="1836">
        <f>项目基本情况!B43</f>
        <v>0</v>
      </c>
      <c r="I54" s="1835">
        <f>SUMIF(修正!$A$45:$A$56,H54,修正!B45:B56)</f>
        <v>0</v>
      </c>
      <c r="J54" s="1446"/>
      <c r="K54" s="2030"/>
      <c r="L54" s="2030"/>
      <c r="M54" s="2030"/>
      <c r="N54" s="2030"/>
      <c r="O54" s="2030"/>
      <c r="P54" s="2030"/>
      <c r="Q54" s="2030"/>
      <c r="R54" s="2030"/>
      <c r="S54" s="2030"/>
      <c r="T54" s="2030"/>
      <c r="U54" s="2030"/>
      <c r="V54" s="2030"/>
      <c r="W54" s="2030"/>
      <c r="X54" s="2030"/>
      <c r="Y54" s="2030"/>
      <c r="Z54" s="2030"/>
      <c r="AA54" s="2030"/>
      <c r="AB54" s="2030"/>
      <c r="AC54" s="2030"/>
    </row>
    <row r="55" spans="1:29" s="1234" customFormat="1" ht="12.75">
      <c r="A55" s="537" t="s">
        <v>506</v>
      </c>
      <c r="B55" s="538" t="e">
        <f t="shared" ref="B55:B62" si="16">ROUND($C$45*C55*D55,0)</f>
        <v>#DIV/0!</v>
      </c>
      <c r="C55" s="278">
        <f t="shared" si="15"/>
        <v>0</v>
      </c>
      <c r="D55" s="2104">
        <v>0.25</v>
      </c>
      <c r="E55" s="539"/>
      <c r="F55" s="1832" t="e">
        <f t="shared" si="14"/>
        <v>#DIV/0!</v>
      </c>
      <c r="G55" s="3426"/>
      <c r="H55" s="1837">
        <f>项目基本情况!B43</f>
        <v>0</v>
      </c>
      <c r="I55" s="1835">
        <f>SUMIF(修正!$A$45:$A$56,H55,修正!C45:C56)</f>
        <v>0</v>
      </c>
      <c r="J55" s="1446"/>
      <c r="K55" s="2030"/>
      <c r="L55" s="2030"/>
      <c r="M55" s="2030"/>
      <c r="N55" s="2030"/>
      <c r="O55" s="2030"/>
      <c r="P55" s="2030"/>
      <c r="Q55" s="2030"/>
      <c r="R55" s="2030"/>
      <c r="S55" s="2030"/>
      <c r="T55" s="2030"/>
      <c r="U55" s="2030"/>
      <c r="V55" s="2030"/>
      <c r="W55" s="2030"/>
      <c r="X55" s="2030"/>
      <c r="Y55" s="2030"/>
      <c r="Z55" s="2030"/>
      <c r="AA55" s="2030"/>
      <c r="AB55" s="2030"/>
      <c r="AC55" s="2030"/>
    </row>
    <row r="56" spans="1:29" s="1234" customFormat="1" ht="12.75">
      <c r="A56" s="537" t="s">
        <v>507</v>
      </c>
      <c r="B56" s="538" t="e">
        <f t="shared" si="16"/>
        <v>#DIV/0!</v>
      </c>
      <c r="C56" s="278">
        <f t="shared" si="15"/>
        <v>0</v>
      </c>
      <c r="D56" s="2104">
        <v>0.25</v>
      </c>
      <c r="E56" s="539"/>
      <c r="F56" s="1832" t="e">
        <f t="shared" si="14"/>
        <v>#DIV/0!</v>
      </c>
      <c r="G56" s="3426"/>
      <c r="H56" s="1837">
        <f>项目基本情况!B43</f>
        <v>0</v>
      </c>
      <c r="I56" s="1835">
        <f>SUMIF(修正!$A$45:$A$56,H56,修正!D45:D56)</f>
        <v>0</v>
      </c>
      <c r="J56" s="1446"/>
      <c r="K56" s="2030"/>
      <c r="L56" s="2030"/>
      <c r="M56" s="2030"/>
      <c r="N56" s="2030"/>
      <c r="O56" s="2030"/>
      <c r="P56" s="2030"/>
      <c r="Q56" s="2030"/>
      <c r="R56" s="2030"/>
      <c r="S56" s="2030"/>
      <c r="T56" s="2030"/>
      <c r="U56" s="2030"/>
      <c r="V56" s="2030"/>
      <c r="W56" s="2030"/>
      <c r="X56" s="2030"/>
      <c r="Y56" s="2030"/>
      <c r="Z56" s="2030"/>
      <c r="AA56" s="2030"/>
      <c r="AB56" s="2030"/>
      <c r="AC56" s="2030"/>
    </row>
    <row r="57" spans="1:29" s="1234" customFormat="1" ht="12.75">
      <c r="A57" s="537" t="s">
        <v>508</v>
      </c>
      <c r="B57" s="538" t="e">
        <f t="shared" si="16"/>
        <v>#DIV/0!</v>
      </c>
      <c r="C57" s="278">
        <f t="shared" si="15"/>
        <v>0</v>
      </c>
      <c r="D57" s="2104">
        <v>0.25</v>
      </c>
      <c r="E57" s="539"/>
      <c r="F57" s="1832" t="e">
        <f t="shared" si="14"/>
        <v>#DIV/0!</v>
      </c>
      <c r="G57" s="3426"/>
      <c r="H57" s="1837">
        <f>项目基本情况!B43</f>
        <v>0</v>
      </c>
      <c r="I57" s="1835">
        <f>SUMIF(修正!$A$45:$A$56,H57,修正!E45:E56)</f>
        <v>0</v>
      </c>
      <c r="J57" s="1446"/>
      <c r="K57" s="2030"/>
      <c r="L57" s="2030"/>
      <c r="M57" s="2030"/>
      <c r="N57" s="2030"/>
      <c r="O57" s="2030"/>
      <c r="P57" s="2030"/>
      <c r="Q57" s="2030"/>
      <c r="R57" s="2030"/>
      <c r="S57" s="2030"/>
      <c r="T57" s="2030"/>
      <c r="U57" s="2030"/>
      <c r="V57" s="2030"/>
      <c r="W57" s="2030"/>
      <c r="X57" s="2030"/>
      <c r="Y57" s="2030"/>
      <c r="Z57" s="2030"/>
      <c r="AA57" s="2030"/>
      <c r="AB57" s="2030"/>
      <c r="AC57" s="2030"/>
    </row>
    <row r="58" spans="1:29" s="1234" customFormat="1" ht="12.75">
      <c r="A58" s="2182" t="s">
        <v>2259</v>
      </c>
      <c r="B58" s="538" t="e">
        <f t="shared" si="16"/>
        <v>#DIV/0!</v>
      </c>
      <c r="C58" s="278">
        <f t="shared" si="15"/>
        <v>0</v>
      </c>
      <c r="D58" s="2104">
        <v>0.25</v>
      </c>
      <c r="E58" s="541">
        <f>'数据-汇总表'!E11</f>
        <v>0</v>
      </c>
      <c r="F58" s="1832" t="e">
        <f t="shared" si="14"/>
        <v>#DIV/0!</v>
      </c>
      <c r="G58" s="1838" t="s">
        <v>2218</v>
      </c>
      <c r="H58" s="1837">
        <f>项目基本情况!C43</f>
        <v>0</v>
      </c>
      <c r="I58" s="1835">
        <f>SUMIF(修正!$A$45:$A$56,H58,修正!F45:F56)</f>
        <v>0</v>
      </c>
      <c r="J58" s="1446"/>
      <c r="K58" s="2030"/>
      <c r="L58" s="2030"/>
      <c r="M58" s="2030"/>
      <c r="N58" s="2030"/>
      <c r="O58" s="2030"/>
      <c r="P58" s="2030"/>
      <c r="Q58" s="2030"/>
      <c r="R58" s="2030"/>
      <c r="S58" s="2030"/>
      <c r="T58" s="2030"/>
      <c r="U58" s="2030"/>
      <c r="V58" s="2030"/>
      <c r="W58" s="2030"/>
      <c r="X58" s="2030"/>
      <c r="Y58" s="2030"/>
      <c r="Z58" s="2030"/>
      <c r="AA58" s="2030"/>
      <c r="AB58" s="2030"/>
      <c r="AC58" s="2030"/>
    </row>
    <row r="59" spans="1:29" s="1234" customFormat="1" ht="12.75">
      <c r="A59" s="537" t="s">
        <v>509</v>
      </c>
      <c r="B59" s="538" t="e">
        <f t="shared" si="16"/>
        <v>#DIV/0!</v>
      </c>
      <c r="C59" s="278">
        <f t="shared" si="15"/>
        <v>0</v>
      </c>
      <c r="D59" s="2104">
        <v>0.25</v>
      </c>
      <c r="E59" s="541">
        <f>'数据-汇总表'!E12</f>
        <v>0</v>
      </c>
      <c r="F59" s="1832" t="e">
        <f t="shared" si="14"/>
        <v>#DIV/0!</v>
      </c>
      <c r="G59" s="1828" t="s">
        <v>1610</v>
      </c>
      <c r="H59" s="1836">
        <f>IF(G59="商业",项目基本情况!B43,IF(G59="办公",项目基本情况!C43,IF(G59="住宅",项目基本情况!D43,项目基本情况!E43)))</f>
        <v>0</v>
      </c>
      <c r="I59" s="1835">
        <f>SUMIF(修正!$A$45:$A$56,H59,修正!G45:G56)</f>
        <v>0</v>
      </c>
      <c r="J59" s="1446"/>
      <c r="K59" s="2030"/>
      <c r="L59" s="2030"/>
      <c r="M59" s="2030"/>
      <c r="N59" s="2030"/>
      <c r="O59" s="2030"/>
      <c r="P59" s="2030"/>
      <c r="Q59" s="2030"/>
      <c r="R59" s="2030"/>
      <c r="S59" s="2030"/>
      <c r="T59" s="2030"/>
      <c r="U59" s="2030"/>
      <c r="V59" s="2030"/>
      <c r="W59" s="2030"/>
      <c r="X59" s="2030"/>
      <c r="Y59" s="2030"/>
      <c r="Z59" s="2030"/>
      <c r="AA59" s="2030"/>
      <c r="AB59" s="2030"/>
      <c r="AC59" s="2030"/>
    </row>
    <row r="60" spans="1:29" s="1234" customFormat="1" ht="12.75">
      <c r="A60" s="537" t="s">
        <v>510</v>
      </c>
      <c r="B60" s="538" t="e">
        <f t="shared" si="16"/>
        <v>#DIV/0!</v>
      </c>
      <c r="C60" s="278">
        <f t="shared" si="15"/>
        <v>0</v>
      </c>
      <c r="D60" s="2104">
        <v>0.25</v>
      </c>
      <c r="E60" s="541">
        <f>'数据-汇总表'!E13</f>
        <v>14467</v>
      </c>
      <c r="F60" s="1832" t="e">
        <f t="shared" si="14"/>
        <v>#DIV/0!</v>
      </c>
      <c r="G60" s="1828" t="s">
        <v>855</v>
      </c>
      <c r="H60" s="1836">
        <f>IF(G60="商业",项目基本情况!B43,IF(G60="办公",项目基本情况!C43,IF(G60="住宅",项目基本情况!D43,项目基本情况!E43)))</f>
        <v>0</v>
      </c>
      <c r="I60" s="1835">
        <f>SUMIF(修正!$A$45:$A$56,H60,修正!H45:H56)</f>
        <v>0</v>
      </c>
      <c r="J60" s="1446"/>
      <c r="K60" s="2030"/>
      <c r="L60" s="2030"/>
      <c r="M60" s="2030"/>
      <c r="N60" s="2030"/>
      <c r="O60" s="2030"/>
      <c r="P60" s="2030"/>
      <c r="Q60" s="2030"/>
      <c r="R60" s="2030"/>
      <c r="S60" s="2030"/>
      <c r="T60" s="2030"/>
      <c r="U60" s="2030"/>
      <c r="V60" s="2030"/>
      <c r="W60" s="2030"/>
      <c r="X60" s="2030"/>
      <c r="Y60" s="2030"/>
      <c r="Z60" s="2030"/>
      <c r="AA60" s="2030"/>
      <c r="AB60" s="2030"/>
      <c r="AC60" s="2030"/>
    </row>
    <row r="61" spans="1:29" s="1234" customFormat="1" ht="12.75">
      <c r="A61" s="537" t="s">
        <v>511</v>
      </c>
      <c r="B61" s="538" t="e">
        <f t="shared" si="16"/>
        <v>#DIV/0!</v>
      </c>
      <c r="C61" s="278">
        <f t="shared" si="15"/>
        <v>0</v>
      </c>
      <c r="D61" s="2104">
        <v>0.25</v>
      </c>
      <c r="E61" s="541">
        <f>'数据-汇总表'!E14</f>
        <v>0</v>
      </c>
      <c r="F61" s="1832" t="e">
        <f t="shared" si="14"/>
        <v>#DIV/0!</v>
      </c>
      <c r="G61" s="1838" t="s">
        <v>2217</v>
      </c>
      <c r="H61" s="1837">
        <f>项目基本情况!B43</f>
        <v>0</v>
      </c>
      <c r="I61" s="1835">
        <f>SUMIF(修正!$A$45:$A$56,H61,修正!H45:H56)</f>
        <v>0</v>
      </c>
      <c r="J61" s="1446"/>
      <c r="K61" s="2030"/>
      <c r="L61" s="2030"/>
      <c r="M61" s="2030"/>
      <c r="N61" s="2030"/>
      <c r="O61" s="2030"/>
      <c r="P61" s="2030"/>
      <c r="Q61" s="2030"/>
      <c r="R61" s="2030"/>
      <c r="S61" s="2030"/>
      <c r="T61" s="2030"/>
      <c r="U61" s="2030"/>
      <c r="V61" s="2030"/>
      <c r="W61" s="2030"/>
      <c r="X61" s="2030"/>
      <c r="Y61" s="2030"/>
      <c r="Z61" s="2030"/>
      <c r="AA61" s="2030"/>
      <c r="AB61" s="2030"/>
      <c r="AC61" s="2030"/>
    </row>
    <row r="62" spans="1:29" s="1234" customFormat="1" ht="13.5" thickBot="1">
      <c r="A62" s="537" t="s">
        <v>512</v>
      </c>
      <c r="B62" s="538" t="e">
        <f t="shared" si="16"/>
        <v>#DIV/0!</v>
      </c>
      <c r="C62" s="278">
        <f t="shared" si="15"/>
        <v>0</v>
      </c>
      <c r="D62" s="2104">
        <v>0.25</v>
      </c>
      <c r="E62" s="541">
        <f>'数据-汇总表'!E15</f>
        <v>0</v>
      </c>
      <c r="F62" s="1832" t="e">
        <f t="shared" si="14"/>
        <v>#DIV/0!</v>
      </c>
      <c r="G62" s="1839" t="s">
        <v>2218</v>
      </c>
      <c r="H62" s="1840">
        <f>项目基本情况!C43</f>
        <v>0</v>
      </c>
      <c r="I62" s="1835">
        <f>SUMIF(修正!$A$45:$A$56,H62,修正!H45:H56)</f>
        <v>0</v>
      </c>
      <c r="J62" s="1446"/>
      <c r="K62" s="2030"/>
      <c r="L62" s="2030"/>
      <c r="M62" s="2030"/>
      <c r="N62" s="2030"/>
      <c r="O62" s="2030"/>
      <c r="P62" s="2030"/>
      <c r="Q62" s="2030"/>
      <c r="R62" s="2030"/>
      <c r="S62" s="2030"/>
      <c r="T62" s="2030"/>
      <c r="U62" s="2030"/>
      <c r="V62" s="2030"/>
      <c r="W62" s="2030"/>
      <c r="X62" s="2030"/>
      <c r="Y62" s="2030"/>
      <c r="Z62" s="2030"/>
      <c r="AA62" s="2030"/>
      <c r="AB62" s="2030"/>
      <c r="AC62" s="2030"/>
    </row>
    <row r="63" spans="1:29" s="1234" customFormat="1" ht="13.5" thickBot="1">
      <c r="A63" s="542" t="s">
        <v>513</v>
      </c>
      <c r="B63" s="543" t="s">
        <v>17</v>
      </c>
      <c r="C63" s="543" t="s">
        <v>18</v>
      </c>
      <c r="D63" s="543" t="s">
        <v>2225</v>
      </c>
      <c r="E63" s="543">
        <f>IF(B43="楼面地价",SUM(E53:E62),'数据-汇总表'!D3)</f>
        <v>33431.800000000003</v>
      </c>
      <c r="F63" s="544" t="e">
        <f>IF(B43="楼面地价",SUM(F53:F62),ROUND(C45*E63/10000,0))</f>
        <v>#DIV/0!</v>
      </c>
      <c r="G63" s="2031"/>
      <c r="H63" s="2031"/>
      <c r="I63" s="2031"/>
      <c r="J63" s="2031"/>
      <c r="K63" s="2031"/>
      <c r="L63" s="2030"/>
      <c r="M63" s="2030"/>
      <c r="N63" s="2030"/>
      <c r="O63" s="2030"/>
      <c r="P63" s="2030"/>
      <c r="Q63" s="2030"/>
      <c r="R63" s="2030"/>
      <c r="S63" s="2030"/>
      <c r="T63" s="2030"/>
      <c r="U63" s="2030"/>
      <c r="V63" s="2030"/>
      <c r="W63" s="2030"/>
      <c r="X63" s="2030"/>
      <c r="Y63" s="2030"/>
      <c r="Z63" s="2030"/>
      <c r="AA63" s="2030"/>
      <c r="AB63" s="2030"/>
      <c r="AC63" s="2030"/>
    </row>
    <row r="64" spans="1:29">
      <c r="A64" s="2020"/>
      <c r="B64" s="2022"/>
      <c r="C64" s="2026"/>
      <c r="D64" s="2020"/>
      <c r="E64" s="2020"/>
      <c r="F64" s="2020"/>
      <c r="G64" s="2020"/>
      <c r="H64" s="2020"/>
      <c r="I64" s="2020"/>
      <c r="J64" s="2020"/>
      <c r="K64" s="2024"/>
      <c r="L64" s="2025"/>
      <c r="M64" s="2020"/>
      <c r="N64" s="2020"/>
      <c r="O64" s="2020"/>
      <c r="P64" s="2020"/>
      <c r="Q64" s="2020"/>
      <c r="R64" s="2020"/>
      <c r="S64" s="2020"/>
      <c r="T64" s="2020"/>
      <c r="U64" s="2020"/>
      <c r="V64" s="2020"/>
      <c r="W64" s="2020"/>
      <c r="X64" s="2020"/>
      <c r="Y64" s="2020"/>
      <c r="Z64" s="2020"/>
      <c r="AA64" s="2020"/>
      <c r="AB64" s="2020"/>
      <c r="AC64" s="2020"/>
    </row>
    <row r="65" spans="1:29">
      <c r="A65" s="2020"/>
      <c r="B65" s="2022"/>
      <c r="C65" s="2665" t="str">
        <f>YEAR(C9)&amp;"-"&amp;MONTH(C9)&amp;"-1"</f>
        <v>2018-5-1</v>
      </c>
      <c r="D65" s="2664">
        <f>EDATE(C65,-3)</f>
        <v>43132</v>
      </c>
      <c r="E65" s="2664">
        <f t="shared" ref="E65:N65" si="17">EDATE(D65,-3)</f>
        <v>43040</v>
      </c>
      <c r="F65" s="2664">
        <f t="shared" si="17"/>
        <v>42948</v>
      </c>
      <c r="G65" s="2664">
        <f t="shared" si="17"/>
        <v>42856</v>
      </c>
      <c r="H65" s="2664">
        <f t="shared" si="17"/>
        <v>42767</v>
      </c>
      <c r="I65" s="2664">
        <f t="shared" si="17"/>
        <v>42675</v>
      </c>
      <c r="J65" s="2664">
        <f t="shared" si="17"/>
        <v>42583</v>
      </c>
      <c r="K65" s="2664">
        <f t="shared" si="17"/>
        <v>42491</v>
      </c>
      <c r="L65" s="2664">
        <f t="shared" si="17"/>
        <v>42401</v>
      </c>
      <c r="M65" s="2664">
        <f t="shared" si="17"/>
        <v>42309</v>
      </c>
      <c r="N65" s="2664">
        <f t="shared" si="17"/>
        <v>42217</v>
      </c>
      <c r="O65" s="2020"/>
      <c r="P65" s="2020"/>
      <c r="Q65" s="2020"/>
      <c r="R65" s="2020"/>
      <c r="S65" s="2020"/>
      <c r="T65" s="2020"/>
      <c r="U65" s="2020"/>
      <c r="V65" s="2020"/>
      <c r="W65" s="2020"/>
      <c r="X65" s="2020"/>
      <c r="Y65" s="2020"/>
      <c r="Z65" s="2020"/>
      <c r="AA65" s="2020"/>
      <c r="AB65" s="2020"/>
      <c r="AC65" s="2020"/>
    </row>
    <row r="66" spans="1:29" ht="21.75" thickBot="1">
      <c r="A66" s="1472" t="s">
        <v>514</v>
      </c>
      <c r="B66" s="1447"/>
      <c r="C66" s="1471"/>
      <c r="D66" s="1471"/>
      <c r="E66" s="1471"/>
      <c r="F66" s="1473"/>
      <c r="G66" s="1473"/>
      <c r="H66" s="1471"/>
      <c r="I66" s="1471"/>
      <c r="J66" s="1471"/>
      <c r="K66" s="1474"/>
      <c r="L66" s="1470"/>
      <c r="M66" s="1471"/>
      <c r="N66" s="1471"/>
      <c r="O66" s="2032"/>
      <c r="P66" s="2032"/>
      <c r="Q66" s="2033"/>
      <c r="R66" s="2020"/>
      <c r="S66" s="2020"/>
      <c r="T66" s="2020"/>
      <c r="U66" s="2020"/>
      <c r="V66" s="2020"/>
      <c r="W66" s="2020"/>
      <c r="X66" s="2020"/>
      <c r="Y66" s="2020"/>
      <c r="Z66" s="2020"/>
      <c r="AA66" s="2020"/>
      <c r="AB66" s="2020"/>
      <c r="AC66" s="2020"/>
    </row>
    <row r="67" spans="1:29" s="1235" customFormat="1" ht="15">
      <c r="A67" s="2434" t="s">
        <v>2461</v>
      </c>
      <c r="B67" s="546"/>
      <c r="C67" s="2659" t="str">
        <f>YEAR(C65)&amp;"-"&amp;ROUNDUP(MONTH(C65)/3,0)</f>
        <v>2018-2</v>
      </c>
      <c r="D67" s="2666" t="str">
        <f t="shared" ref="D67:N67" si="18">YEAR(D65)&amp;"-"&amp;ROUNDUP(MONTH(D65)/3,0)</f>
        <v>2018-1</v>
      </c>
      <c r="E67" s="2666" t="str">
        <f t="shared" si="18"/>
        <v>2017-4</v>
      </c>
      <c r="F67" s="2666" t="str">
        <f t="shared" si="18"/>
        <v>2017-3</v>
      </c>
      <c r="G67" s="2666" t="str">
        <f t="shared" si="18"/>
        <v>2017-2</v>
      </c>
      <c r="H67" s="2666" t="str">
        <f t="shared" si="18"/>
        <v>2017-1</v>
      </c>
      <c r="I67" s="2666" t="str">
        <f t="shared" si="18"/>
        <v>2016-4</v>
      </c>
      <c r="J67" s="2666" t="str">
        <f t="shared" si="18"/>
        <v>2016-3</v>
      </c>
      <c r="K67" s="2666" t="str">
        <f t="shared" si="18"/>
        <v>2016-2</v>
      </c>
      <c r="L67" s="2666" t="str">
        <f t="shared" si="18"/>
        <v>2016-1</v>
      </c>
      <c r="M67" s="2666" t="str">
        <f t="shared" si="18"/>
        <v>2015-4</v>
      </c>
      <c r="N67" s="2666" t="str">
        <f t="shared" si="18"/>
        <v>2015-3</v>
      </c>
      <c r="O67" s="2034"/>
      <c r="P67" s="2035"/>
      <c r="Q67" s="2036"/>
      <c r="R67" s="2036"/>
      <c r="S67" s="2036"/>
      <c r="T67" s="2036"/>
      <c r="U67" s="2036"/>
      <c r="V67" s="2036"/>
      <c r="W67" s="2036"/>
      <c r="X67" s="2036"/>
      <c r="Y67" s="2036"/>
      <c r="Z67" s="2036"/>
      <c r="AA67" s="2036"/>
      <c r="AB67" s="2036"/>
      <c r="AC67" s="2036"/>
    </row>
    <row r="68" spans="1:29" s="1108" customFormat="1" ht="27.75" customHeight="1">
      <c r="A68" s="2663" t="s">
        <v>2577</v>
      </c>
      <c r="B68" s="379" t="str">
        <f>"北京市平均增长率"&amp;TEXT(基准地价!P24,"0.00%")</f>
        <v>北京市平均增长率1.35%</v>
      </c>
      <c r="C68" s="794">
        <v>100</v>
      </c>
      <c r="D68" s="630"/>
      <c r="E68" s="630"/>
      <c r="F68" s="630"/>
      <c r="G68" s="630"/>
      <c r="H68" s="630"/>
      <c r="I68" s="630"/>
      <c r="J68" s="630"/>
      <c r="K68" s="630"/>
      <c r="L68" s="630"/>
      <c r="M68" s="2657"/>
      <c r="N68" s="2658"/>
      <c r="O68" s="2037"/>
      <c r="P68" s="2033"/>
      <c r="Q68" s="1872"/>
      <c r="R68" s="1872"/>
      <c r="S68" s="1872"/>
      <c r="T68" s="1872"/>
      <c r="U68" s="1872"/>
      <c r="V68" s="1872"/>
      <c r="W68" s="1872"/>
      <c r="X68" s="1872"/>
      <c r="Y68" s="1872"/>
      <c r="Z68" s="1872"/>
      <c r="AA68" s="1872"/>
      <c r="AB68" s="1872"/>
      <c r="AC68" s="1872"/>
    </row>
    <row r="69" spans="1:29" s="1108" customFormat="1" ht="15.75" thickBot="1">
      <c r="A69" s="553" t="s">
        <v>515</v>
      </c>
      <c r="B69" s="554"/>
      <c r="C69" s="2655"/>
      <c r="D69" s="2656"/>
      <c r="E69" s="2656"/>
      <c r="F69" s="2656"/>
      <c r="G69" s="2656"/>
      <c r="H69" s="2656"/>
      <c r="I69" s="2656"/>
      <c r="J69" s="2656"/>
      <c r="K69" s="2656"/>
      <c r="L69" s="2656"/>
      <c r="M69" s="2656"/>
      <c r="N69" s="2656"/>
      <c r="O69" s="2037"/>
      <c r="P69" s="2033"/>
      <c r="Q69" s="2033"/>
      <c r="R69" s="1872"/>
      <c r="S69" s="1872"/>
      <c r="T69" s="1872"/>
      <c r="U69" s="1872"/>
      <c r="V69" s="1872"/>
      <c r="W69" s="1872"/>
      <c r="X69" s="1872"/>
      <c r="Y69" s="1872"/>
      <c r="Z69" s="1872"/>
      <c r="AA69" s="1872"/>
      <c r="AB69" s="1872"/>
      <c r="AC69" s="1872"/>
    </row>
    <row r="70" spans="1:29" s="1108" customFormat="1" ht="15">
      <c r="A70" s="559" t="s">
        <v>471</v>
      </c>
      <c r="B70" s="548"/>
      <c r="C70" s="560" t="s">
        <v>516</v>
      </c>
      <c r="D70" s="561"/>
      <c r="E70" s="561"/>
      <c r="F70" s="561"/>
      <c r="G70" s="561"/>
      <c r="H70" s="561"/>
      <c r="I70" s="561"/>
      <c r="J70" s="561"/>
      <c r="K70" s="561"/>
      <c r="L70" s="562"/>
      <c r="M70" s="563"/>
      <c r="N70" s="2037"/>
      <c r="O70" s="2037"/>
      <c r="P70" s="2038"/>
      <c r="Q70" s="2033"/>
      <c r="R70" s="1872"/>
      <c r="S70" s="1872"/>
      <c r="T70" s="1872"/>
      <c r="U70" s="1872"/>
      <c r="V70" s="1872"/>
      <c r="W70" s="1872"/>
      <c r="X70" s="1872"/>
      <c r="Y70" s="1872"/>
      <c r="Z70" s="1872"/>
      <c r="AA70" s="1872"/>
      <c r="AB70" s="1872"/>
      <c r="AC70" s="1872"/>
    </row>
    <row r="71" spans="1:29" s="1108" customFormat="1" ht="15.75" thickBot="1">
      <c r="A71" s="559"/>
      <c r="B71" s="548"/>
      <c r="C71" s="549">
        <v>100</v>
      </c>
      <c r="D71" s="550"/>
      <c r="E71" s="550"/>
      <c r="F71" s="550"/>
      <c r="G71" s="550"/>
      <c r="H71" s="550"/>
      <c r="I71" s="550"/>
      <c r="J71" s="550"/>
      <c r="K71" s="550"/>
      <c r="L71" s="550"/>
      <c r="M71" s="552"/>
      <c r="N71" s="2037"/>
      <c r="O71" s="2037"/>
      <c r="P71" s="2033"/>
      <c r="Q71" s="2033"/>
      <c r="R71" s="1872"/>
      <c r="S71" s="1872"/>
      <c r="T71" s="1872"/>
      <c r="U71" s="1872"/>
      <c r="V71" s="1872"/>
      <c r="W71" s="1872"/>
      <c r="X71" s="1872"/>
      <c r="Y71" s="1872"/>
      <c r="Z71" s="1872"/>
      <c r="AA71" s="1872"/>
      <c r="AB71" s="1872"/>
      <c r="AC71" s="1872"/>
    </row>
    <row r="72" spans="1:29">
      <c r="A72" s="564" t="s">
        <v>517</v>
      </c>
      <c r="B72" s="565" t="s">
        <v>474</v>
      </c>
      <c r="C72" s="498"/>
      <c r="D72" s="498"/>
      <c r="E72" s="498"/>
      <c r="F72" s="498"/>
      <c r="G72" s="498"/>
      <c r="H72" s="498"/>
      <c r="I72" s="498"/>
      <c r="J72" s="498"/>
      <c r="K72" s="566"/>
      <c r="L72" s="567"/>
      <c r="M72" s="568"/>
      <c r="N72" s="2039"/>
      <c r="O72" s="2039"/>
      <c r="P72" s="2040"/>
      <c r="Q72" s="2033"/>
      <c r="R72" s="2020"/>
      <c r="S72" s="2020"/>
      <c r="T72" s="2020"/>
      <c r="U72" s="2020"/>
      <c r="V72" s="2020"/>
      <c r="W72" s="2020"/>
      <c r="X72" s="2020"/>
      <c r="Y72" s="2020"/>
      <c r="Z72" s="2020"/>
      <c r="AA72" s="2020"/>
      <c r="AB72" s="2020"/>
      <c r="AC72" s="2020"/>
    </row>
    <row r="73" spans="1:29" ht="15.75" thickBot="1">
      <c r="A73" s="569"/>
      <c r="B73" s="570"/>
      <c r="C73" s="571"/>
      <c r="D73" s="571"/>
      <c r="E73" s="571"/>
      <c r="F73" s="571"/>
      <c r="G73" s="571"/>
      <c r="H73" s="571"/>
      <c r="I73" s="571"/>
      <c r="J73" s="571"/>
      <c r="K73" s="571"/>
      <c r="L73" s="571"/>
      <c r="M73" s="572"/>
      <c r="N73" s="2041"/>
      <c r="O73" s="2041"/>
      <c r="P73" s="2040"/>
      <c r="Q73" s="2033"/>
      <c r="R73" s="2020"/>
      <c r="S73" s="2020"/>
      <c r="T73" s="2020"/>
      <c r="U73" s="2020"/>
      <c r="V73" s="2020"/>
      <c r="W73" s="2020"/>
      <c r="X73" s="2020"/>
      <c r="Y73" s="2020"/>
      <c r="Z73" s="2020"/>
      <c r="AA73" s="2020"/>
      <c r="AB73" s="2020"/>
      <c r="AC73" s="2020"/>
    </row>
    <row r="74" spans="1:29" ht="27.75" thickTop="1">
      <c r="A74" s="569"/>
      <c r="B74" s="573" t="s">
        <v>477</v>
      </c>
      <c r="C74" s="574"/>
      <c r="D74" s="574"/>
      <c r="E74" s="574"/>
      <c r="F74" s="574"/>
      <c r="G74" s="574"/>
      <c r="H74" s="574"/>
      <c r="I74" s="574"/>
      <c r="J74" s="574"/>
      <c r="K74" s="575"/>
      <c r="L74" s="576"/>
      <c r="M74" s="577"/>
      <c r="N74" s="2039"/>
      <c r="O74" s="2039"/>
      <c r="P74" s="2040"/>
      <c r="Q74" s="2033"/>
      <c r="R74" s="2020"/>
      <c r="S74" s="2020"/>
      <c r="T74" s="2020"/>
      <c r="U74" s="2020"/>
      <c r="V74" s="2020"/>
      <c r="W74" s="2020"/>
      <c r="X74" s="2020"/>
      <c r="Y74" s="2020"/>
      <c r="Z74" s="2020"/>
      <c r="AA74" s="2020"/>
      <c r="AB74" s="2020"/>
      <c r="AC74" s="2020"/>
    </row>
    <row r="75" spans="1:29" ht="15.75" thickBot="1">
      <c r="A75" s="569"/>
      <c r="B75" s="578"/>
      <c r="C75" s="579"/>
      <c r="D75" s="579"/>
      <c r="E75" s="579"/>
      <c r="F75" s="579"/>
      <c r="G75" s="579"/>
      <c r="H75" s="579"/>
      <c r="I75" s="579"/>
      <c r="J75" s="579"/>
      <c r="K75" s="579"/>
      <c r="L75" s="579"/>
      <c r="M75" s="580"/>
      <c r="N75" s="2041"/>
      <c r="O75" s="2041"/>
      <c r="P75" s="2040"/>
      <c r="Q75" s="2033"/>
      <c r="R75" s="2020"/>
      <c r="S75" s="2020"/>
      <c r="T75" s="2020"/>
      <c r="U75" s="2020"/>
      <c r="V75" s="2020"/>
      <c r="W75" s="2020"/>
      <c r="X75" s="2020"/>
      <c r="Y75" s="2020"/>
      <c r="Z75" s="2020"/>
      <c r="AA75" s="2020"/>
      <c r="AB75" s="2020"/>
      <c r="AC75" s="2020"/>
    </row>
    <row r="76" spans="1:29" ht="15.75" thickTop="1">
      <c r="A76" s="569"/>
      <c r="B76" s="581" t="s">
        <v>478</v>
      </c>
      <c r="C76" s="582" t="str">
        <f>C77&amp;"（含）"&amp;"-"&amp;D77</f>
        <v>（含）-</v>
      </c>
      <c r="D76" s="582" t="str">
        <f t="shared" ref="D76:L76" si="19">D77&amp;"（含）"&amp;"-"&amp;E77</f>
        <v>（含）-</v>
      </c>
      <c r="E76" s="582" t="str">
        <f t="shared" si="19"/>
        <v>（含）-</v>
      </c>
      <c r="F76" s="582" t="str">
        <f t="shared" si="19"/>
        <v>（含）-</v>
      </c>
      <c r="G76" s="582" t="str">
        <f t="shared" si="19"/>
        <v>（含）-</v>
      </c>
      <c r="H76" s="582" t="str">
        <f t="shared" si="19"/>
        <v>（含）-</v>
      </c>
      <c r="I76" s="582" t="str">
        <f t="shared" si="19"/>
        <v>（含）-</v>
      </c>
      <c r="J76" s="582" t="str">
        <f t="shared" si="19"/>
        <v>（含）-</v>
      </c>
      <c r="K76" s="582" t="str">
        <f t="shared" si="19"/>
        <v>（含）-</v>
      </c>
      <c r="L76" s="582" t="str">
        <f t="shared" si="19"/>
        <v>（含）-</v>
      </c>
      <c r="M76" s="455" t="str">
        <f>M77&amp;"（含）"&amp;"-"&amp;P77</f>
        <v>（含）-</v>
      </c>
      <c r="N76" s="2041"/>
      <c r="O76" s="2041"/>
      <c r="P76" s="2040"/>
      <c r="Q76" s="2033"/>
      <c r="R76" s="2020"/>
      <c r="S76" s="2020"/>
      <c r="T76" s="2020"/>
      <c r="U76" s="2020"/>
      <c r="V76" s="2020"/>
      <c r="W76" s="2020"/>
      <c r="X76" s="2020"/>
      <c r="Y76" s="2020"/>
      <c r="Z76" s="2020"/>
      <c r="AA76" s="2020"/>
      <c r="AB76" s="2020"/>
      <c r="AC76" s="2020"/>
    </row>
    <row r="77" spans="1:29" ht="15">
      <c r="A77" s="569"/>
      <c r="B77" s="583"/>
      <c r="C77" s="441"/>
      <c r="D77" s="441"/>
      <c r="E77" s="441"/>
      <c r="F77" s="441"/>
      <c r="G77" s="441"/>
      <c r="H77" s="441"/>
      <c r="I77" s="441"/>
      <c r="J77" s="441"/>
      <c r="K77" s="584"/>
      <c r="L77" s="585"/>
      <c r="M77" s="586"/>
      <c r="N77" s="2039"/>
      <c r="O77" s="2039"/>
      <c r="P77" s="2040"/>
      <c r="Q77" s="2033"/>
      <c r="R77" s="2020"/>
      <c r="S77" s="2020"/>
      <c r="T77" s="2020"/>
      <c r="U77" s="2020"/>
      <c r="V77" s="2020"/>
      <c r="W77" s="2020"/>
      <c r="X77" s="2020"/>
      <c r="Y77" s="2020"/>
      <c r="Z77" s="2020"/>
      <c r="AA77" s="2020"/>
      <c r="AB77" s="2020"/>
      <c r="AC77" s="2020"/>
    </row>
    <row r="78" spans="1:29" ht="15.75" thickBot="1">
      <c r="A78" s="569"/>
      <c r="B78" s="570"/>
      <c r="C78" s="579">
        <v>100</v>
      </c>
      <c r="D78" s="579">
        <f>IF($B$43="单位面积地价",C78+$K13,C78-$K13)</f>
        <v>100</v>
      </c>
      <c r="E78" s="579">
        <f t="shared" ref="E78:M78" si="20">IF($B$43="单位面积地价",D78+$K13,D78-$K13)</f>
        <v>100</v>
      </c>
      <c r="F78" s="579">
        <f t="shared" si="20"/>
        <v>100</v>
      </c>
      <c r="G78" s="579">
        <f t="shared" si="20"/>
        <v>100</v>
      </c>
      <c r="H78" s="579">
        <f t="shared" si="20"/>
        <v>100</v>
      </c>
      <c r="I78" s="579">
        <f t="shared" si="20"/>
        <v>100</v>
      </c>
      <c r="J78" s="579">
        <f t="shared" si="20"/>
        <v>100</v>
      </c>
      <c r="K78" s="579">
        <f t="shared" si="20"/>
        <v>100</v>
      </c>
      <c r="L78" s="579">
        <f t="shared" si="20"/>
        <v>100</v>
      </c>
      <c r="M78" s="579">
        <f t="shared" si="20"/>
        <v>100</v>
      </c>
      <c r="N78" s="2041"/>
      <c r="O78" s="2041"/>
      <c r="P78" s="2040"/>
      <c r="Q78" s="2033"/>
      <c r="R78" s="2020"/>
      <c r="S78" s="2020"/>
      <c r="T78" s="2020"/>
      <c r="U78" s="2020"/>
      <c r="V78" s="2020"/>
      <c r="W78" s="2020"/>
      <c r="X78" s="2020"/>
      <c r="Y78" s="2020"/>
      <c r="Z78" s="2020"/>
      <c r="AA78" s="2020"/>
      <c r="AB78" s="2020"/>
      <c r="AC78" s="2020"/>
    </row>
    <row r="79" spans="1:29" s="1227" customFormat="1" ht="15.75" thickTop="1">
      <c r="A79" s="587"/>
      <c r="B79" s="573">
        <f>B14</f>
        <v>111</v>
      </c>
      <c r="C79" s="588"/>
      <c r="D79" s="588"/>
      <c r="E79" s="588"/>
      <c r="F79" s="588"/>
      <c r="G79" s="588"/>
      <c r="H79" s="589"/>
      <c r="I79" s="589"/>
      <c r="J79" s="589"/>
      <c r="K79" s="589"/>
      <c r="L79" s="590"/>
      <c r="M79" s="591"/>
      <c r="N79" s="2042"/>
      <c r="O79" s="2042"/>
      <c r="P79" s="2043"/>
      <c r="Q79" s="2044"/>
      <c r="R79" s="2045"/>
      <c r="S79" s="2045"/>
      <c r="T79" s="2045"/>
      <c r="U79" s="2045"/>
      <c r="V79" s="2045"/>
      <c r="W79" s="2045"/>
      <c r="X79" s="2045"/>
      <c r="Y79" s="2045"/>
      <c r="Z79" s="2045"/>
      <c r="AA79" s="2045"/>
      <c r="AB79" s="2045"/>
      <c r="AC79" s="2045"/>
    </row>
    <row r="80" spans="1:29" s="1227" customFormat="1" ht="15.75" thickBot="1">
      <c r="A80" s="587"/>
      <c r="B80" s="578"/>
      <c r="C80" s="592"/>
      <c r="D80" s="571"/>
      <c r="E80" s="571"/>
      <c r="F80" s="571"/>
      <c r="G80" s="571"/>
      <c r="H80" s="571"/>
      <c r="I80" s="571"/>
      <c r="J80" s="571"/>
      <c r="K80" s="571"/>
      <c r="L80" s="571"/>
      <c r="M80" s="572"/>
      <c r="N80" s="2041"/>
      <c r="O80" s="2041"/>
      <c r="P80" s="2043"/>
      <c r="Q80" s="2044"/>
      <c r="R80" s="2045"/>
      <c r="S80" s="2045"/>
      <c r="T80" s="2045"/>
      <c r="U80" s="2045"/>
      <c r="V80" s="2045"/>
      <c r="W80" s="2045"/>
      <c r="X80" s="2045"/>
      <c r="Y80" s="2045"/>
      <c r="Z80" s="2045"/>
      <c r="AA80" s="2045"/>
      <c r="AB80" s="2045"/>
      <c r="AC80" s="2045"/>
    </row>
    <row r="81" spans="1:29" s="1227" customFormat="1" ht="15.75" thickTop="1">
      <c r="A81" s="587"/>
      <c r="B81" s="573">
        <f>B15</f>
        <v>111</v>
      </c>
      <c r="C81" s="588"/>
      <c r="D81" s="588"/>
      <c r="E81" s="588"/>
      <c r="F81" s="588"/>
      <c r="G81" s="588"/>
      <c r="H81" s="589"/>
      <c r="I81" s="589"/>
      <c r="J81" s="589"/>
      <c r="K81" s="589"/>
      <c r="L81" s="590"/>
      <c r="M81" s="591"/>
      <c r="N81" s="2042"/>
      <c r="O81" s="2042"/>
      <c r="P81" s="2046"/>
      <c r="Q81" s="2047"/>
      <c r="R81" s="2045"/>
      <c r="S81" s="2045"/>
      <c r="T81" s="2045"/>
      <c r="U81" s="2045"/>
      <c r="V81" s="2045"/>
      <c r="W81" s="2045"/>
      <c r="X81" s="2045"/>
      <c r="Y81" s="2045"/>
      <c r="Z81" s="2045"/>
      <c r="AA81" s="2045"/>
      <c r="AB81" s="2045"/>
      <c r="AC81" s="2045"/>
    </row>
    <row r="82" spans="1:29" s="1227" customFormat="1" ht="15.75" thickBot="1">
      <c r="A82" s="587"/>
      <c r="B82" s="578"/>
      <c r="C82" s="592"/>
      <c r="D82" s="592"/>
      <c r="E82" s="592"/>
      <c r="F82" s="592"/>
      <c r="G82" s="592"/>
      <c r="H82" s="593"/>
      <c r="I82" s="593"/>
      <c r="J82" s="593"/>
      <c r="K82" s="593"/>
      <c r="L82" s="593"/>
      <c r="M82" s="594"/>
      <c r="N82" s="2042"/>
      <c r="O82" s="2042"/>
      <c r="P82" s="2043"/>
      <c r="Q82" s="2044"/>
      <c r="R82" s="2045"/>
      <c r="S82" s="2045"/>
      <c r="T82" s="2045"/>
      <c r="U82" s="2045"/>
      <c r="V82" s="2045"/>
      <c r="W82" s="2045"/>
      <c r="X82" s="2045"/>
      <c r="Y82" s="2045"/>
      <c r="Z82" s="2045"/>
      <c r="AA82" s="2045"/>
      <c r="AB82" s="2045"/>
      <c r="AC82" s="2045"/>
    </row>
    <row r="83" spans="1:29" s="1227" customFormat="1" ht="15.75" thickTop="1">
      <c r="A83" s="587"/>
      <c r="B83" s="581">
        <f>B16</f>
        <v>111</v>
      </c>
      <c r="C83" s="561"/>
      <c r="D83" s="561"/>
      <c r="E83" s="561"/>
      <c r="F83" s="561"/>
      <c r="G83" s="561"/>
      <c r="H83" s="595"/>
      <c r="I83" s="595"/>
      <c r="J83" s="595"/>
      <c r="K83" s="595"/>
      <c r="L83" s="596"/>
      <c r="M83" s="597"/>
      <c r="N83" s="2042"/>
      <c r="O83" s="2042"/>
      <c r="P83" s="2048"/>
      <c r="Q83" s="2044"/>
      <c r="R83" s="2045"/>
      <c r="S83" s="2045"/>
      <c r="T83" s="2045"/>
      <c r="U83" s="2045"/>
      <c r="V83" s="2045"/>
      <c r="W83" s="2045"/>
      <c r="X83" s="2045"/>
      <c r="Y83" s="2045"/>
      <c r="Z83" s="2045"/>
      <c r="AA83" s="2045"/>
      <c r="AB83" s="2045"/>
      <c r="AC83" s="2045"/>
    </row>
    <row r="84" spans="1:29" s="1227" customFormat="1" ht="15.75" thickBot="1">
      <c r="A84" s="598"/>
      <c r="B84" s="599"/>
      <c r="C84" s="600"/>
      <c r="D84" s="600"/>
      <c r="E84" s="600"/>
      <c r="F84" s="600"/>
      <c r="G84" s="600"/>
      <c r="H84" s="601"/>
      <c r="I84" s="601"/>
      <c r="J84" s="601"/>
      <c r="K84" s="601"/>
      <c r="L84" s="601"/>
      <c r="M84" s="602"/>
      <c r="N84" s="2042"/>
      <c r="O84" s="2042"/>
      <c r="P84" s="2043"/>
      <c r="Q84" s="2044"/>
      <c r="R84" s="2045"/>
      <c r="S84" s="2045"/>
      <c r="T84" s="2045"/>
      <c r="U84" s="2045"/>
      <c r="V84" s="2045"/>
      <c r="W84" s="2045"/>
      <c r="X84" s="2045"/>
      <c r="Y84" s="2045"/>
      <c r="Z84" s="2045"/>
      <c r="AA84" s="2045"/>
      <c r="AB84" s="2045"/>
      <c r="AC84" s="2045"/>
    </row>
    <row r="85" spans="1:29">
      <c r="A85" s="564" t="s">
        <v>479</v>
      </c>
      <c r="B85" s="565" t="s">
        <v>542</v>
      </c>
      <c r="C85" s="603" t="s">
        <v>519</v>
      </c>
      <c r="D85" s="603" t="s">
        <v>520</v>
      </c>
      <c r="E85" s="603" t="s">
        <v>521</v>
      </c>
      <c r="F85" s="603" t="s">
        <v>522</v>
      </c>
      <c r="G85" s="603" t="s">
        <v>523</v>
      </c>
      <c r="H85" s="604"/>
      <c r="I85" s="604"/>
      <c r="J85" s="604"/>
      <c r="K85" s="605"/>
      <c r="L85" s="606"/>
      <c r="M85" s="607"/>
      <c r="N85" s="2039"/>
      <c r="O85" s="2039"/>
      <c r="P85" s="2049"/>
      <c r="Q85" s="2033"/>
      <c r="R85" s="2020"/>
      <c r="S85" s="2020"/>
      <c r="T85" s="2020"/>
      <c r="U85" s="2020"/>
      <c r="V85" s="2020"/>
      <c r="W85" s="2020"/>
      <c r="X85" s="2020"/>
      <c r="Y85" s="2020"/>
      <c r="Z85" s="2020"/>
      <c r="AA85" s="2020"/>
      <c r="AB85" s="2020"/>
      <c r="AC85" s="2020"/>
    </row>
    <row r="86" spans="1:29" ht="15.75" thickBot="1">
      <c r="A86" s="569"/>
      <c r="B86" s="578"/>
      <c r="C86" s="579">
        <v>100</v>
      </c>
      <c r="D86" s="579">
        <f>C86-$K17</f>
        <v>100</v>
      </c>
      <c r="E86" s="579">
        <f>D86-$K17</f>
        <v>100</v>
      </c>
      <c r="F86" s="579">
        <f>E86-$K17</f>
        <v>100</v>
      </c>
      <c r="G86" s="579">
        <f>F86-$K17</f>
        <v>100</v>
      </c>
      <c r="H86" s="579"/>
      <c r="I86" s="579"/>
      <c r="J86" s="579"/>
      <c r="K86" s="579"/>
      <c r="L86" s="579"/>
      <c r="M86" s="580"/>
      <c r="N86" s="2041"/>
      <c r="O86" s="2041"/>
      <c r="P86" s="2040"/>
      <c r="Q86" s="2033"/>
      <c r="R86" s="2020"/>
      <c r="S86" s="2020"/>
      <c r="T86" s="2020"/>
      <c r="U86" s="2020"/>
      <c r="V86" s="2020"/>
      <c r="W86" s="2020"/>
      <c r="X86" s="2020"/>
      <c r="Y86" s="2020"/>
      <c r="Z86" s="2020"/>
      <c r="AA86" s="2020"/>
      <c r="AB86" s="2020"/>
      <c r="AC86" s="2020"/>
    </row>
    <row r="87" spans="1:29" ht="15.75" thickTop="1">
      <c r="A87" s="569"/>
      <c r="B87" s="573" t="s">
        <v>526</v>
      </c>
      <c r="C87" s="608" t="s">
        <v>519</v>
      </c>
      <c r="D87" s="608" t="s">
        <v>520</v>
      </c>
      <c r="E87" s="608" t="s">
        <v>521</v>
      </c>
      <c r="F87" s="608" t="s">
        <v>522</v>
      </c>
      <c r="G87" s="608" t="s">
        <v>523</v>
      </c>
      <c r="H87" s="574"/>
      <c r="I87" s="574"/>
      <c r="J87" s="574"/>
      <c r="K87" s="575"/>
      <c r="L87" s="576"/>
      <c r="M87" s="577"/>
      <c r="N87" s="2039"/>
      <c r="O87" s="2039"/>
      <c r="P87" s="2040"/>
      <c r="Q87" s="2033"/>
      <c r="R87" s="2020"/>
      <c r="S87" s="2020"/>
      <c r="T87" s="2020"/>
      <c r="U87" s="2020"/>
      <c r="V87" s="2020"/>
      <c r="W87" s="2020"/>
      <c r="X87" s="2020"/>
      <c r="Y87" s="2020"/>
      <c r="Z87" s="2020"/>
      <c r="AA87" s="2020"/>
      <c r="AB87" s="2020"/>
      <c r="AC87" s="2020"/>
    </row>
    <row r="88" spans="1:29" ht="15.75" thickBot="1">
      <c r="A88" s="569"/>
      <c r="B88" s="578"/>
      <c r="C88" s="579">
        <v>100</v>
      </c>
      <c r="D88" s="579">
        <f>C88-$K19</f>
        <v>100</v>
      </c>
      <c r="E88" s="579">
        <f>D88-$K19</f>
        <v>100</v>
      </c>
      <c r="F88" s="579">
        <f>E88-$K19</f>
        <v>100</v>
      </c>
      <c r="G88" s="579">
        <f>F88-$K19</f>
        <v>100</v>
      </c>
      <c r="H88" s="579"/>
      <c r="I88" s="579"/>
      <c r="J88" s="579"/>
      <c r="K88" s="579"/>
      <c r="L88" s="579"/>
      <c r="M88" s="580"/>
      <c r="N88" s="2041"/>
      <c r="O88" s="2041"/>
      <c r="P88" s="2040"/>
      <c r="Q88" s="2033"/>
      <c r="R88" s="2020"/>
      <c r="S88" s="2020"/>
      <c r="T88" s="2020"/>
      <c r="U88" s="2020"/>
      <c r="V88" s="2020"/>
      <c r="W88" s="2020"/>
      <c r="X88" s="2020"/>
      <c r="Y88" s="2020"/>
      <c r="Z88" s="2020"/>
      <c r="AA88" s="2020"/>
      <c r="AB88" s="2020"/>
      <c r="AC88" s="2020"/>
    </row>
    <row r="89" spans="1:29" s="1108" customFormat="1" ht="27.75" thickTop="1">
      <c r="A89" s="609"/>
      <c r="B89" s="573" t="s">
        <v>527</v>
      </c>
      <c r="C89" s="608" t="s">
        <v>519</v>
      </c>
      <c r="D89" s="608" t="s">
        <v>520</v>
      </c>
      <c r="E89" s="608" t="s">
        <v>521</v>
      </c>
      <c r="F89" s="608" t="s">
        <v>522</v>
      </c>
      <c r="G89" s="608" t="s">
        <v>523</v>
      </c>
      <c r="H89" s="608"/>
      <c r="I89" s="608"/>
      <c r="J89" s="608"/>
      <c r="K89" s="608"/>
      <c r="L89" s="610"/>
      <c r="M89" s="611"/>
      <c r="N89" s="2037"/>
      <c r="O89" s="2037"/>
      <c r="P89" s="2040"/>
      <c r="Q89" s="2033"/>
      <c r="R89" s="1872"/>
      <c r="S89" s="1872"/>
      <c r="T89" s="1872"/>
      <c r="U89" s="1872"/>
      <c r="V89" s="1872"/>
      <c r="W89" s="1872"/>
      <c r="X89" s="1872"/>
      <c r="Y89" s="1872"/>
      <c r="Z89" s="1872"/>
      <c r="AA89" s="1872"/>
      <c r="AB89" s="1872"/>
      <c r="AC89" s="1872"/>
    </row>
    <row r="90" spans="1:29" s="1108" customFormat="1" ht="15.75" thickBot="1">
      <c r="A90" s="609"/>
      <c r="B90" s="578"/>
      <c r="C90" s="612">
        <v>100</v>
      </c>
      <c r="D90" s="579">
        <f>C90-$K21</f>
        <v>100</v>
      </c>
      <c r="E90" s="579">
        <f>D90-$K21</f>
        <v>100</v>
      </c>
      <c r="F90" s="579">
        <f>E90-$K21</f>
        <v>100</v>
      </c>
      <c r="G90" s="579">
        <f>F90-$K21</f>
        <v>100</v>
      </c>
      <c r="H90" s="579"/>
      <c r="I90" s="579"/>
      <c r="J90" s="579"/>
      <c r="K90" s="579"/>
      <c r="L90" s="579"/>
      <c r="M90" s="580"/>
      <c r="N90" s="2041"/>
      <c r="O90" s="2041"/>
      <c r="P90" s="2040"/>
      <c r="Q90" s="2033"/>
      <c r="R90" s="1872"/>
      <c r="S90" s="1872"/>
      <c r="T90" s="1872"/>
      <c r="U90" s="1872"/>
      <c r="V90" s="1872"/>
      <c r="W90" s="1872"/>
      <c r="X90" s="1872"/>
      <c r="Y90" s="1872"/>
      <c r="Z90" s="1872"/>
      <c r="AA90" s="1872"/>
      <c r="AB90" s="1872"/>
      <c r="AC90" s="1872"/>
    </row>
    <row r="91" spans="1:29" s="1108" customFormat="1" ht="27.75" thickTop="1">
      <c r="A91" s="609"/>
      <c r="B91" s="573" t="s">
        <v>528</v>
      </c>
      <c r="C91" s="603" t="s">
        <v>519</v>
      </c>
      <c r="D91" s="603" t="s">
        <v>520</v>
      </c>
      <c r="E91" s="603" t="s">
        <v>521</v>
      </c>
      <c r="F91" s="603" t="s">
        <v>522</v>
      </c>
      <c r="G91" s="603" t="s">
        <v>523</v>
      </c>
      <c r="H91" s="608"/>
      <c r="I91" s="608"/>
      <c r="J91" s="608"/>
      <c r="K91" s="608"/>
      <c r="L91" s="608"/>
      <c r="M91" s="611"/>
      <c r="N91" s="2037"/>
      <c r="O91" s="2037"/>
      <c r="P91" s="2040"/>
      <c r="Q91" s="2033"/>
      <c r="R91" s="1872"/>
      <c r="S91" s="1872"/>
      <c r="T91" s="1872"/>
      <c r="U91" s="1872"/>
      <c r="V91" s="1872"/>
      <c r="W91" s="1872"/>
      <c r="X91" s="1872"/>
      <c r="Y91" s="1872"/>
      <c r="Z91" s="1872"/>
      <c r="AA91" s="1872"/>
      <c r="AB91" s="1872"/>
      <c r="AC91" s="1872"/>
    </row>
    <row r="92" spans="1:29" s="1108" customFormat="1" ht="15.75" thickBot="1">
      <c r="A92" s="609"/>
      <c r="B92" s="578"/>
      <c r="C92" s="579">
        <v>100</v>
      </c>
      <c r="D92" s="579">
        <f>C92-$K23</f>
        <v>100</v>
      </c>
      <c r="E92" s="579">
        <f>D92-$K23</f>
        <v>100</v>
      </c>
      <c r="F92" s="579">
        <f>E92-$K23</f>
        <v>100</v>
      </c>
      <c r="G92" s="579">
        <f>F92-$K23</f>
        <v>100</v>
      </c>
      <c r="H92" s="579"/>
      <c r="I92" s="579"/>
      <c r="J92" s="579"/>
      <c r="K92" s="579"/>
      <c r="L92" s="579"/>
      <c r="M92" s="580"/>
      <c r="N92" s="2041"/>
      <c r="O92" s="2041"/>
      <c r="P92" s="2040"/>
      <c r="Q92" s="2033"/>
      <c r="R92" s="1872"/>
      <c r="S92" s="1872"/>
      <c r="T92" s="1872"/>
      <c r="U92" s="1872"/>
      <c r="V92" s="1872"/>
      <c r="W92" s="1872"/>
      <c r="X92" s="1872"/>
      <c r="Y92" s="1872"/>
      <c r="Z92" s="1872"/>
      <c r="AA92" s="1872"/>
      <c r="AB92" s="1872"/>
      <c r="AC92" s="1872"/>
    </row>
    <row r="93" spans="1:29" s="1227" customFormat="1" ht="15.75" thickTop="1">
      <c r="A93" s="587"/>
      <c r="B93" s="1778" t="s">
        <v>2476</v>
      </c>
      <c r="C93" s="603" t="s">
        <v>519</v>
      </c>
      <c r="D93" s="603" t="s">
        <v>520</v>
      </c>
      <c r="E93" s="603" t="s">
        <v>521</v>
      </c>
      <c r="F93" s="603" t="s">
        <v>522</v>
      </c>
      <c r="G93" s="603" t="s">
        <v>523</v>
      </c>
      <c r="H93" s="613"/>
      <c r="I93" s="613"/>
      <c r="J93" s="613"/>
      <c r="K93" s="613"/>
      <c r="L93" s="614"/>
      <c r="M93" s="615"/>
      <c r="N93" s="2042"/>
      <c r="O93" s="2042"/>
      <c r="P93" s="2043"/>
      <c r="Q93" s="2044"/>
      <c r="R93" s="2045"/>
      <c r="S93" s="2045"/>
      <c r="T93" s="2045"/>
      <c r="U93" s="2045"/>
      <c r="V93" s="2045"/>
      <c r="W93" s="2045"/>
      <c r="X93" s="2045"/>
      <c r="Y93" s="2045"/>
      <c r="Z93" s="2045"/>
      <c r="AA93" s="2045"/>
      <c r="AB93" s="2045"/>
      <c r="AC93" s="2045"/>
    </row>
    <row r="94" spans="1:29" s="1227" customFormat="1" ht="15.75" thickBot="1">
      <c r="A94" s="587"/>
      <c r="B94" s="578"/>
      <c r="C94" s="579">
        <v>100</v>
      </c>
      <c r="D94" s="579">
        <f>C94-$K25</f>
        <v>100</v>
      </c>
      <c r="E94" s="579">
        <f>D94-$K25</f>
        <v>100</v>
      </c>
      <c r="F94" s="579">
        <f>E94-$K25</f>
        <v>100</v>
      </c>
      <c r="G94" s="579">
        <f>F94-$K25</f>
        <v>100</v>
      </c>
      <c r="H94" s="616"/>
      <c r="I94" s="616"/>
      <c r="J94" s="616"/>
      <c r="K94" s="616"/>
      <c r="L94" s="616"/>
      <c r="M94" s="617"/>
      <c r="N94" s="2042"/>
      <c r="O94" s="2042"/>
      <c r="P94" s="2043"/>
      <c r="Q94" s="2044"/>
      <c r="R94" s="2045"/>
      <c r="S94" s="2045"/>
      <c r="T94" s="2045"/>
      <c r="U94" s="2045"/>
      <c r="V94" s="2045"/>
      <c r="W94" s="2045"/>
      <c r="X94" s="2045"/>
      <c r="Y94" s="2045"/>
      <c r="Z94" s="2045"/>
      <c r="AA94" s="2045"/>
      <c r="AB94" s="2045"/>
      <c r="AC94" s="2045"/>
    </row>
    <row r="95" spans="1:29" s="1227" customFormat="1" ht="15.75" thickTop="1">
      <c r="A95" s="587"/>
      <c r="B95" s="2463" t="s">
        <v>2478</v>
      </c>
      <c r="C95" s="2464" t="s">
        <v>2479</v>
      </c>
      <c r="D95" s="2464" t="s">
        <v>2480</v>
      </c>
      <c r="E95" s="2464" t="s">
        <v>2481</v>
      </c>
      <c r="F95" s="2464" t="s">
        <v>2482</v>
      </c>
      <c r="G95" s="2464" t="s">
        <v>2483</v>
      </c>
      <c r="H95" s="613"/>
      <c r="I95" s="613"/>
      <c r="J95" s="613"/>
      <c r="K95" s="613"/>
      <c r="L95" s="613"/>
      <c r="M95" s="615"/>
      <c r="N95" s="2042"/>
      <c r="O95" s="2042"/>
      <c r="P95" s="2043"/>
      <c r="Q95" s="2044"/>
      <c r="R95" s="2045"/>
      <c r="S95" s="2045"/>
      <c r="T95" s="2045"/>
      <c r="U95" s="2045"/>
      <c r="V95" s="2045"/>
      <c r="W95" s="2045"/>
      <c r="X95" s="2045"/>
      <c r="Y95" s="2045"/>
      <c r="Z95" s="2045"/>
      <c r="AA95" s="2045"/>
      <c r="AB95" s="2045"/>
      <c r="AC95" s="2045"/>
    </row>
    <row r="96" spans="1:29" s="1227" customFormat="1" ht="15.75" thickBot="1">
      <c r="A96" s="587"/>
      <c r="B96" s="581"/>
      <c r="C96" s="579">
        <v>100</v>
      </c>
      <c r="D96" s="579">
        <f>C96-$K27</f>
        <v>100</v>
      </c>
      <c r="E96" s="579">
        <f>D96-$K27</f>
        <v>100</v>
      </c>
      <c r="F96" s="579">
        <f>E96-$K27</f>
        <v>100</v>
      </c>
      <c r="G96" s="579">
        <f>F96-$K27</f>
        <v>100</v>
      </c>
      <c r="H96" s="583"/>
      <c r="I96" s="583"/>
      <c r="J96" s="583"/>
      <c r="K96" s="583"/>
      <c r="L96" s="583"/>
      <c r="M96" s="2456"/>
      <c r="N96" s="2042"/>
      <c r="O96" s="2042"/>
      <c r="P96" s="2043"/>
      <c r="Q96" s="2044"/>
      <c r="R96" s="2045"/>
      <c r="S96" s="2045"/>
      <c r="T96" s="2045"/>
      <c r="U96" s="2045"/>
      <c r="V96" s="2045"/>
      <c r="W96" s="2045"/>
      <c r="X96" s="2045"/>
      <c r="Y96" s="2045"/>
      <c r="Z96" s="2045"/>
      <c r="AA96" s="2045"/>
      <c r="AB96" s="2045"/>
      <c r="AC96" s="2045"/>
    </row>
    <row r="97" spans="1:29" ht="15.75" thickTop="1">
      <c r="A97" s="569"/>
      <c r="B97" s="573" t="str">
        <f>B29</f>
        <v>临街状况</v>
      </c>
      <c r="C97" s="574" t="s">
        <v>529</v>
      </c>
      <c r="D97" s="574" t="s">
        <v>530</v>
      </c>
      <c r="E97" s="574" t="s">
        <v>531</v>
      </c>
      <c r="F97" s="574" t="s">
        <v>532</v>
      </c>
      <c r="G97" s="574"/>
      <c r="H97" s="574"/>
      <c r="I97" s="574"/>
      <c r="J97" s="574"/>
      <c r="K97" s="575"/>
      <c r="L97" s="576"/>
      <c r="M97" s="577"/>
      <c r="N97" s="2039"/>
      <c r="O97" s="2039"/>
      <c r="P97" s="2040"/>
      <c r="Q97" s="2033"/>
      <c r="R97" s="2020"/>
      <c r="S97" s="2020"/>
      <c r="T97" s="2020"/>
      <c r="U97" s="2020"/>
      <c r="V97" s="2020"/>
      <c r="W97" s="2020"/>
      <c r="X97" s="2020"/>
      <c r="Y97" s="2020"/>
      <c r="Z97" s="2020"/>
      <c r="AA97" s="2020"/>
      <c r="AB97" s="2020"/>
      <c r="AC97" s="2020"/>
    </row>
    <row r="98" spans="1:29" ht="15.75" thickBot="1">
      <c r="A98" s="569"/>
      <c r="B98" s="578"/>
      <c r="C98" s="579">
        <v>100</v>
      </c>
      <c r="D98" s="579">
        <f t="shared" ref="D98:M98" si="21">C98-$K29</f>
        <v>100</v>
      </c>
      <c r="E98" s="579">
        <f t="shared" si="21"/>
        <v>100</v>
      </c>
      <c r="F98" s="579">
        <f t="shared" si="21"/>
        <v>100</v>
      </c>
      <c r="G98" s="579">
        <f t="shared" si="21"/>
        <v>100</v>
      </c>
      <c r="H98" s="579">
        <f t="shared" si="21"/>
        <v>100</v>
      </c>
      <c r="I98" s="579">
        <f t="shared" si="21"/>
        <v>100</v>
      </c>
      <c r="J98" s="579">
        <f t="shared" si="21"/>
        <v>100</v>
      </c>
      <c r="K98" s="579">
        <f t="shared" si="21"/>
        <v>100</v>
      </c>
      <c r="L98" s="579">
        <f t="shared" si="21"/>
        <v>100</v>
      </c>
      <c r="M98" s="579">
        <f t="shared" si="21"/>
        <v>100</v>
      </c>
      <c r="N98" s="2041"/>
      <c r="O98" s="2041"/>
      <c r="P98" s="2040"/>
      <c r="Q98" s="2033"/>
      <c r="R98" s="2020"/>
      <c r="S98" s="2020"/>
      <c r="T98" s="2020"/>
      <c r="U98" s="2020"/>
      <c r="V98" s="2020"/>
      <c r="W98" s="2020"/>
      <c r="X98" s="2020"/>
      <c r="Y98" s="2020"/>
      <c r="Z98" s="2020"/>
      <c r="AA98" s="2020"/>
      <c r="AB98" s="2020"/>
      <c r="AC98" s="2020"/>
    </row>
    <row r="99" spans="1:29" ht="27.75" thickTop="1">
      <c r="A99" s="569"/>
      <c r="B99" s="573" t="s">
        <v>488</v>
      </c>
      <c r="C99" s="588"/>
      <c r="D99" s="588"/>
      <c r="E99" s="588"/>
      <c r="F99" s="588"/>
      <c r="G99" s="588"/>
      <c r="H99" s="618"/>
      <c r="I99" s="618"/>
      <c r="J99" s="618"/>
      <c r="K99" s="619"/>
      <c r="L99" s="620"/>
      <c r="M99" s="621"/>
      <c r="N99" s="2039"/>
      <c r="O99" s="2039"/>
      <c r="P99" s="2040"/>
      <c r="Q99" s="2033"/>
      <c r="R99" s="2020"/>
      <c r="S99" s="2020"/>
      <c r="T99" s="2020"/>
      <c r="U99" s="2020"/>
      <c r="V99" s="2020"/>
      <c r="W99" s="2020"/>
      <c r="X99" s="2020"/>
      <c r="Y99" s="2020"/>
      <c r="Z99" s="2020"/>
      <c r="AA99" s="2020"/>
      <c r="AB99" s="2020"/>
      <c r="AC99" s="2020"/>
    </row>
    <row r="100" spans="1:29" ht="15.75" thickBot="1">
      <c r="A100" s="569"/>
      <c r="B100" s="578"/>
      <c r="C100" s="579">
        <v>100</v>
      </c>
      <c r="D100" s="579">
        <f t="shared" ref="D100:M100" si="22">C100-$K30</f>
        <v>100</v>
      </c>
      <c r="E100" s="579">
        <f t="shared" si="22"/>
        <v>100</v>
      </c>
      <c r="F100" s="579">
        <f t="shared" si="22"/>
        <v>100</v>
      </c>
      <c r="G100" s="579">
        <f t="shared" si="22"/>
        <v>100</v>
      </c>
      <c r="H100" s="579">
        <f t="shared" si="22"/>
        <v>100</v>
      </c>
      <c r="I100" s="579">
        <f t="shared" si="22"/>
        <v>100</v>
      </c>
      <c r="J100" s="579">
        <f t="shared" si="22"/>
        <v>100</v>
      </c>
      <c r="K100" s="579">
        <f t="shared" si="22"/>
        <v>100</v>
      </c>
      <c r="L100" s="579">
        <f t="shared" si="22"/>
        <v>100</v>
      </c>
      <c r="M100" s="579">
        <f t="shared" si="22"/>
        <v>100</v>
      </c>
      <c r="N100" s="2041"/>
      <c r="O100" s="2041"/>
      <c r="P100" s="2040"/>
      <c r="Q100" s="2033"/>
      <c r="R100" s="2020"/>
      <c r="S100" s="2020"/>
      <c r="T100" s="2020"/>
      <c r="U100" s="2020"/>
      <c r="V100" s="2020"/>
      <c r="W100" s="2020"/>
      <c r="X100" s="2020"/>
      <c r="Y100" s="2020"/>
      <c r="Z100" s="2020"/>
      <c r="AA100" s="2020"/>
      <c r="AB100" s="2020"/>
      <c r="AC100" s="2020"/>
    </row>
    <row r="101" spans="1:29" ht="15.75" thickTop="1">
      <c r="A101" s="569"/>
      <c r="B101" s="573" t="s">
        <v>489</v>
      </c>
      <c r="C101" s="618"/>
      <c r="D101" s="618"/>
      <c r="E101" s="618"/>
      <c r="F101" s="618"/>
      <c r="G101" s="618"/>
      <c r="H101" s="618"/>
      <c r="I101" s="618"/>
      <c r="J101" s="618"/>
      <c r="K101" s="619"/>
      <c r="L101" s="620"/>
      <c r="M101" s="621"/>
      <c r="N101" s="2039"/>
      <c r="O101" s="2039"/>
      <c r="P101" s="2040"/>
      <c r="Q101" s="2033"/>
      <c r="R101" s="2020"/>
      <c r="S101" s="2020"/>
      <c r="T101" s="2020"/>
      <c r="U101" s="2020"/>
      <c r="V101" s="2020"/>
      <c r="W101" s="2020"/>
      <c r="X101" s="2020"/>
      <c r="Y101" s="2020"/>
      <c r="Z101" s="2020"/>
      <c r="AA101" s="2020"/>
      <c r="AB101" s="2020"/>
      <c r="AC101" s="2020"/>
    </row>
    <row r="102" spans="1:29" ht="15.75" thickBot="1">
      <c r="A102" s="569"/>
      <c r="B102" s="578"/>
      <c r="C102" s="579">
        <v>100</v>
      </c>
      <c r="D102" s="579">
        <f t="shared" ref="D102:M102" si="23">C102-$K32</f>
        <v>100</v>
      </c>
      <c r="E102" s="579">
        <f t="shared" si="23"/>
        <v>100</v>
      </c>
      <c r="F102" s="579">
        <f t="shared" si="23"/>
        <v>100</v>
      </c>
      <c r="G102" s="579">
        <f t="shared" si="23"/>
        <v>100</v>
      </c>
      <c r="H102" s="579">
        <f t="shared" si="23"/>
        <v>100</v>
      </c>
      <c r="I102" s="579">
        <f t="shared" si="23"/>
        <v>100</v>
      </c>
      <c r="J102" s="579">
        <f t="shared" si="23"/>
        <v>100</v>
      </c>
      <c r="K102" s="579">
        <f t="shared" si="23"/>
        <v>100</v>
      </c>
      <c r="L102" s="579">
        <f t="shared" si="23"/>
        <v>100</v>
      </c>
      <c r="M102" s="579">
        <f t="shared" si="23"/>
        <v>100</v>
      </c>
      <c r="N102" s="2041"/>
      <c r="O102" s="2041"/>
      <c r="P102" s="2040"/>
      <c r="Q102" s="2033"/>
      <c r="R102" s="2020"/>
      <c r="S102" s="2020"/>
      <c r="T102" s="2020"/>
      <c r="U102" s="2020"/>
      <c r="V102" s="2020"/>
      <c r="W102" s="2020"/>
      <c r="X102" s="2020"/>
      <c r="Y102" s="2020"/>
      <c r="Z102" s="2020"/>
      <c r="AA102" s="2020"/>
      <c r="AB102" s="2020"/>
      <c r="AC102" s="2020"/>
    </row>
    <row r="103" spans="1:29" ht="15.75" thickTop="1">
      <c r="A103" s="569"/>
      <c r="B103" s="581">
        <f>B33</f>
        <v>111</v>
      </c>
      <c r="C103" s="588"/>
      <c r="D103" s="588"/>
      <c r="E103" s="588"/>
      <c r="F103" s="588"/>
      <c r="G103" s="622"/>
      <c r="H103" s="622"/>
      <c r="I103" s="622"/>
      <c r="J103" s="622"/>
      <c r="K103" s="623"/>
      <c r="L103" s="624"/>
      <c r="M103" s="625"/>
      <c r="N103" s="2039"/>
      <c r="O103" s="2039"/>
      <c r="P103" s="2040"/>
      <c r="Q103" s="2033"/>
      <c r="R103" s="2020"/>
      <c r="S103" s="2020"/>
      <c r="T103" s="2020"/>
      <c r="U103" s="2020"/>
      <c r="V103" s="2020"/>
      <c r="W103" s="2020"/>
      <c r="X103" s="2020"/>
      <c r="Y103" s="2020"/>
      <c r="Z103" s="2020"/>
      <c r="AA103" s="2020"/>
      <c r="AB103" s="2020"/>
      <c r="AC103" s="2020"/>
    </row>
    <row r="104" spans="1:29" ht="15.75" thickBot="1">
      <c r="A104" s="569"/>
      <c r="B104" s="599"/>
      <c r="C104" s="592"/>
      <c r="D104" s="571"/>
      <c r="E104" s="571"/>
      <c r="F104" s="571"/>
      <c r="G104" s="626"/>
      <c r="H104" s="626"/>
      <c r="I104" s="626"/>
      <c r="J104" s="626"/>
      <c r="K104" s="626"/>
      <c r="L104" s="626"/>
      <c r="M104" s="627"/>
      <c r="N104" s="2041"/>
      <c r="O104" s="2041"/>
      <c r="P104" s="2040"/>
      <c r="Q104" s="2033"/>
      <c r="R104" s="2020"/>
      <c r="S104" s="2020"/>
      <c r="T104" s="2020"/>
      <c r="U104" s="2020"/>
      <c r="V104" s="2020"/>
      <c r="W104" s="2020"/>
      <c r="X104" s="2020"/>
      <c r="Y104" s="2020"/>
      <c r="Z104" s="2020"/>
      <c r="AA104" s="2020"/>
      <c r="AB104" s="2020"/>
      <c r="AC104" s="2020"/>
    </row>
    <row r="105" spans="1:29" ht="15" thickTop="1">
      <c r="A105" s="487"/>
      <c r="B105" s="573">
        <f>B34</f>
        <v>111</v>
      </c>
      <c r="C105" s="588"/>
      <c r="D105" s="588"/>
      <c r="E105" s="588"/>
      <c r="F105" s="588"/>
      <c r="G105" s="618"/>
      <c r="H105" s="618"/>
      <c r="I105" s="618"/>
      <c r="J105" s="618"/>
      <c r="K105" s="619"/>
      <c r="L105" s="620"/>
      <c r="M105" s="621"/>
      <c r="N105" s="2039"/>
      <c r="O105" s="2039"/>
      <c r="P105" s="2040"/>
      <c r="Q105" s="2033"/>
      <c r="R105" s="2020"/>
      <c r="S105" s="2020"/>
      <c r="T105" s="2020"/>
      <c r="U105" s="2020"/>
      <c r="V105" s="2020"/>
      <c r="W105" s="2020"/>
      <c r="X105" s="2020"/>
      <c r="Y105" s="2020"/>
      <c r="Z105" s="2020"/>
      <c r="AA105" s="2020"/>
      <c r="AB105" s="2020"/>
      <c r="AC105" s="2020"/>
    </row>
    <row r="106" spans="1:29" ht="15.75" thickBot="1">
      <c r="A106" s="569"/>
      <c r="B106" s="578"/>
      <c r="C106" s="592"/>
      <c r="D106" s="592"/>
      <c r="E106" s="592"/>
      <c r="F106" s="592"/>
      <c r="G106" s="571"/>
      <c r="H106" s="571"/>
      <c r="I106" s="571"/>
      <c r="J106" s="571"/>
      <c r="K106" s="571"/>
      <c r="L106" s="571"/>
      <c r="M106" s="572"/>
      <c r="N106" s="2041"/>
      <c r="O106" s="2041"/>
      <c r="P106" s="2040"/>
      <c r="Q106" s="2033"/>
      <c r="R106" s="2020"/>
      <c r="S106" s="2020"/>
      <c r="T106" s="2020"/>
      <c r="U106" s="2020"/>
      <c r="V106" s="2020"/>
      <c r="W106" s="2020"/>
      <c r="X106" s="2020"/>
      <c r="Y106" s="2020"/>
      <c r="Z106" s="2020"/>
      <c r="AA106" s="2020"/>
      <c r="AB106" s="2020"/>
      <c r="AC106" s="2020"/>
    </row>
    <row r="107" spans="1:29" s="1227" customFormat="1" ht="15" thickTop="1">
      <c r="A107" s="628"/>
      <c r="B107" s="629">
        <f>B35</f>
        <v>111</v>
      </c>
      <c r="C107" s="561"/>
      <c r="D107" s="561"/>
      <c r="E107" s="561"/>
      <c r="F107" s="561"/>
      <c r="G107" s="630"/>
      <c r="H107" s="630"/>
      <c r="I107" s="630"/>
      <c r="J107" s="631"/>
      <c r="K107" s="631"/>
      <c r="L107" s="632"/>
      <c r="M107" s="633"/>
      <c r="N107" s="2042"/>
      <c r="O107" s="2042"/>
      <c r="P107" s="2043"/>
      <c r="Q107" s="2044"/>
      <c r="R107" s="2045"/>
      <c r="S107" s="2045"/>
      <c r="T107" s="2045"/>
      <c r="U107" s="2045"/>
      <c r="V107" s="2045"/>
      <c r="W107" s="2045"/>
      <c r="X107" s="2045"/>
      <c r="Y107" s="2045"/>
      <c r="Z107" s="2045"/>
      <c r="AA107" s="2045"/>
      <c r="AB107" s="2045"/>
      <c r="AC107" s="2045"/>
    </row>
    <row r="108" spans="1:29" s="1227" customFormat="1" ht="15.75" thickBot="1">
      <c r="A108" s="587"/>
      <c r="B108" s="581"/>
      <c r="C108" s="600"/>
      <c r="D108" s="600"/>
      <c r="E108" s="600"/>
      <c r="F108" s="600"/>
      <c r="G108" s="492"/>
      <c r="H108" s="492"/>
      <c r="I108" s="492"/>
      <c r="J108" s="492"/>
      <c r="K108" s="492"/>
      <c r="L108" s="492"/>
      <c r="M108" s="634"/>
      <c r="N108" s="2041"/>
      <c r="O108" s="2041"/>
      <c r="P108" s="2043"/>
      <c r="Q108" s="2044"/>
      <c r="R108" s="2045"/>
      <c r="S108" s="2045"/>
      <c r="T108" s="2045"/>
      <c r="U108" s="2045"/>
      <c r="V108" s="2045"/>
      <c r="W108" s="2045"/>
      <c r="X108" s="2045"/>
      <c r="Y108" s="2045"/>
      <c r="Z108" s="2045"/>
      <c r="AA108" s="2045"/>
      <c r="AB108" s="2045"/>
      <c r="AC108" s="2045"/>
    </row>
    <row r="109" spans="1:29">
      <c r="A109" s="564" t="s">
        <v>491</v>
      </c>
      <c r="B109" s="565" t="s">
        <v>533</v>
      </c>
      <c r="C109" s="604" t="str">
        <f t="shared" ref="C109:L109" si="24">C110&amp;"(含)"&amp;"-"&amp;D110</f>
        <v>(含)-</v>
      </c>
      <c r="D109" s="604" t="str">
        <f t="shared" si="24"/>
        <v>(含)-</v>
      </c>
      <c r="E109" s="604" t="str">
        <f t="shared" si="24"/>
        <v>(含)-</v>
      </c>
      <c r="F109" s="604" t="str">
        <f t="shared" si="24"/>
        <v>(含)-</v>
      </c>
      <c r="G109" s="604" t="str">
        <f t="shared" si="24"/>
        <v>(含)-</v>
      </c>
      <c r="H109" s="604" t="str">
        <f t="shared" si="24"/>
        <v>(含)-</v>
      </c>
      <c r="I109" s="604" t="str">
        <f t="shared" si="24"/>
        <v>(含)-</v>
      </c>
      <c r="J109" s="604" t="str">
        <f t="shared" si="24"/>
        <v>(含)-</v>
      </c>
      <c r="K109" s="2947" t="str">
        <f t="shared" si="24"/>
        <v>(含)-</v>
      </c>
      <c r="L109" s="2948" t="str">
        <f t="shared" si="24"/>
        <v>(含)-</v>
      </c>
      <c r="M109" s="2949" t="str">
        <f>M110&amp;"(含)"&amp;"-"&amp;P110</f>
        <v>(含)-</v>
      </c>
      <c r="N109" s="2039"/>
      <c r="O109" s="2039"/>
      <c r="P109" s="2040"/>
      <c r="Q109" s="2033"/>
      <c r="R109" s="2020"/>
      <c r="S109" s="2020"/>
      <c r="T109" s="2020"/>
      <c r="U109" s="2020"/>
      <c r="V109" s="2020"/>
      <c r="W109" s="2020"/>
      <c r="X109" s="2020"/>
      <c r="Y109" s="2020"/>
      <c r="Z109" s="2020"/>
      <c r="AA109" s="2020"/>
      <c r="AB109" s="2020"/>
      <c r="AC109" s="2020"/>
    </row>
    <row r="110" spans="1:29" ht="15">
      <c r="A110" s="569"/>
      <c r="B110" s="581"/>
      <c r="C110" s="630"/>
      <c r="D110" s="630"/>
      <c r="E110" s="630"/>
      <c r="F110" s="630"/>
      <c r="G110" s="630"/>
      <c r="H110" s="630"/>
      <c r="I110" s="630"/>
      <c r="J110" s="631"/>
      <c r="K110" s="631"/>
      <c r="L110" s="632"/>
      <c r="M110" s="633"/>
      <c r="N110" s="2039"/>
      <c r="O110" s="2039"/>
      <c r="P110" s="2040"/>
      <c r="Q110" s="2033"/>
      <c r="R110" s="2020"/>
      <c r="S110" s="2020"/>
      <c r="T110" s="2020"/>
      <c r="U110" s="2020"/>
      <c r="V110" s="2020"/>
      <c r="W110" s="2020"/>
      <c r="X110" s="2020"/>
      <c r="Y110" s="2020"/>
      <c r="Z110" s="2020"/>
      <c r="AA110" s="2020"/>
      <c r="AB110" s="2020"/>
      <c r="AC110" s="2020"/>
    </row>
    <row r="111" spans="1:29" ht="15.75" thickBot="1">
      <c r="A111" s="569"/>
      <c r="B111" s="578"/>
      <c r="C111" s="600"/>
      <c r="D111" s="626"/>
      <c r="E111" s="626"/>
      <c r="F111" s="626"/>
      <c r="G111" s="626"/>
      <c r="H111" s="626"/>
      <c r="I111" s="626"/>
      <c r="J111" s="626"/>
      <c r="K111" s="626"/>
      <c r="L111" s="626"/>
      <c r="M111" s="627"/>
      <c r="N111" s="2041"/>
      <c r="O111" s="2041"/>
      <c r="P111" s="2040"/>
      <c r="Q111" s="2033"/>
      <c r="R111" s="2020"/>
      <c r="S111" s="2020"/>
      <c r="T111" s="2020"/>
      <c r="U111" s="2020"/>
      <c r="V111" s="2020"/>
      <c r="W111" s="2020"/>
      <c r="X111" s="2020"/>
      <c r="Y111" s="2020"/>
      <c r="Z111" s="2020"/>
      <c r="AA111" s="2020"/>
      <c r="AB111" s="2020"/>
      <c r="AC111" s="2020"/>
    </row>
    <row r="112" spans="1:29" ht="15" thickTop="1">
      <c r="A112" s="635"/>
      <c r="B112" s="573" t="s">
        <v>534</v>
      </c>
      <c r="C112" s="618"/>
      <c r="D112" s="618"/>
      <c r="E112" s="618"/>
      <c r="F112" s="618"/>
      <c r="G112" s="618"/>
      <c r="H112" s="618"/>
      <c r="I112" s="618"/>
      <c r="J112" s="618"/>
      <c r="K112" s="619"/>
      <c r="L112" s="620"/>
      <c r="M112" s="621"/>
      <c r="N112" s="2039"/>
      <c r="O112" s="2039"/>
      <c r="P112" s="2040"/>
      <c r="Q112" s="2033"/>
      <c r="R112" s="2020"/>
      <c r="S112" s="2020"/>
      <c r="T112" s="2020"/>
      <c r="U112" s="2020"/>
      <c r="V112" s="2020"/>
      <c r="W112" s="2020"/>
      <c r="X112" s="2020"/>
      <c r="Y112" s="2020"/>
      <c r="Z112" s="2020"/>
      <c r="AA112" s="2020"/>
      <c r="AB112" s="2020"/>
      <c r="AC112" s="2020"/>
    </row>
    <row r="113" spans="1:29" ht="15.75" thickBot="1">
      <c r="A113" s="569"/>
      <c r="B113" s="578"/>
      <c r="C113" s="579">
        <v>100</v>
      </c>
      <c r="D113" s="579">
        <f t="shared" ref="D113:M113" si="25">C113-$K37</f>
        <v>100</v>
      </c>
      <c r="E113" s="579">
        <f t="shared" si="25"/>
        <v>100</v>
      </c>
      <c r="F113" s="579">
        <f t="shared" si="25"/>
        <v>100</v>
      </c>
      <c r="G113" s="579">
        <f t="shared" si="25"/>
        <v>100</v>
      </c>
      <c r="H113" s="579">
        <f t="shared" si="25"/>
        <v>100</v>
      </c>
      <c r="I113" s="579">
        <f t="shared" si="25"/>
        <v>100</v>
      </c>
      <c r="J113" s="579">
        <f t="shared" si="25"/>
        <v>100</v>
      </c>
      <c r="K113" s="579">
        <f t="shared" si="25"/>
        <v>100</v>
      </c>
      <c r="L113" s="579">
        <f t="shared" si="25"/>
        <v>100</v>
      </c>
      <c r="M113" s="580">
        <f t="shared" si="25"/>
        <v>100</v>
      </c>
      <c r="N113" s="2041"/>
      <c r="O113" s="2041"/>
      <c r="P113" s="2040"/>
      <c r="Q113" s="2033"/>
      <c r="R113" s="2020"/>
      <c r="S113" s="2020"/>
      <c r="T113" s="2020"/>
      <c r="U113" s="2020"/>
      <c r="V113" s="2020"/>
      <c r="W113" s="2020"/>
      <c r="X113" s="2020"/>
      <c r="Y113" s="2020"/>
      <c r="Z113" s="2020"/>
      <c r="AA113" s="2020"/>
      <c r="AB113" s="2020"/>
      <c r="AC113" s="2020"/>
    </row>
    <row r="114" spans="1:29" s="1227" customFormat="1" ht="15" thickTop="1">
      <c r="A114" s="628"/>
      <c r="B114" s="1778" t="s">
        <v>2353</v>
      </c>
      <c r="C114" s="1263"/>
      <c r="D114" s="1263"/>
      <c r="E114" s="1263"/>
      <c r="F114" s="1263"/>
      <c r="G114" s="1263"/>
      <c r="H114" s="618"/>
      <c r="I114" s="618"/>
      <c r="J114" s="618"/>
      <c r="K114" s="619"/>
      <c r="L114" s="620"/>
      <c r="M114" s="621"/>
      <c r="N114" s="2042"/>
      <c r="O114" s="2042"/>
      <c r="P114" s="2043"/>
      <c r="Q114" s="2044"/>
      <c r="R114" s="2045"/>
      <c r="S114" s="2045"/>
      <c r="T114" s="2045"/>
      <c r="U114" s="2045"/>
      <c r="V114" s="2045"/>
      <c r="W114" s="2045"/>
      <c r="X114" s="2045"/>
      <c r="Y114" s="2045"/>
      <c r="Z114" s="2045"/>
      <c r="AA114" s="2045"/>
      <c r="AB114" s="2045"/>
      <c r="AC114" s="2045"/>
    </row>
    <row r="115" spans="1:29" s="1227" customFormat="1" ht="15.75" thickBot="1">
      <c r="A115" s="587"/>
      <c r="B115" s="578"/>
      <c r="C115" s="579">
        <v>100</v>
      </c>
      <c r="D115" s="579">
        <f t="shared" ref="D115:M115" si="26">C115-$K38</f>
        <v>100</v>
      </c>
      <c r="E115" s="579">
        <f t="shared" si="26"/>
        <v>100</v>
      </c>
      <c r="F115" s="579">
        <f t="shared" si="26"/>
        <v>100</v>
      </c>
      <c r="G115" s="579">
        <f t="shared" si="26"/>
        <v>100</v>
      </c>
      <c r="H115" s="579">
        <f t="shared" si="26"/>
        <v>100</v>
      </c>
      <c r="I115" s="579">
        <f t="shared" si="26"/>
        <v>100</v>
      </c>
      <c r="J115" s="579">
        <f t="shared" si="26"/>
        <v>100</v>
      </c>
      <c r="K115" s="579">
        <f t="shared" si="26"/>
        <v>100</v>
      </c>
      <c r="L115" s="579">
        <f t="shared" si="26"/>
        <v>100</v>
      </c>
      <c r="M115" s="580">
        <f t="shared" si="26"/>
        <v>100</v>
      </c>
      <c r="N115" s="2042"/>
      <c r="O115" s="2042"/>
      <c r="P115" s="2043"/>
      <c r="Q115" s="2044"/>
      <c r="R115" s="2045"/>
      <c r="S115" s="2045"/>
      <c r="T115" s="2045"/>
      <c r="U115" s="2045"/>
      <c r="V115" s="2045"/>
      <c r="W115" s="2045"/>
      <c r="X115" s="2045"/>
      <c r="Y115" s="2045"/>
      <c r="Z115" s="2045"/>
      <c r="AA115" s="2045"/>
      <c r="AB115" s="2045"/>
      <c r="AC115" s="2045"/>
    </row>
    <row r="116" spans="1:29" ht="15" thickTop="1">
      <c r="A116" s="635"/>
      <c r="B116" s="573" t="s">
        <v>536</v>
      </c>
      <c r="C116" s="588"/>
      <c r="D116" s="588"/>
      <c r="E116" s="618"/>
      <c r="F116" s="618"/>
      <c r="G116" s="618"/>
      <c r="H116" s="618"/>
      <c r="I116" s="618"/>
      <c r="J116" s="618"/>
      <c r="K116" s="619"/>
      <c r="L116" s="620"/>
      <c r="M116" s="621"/>
      <c r="N116" s="2039"/>
      <c r="O116" s="2039"/>
      <c r="P116" s="2040"/>
      <c r="Q116" s="2033"/>
      <c r="R116" s="2020"/>
      <c r="S116" s="2020"/>
      <c r="T116" s="2020"/>
      <c r="U116" s="2020"/>
      <c r="V116" s="2020"/>
      <c r="W116" s="2020"/>
      <c r="X116" s="2020"/>
      <c r="Y116" s="2020"/>
      <c r="Z116" s="2020"/>
      <c r="AA116" s="2020"/>
      <c r="AB116" s="2020"/>
      <c r="AC116" s="2020"/>
    </row>
    <row r="117" spans="1:29" ht="15.75" thickBot="1">
      <c r="A117" s="569"/>
      <c r="B117" s="578"/>
      <c r="C117" s="579">
        <v>100</v>
      </c>
      <c r="D117" s="579">
        <f t="shared" ref="D117:M117" si="27">C117-$K39</f>
        <v>100</v>
      </c>
      <c r="E117" s="579">
        <f t="shared" si="27"/>
        <v>100</v>
      </c>
      <c r="F117" s="579">
        <f t="shared" si="27"/>
        <v>100</v>
      </c>
      <c r="G117" s="579">
        <f t="shared" si="27"/>
        <v>100</v>
      </c>
      <c r="H117" s="579">
        <f t="shared" si="27"/>
        <v>100</v>
      </c>
      <c r="I117" s="579">
        <f t="shared" si="27"/>
        <v>100</v>
      </c>
      <c r="J117" s="579">
        <f t="shared" si="27"/>
        <v>100</v>
      </c>
      <c r="K117" s="579">
        <f t="shared" si="27"/>
        <v>100</v>
      </c>
      <c r="L117" s="579">
        <f t="shared" si="27"/>
        <v>100</v>
      </c>
      <c r="M117" s="580">
        <f t="shared" si="27"/>
        <v>100</v>
      </c>
      <c r="N117" s="2041"/>
      <c r="O117" s="2041"/>
      <c r="P117" s="2040"/>
      <c r="Q117" s="2033"/>
      <c r="R117" s="2020"/>
      <c r="S117" s="2020"/>
      <c r="T117" s="2020"/>
      <c r="U117" s="2020"/>
      <c r="V117" s="2020"/>
      <c r="W117" s="2020"/>
      <c r="X117" s="2020"/>
      <c r="Y117" s="2020"/>
      <c r="Z117" s="2020"/>
      <c r="AA117" s="2020"/>
      <c r="AB117" s="2020"/>
      <c r="AC117" s="2020"/>
    </row>
    <row r="118" spans="1:29" ht="15" thickTop="1">
      <c r="A118" s="635"/>
      <c r="B118" s="573">
        <f>B40</f>
        <v>111</v>
      </c>
      <c r="C118" s="588"/>
      <c r="D118" s="588"/>
      <c r="E118" s="588"/>
      <c r="F118" s="588"/>
      <c r="G118" s="588"/>
      <c r="H118" s="618"/>
      <c r="I118" s="618"/>
      <c r="J118" s="618"/>
      <c r="K118" s="619"/>
      <c r="L118" s="620"/>
      <c r="M118" s="621"/>
      <c r="N118" s="2039"/>
      <c r="O118" s="2039"/>
      <c r="P118" s="2040"/>
      <c r="Q118" s="2033"/>
      <c r="R118" s="2020"/>
      <c r="S118" s="2020"/>
      <c r="T118" s="2020"/>
      <c r="U118" s="2020"/>
      <c r="V118" s="2020"/>
      <c r="W118" s="2020"/>
      <c r="X118" s="2020"/>
      <c r="Y118" s="2020"/>
      <c r="Z118" s="2020"/>
      <c r="AA118" s="2020"/>
      <c r="AB118" s="2020"/>
      <c r="AC118" s="2020"/>
    </row>
    <row r="119" spans="1:29" ht="15.75" thickBot="1">
      <c r="A119" s="569"/>
      <c r="B119" s="578"/>
      <c r="C119" s="592"/>
      <c r="D119" s="571"/>
      <c r="E119" s="571"/>
      <c r="F119" s="571"/>
      <c r="G119" s="571"/>
      <c r="H119" s="571"/>
      <c r="I119" s="571"/>
      <c r="J119" s="571"/>
      <c r="K119" s="571"/>
      <c r="L119" s="571"/>
      <c r="M119" s="572"/>
      <c r="N119" s="2041"/>
      <c r="O119" s="2041"/>
      <c r="P119" s="2040"/>
      <c r="Q119" s="2033"/>
      <c r="R119" s="2020"/>
      <c r="S119" s="2020"/>
      <c r="T119" s="2020"/>
      <c r="U119" s="2020"/>
      <c r="V119" s="2020"/>
      <c r="W119" s="2020"/>
      <c r="X119" s="2020"/>
      <c r="Y119" s="2020"/>
      <c r="Z119" s="2020"/>
      <c r="AA119" s="2020"/>
      <c r="AB119" s="2020"/>
      <c r="AC119" s="2020"/>
    </row>
    <row r="120" spans="1:29" ht="15" thickTop="1">
      <c r="A120" s="635"/>
      <c r="B120" s="573">
        <f>B41</f>
        <v>111</v>
      </c>
      <c r="C120" s="588"/>
      <c r="D120" s="588"/>
      <c r="E120" s="588"/>
      <c r="F120" s="588"/>
      <c r="G120" s="618"/>
      <c r="H120" s="618"/>
      <c r="I120" s="618"/>
      <c r="J120" s="618"/>
      <c r="K120" s="619"/>
      <c r="L120" s="620"/>
      <c r="M120" s="621"/>
      <c r="N120" s="2039"/>
      <c r="O120" s="2039"/>
      <c r="P120" s="2040"/>
      <c r="Q120" s="2033"/>
      <c r="R120" s="2020"/>
      <c r="S120" s="2020"/>
      <c r="T120" s="2020"/>
      <c r="U120" s="2020"/>
      <c r="V120" s="2020"/>
      <c r="W120" s="2020"/>
      <c r="X120" s="2020"/>
      <c r="Y120" s="2020"/>
      <c r="Z120" s="2020"/>
      <c r="AA120" s="2020"/>
      <c r="AB120" s="2020"/>
      <c r="AC120" s="2020"/>
    </row>
    <row r="121" spans="1:29" ht="15.75" thickBot="1">
      <c r="A121" s="569"/>
      <c r="B121" s="578"/>
      <c r="C121" s="592"/>
      <c r="D121" s="592"/>
      <c r="E121" s="592"/>
      <c r="F121" s="592"/>
      <c r="G121" s="571"/>
      <c r="H121" s="571"/>
      <c r="I121" s="571"/>
      <c r="J121" s="571"/>
      <c r="K121" s="571"/>
      <c r="L121" s="571"/>
      <c r="M121" s="572"/>
      <c r="N121" s="2041"/>
      <c r="O121" s="2041"/>
      <c r="P121" s="2040"/>
      <c r="Q121" s="2033"/>
      <c r="R121" s="2020"/>
      <c r="S121" s="2020"/>
      <c r="T121" s="2020"/>
      <c r="U121" s="2020"/>
      <c r="V121" s="2020"/>
      <c r="W121" s="2020"/>
      <c r="X121" s="2020"/>
      <c r="Y121" s="2020"/>
      <c r="Z121" s="2020"/>
      <c r="AA121" s="2020"/>
      <c r="AB121" s="2020"/>
      <c r="AC121" s="2020"/>
    </row>
    <row r="122" spans="1:29" s="1227" customFormat="1" ht="15" thickTop="1">
      <c r="A122" s="628"/>
      <c r="B122" s="573">
        <f>B42</f>
        <v>111</v>
      </c>
      <c r="C122" s="561"/>
      <c r="D122" s="561"/>
      <c r="E122" s="561"/>
      <c r="F122" s="561"/>
      <c r="G122" s="589"/>
      <c r="H122" s="589"/>
      <c r="I122" s="589"/>
      <c r="J122" s="589"/>
      <c r="K122" s="589"/>
      <c r="L122" s="590"/>
      <c r="M122" s="591"/>
      <c r="N122" s="2042"/>
      <c r="O122" s="2042"/>
      <c r="P122" s="2043"/>
      <c r="Q122" s="2044"/>
      <c r="R122" s="2045"/>
      <c r="S122" s="2045"/>
      <c r="T122" s="2045"/>
      <c r="U122" s="2045"/>
      <c r="V122" s="2045"/>
      <c r="W122" s="2045"/>
      <c r="X122" s="2045"/>
      <c r="Y122" s="2045"/>
      <c r="Z122" s="2045"/>
      <c r="AA122" s="2045"/>
      <c r="AB122" s="2045"/>
      <c r="AC122" s="2045"/>
    </row>
    <row r="123" spans="1:29" s="1227" customFormat="1" ht="15.75" thickBot="1">
      <c r="A123" s="598"/>
      <c r="B123" s="636"/>
      <c r="C123" s="600"/>
      <c r="D123" s="600"/>
      <c r="E123" s="600"/>
      <c r="F123" s="600"/>
      <c r="G123" s="626"/>
      <c r="H123" s="626"/>
      <c r="I123" s="626"/>
      <c r="J123" s="626"/>
      <c r="K123" s="626"/>
      <c r="L123" s="626"/>
      <c r="M123" s="627"/>
      <c r="N123" s="2042"/>
      <c r="O123" s="2042"/>
      <c r="P123" s="2043"/>
      <c r="Q123" s="2044"/>
      <c r="R123" s="2045"/>
      <c r="S123" s="2045"/>
      <c r="T123" s="2045"/>
      <c r="U123" s="2045"/>
      <c r="V123" s="2045"/>
      <c r="W123" s="2045"/>
      <c r="X123" s="2045"/>
      <c r="Y123" s="2045"/>
      <c r="Z123" s="2045"/>
      <c r="AA123" s="2045"/>
      <c r="AB123" s="2045"/>
      <c r="AC123" s="2045"/>
    </row>
    <row r="124" spans="1:29">
      <c r="A124" s="2054"/>
      <c r="B124" s="2054"/>
      <c r="C124" s="2054"/>
      <c r="D124" s="2054"/>
      <c r="E124" s="2054"/>
      <c r="F124" s="2054"/>
      <c r="G124" s="2054"/>
      <c r="H124" s="2054"/>
      <c r="I124" s="2054"/>
      <c r="J124" s="2054"/>
      <c r="K124" s="2055"/>
      <c r="L124" s="2056"/>
      <c r="M124" s="2054"/>
      <c r="N124" s="2054"/>
      <c r="O124" s="2054"/>
      <c r="P124" s="2054"/>
      <c r="Q124" s="2054"/>
      <c r="R124" s="2054"/>
      <c r="S124" s="2054"/>
      <c r="T124" s="2054"/>
      <c r="U124" s="2054"/>
      <c r="V124" s="2054"/>
      <c r="W124" s="2054"/>
      <c r="X124" s="2054"/>
      <c r="Y124" s="2054"/>
      <c r="Z124" s="2054"/>
      <c r="AA124" s="2054"/>
      <c r="AB124" s="2054"/>
      <c r="AC124" s="2054"/>
    </row>
    <row r="125" spans="1:29">
      <c r="A125" s="2054"/>
      <c r="B125" s="2054"/>
      <c r="C125" s="2054"/>
      <c r="D125" s="2054"/>
      <c r="E125" s="2054"/>
      <c r="F125" s="2054"/>
      <c r="G125" s="2054"/>
      <c r="H125" s="2054"/>
      <c r="I125" s="2054"/>
      <c r="J125" s="2054"/>
      <c r="K125" s="2055"/>
      <c r="L125" s="2056"/>
      <c r="M125" s="2054"/>
      <c r="N125" s="2054"/>
      <c r="O125" s="2054"/>
      <c r="P125" s="2054"/>
      <c r="Q125" s="2054"/>
      <c r="R125" s="2054"/>
      <c r="S125" s="2054"/>
      <c r="T125" s="2054"/>
      <c r="U125" s="2054"/>
      <c r="V125" s="2054"/>
      <c r="W125" s="2054"/>
      <c r="X125" s="2054"/>
      <c r="Y125" s="2054"/>
      <c r="Z125" s="2054"/>
      <c r="AA125" s="2054"/>
      <c r="AB125" s="2054"/>
      <c r="AC125" s="2054"/>
    </row>
    <row r="126" spans="1:29">
      <c r="A126" s="2054"/>
      <c r="B126" s="2054"/>
      <c r="C126" s="2054"/>
      <c r="D126" s="2054"/>
      <c r="E126" s="2054"/>
      <c r="F126" s="2054"/>
      <c r="G126" s="2054"/>
      <c r="H126" s="2054"/>
      <c r="I126" s="2054"/>
      <c r="J126" s="2054"/>
      <c r="K126" s="2055"/>
      <c r="L126" s="2056"/>
      <c r="M126" s="2054"/>
      <c r="N126" s="2054"/>
      <c r="O126" s="2054"/>
      <c r="P126" s="2054"/>
      <c r="Q126" s="2054"/>
      <c r="R126" s="2054"/>
      <c r="S126" s="2054"/>
      <c r="T126" s="2054"/>
      <c r="U126" s="2054"/>
      <c r="V126" s="2054"/>
      <c r="W126" s="2054"/>
      <c r="X126" s="2054"/>
      <c r="Y126" s="2054"/>
      <c r="Z126" s="2054"/>
      <c r="AA126" s="2054"/>
      <c r="AB126" s="2054"/>
      <c r="AC126" s="2054"/>
    </row>
    <row r="127" spans="1:29">
      <c r="A127" s="2054"/>
      <c r="B127" s="2054"/>
      <c r="C127" s="2054"/>
      <c r="D127" s="2054"/>
      <c r="E127" s="2054"/>
      <c r="F127" s="2054"/>
      <c r="G127" s="2054"/>
      <c r="H127" s="2054"/>
      <c r="I127" s="2054"/>
      <c r="J127" s="2054"/>
      <c r="K127" s="2055"/>
      <c r="L127" s="2056"/>
      <c r="M127" s="2054"/>
      <c r="N127" s="2054"/>
      <c r="O127" s="2054"/>
      <c r="P127" s="2054"/>
      <c r="Q127" s="2054"/>
      <c r="R127" s="2054"/>
      <c r="S127" s="2054"/>
      <c r="T127" s="2054"/>
      <c r="U127" s="2054"/>
      <c r="V127" s="2054"/>
      <c r="W127" s="2054"/>
      <c r="X127" s="2054"/>
      <c r="Y127" s="2054"/>
      <c r="Z127" s="2054"/>
      <c r="AA127" s="2054"/>
      <c r="AB127" s="2054"/>
      <c r="AC127" s="2054"/>
    </row>
    <row r="128" spans="1:29">
      <c r="A128" s="2054"/>
      <c r="B128" s="2054"/>
      <c r="C128" s="2054"/>
      <c r="D128" s="2054"/>
      <c r="E128" s="2054"/>
      <c r="F128" s="2054"/>
      <c r="G128" s="2054"/>
      <c r="H128" s="2054"/>
      <c r="I128" s="2054"/>
      <c r="J128" s="2054"/>
      <c r="K128" s="2055"/>
      <c r="L128" s="2056"/>
      <c r="M128" s="2054"/>
      <c r="N128" s="2054"/>
      <c r="O128" s="2054"/>
      <c r="P128" s="2054"/>
      <c r="Q128" s="2054"/>
      <c r="R128" s="2054"/>
      <c r="S128" s="2054"/>
      <c r="T128" s="2054"/>
      <c r="U128" s="2054"/>
      <c r="V128" s="2054"/>
      <c r="W128" s="2054"/>
      <c r="X128" s="2054"/>
      <c r="Y128" s="2054"/>
      <c r="Z128" s="2054"/>
      <c r="AA128" s="2054"/>
      <c r="AB128" s="2054"/>
      <c r="AC128" s="2054"/>
    </row>
    <row r="129" spans="1:29">
      <c r="A129" s="2054"/>
      <c r="B129" s="2054"/>
      <c r="C129" s="2054"/>
      <c r="D129" s="2054"/>
      <c r="E129" s="2054"/>
      <c r="F129" s="2054"/>
      <c r="G129" s="2054"/>
      <c r="H129" s="2054"/>
      <c r="I129" s="2054"/>
      <c r="J129" s="2054"/>
      <c r="K129" s="2055"/>
      <c r="L129" s="2056"/>
      <c r="M129" s="2054"/>
      <c r="N129" s="2054"/>
      <c r="O129" s="2054"/>
      <c r="P129" s="2054"/>
      <c r="Q129" s="2054"/>
      <c r="R129" s="2054"/>
      <c r="S129" s="2054"/>
      <c r="T129" s="2054"/>
      <c r="U129" s="2054"/>
      <c r="V129" s="2054"/>
      <c r="W129" s="2054"/>
      <c r="X129" s="2054"/>
      <c r="Y129" s="2054"/>
      <c r="Z129" s="2054"/>
      <c r="AA129" s="2054"/>
      <c r="AB129" s="2054"/>
      <c r="AC129" s="2054"/>
    </row>
    <row r="130" spans="1:29">
      <c r="A130" s="2054"/>
      <c r="B130" s="2054"/>
      <c r="C130" s="2054"/>
      <c r="D130" s="2054"/>
      <c r="E130" s="2054"/>
      <c r="F130" s="2054"/>
      <c r="G130" s="2054"/>
      <c r="H130" s="2054"/>
      <c r="I130" s="2054"/>
      <c r="J130" s="2054"/>
      <c r="K130" s="2055"/>
      <c r="L130" s="2056"/>
      <c r="M130" s="2054"/>
      <c r="N130" s="2054"/>
      <c r="O130" s="2054"/>
      <c r="P130" s="2054"/>
      <c r="Q130" s="2054"/>
      <c r="R130" s="2054"/>
      <c r="S130" s="2054"/>
      <c r="T130" s="2054"/>
      <c r="U130" s="2054"/>
      <c r="V130" s="2054"/>
      <c r="W130" s="2054"/>
      <c r="X130" s="2054"/>
      <c r="Y130" s="2054"/>
      <c r="Z130" s="2054"/>
      <c r="AA130" s="2054"/>
      <c r="AB130" s="2054"/>
      <c r="AC130" s="2054"/>
    </row>
    <row r="131" spans="1:29">
      <c r="A131" s="2054"/>
      <c r="B131" s="2054"/>
      <c r="C131" s="2054"/>
      <c r="D131" s="2054"/>
      <c r="E131" s="2054"/>
      <c r="F131" s="2054"/>
      <c r="G131" s="2054"/>
      <c r="H131" s="2054"/>
      <c r="I131" s="2054"/>
      <c r="J131" s="2054"/>
      <c r="K131" s="2055"/>
      <c r="L131" s="2056"/>
      <c r="M131" s="2054"/>
      <c r="N131" s="2054"/>
      <c r="O131" s="2054"/>
      <c r="P131" s="2054"/>
      <c r="Q131" s="2054"/>
      <c r="R131" s="2054"/>
      <c r="S131" s="2054"/>
      <c r="T131" s="2054"/>
      <c r="U131" s="2054"/>
      <c r="V131" s="2054"/>
      <c r="W131" s="2054"/>
      <c r="X131" s="2054"/>
      <c r="Y131" s="2054"/>
      <c r="Z131" s="2054"/>
      <c r="AA131" s="2054"/>
      <c r="AB131" s="2054"/>
      <c r="AC131" s="2054"/>
    </row>
    <row r="132" spans="1:29">
      <c r="A132" s="2054"/>
      <c r="B132" s="2054"/>
      <c r="C132" s="2054"/>
      <c r="D132" s="2054"/>
      <c r="E132" s="2054"/>
      <c r="F132" s="2054"/>
      <c r="G132" s="2054"/>
      <c r="H132" s="2054"/>
      <c r="I132" s="2054"/>
      <c r="J132" s="2054"/>
      <c r="K132" s="2055"/>
      <c r="L132" s="2056"/>
      <c r="M132" s="2054"/>
      <c r="N132" s="2054"/>
      <c r="O132" s="2054"/>
      <c r="P132" s="2054"/>
      <c r="Q132" s="2054"/>
      <c r="R132" s="2054"/>
      <c r="S132" s="2054"/>
      <c r="T132" s="2054"/>
      <c r="U132" s="2054"/>
      <c r="V132" s="2054"/>
      <c r="W132" s="2054"/>
      <c r="X132" s="2054"/>
      <c r="Y132" s="2054"/>
      <c r="Z132" s="2054"/>
      <c r="AA132" s="2054"/>
      <c r="AB132" s="2054"/>
      <c r="AC132" s="2054"/>
    </row>
    <row r="133" spans="1:29">
      <c r="A133" s="2054"/>
      <c r="B133" s="2054"/>
      <c r="C133" s="2054"/>
      <c r="D133" s="2054"/>
      <c r="E133" s="2054"/>
      <c r="F133" s="2054"/>
      <c r="G133" s="2054"/>
      <c r="H133" s="2054"/>
      <c r="I133" s="2054"/>
      <c r="J133" s="2054"/>
      <c r="K133" s="2055"/>
      <c r="L133" s="2056"/>
      <c r="M133" s="2054"/>
      <c r="N133" s="2054"/>
      <c r="O133" s="2054"/>
      <c r="P133" s="2054"/>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54"/>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c r="A256" s="2054"/>
      <c r="B256" s="2054"/>
      <c r="C256" s="2054"/>
      <c r="D256" s="2054"/>
      <c r="E256" s="2054"/>
      <c r="F256" s="2054"/>
      <c r="G256" s="2054"/>
      <c r="H256" s="2054"/>
      <c r="I256" s="2054"/>
      <c r="J256" s="2054"/>
      <c r="K256" s="2055"/>
      <c r="L256" s="2056"/>
      <c r="M256" s="2054"/>
      <c r="N256" s="2054"/>
      <c r="O256" s="2054"/>
      <c r="P256" s="2054"/>
      <c r="Q256" s="2054"/>
      <c r="R256" s="2054"/>
      <c r="S256" s="2054"/>
      <c r="T256" s="2054"/>
      <c r="U256" s="2054"/>
      <c r="V256" s="2054"/>
      <c r="W256" s="2054"/>
      <c r="X256" s="2054"/>
      <c r="Y256" s="2054"/>
      <c r="Z256" s="2054"/>
      <c r="AA256" s="2054"/>
      <c r="AB256" s="2054"/>
      <c r="AC256" s="2054"/>
    </row>
    <row r="257" spans="1:29">
      <c r="A257" s="2054"/>
      <c r="B257" s="2054"/>
      <c r="C257" s="2054"/>
      <c r="D257" s="2054"/>
      <c r="E257" s="2054"/>
      <c r="F257" s="2054"/>
      <c r="G257" s="2054"/>
      <c r="H257" s="2054"/>
      <c r="I257" s="2054"/>
      <c r="J257" s="2054"/>
      <c r="K257" s="2055"/>
      <c r="L257" s="2056"/>
      <c r="M257" s="2054"/>
      <c r="N257" s="2054"/>
      <c r="O257" s="2054"/>
      <c r="P257" s="2054"/>
      <c r="Q257" s="2054"/>
      <c r="R257" s="2054"/>
      <c r="S257" s="2054"/>
      <c r="T257" s="2054"/>
      <c r="U257" s="2054"/>
      <c r="V257" s="2054"/>
      <c r="W257" s="2054"/>
      <c r="X257" s="2054"/>
      <c r="Y257" s="2054"/>
      <c r="Z257" s="2054"/>
      <c r="AA257" s="2054"/>
      <c r="AB257" s="2054"/>
      <c r="AC257" s="2054"/>
    </row>
    <row r="258" spans="1:29">
      <c r="A258" s="2054"/>
      <c r="B258" s="2054"/>
      <c r="C258" s="2054"/>
      <c r="D258" s="2054"/>
      <c r="E258" s="2054"/>
      <c r="F258" s="2054"/>
      <c r="G258" s="2054"/>
      <c r="H258" s="2054"/>
      <c r="I258" s="2054"/>
      <c r="J258" s="2054"/>
      <c r="K258" s="2055"/>
      <c r="L258" s="2056"/>
      <c r="M258" s="2054"/>
      <c r="N258" s="2054"/>
      <c r="O258" s="2054"/>
      <c r="P258" s="2054"/>
      <c r="Q258" s="2054"/>
      <c r="R258" s="2054"/>
      <c r="S258" s="2054"/>
      <c r="T258" s="2054"/>
      <c r="U258" s="2054"/>
      <c r="V258" s="2054"/>
      <c r="W258" s="2054"/>
      <c r="X258" s="2054"/>
      <c r="Y258" s="2054"/>
      <c r="Z258" s="2054"/>
      <c r="AA258" s="2054"/>
      <c r="AB258" s="2054"/>
      <c r="AC258" s="2054"/>
    </row>
    <row r="259" spans="1:29">
      <c r="A259" s="2054"/>
      <c r="B259" s="2054"/>
      <c r="C259" s="2054"/>
      <c r="D259" s="2054"/>
      <c r="E259" s="2054"/>
      <c r="F259" s="2054"/>
      <c r="G259" s="2054"/>
      <c r="H259" s="2054"/>
      <c r="I259" s="2054"/>
      <c r="J259" s="2054"/>
      <c r="K259" s="2055"/>
      <c r="L259" s="2056"/>
      <c r="M259" s="2054"/>
      <c r="N259" s="2054"/>
      <c r="O259" s="2054"/>
      <c r="P259" s="2054"/>
      <c r="Q259" s="2054"/>
      <c r="R259" s="2054"/>
      <c r="S259" s="2054"/>
      <c r="T259" s="2054"/>
      <c r="U259" s="2054"/>
      <c r="V259" s="2054"/>
      <c r="W259" s="2054"/>
      <c r="X259" s="2054"/>
      <c r="Y259" s="2054"/>
      <c r="Z259" s="2054"/>
      <c r="AA259" s="2054"/>
      <c r="AB259" s="2054"/>
      <c r="AC259" s="2054"/>
    </row>
    <row r="260" spans="1:29">
      <c r="A260" s="2054"/>
      <c r="B260" s="2054"/>
      <c r="C260" s="2054"/>
      <c r="D260" s="2054"/>
      <c r="E260" s="2054"/>
      <c r="F260" s="2054"/>
      <c r="G260" s="2054"/>
      <c r="H260" s="2054"/>
      <c r="I260" s="2054"/>
      <c r="J260" s="2054"/>
      <c r="K260" s="2055"/>
      <c r="L260" s="2056"/>
      <c r="M260" s="2054"/>
      <c r="N260" s="2054"/>
      <c r="O260" s="2054"/>
      <c r="P260" s="2054"/>
      <c r="Q260" s="2054"/>
      <c r="R260" s="2054"/>
      <c r="S260" s="2054"/>
      <c r="T260" s="2054"/>
      <c r="U260" s="2054"/>
      <c r="V260" s="2054"/>
      <c r="W260" s="2054"/>
      <c r="X260" s="2054"/>
      <c r="Y260" s="2054"/>
      <c r="Z260" s="2054"/>
      <c r="AA260" s="2054"/>
      <c r="AB260" s="2054"/>
      <c r="AC260" s="2054"/>
    </row>
    <row r="261" spans="1:29">
      <c r="A261" s="2054"/>
      <c r="B261" s="2054"/>
      <c r="C261" s="2054"/>
      <c r="D261" s="2054"/>
      <c r="E261" s="2054"/>
      <c r="F261" s="2054"/>
      <c r="G261" s="2054"/>
      <c r="H261" s="2054"/>
      <c r="I261" s="2054"/>
      <c r="J261" s="2054"/>
      <c r="K261" s="2055"/>
      <c r="L261" s="2056"/>
      <c r="M261" s="2054"/>
      <c r="N261" s="2054"/>
      <c r="O261" s="2054"/>
      <c r="P261" s="2054"/>
      <c r="Q261" s="2054"/>
      <c r="R261" s="2054"/>
      <c r="S261" s="2054"/>
      <c r="T261" s="2054"/>
      <c r="U261" s="2054"/>
      <c r="V261" s="2054"/>
      <c r="W261" s="2054"/>
      <c r="X261" s="2054"/>
      <c r="Y261" s="2054"/>
      <c r="Z261" s="2054"/>
      <c r="AA261" s="2054"/>
      <c r="AB261" s="2054"/>
      <c r="AC261" s="2054"/>
    </row>
    <row r="262" spans="1:29">
      <c r="A262" s="2054"/>
      <c r="B262" s="2054"/>
      <c r="C262" s="2054"/>
      <c r="D262" s="2054"/>
      <c r="E262" s="2054"/>
      <c r="F262" s="2054"/>
      <c r="G262" s="2054"/>
      <c r="H262" s="2054"/>
      <c r="I262" s="2054"/>
      <c r="J262" s="2054"/>
      <c r="K262" s="2055"/>
      <c r="L262" s="2056"/>
      <c r="M262" s="2054"/>
      <c r="N262" s="2054"/>
      <c r="O262" s="2054"/>
      <c r="P262" s="2054"/>
      <c r="Q262" s="2054"/>
      <c r="R262" s="2054"/>
      <c r="S262" s="2054"/>
      <c r="T262" s="2054"/>
      <c r="U262" s="2054"/>
      <c r="V262" s="2054"/>
      <c r="W262" s="2054"/>
      <c r="X262" s="2054"/>
      <c r="Y262" s="2054"/>
      <c r="Z262" s="2054"/>
      <c r="AA262" s="2054"/>
      <c r="AB262" s="2054"/>
      <c r="AC262" s="205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292" customWidth="1"/>
    <col min="2" max="2" width="19.25" style="1416" customWidth="1"/>
    <col min="3" max="4" width="12" style="1293"/>
    <col min="5" max="5" width="14.625" style="1293" customWidth="1"/>
    <col min="6" max="8" width="12" style="1293"/>
    <col min="9" max="9" width="12.25" style="1293" bestFit="1" customWidth="1"/>
    <col min="10" max="10" width="12" style="1293"/>
    <col min="11" max="11" width="9.625" style="1290" customWidth="1"/>
    <col min="12" max="12" width="12" style="1293"/>
    <col min="13" max="14" width="10.625" style="1293" customWidth="1"/>
    <col min="15" max="17" width="12" style="1293"/>
    <col min="18" max="18" width="12" style="1292"/>
    <col min="19" max="22" width="15.5" style="1292" customWidth="1"/>
    <col min="23" max="28" width="12" style="1293"/>
    <col min="29" max="29" width="9.375" style="1292" customWidth="1"/>
    <col min="30" max="35" width="9.375" style="1291" customWidth="1"/>
    <col min="36" max="39" width="9.375" style="1292" customWidth="1"/>
    <col min="40" max="41" width="9.375" style="1293" customWidth="1"/>
    <col min="42" max="16384" width="12" style="1293"/>
  </cols>
  <sheetData>
    <row r="1" spans="1:39" ht="20.25">
      <c r="A1" s="1287" t="s">
        <v>1627</v>
      </c>
      <c r="B1" s="1288"/>
      <c r="C1" s="1294" t="s">
        <v>2354</v>
      </c>
      <c r="D1" s="1409">
        <f>SUM(D29:D30,D33:D39)</f>
        <v>0</v>
      </c>
      <c r="E1" s="1294" t="s">
        <v>2355</v>
      </c>
      <c r="F1" s="2319"/>
      <c r="G1" s="1289"/>
      <c r="H1" s="1289"/>
      <c r="I1" s="1289"/>
      <c r="J1" s="1289"/>
      <c r="K1" s="1289"/>
      <c r="L1" s="1764" t="s">
        <v>2170</v>
      </c>
      <c r="M1" s="1765">
        <f>SUMPRODUCT((区片价!B5:B9=I2)*(区片价!C3:F3=E2)*(区片价!C5:F9))</f>
        <v>0</v>
      </c>
      <c r="N1" s="1766">
        <f>SUMPRODUCT((因素修正幅度!B5:B9=I2)*(因素修正幅度!C3:F3=E2)*(因素修正幅度!C5:F9))</f>
        <v>0</v>
      </c>
      <c r="O1" s="2064"/>
      <c r="P1" s="2064"/>
      <c r="Q1" s="2064"/>
      <c r="R1" s="2801" t="s">
        <v>2690</v>
      </c>
      <c r="S1" s="2801" t="s">
        <v>2691</v>
      </c>
      <c r="T1" s="2801" t="s">
        <v>2712</v>
      </c>
      <c r="U1" s="2801" t="s">
        <v>2713</v>
      </c>
      <c r="V1" s="2801" t="s">
        <v>2714</v>
      </c>
      <c r="W1" s="2064"/>
      <c r="X1" s="2064"/>
      <c r="Y1" s="2064"/>
      <c r="Z1" s="2064"/>
      <c r="AA1" s="2064"/>
      <c r="AB1" s="2064"/>
      <c r="AC1" s="2065"/>
    </row>
    <row r="2" spans="1:39" ht="15.75">
      <c r="A2" s="1294" t="s">
        <v>852</v>
      </c>
      <c r="B2" s="936" t="e">
        <f>C26</f>
        <v>#DIV/0!</v>
      </c>
      <c r="C2" s="1295" t="s">
        <v>853</v>
      </c>
      <c r="D2" s="1296" t="s">
        <v>854</v>
      </c>
      <c r="E2" s="1297"/>
      <c r="F2" s="1296" t="s">
        <v>856</v>
      </c>
      <c r="G2" s="1540">
        <f>IF(E2="商业",项目基本情况!B43,IF(E2="办公",项目基本情况!C43,IF(E2="住宅",项目基本情况!D43,项目基本情况!E43)))</f>
        <v>0</v>
      </c>
      <c r="H2" s="1296" t="s">
        <v>858</v>
      </c>
      <c r="I2" s="1541">
        <f>IF(E2="商业",项目基本情况!B44,IF(E2="办公",项目基本情况!C44,IF(E2="住宅",项目基本情况!D44,项目基本情况!E44)))</f>
        <v>0</v>
      </c>
      <c r="J2" s="1298"/>
      <c r="K2" s="1289"/>
      <c r="L2" s="1767" t="s">
        <v>2171</v>
      </c>
      <c r="M2" s="1768">
        <f>SUMPRODUCT((区片价!B10:B28=I2)*(区片价!C3:F3=E2)*(区片价!C10:F28))</f>
        <v>0</v>
      </c>
      <c r="N2" s="1769">
        <f>SUMPRODUCT((因素修正幅度!B10:B28=I2)*(因素修正幅度!C3:F3=E2)*(因素修正幅度!C10:F28))</f>
        <v>0</v>
      </c>
      <c r="O2" s="2064"/>
      <c r="P2" s="2064"/>
      <c r="Q2" s="2064"/>
      <c r="R2" s="2802">
        <v>1</v>
      </c>
      <c r="S2" s="2802">
        <f>ROUND(IF(G3&gt;1,IF(R2&lt;7,SUMPRODUCT((B93:B98=R2)*(C92:N92=G2)*(C93:N98)),SUMIF(C92:N92,G2,C100:N100)),IF(R2&lt;7,SUMPRODUCT((B102:B107=R2)*(C92:N92=G2)*(C102:N107)),SUMIF(C92:N92,G2,C109:N109))),4)</f>
        <v>0</v>
      </c>
      <c r="T2" s="2802" t="e">
        <f>ROUND($C$5*$C$18*$C$19*$C$20*S2*$C$24,0)</f>
        <v>#DIV/0!</v>
      </c>
      <c r="U2" s="2791"/>
      <c r="V2" s="2802" t="e">
        <f>ROUND(T2*U2/10000,0)</f>
        <v>#DIV/0!</v>
      </c>
      <c r="W2" s="2064"/>
      <c r="X2" s="2064"/>
      <c r="Y2" s="2064"/>
      <c r="Z2" s="2064"/>
      <c r="AA2" s="2064"/>
      <c r="AB2" s="2064"/>
      <c r="AC2" s="2065"/>
    </row>
    <row r="3" spans="1:39" ht="15.75">
      <c r="A3" s="1299" t="s">
        <v>1620</v>
      </c>
      <c r="B3" s="936" t="e">
        <f>ROUND(B2*10000/D1,0)</f>
        <v>#DIV/0!</v>
      </c>
      <c r="C3" s="1295" t="s">
        <v>859</v>
      </c>
      <c r="D3" s="1296" t="s">
        <v>860</v>
      </c>
      <c r="E3" s="1300"/>
      <c r="F3" s="1301" t="s">
        <v>2848</v>
      </c>
      <c r="G3" s="937">
        <f>IF(F3="宗地容积率",'数据-汇总表'!I4,IF(F3="估价对象容积率",'数据-汇总表'!I6,'数据-汇总表'!I7))</f>
        <v>1.8</v>
      </c>
      <c r="H3" s="1302" t="s">
        <v>861</v>
      </c>
      <c r="I3" s="938">
        <v>8</v>
      </c>
      <c r="J3" s="1298" t="s">
        <v>862</v>
      </c>
      <c r="K3" s="1289"/>
      <c r="L3" s="1767" t="s">
        <v>2172</v>
      </c>
      <c r="M3" s="1768">
        <f>SUMPRODUCT((区片价!B29:B48=I2)*(区片价!C3:F3=E2)*(区片价!C29:F48))</f>
        <v>0</v>
      </c>
      <c r="N3" s="1769">
        <f>SUMPRODUCT((因素修正幅度!B29:B48=I2)*(因素修正幅度!C3:F3=E2)*(因素修正幅度!C29:F48))</f>
        <v>0</v>
      </c>
      <c r="O3" s="2064"/>
      <c r="P3" s="2064"/>
      <c r="Q3" s="2064"/>
      <c r="R3" s="2802">
        <v>2</v>
      </c>
      <c r="S3" s="2802">
        <f>ROUND(IF(G3&gt;1,IF(R3&lt;7,SUMPRODUCT((B93:B98=R3)*(C92:N92=G2)*(C93:N98)),SUMIF(C92:N92,G2,C100:N100)),IF(R3&lt;7,SUMPRODUCT((B102:B107=R3)*(C92:N92=G2)*(C102:N107)),SUMIF(C92:N92,G2,C109:N109))),4)</f>
        <v>0</v>
      </c>
      <c r="T3" s="2802" t="e">
        <f t="shared" ref="T3:T16" si="0">ROUND($C$5*$C$18*$C$19*$C$20*S3*$C$24,0)</f>
        <v>#DIV/0!</v>
      </c>
      <c r="U3" s="2791"/>
      <c r="V3" s="2802" t="e">
        <f t="shared" ref="V3:V16" si="1">ROUND(T3*U3/10000,0)</f>
        <v>#DIV/0!</v>
      </c>
      <c r="W3" s="2064"/>
      <c r="X3" s="2064"/>
      <c r="Y3" s="2064"/>
      <c r="Z3" s="2064"/>
      <c r="AA3" s="2064"/>
      <c r="AB3" s="2064"/>
      <c r="AC3" s="2065"/>
    </row>
    <row r="4" spans="1:39" ht="28.5">
      <c r="A4" s="1773" t="s">
        <v>2212</v>
      </c>
      <c r="B4" s="2320" t="e">
        <f>ROUND(B2*10000/F1,0)</f>
        <v>#DIV/0!</v>
      </c>
      <c r="C4" s="1776" t="s">
        <v>2186</v>
      </c>
      <c r="D4" s="1776" t="e">
        <f>ROUND(B2/(F1/666.67),0)</f>
        <v>#DIV/0!</v>
      </c>
      <c r="E4" s="1776" t="s">
        <v>2187</v>
      </c>
      <c r="F4" s="1774"/>
      <c r="G4" s="1774"/>
      <c r="H4" s="1774"/>
      <c r="I4" s="1774"/>
      <c r="J4" s="1775"/>
      <c r="K4" s="1289"/>
      <c r="L4" s="1767" t="s">
        <v>2173</v>
      </c>
      <c r="M4" s="1768">
        <f>SUMPRODUCT((区片价!B49:B75=I2)*(区片价!C3:F3=E2)*(区片价!C49:F75))</f>
        <v>0</v>
      </c>
      <c r="N4" s="1769">
        <f>SUMPRODUCT((因素修正幅度!B49:B75=I2)*(因素修正幅度!C3:F3=E2)*(因素修正幅度!C49:F75))</f>
        <v>0</v>
      </c>
      <c r="O4" s="2064"/>
      <c r="P4" s="2064"/>
      <c r="Q4" s="2064"/>
      <c r="R4" s="2802">
        <v>3</v>
      </c>
      <c r="S4" s="2802">
        <f>ROUND(IF(G3&gt;1,IF(R4&lt;7,SUMPRODUCT((B93:B98=R4)*(C92:N92=G2)*(C93:N98)),SUMIF(C92:N92,G2,C100:N100)),IF(R4&lt;7,SUMPRODUCT((B102:B107=R4)*(C92:N92=G2)*(C102:N107)),SUMIF(C92:N92,G2,C109:N109))),4)</f>
        <v>0</v>
      </c>
      <c r="T4" s="2802" t="e">
        <f t="shared" si="0"/>
        <v>#DIV/0!</v>
      </c>
      <c r="U4" s="2791"/>
      <c r="V4" s="2802" t="e">
        <f t="shared" si="1"/>
        <v>#DIV/0!</v>
      </c>
      <c r="W4" s="2064"/>
      <c r="X4" s="2064"/>
      <c r="Y4" s="2064"/>
      <c r="Z4" s="2064"/>
      <c r="AA4" s="2064"/>
      <c r="AB4" s="2064"/>
      <c r="AC4" s="2065"/>
    </row>
    <row r="5" spans="1:39" s="1309" customFormat="1" ht="15.75" thickBot="1">
      <c r="A5" s="1526" t="s">
        <v>1756</v>
      </c>
      <c r="B5" s="1303" t="s">
        <v>863</v>
      </c>
      <c r="C5" s="939" t="e">
        <f>ROUND(IF(E2="商业",IF(F16="增加",C6*C7+C16,C6*C7-C16),IF(E2="住宅",IF(F16="增加",C6*C12+C16,C6*C12-C16),IF(F16="增加",C6+C16,C6-C16))),0)</f>
        <v>#DIV/0!</v>
      </c>
      <c r="D5" s="2978">
        <f>ROUND(IF(E2="商业",IF(F16="增加",C6+C16,C6-C16)),0)</f>
        <v>0</v>
      </c>
      <c r="E5" s="1304"/>
      <c r="F5" s="1304"/>
      <c r="G5" s="1305"/>
      <c r="H5" s="1305"/>
      <c r="I5" s="1305"/>
      <c r="J5" s="1306"/>
      <c r="K5" s="1482"/>
      <c r="L5" s="1767" t="s">
        <v>2174</v>
      </c>
      <c r="M5" s="1768">
        <f>SUMPRODUCT((区片价!B76:B109=I2)*(区片价!C3:F3=E2)*(区片价!C76:F109))</f>
        <v>0</v>
      </c>
      <c r="N5" s="1769">
        <f>SUMPRODUCT((因素修正幅度!B76:B109=I2)*(因素修正幅度!C3:F3=E2)*(因素修正幅度!C76:F109))</f>
        <v>0</v>
      </c>
      <c r="O5" s="2064"/>
      <c r="P5" s="2064"/>
      <c r="Q5" s="2064"/>
      <c r="R5" s="2802">
        <v>4</v>
      </c>
      <c r="S5" s="2802">
        <f>ROUND(IF(G3&gt;1,IF(R5&lt;7,SUMPRODUCT((B93:B98=R5)*(C92:N92=G2)*(C93:N98)),SUMIF(C92:N92,G2,C100:N100)),IF(R5&lt;7,SUMPRODUCT((B102:B107=R5)*(C92:N92=G2)*(C102:N107)),SUMIF(C92:N92,G2,C109:N109))),4)</f>
        <v>0</v>
      </c>
      <c r="T5" s="2802" t="e">
        <f t="shared" si="0"/>
        <v>#DIV/0!</v>
      </c>
      <c r="U5" s="2791"/>
      <c r="V5" s="2802" t="e">
        <f t="shared" si="1"/>
        <v>#DIV/0!</v>
      </c>
      <c r="W5" s="2064"/>
      <c r="X5" s="2064"/>
      <c r="Y5" s="2064"/>
      <c r="Z5" s="2064"/>
      <c r="AA5" s="2064"/>
      <c r="AB5" s="2064"/>
      <c r="AC5" s="2066"/>
      <c r="AD5" s="1307"/>
      <c r="AE5" s="1307"/>
      <c r="AF5" s="1307"/>
      <c r="AG5" s="1307"/>
      <c r="AH5" s="1307"/>
      <c r="AI5" s="1307"/>
      <c r="AJ5" s="1308"/>
      <c r="AK5" s="1308"/>
      <c r="AL5" s="1308"/>
      <c r="AM5" s="1308"/>
    </row>
    <row r="6" spans="1:39" ht="15.75" thickBot="1">
      <c r="A6" s="1527" t="s">
        <v>1803</v>
      </c>
      <c r="B6" s="1310" t="s">
        <v>863</v>
      </c>
      <c r="C6" s="940">
        <f>SUMIF(L1:L12,基准地价!G2,M1:M12)</f>
        <v>0</v>
      </c>
      <c r="D6" s="1311" t="s">
        <v>1628</v>
      </c>
      <c r="E6" s="1312"/>
      <c r="F6" s="1312"/>
      <c r="G6" s="1313"/>
      <c r="H6" s="1313"/>
      <c r="I6" s="1313"/>
      <c r="J6" s="1314"/>
      <c r="K6" s="1483"/>
      <c r="L6" s="1767" t="s">
        <v>2175</v>
      </c>
      <c r="M6" s="1768">
        <f>SUMPRODUCT((区片价!B110:B157=I2)*(区片价!C3:F3=E2)*(区片价!C110:F157))</f>
        <v>0</v>
      </c>
      <c r="N6" s="1769">
        <f>SUMPRODUCT((因素修正幅度!B110:B157=I2)*(因素修正幅度!C3:F3=E2)*(因素修正幅度!C110:F157))</f>
        <v>0</v>
      </c>
      <c r="O6" s="2064"/>
      <c r="P6" s="2064"/>
      <c r="Q6" s="2064"/>
      <c r="R6" s="2802">
        <v>5</v>
      </c>
      <c r="S6" s="2802">
        <f>ROUND(IF(G3&gt;1,IF(R6&lt;7,SUMPRODUCT((B93:B98=R6)*(C92:N92=G2)*(C93:N98)),SUMIF(C92:N92,G2,C100:N100)),IF(R6&lt;7,SUMPRODUCT((B102:B107=R6)*(C92:N92=G2)*(C102:N107)),SUMIF(C92:N92,G2,C109:N109))),4)</f>
        <v>0</v>
      </c>
      <c r="T6" s="2802" t="e">
        <f t="shared" si="0"/>
        <v>#DIV/0!</v>
      </c>
      <c r="U6" s="2791"/>
      <c r="V6" s="2802" t="e">
        <f t="shared" si="1"/>
        <v>#DIV/0!</v>
      </c>
      <c r="W6" s="2064"/>
      <c r="X6" s="2064"/>
      <c r="Y6" s="2064"/>
      <c r="Z6" s="2064"/>
      <c r="AA6" s="2064"/>
      <c r="AB6" s="2064"/>
      <c r="AC6" s="2066"/>
      <c r="AD6" s="1307"/>
      <c r="AE6" s="1307"/>
      <c r="AF6" s="1307"/>
      <c r="AG6" s="1307"/>
      <c r="AH6" s="1307"/>
      <c r="AI6" s="1307"/>
      <c r="AJ6" s="1308"/>
    </row>
    <row r="7" spans="1:39" ht="24">
      <c r="A7" s="3436" t="str">
        <f>IF(E2="商业",IF(C8="不临58条商业街","",2),"")</f>
        <v/>
      </c>
      <c r="B7" s="1315" t="s">
        <v>864</v>
      </c>
      <c r="C7" s="941" t="e">
        <f>IF(C8="不临58条商业街",1,ROUND(1+(1.6*E8+1.2*E9+0.8*E10+0.4*E11)*C9,4))</f>
        <v>#DIV/0!</v>
      </c>
      <c r="D7" s="1316" t="s">
        <v>865</v>
      </c>
      <c r="E7" s="942"/>
      <c r="F7" s="1317"/>
      <c r="G7" s="1318"/>
      <c r="H7" s="1318"/>
      <c r="I7" s="1318"/>
      <c r="J7" s="1319"/>
      <c r="K7" s="1483"/>
      <c r="L7" s="1767" t="s">
        <v>2176</v>
      </c>
      <c r="M7" s="1768">
        <f>SUMPRODUCT((区片价!B158:B205=I2)*(区片价!C3:F3=E2)*(区片价!C158:F205))</f>
        <v>0</v>
      </c>
      <c r="N7" s="1769">
        <f>SUMPRODUCT((因素修正幅度!B158:B205=I2)*(因素修正幅度!C3:F3=E2)*(因素修正幅度!C158:F205))</f>
        <v>0</v>
      </c>
      <c r="O7" s="2064"/>
      <c r="P7" s="2064"/>
      <c r="Q7" s="2064"/>
      <c r="R7" s="2802">
        <v>6</v>
      </c>
      <c r="S7" s="2802">
        <f>ROUND(IF(G3&gt;1,IF(R7&lt;7,SUMPRODUCT((B93:B98=R7)*(C92:N92=G2)*(C93:N98)),SUMIF(C92:N92,G2,C100:N100)),IF(R7&lt;7,SUMPRODUCT((B102:B107=R7)*(C92:N92=G2)*(C102:N107)),SUMIF(C92:N92,G2,C109:N109))),4)</f>
        <v>0</v>
      </c>
      <c r="T7" s="2802" t="e">
        <f t="shared" si="0"/>
        <v>#DIV/0!</v>
      </c>
      <c r="U7" s="2791"/>
      <c r="V7" s="2802" t="e">
        <f t="shared" si="1"/>
        <v>#DIV/0!</v>
      </c>
      <c r="W7" s="2800" t="s">
        <v>2693</v>
      </c>
      <c r="X7" s="2792">
        <f>G2</f>
        <v>0</v>
      </c>
      <c r="Y7" s="2792" t="s">
        <v>2694</v>
      </c>
      <c r="Z7" s="2793">
        <f>G3</f>
        <v>1.8</v>
      </c>
      <c r="AA7" s="2067"/>
      <c r="AB7" s="2067"/>
      <c r="AC7" s="2068"/>
      <c r="AD7" s="2794"/>
      <c r="AE7" s="2794"/>
      <c r="AF7" s="2794"/>
      <c r="AG7" s="2794"/>
      <c r="AH7" s="2794"/>
      <c r="AI7" s="2794"/>
      <c r="AJ7" s="2795"/>
    </row>
    <row r="8" spans="1:39" ht="15">
      <c r="A8" s="3437"/>
      <c r="B8" s="1302" t="s">
        <v>866</v>
      </c>
      <c r="C8" s="1417"/>
      <c r="D8" s="943" t="s">
        <v>867</v>
      </c>
      <c r="E8" s="944" t="e">
        <f>ROUND(C11/E7,4)</f>
        <v>#DIV/0!</v>
      </c>
      <c r="F8" s="1320" t="s">
        <v>868</v>
      </c>
      <c r="G8" s="1321"/>
      <c r="H8" s="1321"/>
      <c r="I8" s="1321"/>
      <c r="J8" s="1322"/>
      <c r="K8" s="1289"/>
      <c r="L8" s="1767" t="s">
        <v>2177</v>
      </c>
      <c r="M8" s="1768">
        <f>SUMPRODUCT((区片价!B206:B244=I2)*(区片价!C3:F3=E2)*(区片价!C206:F244))</f>
        <v>0</v>
      </c>
      <c r="N8" s="1769">
        <f>SUMPRODUCT((因素修正幅度!B206:B244=I2)*(因素修正幅度!C3:F3=E2)*(因素修正幅度!C206:F244))</f>
        <v>0</v>
      </c>
      <c r="O8" s="2064"/>
      <c r="P8" s="2064"/>
      <c r="Q8" s="2064"/>
      <c r="R8" s="2802">
        <v>7</v>
      </c>
      <c r="S8" s="2791"/>
      <c r="T8" s="2802" t="e">
        <f t="shared" si="0"/>
        <v>#DIV/0!</v>
      </c>
      <c r="U8" s="2791"/>
      <c r="V8" s="2802" t="e">
        <f t="shared" si="1"/>
        <v>#DIV/0!</v>
      </c>
      <c r="W8" s="3428" t="s">
        <v>2711</v>
      </c>
      <c r="X8" s="3429"/>
      <c r="Y8" s="1731" t="s">
        <v>2695</v>
      </c>
      <c r="Z8" s="1731" t="s">
        <v>2696</v>
      </c>
      <c r="AA8" s="1731" t="s">
        <v>2697</v>
      </c>
      <c r="AB8" s="1731" t="s">
        <v>2698</v>
      </c>
      <c r="AC8" s="1731" t="s">
        <v>2699</v>
      </c>
      <c r="AD8" s="1731" t="s">
        <v>2700</v>
      </c>
      <c r="AE8" s="1731" t="s">
        <v>2701</v>
      </c>
      <c r="AF8" s="1731" t="s">
        <v>2702</v>
      </c>
      <c r="AG8" s="1731" t="s">
        <v>2703</v>
      </c>
      <c r="AH8" s="1731" t="s">
        <v>2704</v>
      </c>
      <c r="AI8" s="1731" t="s">
        <v>2705</v>
      </c>
      <c r="AJ8" s="1731" t="s">
        <v>2706</v>
      </c>
    </row>
    <row r="9" spans="1:39" ht="15">
      <c r="A9" s="3437"/>
      <c r="B9" s="1302" t="s">
        <v>869</v>
      </c>
      <c r="C9" s="945">
        <f>SUMIF(修正!C59:C119,C8,修正!E59:E119)</f>
        <v>0</v>
      </c>
      <c r="D9" s="946" t="s">
        <v>870</v>
      </c>
      <c r="E9" s="946" t="e">
        <f>ROUND(C11/E7,4)</f>
        <v>#DIV/0!</v>
      </c>
      <c r="F9" s="1320" t="s">
        <v>871</v>
      </c>
      <c r="G9" s="1321"/>
      <c r="H9" s="1321"/>
      <c r="I9" s="1321"/>
      <c r="J9" s="1322"/>
      <c r="K9" s="1289"/>
      <c r="L9" s="1767" t="s">
        <v>2178</v>
      </c>
      <c r="M9" s="1768">
        <f>SUMPRODUCT((区片价!B245:B289=I2)*(区片价!C3:F3=E2)*(区片价!C245:F289))</f>
        <v>0</v>
      </c>
      <c r="N9" s="1769">
        <f>SUMPRODUCT((因素修正幅度!B245:B289=I2)*(因素修正幅度!C3:F3=E2)*(因素修正幅度!C245:F289))</f>
        <v>0</v>
      </c>
      <c r="O9" s="2064"/>
      <c r="P9" s="2064"/>
      <c r="Q9" s="2064"/>
      <c r="R9" s="2802">
        <v>8</v>
      </c>
      <c r="S9" s="2791"/>
      <c r="T9" s="2802" t="e">
        <f t="shared" si="0"/>
        <v>#DIV/0!</v>
      </c>
      <c r="U9" s="2791"/>
      <c r="V9" s="2802" t="e">
        <f t="shared" si="1"/>
        <v>#DIV/0!</v>
      </c>
      <c r="W9" s="3427" t="s">
        <v>2707</v>
      </c>
      <c r="X9" s="2796" t="s">
        <v>2708</v>
      </c>
      <c r="Y9" s="2953"/>
      <c r="Z9" s="2797">
        <f>$Y$9</f>
        <v>0</v>
      </c>
      <c r="AA9" s="2797">
        <f t="shared" ref="AA9:AJ9" si="2">$Y$9</f>
        <v>0</v>
      </c>
      <c r="AB9" s="2797">
        <f t="shared" si="2"/>
        <v>0</v>
      </c>
      <c r="AC9" s="2797">
        <f t="shared" si="2"/>
        <v>0</v>
      </c>
      <c r="AD9" s="2797">
        <f t="shared" si="2"/>
        <v>0</v>
      </c>
      <c r="AE9" s="2797">
        <f t="shared" si="2"/>
        <v>0</v>
      </c>
      <c r="AF9" s="2797">
        <f t="shared" si="2"/>
        <v>0</v>
      </c>
      <c r="AG9" s="2797">
        <f t="shared" si="2"/>
        <v>0</v>
      </c>
      <c r="AH9" s="2797">
        <f t="shared" si="2"/>
        <v>0</v>
      </c>
      <c r="AI9" s="2797">
        <f t="shared" si="2"/>
        <v>0</v>
      </c>
      <c r="AJ9" s="2797">
        <f t="shared" si="2"/>
        <v>0</v>
      </c>
    </row>
    <row r="10" spans="1:39" ht="15">
      <c r="A10" s="3437"/>
      <c r="B10" s="1302" t="s">
        <v>872</v>
      </c>
      <c r="C10" s="946">
        <f>SUMIF(修正!C59:C119,C8,修正!F59:F119)</f>
        <v>0</v>
      </c>
      <c r="D10" s="946" t="s">
        <v>873</v>
      </c>
      <c r="E10" s="946" t="e">
        <f>ROUND(C11/E7,4)</f>
        <v>#DIV/0!</v>
      </c>
      <c r="F10" s="1320" t="s">
        <v>874</v>
      </c>
      <c r="G10" s="1321"/>
      <c r="H10" s="1321"/>
      <c r="I10" s="1321"/>
      <c r="J10" s="1322"/>
      <c r="K10" s="1289"/>
      <c r="L10" s="1767" t="s">
        <v>2179</v>
      </c>
      <c r="M10" s="1768">
        <f>SUMPRODUCT((区片价!B290:B316=I2)*(区片价!C3:F3=E2)*(区片价!C290:F316))</f>
        <v>0</v>
      </c>
      <c r="N10" s="1769">
        <f>SUMPRODUCT((因素修正幅度!B290:B316=I2)*(因素修正幅度!C3:F3=E2)*(因素修正幅度!C290:F316))</f>
        <v>0</v>
      </c>
      <c r="O10" s="2064"/>
      <c r="P10" s="2064"/>
      <c r="Q10" s="2064"/>
      <c r="R10" s="2802">
        <v>9</v>
      </c>
      <c r="S10" s="2791"/>
      <c r="T10" s="2802" t="e">
        <f t="shared" si="0"/>
        <v>#DIV/0!</v>
      </c>
      <c r="U10" s="2791"/>
      <c r="V10" s="2802" t="e">
        <f t="shared" si="1"/>
        <v>#DIV/0!</v>
      </c>
      <c r="W10" s="3427"/>
      <c r="X10" s="2796">
        <v>7</v>
      </c>
      <c r="Y10" s="2798">
        <f>(-0.163*(Y9^2)-0.59*Y9+7617)*(10^(-4))</f>
        <v>0.76170000000000004</v>
      </c>
      <c r="Z10" s="2798">
        <f>(-0.163*(Z9^2)-0.59*Z9+7617)*(10^(-4))</f>
        <v>0.76170000000000004</v>
      </c>
      <c r="AA10" s="2798">
        <f>(-0.161*(AA9^2)-7.509*AA9+6533)*(10^(-4))</f>
        <v>0.65329999999999999</v>
      </c>
      <c r="AB10" s="2798">
        <f>(-0.161*(AB9^2)-7.509*AB9+6533)*(10^(-4))</f>
        <v>0.65329999999999999</v>
      </c>
      <c r="AC10" s="2798">
        <f>(-0.161*(AC9^2)-7.509*AC9+6533)*(10^(-4))</f>
        <v>0.65329999999999999</v>
      </c>
      <c r="AD10" s="2798">
        <f>(-0.161*(AD9^2)-7.509*AD9+6533)*(10^(-4))</f>
        <v>0.65329999999999999</v>
      </c>
      <c r="AE10" s="2798">
        <f>(-0.161*(AE9^2)-7.509*AE9+6533)*(10^(-4))</f>
        <v>0.65329999999999999</v>
      </c>
      <c r="AF10" s="2798">
        <f>(-0.214*(AF9^2)-21.991*AF9+4665)*(10^(-4))</f>
        <v>0.46650000000000003</v>
      </c>
      <c r="AG10" s="2798">
        <f>(-0.214*(AG9^2)-21.991*AG9+4665)*(10^(-4))</f>
        <v>0.46650000000000003</v>
      </c>
      <c r="AH10" s="2798">
        <f>(-0.214*(AH9^2)-21.991*AH9+4665)*(10^(-4))</f>
        <v>0.46650000000000003</v>
      </c>
      <c r="AI10" s="2798">
        <f>(-0.214*(AI9^2)-21.991*AI9+4665)*(10^(-4))</f>
        <v>0.46650000000000003</v>
      </c>
      <c r="AJ10" s="2798">
        <f>(-0.214*(AJ9^2)-21.991*AJ9+4665)*(10^(-4))</f>
        <v>0.46650000000000003</v>
      </c>
    </row>
    <row r="11" spans="1:39" ht="15.75" customHeight="1" thickBot="1">
      <c r="A11" s="3437"/>
      <c r="B11" s="1323" t="s">
        <v>875</v>
      </c>
      <c r="C11" s="947">
        <f>C10/4</f>
        <v>0</v>
      </c>
      <c r="D11" s="947" t="s">
        <v>876</v>
      </c>
      <c r="E11" s="947" t="e">
        <f>ROUND(C11/E7,4)</f>
        <v>#DIV/0!</v>
      </c>
      <c r="F11" s="1324" t="s">
        <v>877</v>
      </c>
      <c r="G11" s="1325"/>
      <c r="H11" s="1325"/>
      <c r="I11" s="1325"/>
      <c r="J11" s="1326"/>
      <c r="K11" s="1289"/>
      <c r="L11" s="1767" t="s">
        <v>2180</v>
      </c>
      <c r="M11" s="1768">
        <f>SUMPRODUCT((区片价!B317:B337=I2)*(区片价!C3:F3=E2)*(区片价!C317:F337))</f>
        <v>0</v>
      </c>
      <c r="N11" s="1769">
        <f>SUMPRODUCT((因素修正幅度!B317:B337=I2)*(因素修正幅度!C3:F3=E2)*(因素修正幅度!C317:F337))</f>
        <v>0</v>
      </c>
      <c r="O11" s="2064"/>
      <c r="P11" s="2064"/>
      <c r="Q11" s="2064"/>
      <c r="R11" s="2802">
        <v>10</v>
      </c>
      <c r="S11" s="2791"/>
      <c r="T11" s="2802" t="e">
        <f t="shared" si="0"/>
        <v>#DIV/0!</v>
      </c>
      <c r="U11" s="2791"/>
      <c r="V11" s="2802" t="e">
        <f t="shared" si="1"/>
        <v>#DIV/0!</v>
      </c>
      <c r="W11" s="3427" t="s">
        <v>2709</v>
      </c>
      <c r="X11" s="946" t="s">
        <v>2694</v>
      </c>
      <c r="Y11" s="1541">
        <f>$G$3</f>
        <v>1.8</v>
      </c>
      <c r="Z11" s="1541">
        <f t="shared" ref="Z11:AJ11" si="3">$G$3</f>
        <v>1.8</v>
      </c>
      <c r="AA11" s="1541">
        <f t="shared" si="3"/>
        <v>1.8</v>
      </c>
      <c r="AB11" s="1541">
        <f t="shared" si="3"/>
        <v>1.8</v>
      </c>
      <c r="AC11" s="1541">
        <f t="shared" si="3"/>
        <v>1.8</v>
      </c>
      <c r="AD11" s="1541">
        <f t="shared" si="3"/>
        <v>1.8</v>
      </c>
      <c r="AE11" s="1541">
        <f t="shared" si="3"/>
        <v>1.8</v>
      </c>
      <c r="AF11" s="1541">
        <f t="shared" si="3"/>
        <v>1.8</v>
      </c>
      <c r="AG11" s="1541">
        <f t="shared" si="3"/>
        <v>1.8</v>
      </c>
      <c r="AH11" s="1541">
        <f t="shared" si="3"/>
        <v>1.8</v>
      </c>
      <c r="AI11" s="1541">
        <f t="shared" si="3"/>
        <v>1.8</v>
      </c>
      <c r="AJ11" s="1541">
        <f t="shared" si="3"/>
        <v>1.8</v>
      </c>
    </row>
    <row r="12" spans="1:39" ht="25.5" thickBot="1">
      <c r="A12" s="3436" t="s">
        <v>1804</v>
      </c>
      <c r="B12" s="1327" t="s">
        <v>878</v>
      </c>
      <c r="C12" s="941">
        <f>ROUND(C15*D15*E15*F15*G15*H15*I15*J15,4)</f>
        <v>1</v>
      </c>
      <c r="D12" s="1328" t="s">
        <v>879</v>
      </c>
      <c r="E12" s="1329"/>
      <c r="F12" s="1329"/>
      <c r="G12" s="1330"/>
      <c r="H12" s="1330"/>
      <c r="I12" s="1330"/>
      <c r="J12" s="1331"/>
      <c r="K12" s="1289"/>
      <c r="L12" s="1770" t="s">
        <v>2181</v>
      </c>
      <c r="M12" s="1771">
        <f>SUMPRODUCT((区片价!B338:B344=I2)*(区片价!C3:F3=E2)*(区片价!C338:F344))</f>
        <v>0</v>
      </c>
      <c r="N12" s="1772">
        <f>SUMPRODUCT((因素修正幅度!B338:B344=I2)*(因素修正幅度!C3:F3=E2)*(因素修正幅度!C338:F344))</f>
        <v>0</v>
      </c>
      <c r="O12" s="2064"/>
      <c r="P12" s="2064"/>
      <c r="Q12" s="2064"/>
      <c r="R12" s="2802">
        <v>11</v>
      </c>
      <c r="S12" s="2791"/>
      <c r="T12" s="2802" t="e">
        <f t="shared" si="0"/>
        <v>#DIV/0!</v>
      </c>
      <c r="U12" s="2791"/>
      <c r="V12" s="2802" t="e">
        <f t="shared" si="1"/>
        <v>#DIV/0!</v>
      </c>
      <c r="W12" s="3427"/>
      <c r="X12" s="2799" t="s">
        <v>2710</v>
      </c>
      <c r="Y12" s="2797">
        <f t="shared" ref="Y12:AJ12" si="4">Y9</f>
        <v>0</v>
      </c>
      <c r="Z12" s="2797">
        <f t="shared" si="4"/>
        <v>0</v>
      </c>
      <c r="AA12" s="2797">
        <f t="shared" si="4"/>
        <v>0</v>
      </c>
      <c r="AB12" s="2797">
        <f t="shared" si="4"/>
        <v>0</v>
      </c>
      <c r="AC12" s="2797">
        <f t="shared" si="4"/>
        <v>0</v>
      </c>
      <c r="AD12" s="2797">
        <f t="shared" si="4"/>
        <v>0</v>
      </c>
      <c r="AE12" s="2797">
        <f t="shared" si="4"/>
        <v>0</v>
      </c>
      <c r="AF12" s="2797">
        <f t="shared" si="4"/>
        <v>0</v>
      </c>
      <c r="AG12" s="2797">
        <f t="shared" si="4"/>
        <v>0</v>
      </c>
      <c r="AH12" s="2797">
        <f t="shared" si="4"/>
        <v>0</v>
      </c>
      <c r="AI12" s="2797">
        <f t="shared" si="4"/>
        <v>0</v>
      </c>
      <c r="AJ12" s="2797">
        <f t="shared" si="4"/>
        <v>0</v>
      </c>
    </row>
    <row r="13" spans="1:39" ht="24">
      <c r="A13" s="3438"/>
      <c r="B13" s="1332" t="s">
        <v>1629</v>
      </c>
      <c r="C13" s="1333" t="s">
        <v>1630</v>
      </c>
      <c r="D13" s="987" t="s">
        <v>1631</v>
      </c>
      <c r="E13" s="987" t="s">
        <v>1632</v>
      </c>
      <c r="F13" s="1334" t="s">
        <v>880</v>
      </c>
      <c r="G13" s="1335" t="s">
        <v>1575</v>
      </c>
      <c r="H13" s="1336" t="s">
        <v>1575</v>
      </c>
      <c r="I13" s="1337" t="s">
        <v>1575</v>
      </c>
      <c r="J13" s="1338" t="s">
        <v>1575</v>
      </c>
      <c r="K13" s="1289"/>
      <c r="L13" s="2064"/>
      <c r="M13" s="2064"/>
      <c r="N13" s="2064"/>
      <c r="O13" s="2064"/>
      <c r="P13" s="2064"/>
      <c r="Q13" s="2064"/>
      <c r="R13" s="2802">
        <v>12</v>
      </c>
      <c r="S13" s="2791"/>
      <c r="T13" s="2802" t="e">
        <f t="shared" si="0"/>
        <v>#DIV/0!</v>
      </c>
      <c r="U13" s="2791"/>
      <c r="V13" s="2802" t="e">
        <f t="shared" si="1"/>
        <v>#DIV/0!</v>
      </c>
      <c r="W13" s="3427"/>
      <c r="X13" s="2799"/>
      <c r="Y13" s="2798">
        <f>(-0.163*(Y12^2)-0.59*Y12+7617)*(10^(-4))/Y11</f>
        <v>0.42316666666666669</v>
      </c>
      <c r="Z13" s="2798">
        <f t="shared" ref="Z13:AJ13" si="5">(-0.163*(Z12^2)-0.59*Z12+7617)*(10^(-4))/Z11</f>
        <v>0.42316666666666669</v>
      </c>
      <c r="AA13" s="2798">
        <f t="shared" si="5"/>
        <v>0.42316666666666669</v>
      </c>
      <c r="AB13" s="2798">
        <f t="shared" si="5"/>
        <v>0.42316666666666669</v>
      </c>
      <c r="AC13" s="2798">
        <f t="shared" si="5"/>
        <v>0.42316666666666669</v>
      </c>
      <c r="AD13" s="2798">
        <f t="shared" si="5"/>
        <v>0.42316666666666669</v>
      </c>
      <c r="AE13" s="2798">
        <f t="shared" si="5"/>
        <v>0.42316666666666669</v>
      </c>
      <c r="AF13" s="2798">
        <f t="shared" si="5"/>
        <v>0.42316666666666669</v>
      </c>
      <c r="AG13" s="2798">
        <f t="shared" si="5"/>
        <v>0.42316666666666669</v>
      </c>
      <c r="AH13" s="2798">
        <f t="shared" si="5"/>
        <v>0.42316666666666669</v>
      </c>
      <c r="AI13" s="2798">
        <f t="shared" si="5"/>
        <v>0.42316666666666669</v>
      </c>
      <c r="AJ13" s="2798">
        <f t="shared" si="5"/>
        <v>0.42316666666666669</v>
      </c>
    </row>
    <row r="14" spans="1:39" ht="12.75" customHeight="1" thickBot="1">
      <c r="A14" s="3438"/>
      <c r="B14" s="1339"/>
      <c r="C14" s="1340"/>
      <c r="D14" s="1341"/>
      <c r="E14" s="1341"/>
      <c r="F14" s="1342"/>
      <c r="G14" s="1343" t="s">
        <v>881</v>
      </c>
      <c r="H14" s="1344"/>
      <c r="I14" s="1345"/>
      <c r="J14" s="1346"/>
      <c r="K14" s="1289"/>
      <c r="L14" s="2064"/>
      <c r="M14" s="2064"/>
      <c r="N14" s="2064"/>
      <c r="O14" s="2064"/>
      <c r="P14" s="2064"/>
      <c r="Q14" s="2064"/>
      <c r="R14" s="2802">
        <v>13</v>
      </c>
      <c r="S14" s="2791"/>
      <c r="T14" s="2802" t="e">
        <f t="shared" si="0"/>
        <v>#DIV/0!</v>
      </c>
      <c r="U14" s="2791"/>
      <c r="V14" s="2802" t="e">
        <f t="shared" si="1"/>
        <v>#DIV/0!</v>
      </c>
      <c r="W14" s="2064"/>
      <c r="X14" s="2064"/>
      <c r="Y14" s="2064"/>
      <c r="Z14" s="2064"/>
      <c r="AA14" s="2064"/>
      <c r="AB14" s="2064"/>
      <c r="AC14" s="2065"/>
    </row>
    <row r="15" spans="1:39" ht="13.5" customHeight="1" thickBot="1">
      <c r="A15" s="3439"/>
      <c r="B15" s="1347" t="s">
        <v>1633</v>
      </c>
      <c r="C15" s="949">
        <f>IF(C14="有",1.1,1)</f>
        <v>1</v>
      </c>
      <c r="D15" s="949">
        <f>IF(D14="有",1.1,1)</f>
        <v>1</v>
      </c>
      <c r="E15" s="949">
        <f>IF(E14="有",1.1,1)</f>
        <v>1</v>
      </c>
      <c r="F15" s="949">
        <f>IF(F14="500米范围内",1.2,IF(F14="500-1000米",1.1,1))</f>
        <v>1</v>
      </c>
      <c r="G15" s="950">
        <v>1</v>
      </c>
      <c r="H15" s="950">
        <v>1</v>
      </c>
      <c r="I15" s="950">
        <v>1</v>
      </c>
      <c r="J15" s="951">
        <v>1</v>
      </c>
      <c r="K15" s="1289"/>
      <c r="L15" s="1486" t="s">
        <v>830</v>
      </c>
      <c r="M15" s="1316" t="s">
        <v>916</v>
      </c>
      <c r="N15" s="1316" t="s">
        <v>917</v>
      </c>
      <c r="O15" s="1316" t="s">
        <v>834</v>
      </c>
      <c r="P15" s="1364" t="s">
        <v>918</v>
      </c>
      <c r="Q15" s="2064"/>
      <c r="R15" s="2802">
        <v>14</v>
      </c>
      <c r="S15" s="2791"/>
      <c r="T15" s="2802" t="e">
        <f t="shared" si="0"/>
        <v>#DIV/0!</v>
      </c>
      <c r="U15" s="2791"/>
      <c r="V15" s="2802" t="e">
        <f t="shared" si="1"/>
        <v>#DIV/0!</v>
      </c>
      <c r="W15" s="2064"/>
      <c r="X15" s="2064"/>
      <c r="Y15" s="2064"/>
      <c r="Z15" s="2064"/>
      <c r="AA15" s="2064"/>
      <c r="AB15" s="2064"/>
      <c r="AC15" s="2065"/>
    </row>
    <row r="16" spans="1:39" ht="24">
      <c r="A16" s="3436" t="s">
        <v>1771</v>
      </c>
      <c r="B16" s="1315" t="s">
        <v>882</v>
      </c>
      <c r="C16" s="952" t="e">
        <f>ROUND(SUM(G17:J17)/C17,0)</f>
        <v>#DIV/0!</v>
      </c>
      <c r="D16" s="1348" t="s">
        <v>883</v>
      </c>
      <c r="E16" s="1349"/>
      <c r="F16" s="1350"/>
      <c r="G16" s="1351"/>
      <c r="H16" s="1351"/>
      <c r="I16" s="1351"/>
      <c r="J16" s="1351"/>
      <c r="K16" s="1289"/>
      <c r="L16" s="1352" t="s">
        <v>920</v>
      </c>
      <c r="M16" s="945">
        <v>0.25</v>
      </c>
      <c r="N16" s="945">
        <v>0.2</v>
      </c>
      <c r="O16" s="945">
        <v>0.15</v>
      </c>
      <c r="P16" s="1427">
        <v>0.1</v>
      </c>
      <c r="Q16" s="2067"/>
      <c r="R16" s="2802">
        <v>15</v>
      </c>
      <c r="S16" s="2791"/>
      <c r="T16" s="2802" t="e">
        <f t="shared" si="0"/>
        <v>#DIV/0!</v>
      </c>
      <c r="U16" s="2791"/>
      <c r="V16" s="2802" t="e">
        <f t="shared" si="1"/>
        <v>#DIV/0!</v>
      </c>
      <c r="W16" s="2067"/>
      <c r="X16" s="2067"/>
      <c r="Y16" s="2067"/>
      <c r="Z16" s="2067"/>
      <c r="AA16" s="2067"/>
      <c r="AB16" s="2067"/>
      <c r="AC16" s="2068"/>
    </row>
    <row r="17" spans="1:40" ht="13.5" thickBot="1">
      <c r="A17" s="3437"/>
      <c r="B17" s="1353" t="s">
        <v>885</v>
      </c>
      <c r="C17" s="953">
        <f>SUMPRODUCT((修正!A2:A5=E2)*(修正!B1:M1=G2)*(修正!B2:M5))</f>
        <v>0</v>
      </c>
      <c r="D17" s="1355" t="s">
        <v>886</v>
      </c>
      <c r="E17" s="1356" t="str">
        <f>IF(OR(G2="八级",G2="九级",G2="十级",G2="十一级",G2="十二级"),"五通一平","七通一平")</f>
        <v>七通一平</v>
      </c>
      <c r="F17" s="1354" t="s">
        <v>887</v>
      </c>
      <c r="G17" s="953">
        <f>SUMPRODUCT((七通一平=G16)*(修正!B1:M1=G2)*(修正!B6:M14))</f>
        <v>0</v>
      </c>
      <c r="H17" s="953">
        <f>SUMPRODUCT((七通一平=H16)*(修正!B1:M1=G2)*(修正!B6:M14))</f>
        <v>0</v>
      </c>
      <c r="I17" s="953">
        <f>SUMPRODUCT((七通一平=I16)*(修正!B1:M1=G2)*(修正!B6:M14))</f>
        <v>0</v>
      </c>
      <c r="J17" s="954">
        <f>SUMPRODUCT((七通一平=J16)*(修正!B1:M1=G2)*(修正!B6:M14))</f>
        <v>0</v>
      </c>
      <c r="K17" s="1289"/>
      <c r="L17" s="1357" t="s">
        <v>906</v>
      </c>
      <c r="M17" s="1428">
        <f ca="1">ROUND($E$20*(1+M16),3)</f>
        <v>5.3999999999999999E-2</v>
      </c>
      <c r="N17" s="1428">
        <f ca="1">ROUND($E$20*(1+N16),3)</f>
        <v>5.1999999999999998E-2</v>
      </c>
      <c r="O17" s="1428">
        <f ca="1">ROUND($E$20*(1+O16),3)</f>
        <v>0.05</v>
      </c>
      <c r="P17" s="1429">
        <f ca="1">ROUND($E$20*(1+P16),3)</f>
        <v>4.8000000000000001E-2</v>
      </c>
      <c r="Q17" s="2067"/>
      <c r="R17" s="2068"/>
      <c r="S17" s="2068"/>
      <c r="T17" s="2068"/>
      <c r="U17" s="2068"/>
      <c r="V17" s="2068"/>
      <c r="W17" s="2067"/>
      <c r="X17" s="2067"/>
      <c r="Y17" s="2067"/>
      <c r="Z17" s="2067"/>
      <c r="AA17" s="2067"/>
      <c r="AB17" s="2067"/>
      <c r="AC17" s="2068"/>
      <c r="AH17" s="1290"/>
      <c r="AI17" s="1290"/>
      <c r="AJ17" s="1293"/>
      <c r="AK17" s="1293"/>
      <c r="AL17" s="1293"/>
      <c r="AM17" s="1293"/>
    </row>
    <row r="18" spans="1:40" s="1309" customFormat="1" ht="15.75" thickBot="1">
      <c r="A18" s="1529" t="s">
        <v>1762</v>
      </c>
      <c r="B18" s="2637" t="s">
        <v>888</v>
      </c>
      <c r="C18" s="2638">
        <f>SUMIF(修正!C18:C39,E3,修正!E18:E39)</f>
        <v>0</v>
      </c>
      <c r="D18" s="2639"/>
      <c r="E18" s="2640"/>
      <c r="F18" s="2641"/>
      <c r="G18" s="2635"/>
      <c r="H18" s="2635"/>
      <c r="I18" s="2635"/>
      <c r="J18" s="2642"/>
      <c r="K18" s="1369"/>
      <c r="L18" s="1369"/>
      <c r="M18" s="1369"/>
      <c r="N18" s="1369"/>
      <c r="O18" s="1485"/>
      <c r="P18" s="1485"/>
      <c r="Q18" s="2069"/>
      <c r="R18" s="2069"/>
      <c r="S18" s="2069"/>
      <c r="T18" s="2069"/>
      <c r="U18" s="2069"/>
      <c r="V18" s="2069"/>
      <c r="W18" s="2068"/>
      <c r="X18" s="2068"/>
      <c r="Y18" s="2068"/>
      <c r="Z18" s="2068"/>
      <c r="AA18" s="2067"/>
      <c r="AB18" s="2067"/>
      <c r="AC18" s="2070"/>
      <c r="AD18" s="1360"/>
      <c r="AE18" s="1360"/>
      <c r="AF18" s="1360"/>
      <c r="AG18" s="1360"/>
      <c r="AH18" s="1291"/>
      <c r="AI18" s="1291"/>
      <c r="AJ18" s="1292"/>
      <c r="AK18" s="1292"/>
      <c r="AL18" s="1292"/>
    </row>
    <row r="19" spans="1:40" s="1309" customFormat="1" ht="27.75" thickBot="1">
      <c r="A19" s="1528" t="s">
        <v>1768</v>
      </c>
      <c r="B19" s="1358" t="s">
        <v>889</v>
      </c>
      <c r="C19" s="955" t="e">
        <f>ROUND(IF(H19="按公示增长率计算",SUMPRODUCT((地价!A3:A22=YEAR(G19)&amp;"-"&amp;ROUNDUP(MONTH(G19)/3,0))*(地价!X2:AB2=E2)*(地价!X3:AB22)),IF(H19="地价指数",M20/M19,(1+I19)^O19)),4)</f>
        <v>#DIV/0!</v>
      </c>
      <c r="D19" s="1362" t="s">
        <v>890</v>
      </c>
      <c r="E19" s="956">
        <v>41640</v>
      </c>
      <c r="F19" s="1362" t="s">
        <v>891</v>
      </c>
      <c r="G19" s="957">
        <f>'数据-取费表'!B2</f>
        <v>43240</v>
      </c>
      <c r="H19" s="1363" t="s">
        <v>2849</v>
      </c>
      <c r="I19" s="2649" t="str">
        <f>IF(H19="季度增幅（自定义）",SUMIF(N21:N24,E2,O21:O24),"")</f>
        <v/>
      </c>
      <c r="J19" s="1359"/>
      <c r="K19" s="1369"/>
      <c r="L19" s="2904" t="s">
        <v>2769</v>
      </c>
      <c r="M19" s="2905">
        <f>ROUND(SUMIF(地价!B2:F2,E2,地价!B22:F22),0)</f>
        <v>0</v>
      </c>
      <c r="N19" s="2651" t="s">
        <v>1609</v>
      </c>
      <c r="O19" s="2650">
        <f>ROUNDDOWN(DATEDIF(E19,G19,"M")/3,0)</f>
        <v>17</v>
      </c>
      <c r="P19" s="1484"/>
      <c r="R19" s="2790"/>
      <c r="S19" s="2790"/>
      <c r="T19" s="2790"/>
      <c r="U19" s="2790"/>
      <c r="V19" s="2790"/>
      <c r="W19" s="2070"/>
      <c r="X19" s="2070"/>
      <c r="Y19" s="2070"/>
      <c r="Z19" s="2070"/>
      <c r="AA19" s="2070"/>
      <c r="AB19" s="2070"/>
      <c r="AC19" s="2070"/>
      <c r="AD19" s="1291"/>
      <c r="AE19" s="1291"/>
      <c r="AF19" s="1291"/>
      <c r="AG19" s="1291"/>
      <c r="AH19" s="1360"/>
      <c r="AI19" s="1361"/>
      <c r="AJ19" s="1365"/>
      <c r="AK19" s="1292"/>
      <c r="AL19" s="1308"/>
      <c r="AM19" s="1308"/>
      <c r="AN19" s="1308"/>
    </row>
    <row r="20" spans="1:40" s="1309" customFormat="1" ht="27.75" thickBot="1">
      <c r="A20" s="2643" t="s">
        <v>1769</v>
      </c>
      <c r="B20" s="2644" t="s">
        <v>904</v>
      </c>
      <c r="C20" s="2645" t="e">
        <f>ROUND(POWER(1+G20,J20-I20)*(POWER(1+G20,I20)-1)/(POWER(1+G20,J20)-1),4)</f>
        <v>#DIV/0!</v>
      </c>
      <c r="D20" s="2646" t="s">
        <v>905</v>
      </c>
      <c r="E20" s="2950">
        <f ca="1">存贷款利率!I4/100</f>
        <v>4.3499999999999997E-2</v>
      </c>
      <c r="F20" s="2646" t="s">
        <v>906</v>
      </c>
      <c r="G20" s="2647">
        <f>SUMIF(M15:P15,E2,M17:P17)</f>
        <v>0</v>
      </c>
      <c r="H20" s="2646" t="s">
        <v>907</v>
      </c>
      <c r="I20" s="2636" t="e">
        <f>SUMIF('数据-取费表'!C6:C15,E2,'数据-取费表'!F6:F15)/COUNTIF('数据-取费表'!C6:C15,E2)</f>
        <v>#DIV/0!</v>
      </c>
      <c r="J20" s="2648">
        <f>IF(E2="住宅",70,IF(E2="商业",40,50))</f>
        <v>50</v>
      </c>
      <c r="K20" s="1369"/>
      <c r="L20" s="2906" t="s">
        <v>2770</v>
      </c>
      <c r="M20" s="2907">
        <f>ROUND(SUMPRODUCT((地价!A4:A22=YEAR(G19)&amp;"-"&amp;ROUNDUP(MONTH(G19)/3,0))*(地价!B2:F2=E2)*(地价!B4:F22)),0)</f>
        <v>0</v>
      </c>
      <c r="N20" s="2654" t="s">
        <v>2573</v>
      </c>
      <c r="O20" s="2652" t="s">
        <v>2572</v>
      </c>
      <c r="P20" s="2653" t="s">
        <v>2578</v>
      </c>
      <c r="R20" s="2790"/>
      <c r="S20" s="2790"/>
      <c r="T20" s="2790"/>
      <c r="U20" s="2790"/>
      <c r="V20" s="2790"/>
      <c r="W20" s="2070"/>
      <c r="X20" s="2070"/>
      <c r="Y20" s="2070"/>
      <c r="Z20" s="2070"/>
      <c r="AA20" s="2070"/>
      <c r="AB20" s="2070"/>
      <c r="AC20" s="2070"/>
      <c r="AD20" s="1360"/>
      <c r="AE20" s="1360"/>
      <c r="AF20" s="1360"/>
      <c r="AG20" s="1360"/>
      <c r="AH20" s="1360"/>
      <c r="AI20" s="1360"/>
    </row>
    <row r="21" spans="1:40" s="1309" customFormat="1" ht="14.25">
      <c r="A21" s="1530" t="s">
        <v>1770</v>
      </c>
      <c r="B21" s="1368" t="s">
        <v>2689</v>
      </c>
      <c r="C21" s="1056">
        <f>IF(B21="容积率修正",IF(G3&lt;=10,D22,J22),C23)</f>
        <v>0</v>
      </c>
      <c r="D21" s="1369"/>
      <c r="E21" s="1369"/>
      <c r="F21" s="1369"/>
      <c r="G21" s="1369"/>
      <c r="H21" s="1369"/>
      <c r="I21" s="1369"/>
      <c r="J21" s="1370"/>
      <c r="K21" s="1369"/>
      <c r="L21" s="1369"/>
      <c r="M21" s="1369"/>
      <c r="N21" s="1366" t="s">
        <v>908</v>
      </c>
      <c r="O21" s="1430"/>
      <c r="P21" s="2634">
        <f>SUMPRODUCT((地价!A3:A22=YEAR(G19)&amp;"-"&amp;ROUNDUP(MONTH(G19)/3,0))*(地价!AD2:AH2=N21)*(地价!AD3:AH22))</f>
        <v>1.5699999999999999E-2</v>
      </c>
      <c r="R21" s="2790"/>
      <c r="S21" s="2790"/>
      <c r="T21" s="2790"/>
      <c r="U21" s="2790"/>
      <c r="V21" s="2790"/>
      <c r="W21" s="2070"/>
      <c r="X21" s="2070"/>
      <c r="Y21" s="2070"/>
      <c r="Z21" s="2070"/>
      <c r="AA21" s="2070"/>
      <c r="AB21" s="2070"/>
      <c r="AC21" s="2070"/>
      <c r="AD21" s="1291"/>
      <c r="AE21" s="1291"/>
      <c r="AF21" s="1291"/>
      <c r="AG21" s="1291"/>
      <c r="AH21" s="1360"/>
      <c r="AI21" s="1360"/>
    </row>
    <row r="22" spans="1:40" s="1309" customFormat="1" ht="14.25">
      <c r="A22" s="1531" t="s">
        <v>1803</v>
      </c>
      <c r="B22" s="1371" t="s">
        <v>909</v>
      </c>
      <c r="C22" s="958" t="s">
        <v>1635</v>
      </c>
      <c r="D22" s="958" t="b">
        <f>IF(E22=G22,F22,IF(G3&lt;=10,ROUND(F22+(H22-F22)*(G3-E22)/(G22-E22),4),"——"))</f>
        <v>0</v>
      </c>
      <c r="E22" s="937">
        <f>ROUNDDOWN(G3,1)</f>
        <v>1.8</v>
      </c>
      <c r="F22" s="9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7">
        <f>ROUNDUP(G3,1)</f>
        <v>1.8</v>
      </c>
      <c r="H22" s="9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958" t="s">
        <v>910</v>
      </c>
      <c r="J22" s="958" t="str">
        <f>IF(G3&gt;10,D113,"——")</f>
        <v>——</v>
      </c>
      <c r="K22" s="1369"/>
      <c r="L22" s="1369"/>
      <c r="M22" s="1369"/>
      <c r="N22" s="1366" t="s">
        <v>911</v>
      </c>
      <c r="O22" s="1430"/>
      <c r="P22" s="2634">
        <f>SUMPRODUCT((地价!A3:A22=YEAR(G19)&amp;"-"&amp;ROUNDUP(MONTH(G19)/3,0))*(地价!AD2:AH2=N22)*(地价!AD3:AH22))</f>
        <v>1.5699999999999999E-2</v>
      </c>
      <c r="R22" s="2790"/>
      <c r="S22" s="2790"/>
      <c r="T22" s="2790"/>
      <c r="U22" s="2790"/>
      <c r="V22" s="2790"/>
      <c r="W22" s="2070"/>
      <c r="X22" s="2070"/>
      <c r="Y22" s="2070"/>
      <c r="Z22" s="2070"/>
      <c r="AA22" s="2070"/>
      <c r="AB22" s="2070"/>
      <c r="AC22" s="2070"/>
      <c r="AD22" s="1360"/>
      <c r="AE22" s="1360"/>
      <c r="AF22" s="1360"/>
      <c r="AG22" s="1360"/>
      <c r="AH22" s="1360"/>
      <c r="AI22" s="1360"/>
    </row>
    <row r="23" spans="1:40" ht="27.75" thickBot="1">
      <c r="A23" s="1531" t="s">
        <v>1804</v>
      </c>
      <c r="B23" s="1371" t="s">
        <v>912</v>
      </c>
      <c r="C23" s="959">
        <f>ROUND(IF(G3&gt;1,IF(I3&lt;7,SUMPRODUCT((B93:B98=I3)*(C92:N92=G2)*(C93:N98)),SUMIF(C92:N92,G2,C100:N100)),IF(I3&lt;7,SUMPRODUCT((B102:B107=I3)*(C92:N92=G2)*(C102:N107)),SUMIF(C92:N92,G2,C109:N109))),4)</f>
        <v>0</v>
      </c>
      <c r="D23" s="1418"/>
      <c r="E23" s="1418"/>
      <c r="F23" s="1419"/>
      <c r="G23" s="1420"/>
      <c r="H23" s="1421"/>
      <c r="I23" s="1422"/>
      <c r="J23" s="1422"/>
      <c r="K23" s="1289"/>
      <c r="L23" s="1289"/>
      <c r="M23" s="1289"/>
      <c r="N23" s="1366" t="s">
        <v>855</v>
      </c>
      <c r="O23" s="1430"/>
      <c r="P23" s="2634">
        <f>SUMPRODUCT((地价!A3:A22=YEAR(G19)&amp;"-"&amp;ROUNDUP(MONTH(G19)/3,0))*(地价!AD2:AH2=N23)*(地价!AD3:AH22))</f>
        <v>2.5000000000000001E-2</v>
      </c>
      <c r="R23" s="2790"/>
      <c r="S23" s="2790"/>
      <c r="T23" s="2790"/>
      <c r="U23" s="2790"/>
      <c r="V23" s="2790"/>
      <c r="W23" s="2070"/>
      <c r="X23" s="2070"/>
      <c r="Y23" s="2070"/>
      <c r="Z23" s="2070"/>
      <c r="AA23" s="2070"/>
      <c r="AB23" s="2070"/>
      <c r="AC23" s="2070"/>
      <c r="AN23" s="1292"/>
    </row>
    <row r="24" spans="1:40" s="1309" customFormat="1" ht="15.75" thickBot="1">
      <c r="A24" s="1529" t="s">
        <v>1805</v>
      </c>
      <c r="B24" s="1303" t="s">
        <v>913</v>
      </c>
      <c r="C24" s="960">
        <f>SUMIF(A44:A87,E2,B44:B87)</f>
        <v>0</v>
      </c>
      <c r="D24" s="1423"/>
      <c r="E24" s="1424"/>
      <c r="F24" s="1424"/>
      <c r="G24" s="1424"/>
      <c r="H24" s="1424"/>
      <c r="I24" s="1424"/>
      <c r="J24" s="1424"/>
      <c r="K24" s="1369"/>
      <c r="L24" s="1369"/>
      <c r="M24" s="1369"/>
      <c r="N24" s="1372" t="s">
        <v>914</v>
      </c>
      <c r="O24" s="1431"/>
      <c r="P24" s="1429">
        <f>SUMPRODUCT((地价!A3:A22=YEAR(G19)&amp;"-"&amp;ROUNDUP(MONTH(G19)/3,0))*(地价!AD2:AH2=N24)*(地价!AD3:AH22))</f>
        <v>1.35E-2</v>
      </c>
      <c r="R24" s="2790"/>
      <c r="S24" s="2790"/>
      <c r="T24" s="2790"/>
      <c r="U24" s="2790"/>
      <c r="V24" s="2790"/>
      <c r="W24" s="2070"/>
      <c r="X24" s="2070"/>
      <c r="Y24" s="2070"/>
      <c r="Z24" s="2070"/>
      <c r="AA24" s="2070"/>
      <c r="AB24" s="2070"/>
      <c r="AC24" s="2070"/>
      <c r="AD24" s="1360"/>
      <c r="AE24" s="1360"/>
      <c r="AF24" s="1360"/>
      <c r="AG24" s="1360"/>
      <c r="AH24" s="1360"/>
      <c r="AI24" s="1360"/>
    </row>
    <row r="25" spans="1:40" ht="15" thickBot="1">
      <c r="A25" s="1529" t="s">
        <v>1806</v>
      </c>
      <c r="B25" s="1374" t="s">
        <v>915</v>
      </c>
      <c r="C25" s="1375"/>
      <c r="D25" s="1318"/>
      <c r="E25" s="1318"/>
      <c r="F25" s="1376"/>
      <c r="G25" s="1318"/>
      <c r="H25" s="1318"/>
      <c r="I25" s="1318"/>
      <c r="J25" s="1319"/>
      <c r="K25" s="1289"/>
      <c r="L25" s="2070"/>
      <c r="M25" s="2070"/>
      <c r="N25" s="2662" t="s">
        <v>2576</v>
      </c>
      <c r="O25" s="2070"/>
      <c r="P25" s="1429">
        <f>SUMPRODUCT((地价!A3:A22=YEAR(G19)&amp;"-"&amp;ROUNDUP(MONTH(G19)/3,0))*(地价!AD2:AH2=N25)*(地价!AD3:AH22))</f>
        <v>2.2700000000000001E-2</v>
      </c>
      <c r="R25" s="2790"/>
      <c r="S25" s="2790"/>
      <c r="T25" s="2790"/>
      <c r="U25" s="2790"/>
      <c r="V25" s="2790"/>
      <c r="W25" s="2070"/>
      <c r="X25" s="2070"/>
      <c r="Y25" s="2070"/>
      <c r="Z25" s="2070"/>
      <c r="AA25" s="2070"/>
      <c r="AB25" s="2070"/>
      <c r="AC25" s="2070"/>
    </row>
    <row r="26" spans="1:40" ht="14.25">
      <c r="A26" s="1377"/>
      <c r="B26" s="1371" t="s">
        <v>919</v>
      </c>
      <c r="C26" s="961" t="e">
        <f>E29+SUM(E33:E39)</f>
        <v>#DIV/0!</v>
      </c>
      <c r="D26" s="1378"/>
      <c r="E26" s="1344"/>
      <c r="F26" s="1379"/>
      <c r="G26" s="1344"/>
      <c r="H26" s="1344"/>
      <c r="I26" s="1344"/>
      <c r="J26" s="1380"/>
      <c r="K26" s="1289"/>
      <c r="L26" s="2070"/>
      <c r="M26" s="2070"/>
      <c r="N26" s="2070"/>
      <c r="O26" s="2070"/>
      <c r="P26" s="2070"/>
      <c r="Q26" s="2070"/>
      <c r="R26" s="2790"/>
      <c r="S26" s="2790"/>
      <c r="T26" s="2790"/>
      <c r="U26" s="2790"/>
      <c r="V26" s="2790"/>
      <c r="W26" s="2070"/>
      <c r="X26" s="2070"/>
      <c r="Y26" s="2070"/>
      <c r="Z26" s="2070"/>
      <c r="AA26" s="2070"/>
      <c r="AB26" s="2070"/>
      <c r="AC26" s="2070"/>
      <c r="AD26" s="1360"/>
      <c r="AE26" s="1360"/>
      <c r="AF26" s="1360"/>
      <c r="AG26" s="1360"/>
    </row>
    <row r="27" spans="1:40" ht="15" thickBot="1">
      <c r="A27" s="1377"/>
      <c r="B27" s="1381" t="s">
        <v>921</v>
      </c>
      <c r="C27" s="962" t="e">
        <f>E30+SUM(I33:I39)</f>
        <v>#DIV/0!</v>
      </c>
      <c r="D27" s="1382"/>
      <c r="E27" s="1383"/>
      <c r="F27" s="1384"/>
      <c r="G27" s="1383"/>
      <c r="H27" s="1383"/>
      <c r="I27" s="1383"/>
      <c r="J27" s="1385"/>
      <c r="K27" s="1289"/>
      <c r="L27" s="2070"/>
      <c r="M27" s="2070"/>
      <c r="N27" s="2070"/>
      <c r="O27" s="2070"/>
      <c r="P27" s="2070"/>
      <c r="Q27" s="2070"/>
      <c r="R27" s="2790"/>
      <c r="S27" s="2790"/>
      <c r="T27" s="2790"/>
      <c r="U27" s="2790"/>
      <c r="V27" s="2790"/>
      <c r="W27" s="2070"/>
      <c r="X27" s="2070"/>
      <c r="Y27" s="2070"/>
      <c r="Z27" s="2070"/>
      <c r="AA27" s="2070"/>
      <c r="AB27" s="2070"/>
      <c r="AC27" s="2070"/>
    </row>
    <row r="28" spans="1:40" ht="14.25">
      <c r="A28" s="1373"/>
      <c r="B28" s="1386" t="s">
        <v>922</v>
      </c>
      <c r="C28" s="1387" t="s">
        <v>923</v>
      </c>
      <c r="D28" s="1387" t="s">
        <v>924</v>
      </c>
      <c r="E28" s="1388" t="s">
        <v>925</v>
      </c>
      <c r="F28" s="1389"/>
      <c r="G28" s="1330"/>
      <c r="H28" s="1330"/>
      <c r="I28" s="1330"/>
      <c r="J28" s="1331"/>
      <c r="K28" s="1289"/>
      <c r="L28" s="2070"/>
      <c r="M28" s="2070"/>
      <c r="N28" s="2070"/>
      <c r="O28" s="2070"/>
      <c r="P28" s="2070"/>
      <c r="Q28" s="2070"/>
      <c r="R28" s="2790"/>
      <c r="S28" s="2790"/>
      <c r="T28" s="2790"/>
      <c r="U28" s="2790"/>
      <c r="V28" s="2790"/>
      <c r="W28" s="2070"/>
      <c r="X28" s="2070"/>
      <c r="Y28" s="2070"/>
      <c r="Z28" s="2070"/>
      <c r="AA28" s="2070"/>
      <c r="AB28" s="2070"/>
      <c r="AC28" s="2070"/>
      <c r="AD28" s="1360"/>
      <c r="AE28" s="1360"/>
      <c r="AF28" s="1360"/>
      <c r="AG28" s="1360"/>
    </row>
    <row r="29" spans="1:40" ht="24">
      <c r="A29" s="1390"/>
      <c r="B29" s="1391" t="s">
        <v>926</v>
      </c>
      <c r="C29" s="961" t="e">
        <f>ROUND(C5*C18*C19*C20*C21*C24,0)</f>
        <v>#DIV/0!</v>
      </c>
      <c r="D29" s="1392"/>
      <c r="E29" s="1731" t="e">
        <f>ROUND(C29*D29/10000,0)</f>
        <v>#DIV/0!</v>
      </c>
      <c r="F29" s="1393" t="s">
        <v>1634</v>
      </c>
      <c r="G29" s="1394"/>
      <c r="H29" s="1394"/>
      <c r="I29" s="1394"/>
      <c r="J29" s="1395"/>
      <c r="K29" s="1289"/>
      <c r="L29" s="2070"/>
      <c r="M29" s="2070"/>
      <c r="N29" s="2070"/>
      <c r="O29" s="2070"/>
      <c r="P29" s="2070"/>
      <c r="Q29" s="2070"/>
      <c r="R29" s="2790"/>
      <c r="S29" s="2790"/>
      <c r="T29" s="2790"/>
      <c r="U29" s="2790"/>
      <c r="V29" s="2790"/>
      <c r="W29" s="2070"/>
      <c r="X29" s="2070"/>
      <c r="Y29" s="2070"/>
      <c r="Z29" s="2070"/>
      <c r="AA29" s="2070"/>
      <c r="AB29" s="2070"/>
      <c r="AC29" s="2070"/>
      <c r="AH29" s="1290"/>
      <c r="AI29" s="1290"/>
      <c r="AJ29" s="1293"/>
      <c r="AK29" s="1293"/>
      <c r="AL29" s="1293"/>
      <c r="AM29" s="1293"/>
    </row>
    <row r="30" spans="1:40" ht="24.75" thickBot="1">
      <c r="A30" s="1396"/>
      <c r="B30" s="1397" t="s">
        <v>927</v>
      </c>
      <c r="C30" s="949" t="e">
        <f>ROUND(IF(E2="工业",C29*M39,C29*M38),0)</f>
        <v>#DIV/0!</v>
      </c>
      <c r="D30" s="1398"/>
      <c r="E30" s="1731" t="e">
        <f>ROUND(C30*D30/10000,0)</f>
        <v>#DIV/0!</v>
      </c>
      <c r="F30" s="1399" t="s">
        <v>928</v>
      </c>
      <c r="G30" s="1400"/>
      <c r="H30" s="1400"/>
      <c r="I30" s="1400"/>
      <c r="J30" s="1401"/>
      <c r="K30" s="1289"/>
      <c r="L30" s="2064"/>
      <c r="M30" s="2064"/>
      <c r="N30" s="2064"/>
      <c r="O30" s="2064"/>
      <c r="P30" s="2064"/>
      <c r="Q30" s="2064"/>
      <c r="R30" s="2065"/>
      <c r="S30" s="2065"/>
      <c r="T30" s="2065"/>
      <c r="U30" s="2065"/>
      <c r="V30" s="2065"/>
      <c r="W30" s="2064"/>
      <c r="X30" s="2064"/>
      <c r="Y30" s="2064"/>
      <c r="Z30" s="2064"/>
      <c r="AA30" s="2064"/>
      <c r="AB30" s="2064"/>
      <c r="AC30" s="2064"/>
      <c r="AD30" s="1360"/>
      <c r="AE30" s="1360"/>
      <c r="AF30" s="1360"/>
      <c r="AG30" s="1360"/>
      <c r="AH30" s="1290"/>
      <c r="AI30" s="1290"/>
      <c r="AJ30" s="1293"/>
      <c r="AK30" s="1293"/>
      <c r="AL30" s="1293"/>
      <c r="AM30" s="1293"/>
    </row>
    <row r="31" spans="1:40">
      <c r="A31" s="1402"/>
      <c r="B31" s="1403" t="s">
        <v>929</v>
      </c>
      <c r="C31" s="1404" t="s">
        <v>930</v>
      </c>
      <c r="D31" s="1330"/>
      <c r="E31" s="1404"/>
      <c r="F31" s="1404"/>
      <c r="G31" s="1328" t="s">
        <v>928</v>
      </c>
      <c r="H31" s="1330"/>
      <c r="I31" s="1405"/>
      <c r="J31" s="1331"/>
      <c r="K31" s="1289"/>
      <c r="L31" s="2064"/>
      <c r="M31" s="2064"/>
      <c r="N31" s="2064"/>
      <c r="O31" s="2064"/>
      <c r="P31" s="2064"/>
      <c r="Q31" s="2064"/>
      <c r="R31" s="2065"/>
      <c r="S31" s="2065"/>
      <c r="T31" s="2065"/>
      <c r="U31" s="2065"/>
      <c r="V31" s="2065"/>
      <c r="W31" s="2064"/>
      <c r="X31" s="2064"/>
      <c r="Y31" s="2064"/>
      <c r="Z31" s="2064"/>
      <c r="AA31" s="2064"/>
      <c r="AB31" s="2064"/>
      <c r="AC31" s="2064"/>
      <c r="AH31" s="1290"/>
      <c r="AI31" s="1290"/>
      <c r="AJ31" s="1293"/>
      <c r="AK31" s="1293"/>
      <c r="AL31" s="1293"/>
      <c r="AM31" s="1293"/>
    </row>
    <row r="32" spans="1:40" ht="24">
      <c r="A32" s="1390"/>
      <c r="B32" s="1406"/>
      <c r="C32" s="1407" t="s">
        <v>923</v>
      </c>
      <c r="D32" s="1408" t="s">
        <v>924</v>
      </c>
      <c r="E32" s="1408" t="s">
        <v>925</v>
      </c>
      <c r="F32" s="1409" t="s">
        <v>931</v>
      </c>
      <c r="G32" s="1367" t="s">
        <v>923</v>
      </c>
      <c r="H32" s="1367" t="s">
        <v>924</v>
      </c>
      <c r="I32" s="1367" t="s">
        <v>925</v>
      </c>
      <c r="J32" s="1410"/>
      <c r="K32" s="1289"/>
      <c r="L32" s="2064"/>
      <c r="M32" s="2064"/>
      <c r="N32" s="2064"/>
      <c r="O32" s="2064"/>
      <c r="P32" s="2064"/>
      <c r="Q32" s="2064"/>
      <c r="R32" s="2065"/>
      <c r="S32" s="2065"/>
      <c r="T32" s="2065"/>
      <c r="U32" s="2065"/>
      <c r="V32" s="2065"/>
      <c r="W32" s="2064"/>
      <c r="X32" s="2064"/>
      <c r="Y32" s="2064"/>
      <c r="Z32" s="2064"/>
      <c r="AA32" s="2064"/>
      <c r="AB32" s="2064"/>
      <c r="AC32" s="2064"/>
      <c r="AD32" s="1290"/>
      <c r="AE32" s="1290"/>
      <c r="AF32" s="1290"/>
      <c r="AG32" s="1290"/>
      <c r="AH32" s="1290"/>
      <c r="AI32" s="1290"/>
      <c r="AJ32" s="1293"/>
      <c r="AK32" s="1293"/>
      <c r="AL32" s="1293"/>
      <c r="AM32" s="1293"/>
    </row>
    <row r="33" spans="1:40" ht="12.75">
      <c r="A33" s="3442" t="s">
        <v>2875</v>
      </c>
      <c r="B33" s="1412" t="s">
        <v>932</v>
      </c>
      <c r="C33" s="961" t="e">
        <f>ROUND(D5*C19*C20*C24*F33,0)</f>
        <v>#DIV/0!</v>
      </c>
      <c r="D33" s="1425"/>
      <c r="E33" s="946" t="e">
        <f>ROUND(C33*D33/10000,0)</f>
        <v>#DIV/0!</v>
      </c>
      <c r="F33" s="946">
        <f>SUMIF(修正!A45:A56,G2,修正!B45:B56)</f>
        <v>0</v>
      </c>
      <c r="G33" s="946" t="e">
        <f t="shared" ref="G33:G39" si="6">ROUND(IF(E2="工业",C33*$M$39,C33*$M$38),0)</f>
        <v>#DIV/0!</v>
      </c>
      <c r="H33" s="946">
        <f>D33</f>
        <v>0</v>
      </c>
      <c r="I33" s="946" t="e">
        <f>ROUND(G33*H33/10000,0)</f>
        <v>#DIV/0!</v>
      </c>
      <c r="J33" s="1413"/>
      <c r="K33" s="1289"/>
      <c r="L33" s="2064"/>
      <c r="M33" s="2064"/>
      <c r="N33" s="2064"/>
      <c r="O33" s="2064"/>
      <c r="P33" s="2064"/>
      <c r="Q33" s="2064"/>
      <c r="R33" s="2065"/>
      <c r="S33" s="2065"/>
      <c r="T33" s="2065"/>
      <c r="U33" s="2065"/>
      <c r="V33" s="2065"/>
      <c r="W33" s="2064"/>
      <c r="X33" s="2064"/>
      <c r="Y33" s="2064"/>
      <c r="Z33" s="2064"/>
      <c r="AA33" s="2064"/>
      <c r="AB33" s="2064"/>
      <c r="AC33" s="2065"/>
    </row>
    <row r="34" spans="1:40" ht="12.75">
      <c r="A34" s="3443"/>
      <c r="B34" s="1333" t="s">
        <v>933</v>
      </c>
      <c r="C34" s="961" t="e">
        <f>ROUND(D5*C19*C20*C24*F34,0)</f>
        <v>#DIV/0!</v>
      </c>
      <c r="D34" s="1425"/>
      <c r="E34" s="946" t="e">
        <f t="shared" ref="E34:E39" si="7">ROUND(C34*D34/10000,0)</f>
        <v>#DIV/0!</v>
      </c>
      <c r="F34" s="946">
        <f>SUMIF(修正!A45:A56,G2,修正!C45:C56)</f>
        <v>0</v>
      </c>
      <c r="G34" s="946" t="e">
        <f t="shared" si="6"/>
        <v>#DIV/0!</v>
      </c>
      <c r="H34" s="946">
        <f t="shared" ref="H34:H39" si="8">D34</f>
        <v>0</v>
      </c>
      <c r="I34" s="946" t="e">
        <f t="shared" ref="I34:I39" si="9">ROUND(G34*H34/10000,0)</f>
        <v>#DIV/0!</v>
      </c>
      <c r="J34" s="1413"/>
      <c r="K34" s="1289"/>
      <c r="L34" s="2064"/>
      <c r="M34" s="2064"/>
      <c r="N34" s="2064"/>
      <c r="O34" s="2064"/>
      <c r="P34" s="2064"/>
      <c r="Q34" s="2064"/>
      <c r="R34" s="2065"/>
      <c r="S34" s="2065"/>
      <c r="T34" s="2065"/>
      <c r="U34" s="2065"/>
      <c r="V34" s="2065"/>
      <c r="W34" s="2064"/>
      <c r="X34" s="2064"/>
      <c r="Y34" s="2064"/>
      <c r="Z34" s="2064"/>
      <c r="AA34" s="2064"/>
      <c r="AB34" s="2064"/>
      <c r="AC34" s="2065"/>
    </row>
    <row r="35" spans="1:40" ht="12.75">
      <c r="A35" s="3443"/>
      <c r="B35" s="1333" t="s">
        <v>934</v>
      </c>
      <c r="C35" s="961" t="e">
        <f>ROUND(D5*C19*C20*C24*F35,0)</f>
        <v>#DIV/0!</v>
      </c>
      <c r="D35" s="1425"/>
      <c r="E35" s="946" t="e">
        <f t="shared" si="7"/>
        <v>#DIV/0!</v>
      </c>
      <c r="F35" s="946">
        <f>SUMIF(修正!A45:A56,G2,修正!D45:D56)</f>
        <v>0</v>
      </c>
      <c r="G35" s="946" t="e">
        <f t="shared" si="6"/>
        <v>#DIV/0!</v>
      </c>
      <c r="H35" s="946">
        <f t="shared" si="8"/>
        <v>0</v>
      </c>
      <c r="I35" s="946" t="e">
        <f t="shared" si="9"/>
        <v>#DIV/0!</v>
      </c>
      <c r="J35" s="1413"/>
      <c r="K35" s="1289"/>
      <c r="L35" s="2064"/>
      <c r="M35" s="2064"/>
      <c r="N35" s="2064"/>
      <c r="O35" s="2064"/>
      <c r="P35" s="2064"/>
      <c r="Q35" s="2064"/>
      <c r="R35" s="2065"/>
      <c r="S35" s="2065"/>
      <c r="T35" s="2065"/>
      <c r="U35" s="2065"/>
      <c r="V35" s="2065"/>
      <c r="W35" s="2064"/>
      <c r="X35" s="2064"/>
      <c r="Y35" s="2064"/>
      <c r="Z35" s="2064"/>
      <c r="AA35" s="2064"/>
      <c r="AB35" s="2064"/>
      <c r="AC35" s="2065"/>
    </row>
    <row r="36" spans="1:40" ht="13.5" thickBot="1">
      <c r="A36" s="3444"/>
      <c r="B36" s="1333" t="s">
        <v>935</v>
      </c>
      <c r="C36" s="961" t="e">
        <f>ROUND(D5*C19*C20*C24*F36,0)</f>
        <v>#DIV/0!</v>
      </c>
      <c r="D36" s="1425"/>
      <c r="E36" s="946" t="e">
        <f t="shared" si="7"/>
        <v>#DIV/0!</v>
      </c>
      <c r="F36" s="946">
        <f>SUMIF(修正!A45:A56,G2,修正!E45:E56)</f>
        <v>0</v>
      </c>
      <c r="G36" s="946" t="e">
        <f t="shared" si="6"/>
        <v>#DIV/0!</v>
      </c>
      <c r="H36" s="946">
        <f t="shared" si="8"/>
        <v>0</v>
      </c>
      <c r="I36" s="946" t="e">
        <f t="shared" si="9"/>
        <v>#DIV/0!</v>
      </c>
      <c r="J36" s="1413"/>
      <c r="K36" s="1289"/>
      <c r="L36" s="2064"/>
      <c r="M36" s="2064"/>
      <c r="N36" s="2064"/>
      <c r="O36" s="2064"/>
      <c r="P36" s="2064"/>
      <c r="Q36" s="2064"/>
      <c r="R36" s="2065"/>
      <c r="S36" s="2065"/>
      <c r="T36" s="2065"/>
      <c r="U36" s="2065"/>
      <c r="V36" s="2065"/>
      <c r="W36" s="2064"/>
      <c r="X36" s="2064"/>
      <c r="Y36" s="2064"/>
      <c r="Z36" s="2064"/>
      <c r="AA36" s="2064"/>
      <c r="AB36" s="2064"/>
      <c r="AC36" s="2065"/>
    </row>
    <row r="37" spans="1:40" ht="12.75">
      <c r="A37" s="1411"/>
      <c r="B37" s="1333" t="s">
        <v>936</v>
      </c>
      <c r="C37" s="946" t="e">
        <f>ROUND(C5*C19*C20*C24*F37,0)</f>
        <v>#DIV/0!</v>
      </c>
      <c r="D37" s="1425"/>
      <c r="E37" s="946" t="e">
        <f t="shared" si="7"/>
        <v>#DIV/0!</v>
      </c>
      <c r="F37" s="961">
        <f>SUMIF(修正!A45:A56,G2,修正!F45:F56)</f>
        <v>0</v>
      </c>
      <c r="G37" s="946" t="e">
        <f t="shared" si="6"/>
        <v>#DIV/0!</v>
      </c>
      <c r="H37" s="946">
        <f t="shared" si="8"/>
        <v>0</v>
      </c>
      <c r="I37" s="946" t="e">
        <f t="shared" si="9"/>
        <v>#DIV/0!</v>
      </c>
      <c r="J37" s="1413"/>
      <c r="K37" s="1289"/>
      <c r="L37" s="1432" t="s">
        <v>1636</v>
      </c>
      <c r="M37" s="1433"/>
      <c r="N37" s="2064"/>
      <c r="O37" s="2064"/>
      <c r="P37" s="2064"/>
      <c r="Q37" s="2064"/>
      <c r="R37" s="2065"/>
      <c r="S37" s="2065"/>
      <c r="T37" s="2065"/>
      <c r="U37" s="2065"/>
      <c r="V37" s="2065"/>
      <c r="W37" s="2064"/>
      <c r="X37" s="2064"/>
      <c r="Y37" s="2064"/>
      <c r="Z37" s="2064"/>
      <c r="AA37" s="2064"/>
      <c r="AB37" s="2064"/>
      <c r="AC37" s="2065"/>
    </row>
    <row r="38" spans="1:40" ht="12.75">
      <c r="A38" s="1411"/>
      <c r="B38" s="1333" t="s">
        <v>937</v>
      </c>
      <c r="C38" s="946" t="e">
        <f>ROUND(C5*C19*C20*C24*F38,0)</f>
        <v>#DIV/0!</v>
      </c>
      <c r="D38" s="1425"/>
      <c r="E38" s="946" t="e">
        <f t="shared" si="7"/>
        <v>#DIV/0!</v>
      </c>
      <c r="F38" s="961">
        <f>SUMIF(修正!A45:A56,G2,修正!G45:G56)</f>
        <v>0</v>
      </c>
      <c r="G38" s="946" t="e">
        <f t="shared" si="6"/>
        <v>#DIV/0!</v>
      </c>
      <c r="H38" s="946">
        <f t="shared" si="8"/>
        <v>0</v>
      </c>
      <c r="I38" s="946" t="e">
        <f t="shared" si="9"/>
        <v>#DIV/0!</v>
      </c>
      <c r="J38" s="1413"/>
      <c r="K38" s="1289"/>
      <c r="L38" s="1434" t="s">
        <v>1638</v>
      </c>
      <c r="M38" s="1435">
        <v>0.25</v>
      </c>
      <c r="N38" s="2064"/>
      <c r="O38" s="2064"/>
      <c r="P38" s="2064"/>
      <c r="Q38" s="2064"/>
      <c r="R38" s="2065"/>
      <c r="S38" s="2065"/>
      <c r="T38" s="2065"/>
      <c r="U38" s="2065"/>
      <c r="V38" s="2065"/>
      <c r="W38" s="2064"/>
      <c r="X38" s="2064"/>
      <c r="Y38" s="2064"/>
      <c r="Z38" s="2064"/>
      <c r="AA38" s="2064"/>
      <c r="AB38" s="2064"/>
      <c r="AC38" s="2065"/>
    </row>
    <row r="39" spans="1:40" ht="13.5" thickBot="1">
      <c r="A39" s="1396"/>
      <c r="B39" s="1414" t="s">
        <v>938</v>
      </c>
      <c r="C39" s="949" t="e">
        <f>ROUND(C5*C19*C20*C24*F39,0)</f>
        <v>#DIV/0!</v>
      </c>
      <c r="D39" s="1426"/>
      <c r="E39" s="949" t="e">
        <f t="shared" si="7"/>
        <v>#DIV/0!</v>
      </c>
      <c r="F39" s="963">
        <f>SUMIF(修正!A45:A56,G2,修正!H45:H56)</f>
        <v>0</v>
      </c>
      <c r="G39" s="949" t="e">
        <f t="shared" si="6"/>
        <v>#DIV/0!</v>
      </c>
      <c r="H39" s="949">
        <f t="shared" si="8"/>
        <v>0</v>
      </c>
      <c r="I39" s="949" t="e">
        <f t="shared" si="9"/>
        <v>#DIV/0!</v>
      </c>
      <c r="J39" s="1415"/>
      <c r="K39" s="1289"/>
      <c r="L39" s="1436" t="s">
        <v>1637</v>
      </c>
      <c r="M39" s="1437">
        <v>0.15</v>
      </c>
      <c r="N39" s="2064"/>
      <c r="O39" s="2064"/>
      <c r="P39" s="2064"/>
      <c r="Q39" s="2064"/>
      <c r="R39" s="2065"/>
      <c r="S39" s="2065"/>
      <c r="T39" s="2065"/>
      <c r="U39" s="2065"/>
      <c r="V39" s="2065"/>
      <c r="W39" s="2064"/>
      <c r="X39" s="2064"/>
      <c r="Y39" s="2064"/>
      <c r="Z39" s="2064"/>
      <c r="AA39" s="2064"/>
      <c r="AB39" s="2064"/>
      <c r="AC39" s="2065"/>
    </row>
    <row r="40" spans="1:40" s="1290" customFormat="1">
      <c r="B40" s="2071"/>
      <c r="C40" s="2071"/>
      <c r="D40" s="2071"/>
      <c r="E40" s="2071"/>
      <c r="F40" s="2071"/>
      <c r="G40" s="2071"/>
      <c r="H40" s="2071"/>
      <c r="I40" s="2071"/>
      <c r="J40" s="2071"/>
      <c r="K40" s="2071"/>
      <c r="L40" s="2071"/>
      <c r="M40" s="2071"/>
      <c r="N40" s="2071"/>
      <c r="O40" s="2071"/>
      <c r="P40" s="2071"/>
      <c r="Q40" s="2071"/>
      <c r="R40" s="2072"/>
      <c r="S40" s="2072"/>
      <c r="T40" s="2072"/>
      <c r="U40" s="2072"/>
      <c r="V40" s="2072"/>
      <c r="W40" s="2071"/>
      <c r="X40" s="2071"/>
      <c r="Y40" s="2071"/>
      <c r="Z40" s="2071"/>
      <c r="AA40" s="2071"/>
      <c r="AB40" s="2071"/>
      <c r="AC40" s="2072"/>
      <c r="AD40" s="1291"/>
      <c r="AE40" s="1291"/>
      <c r="AF40" s="1291"/>
      <c r="AG40" s="1291"/>
      <c r="AH40" s="1291"/>
      <c r="AI40" s="1291"/>
      <c r="AJ40" s="1291"/>
      <c r="AK40" s="1291"/>
      <c r="AL40" s="1291"/>
      <c r="AM40" s="1291"/>
    </row>
    <row r="41" spans="1:40" s="1290" customFormat="1">
      <c r="A41" s="1291"/>
      <c r="B41" s="2073"/>
      <c r="C41" s="2071"/>
      <c r="D41" s="2071"/>
      <c r="E41" s="2071"/>
      <c r="F41" s="2071"/>
      <c r="G41" s="2071"/>
      <c r="H41" s="2071"/>
      <c r="I41" s="2071"/>
      <c r="J41" s="2071"/>
      <c r="K41" s="2071"/>
      <c r="L41" s="2071"/>
      <c r="M41" s="2071"/>
      <c r="N41" s="2071"/>
      <c r="O41" s="2071"/>
      <c r="P41" s="2071"/>
      <c r="Q41" s="2071"/>
      <c r="R41" s="2072"/>
      <c r="S41" s="2072"/>
      <c r="T41" s="2072"/>
      <c r="U41" s="2072"/>
      <c r="V41" s="2072"/>
      <c r="W41" s="2071"/>
      <c r="X41" s="2071"/>
      <c r="Y41" s="2071"/>
      <c r="Z41" s="2071"/>
      <c r="AA41" s="2071"/>
      <c r="AB41" s="2071"/>
      <c r="AC41" s="2072"/>
      <c r="AD41" s="1291"/>
      <c r="AE41" s="1291"/>
      <c r="AF41" s="1291"/>
      <c r="AG41" s="1291"/>
      <c r="AH41" s="1291"/>
      <c r="AI41" s="1291"/>
      <c r="AJ41" s="1291"/>
      <c r="AK41" s="1291"/>
      <c r="AL41" s="1291"/>
      <c r="AM41" s="1291"/>
    </row>
    <row r="42" spans="1:40" s="1290" customFormat="1">
      <c r="A42" s="1291"/>
      <c r="B42" s="2073"/>
      <c r="C42" s="2071"/>
      <c r="D42" s="2071"/>
      <c r="E42" s="2071"/>
      <c r="F42" s="2071"/>
      <c r="G42" s="2071"/>
      <c r="H42" s="2071"/>
      <c r="I42" s="2071"/>
      <c r="J42" s="2071"/>
      <c r="K42" s="2071"/>
      <c r="L42" s="2071"/>
      <c r="M42" s="2071"/>
      <c r="N42" s="2071"/>
      <c r="O42" s="2071"/>
      <c r="P42" s="2071"/>
      <c r="Q42" s="2071"/>
      <c r="R42" s="2072"/>
      <c r="S42" s="2072"/>
      <c r="T42" s="2072"/>
      <c r="U42" s="2072"/>
      <c r="V42" s="2072"/>
      <c r="W42" s="2071"/>
      <c r="X42" s="2071"/>
      <c r="Y42" s="2071"/>
      <c r="Z42" s="2071"/>
      <c r="AA42" s="2071"/>
      <c r="AB42" s="2071"/>
      <c r="AC42" s="2072"/>
      <c r="AD42" s="1291"/>
      <c r="AE42" s="1291"/>
      <c r="AF42" s="1291"/>
      <c r="AG42" s="1291"/>
      <c r="AH42" s="1291"/>
      <c r="AI42" s="1291"/>
      <c r="AJ42" s="1291"/>
      <c r="AK42" s="1291"/>
      <c r="AL42" s="1291"/>
      <c r="AM42" s="1291"/>
    </row>
    <row r="43" spans="1:40" s="1290" customFormat="1">
      <c r="A43" s="1291"/>
      <c r="B43" s="2073"/>
      <c r="C43" s="2071"/>
      <c r="D43" s="2071"/>
      <c r="E43" s="2071"/>
      <c r="F43" s="2071"/>
      <c r="G43" s="2071"/>
      <c r="H43" s="2071"/>
      <c r="I43" s="2071"/>
      <c r="J43" s="2071"/>
      <c r="K43" s="2071"/>
      <c r="L43" s="2071"/>
      <c r="M43" s="2071"/>
      <c r="N43" s="2071"/>
      <c r="O43" s="2071"/>
      <c r="P43" s="2071"/>
      <c r="Q43" s="2071"/>
      <c r="R43" s="2072"/>
      <c r="S43" s="2072"/>
      <c r="T43" s="2072"/>
      <c r="U43" s="2072"/>
      <c r="V43" s="2072"/>
      <c r="W43" s="2071"/>
      <c r="X43" s="2071"/>
      <c r="Y43" s="2071"/>
      <c r="Z43" s="2071"/>
      <c r="AA43" s="2071"/>
      <c r="AB43" s="2071"/>
      <c r="AC43" s="2072"/>
      <c r="AD43" s="1291"/>
      <c r="AE43" s="1291"/>
      <c r="AF43" s="1291"/>
      <c r="AG43" s="1291"/>
      <c r="AH43" s="1291"/>
      <c r="AI43" s="1291"/>
      <c r="AJ43" s="1291"/>
      <c r="AK43" s="1291"/>
      <c r="AL43" s="1291"/>
      <c r="AM43" s="1291"/>
    </row>
    <row r="44" spans="1:40" s="1290" customFormat="1" ht="15" thickBot="1">
      <c r="A44" s="2286" t="s">
        <v>939</v>
      </c>
      <c r="B44" s="2287"/>
      <c r="C44" s="2288"/>
      <c r="D44" s="2289"/>
      <c r="E44" s="2289"/>
      <c r="F44" s="2290"/>
      <c r="G44" s="964"/>
      <c r="H44" s="2290"/>
      <c r="I44" s="964"/>
      <c r="J44" s="964"/>
      <c r="K44" s="964"/>
      <c r="L44" s="964"/>
      <c r="M44" s="964"/>
      <c r="O44" s="2071"/>
      <c r="P44" s="2071"/>
      <c r="Q44" s="2071"/>
      <c r="R44" s="2072"/>
      <c r="S44" s="2072"/>
      <c r="T44" s="2072"/>
      <c r="U44" s="2072"/>
      <c r="V44" s="2072"/>
      <c r="W44" s="2071"/>
      <c r="X44" s="2071"/>
      <c r="Y44" s="2071"/>
      <c r="Z44" s="2071"/>
      <c r="AA44" s="2071"/>
      <c r="AB44" s="2071"/>
      <c r="AC44" s="2072"/>
      <c r="AD44" s="1291"/>
      <c r="AE44" s="1291"/>
      <c r="AF44" s="1291"/>
      <c r="AG44" s="1291"/>
      <c r="AH44" s="1291"/>
      <c r="AI44" s="1291"/>
      <c r="AJ44" s="1291"/>
      <c r="AK44" s="1291"/>
      <c r="AL44" s="1291"/>
      <c r="AM44" s="1291"/>
    </row>
    <row r="45" spans="1:40" s="1290" customFormat="1" ht="15">
      <c r="A45" s="2291" t="s">
        <v>940</v>
      </c>
      <c r="B45" s="2292">
        <f>1+E47</f>
        <v>1</v>
      </c>
      <c r="C45" s="2293"/>
      <c r="D45" s="2294"/>
      <c r="E45" s="2295"/>
      <c r="F45" s="2296"/>
      <c r="G45" s="2290"/>
      <c r="H45" s="2290"/>
      <c r="I45" s="964"/>
      <c r="J45" s="964"/>
      <c r="K45" s="964"/>
      <c r="L45" s="964"/>
      <c r="M45" s="964"/>
      <c r="O45" s="2071"/>
      <c r="P45" s="2071"/>
      <c r="Q45" s="2071"/>
      <c r="R45" s="2072"/>
      <c r="S45" s="2072"/>
      <c r="T45" s="2072"/>
      <c r="U45" s="2072"/>
      <c r="V45" s="2072"/>
      <c r="W45" s="2071"/>
      <c r="X45" s="2071"/>
      <c r="Y45" s="2071"/>
      <c r="Z45" s="2071"/>
      <c r="AA45" s="2071"/>
      <c r="AB45" s="2071"/>
      <c r="AC45" s="2072"/>
      <c r="AD45" s="1291"/>
      <c r="AE45" s="1291"/>
      <c r="AF45" s="1291"/>
      <c r="AG45" s="1291"/>
      <c r="AH45" s="1291"/>
      <c r="AI45" s="1291"/>
      <c r="AJ45" s="1291"/>
      <c r="AK45" s="1291"/>
      <c r="AL45" s="1291"/>
      <c r="AM45" s="1291"/>
    </row>
    <row r="46" spans="1:40" s="1290" customFormat="1" ht="24">
      <c r="A46" s="965" t="s">
        <v>941</v>
      </c>
      <c r="B46" s="2275" t="s">
        <v>942</v>
      </c>
      <c r="C46" s="2297" t="s">
        <v>943</v>
      </c>
      <c r="D46" s="2298" t="s">
        <v>944</v>
      </c>
      <c r="E46" s="2299" t="s">
        <v>946</v>
      </c>
      <c r="F46" s="2300" t="s">
        <v>2182</v>
      </c>
      <c r="G46" s="2298" t="s">
        <v>947</v>
      </c>
      <c r="H46" s="2281" t="s">
        <v>2346</v>
      </c>
      <c r="I46" s="2298" t="s">
        <v>945</v>
      </c>
      <c r="J46" s="2301" t="s">
        <v>948</v>
      </c>
      <c r="K46" s="2301" t="s">
        <v>949</v>
      </c>
      <c r="L46" s="2301" t="s">
        <v>950</v>
      </c>
      <c r="M46" s="2301" t="s">
        <v>951</v>
      </c>
      <c r="N46" s="2301" t="s">
        <v>952</v>
      </c>
      <c r="P46" s="2071"/>
      <c r="Q46" s="2071"/>
      <c r="R46" s="2072"/>
      <c r="S46" s="2072"/>
      <c r="T46" s="2072"/>
      <c r="U46" s="2072"/>
      <c r="V46" s="2072"/>
      <c r="W46" s="2071"/>
      <c r="X46" s="2071"/>
      <c r="Y46" s="2071"/>
      <c r="Z46" s="2071"/>
      <c r="AA46" s="2071"/>
      <c r="AB46" s="2071"/>
      <c r="AC46" s="2071"/>
      <c r="AD46" s="2072"/>
      <c r="AE46" s="1291"/>
      <c r="AF46" s="1291"/>
      <c r="AG46" s="1291"/>
      <c r="AH46" s="1291"/>
      <c r="AI46" s="1291"/>
      <c r="AJ46" s="1291"/>
      <c r="AK46" s="1291"/>
      <c r="AL46" s="1291"/>
      <c r="AM46" s="1291"/>
      <c r="AN46" s="1291"/>
    </row>
    <row r="47" spans="1:40" s="1290" customFormat="1" ht="24">
      <c r="A47" s="965" t="s">
        <v>953</v>
      </c>
      <c r="B47" s="2278" t="str">
        <f>估价对象房地状况!C16</f>
        <v>集贸百货、村镇商业</v>
      </c>
      <c r="C47" s="948"/>
      <c r="D47" s="2284">
        <f t="shared" ref="D47:D55" si="10">SUMIF($J$46:$N$46,C47,J47:N47)</f>
        <v>0</v>
      </c>
      <c r="E47" s="2303">
        <f>ROUND(SUM(D47:D55),4)</f>
        <v>0</v>
      </c>
      <c r="F47" s="2304" t="str">
        <f>IF(E2="商业",SUMIF(L1:L12,G2,N1:N12),"——")</f>
        <v>——</v>
      </c>
      <c r="G47" s="2282"/>
      <c r="H47" s="2328" t="str">
        <f t="shared" ref="H47:H55" si="11">IFERROR(ROUNDDOWN(($F$47*I47/2),4),"——")</f>
        <v>——</v>
      </c>
      <c r="I47" s="2302">
        <v>0.33</v>
      </c>
      <c r="J47" s="2305">
        <f t="shared" ref="J47:J55" si="12">K47+$G47</f>
        <v>0</v>
      </c>
      <c r="K47" s="2305">
        <f t="shared" ref="K47:K55" si="13">$L47+$G47</f>
        <v>0</v>
      </c>
      <c r="L47" s="2305">
        <v>0</v>
      </c>
      <c r="M47" s="2305">
        <f t="shared" ref="M47:N55" si="14">L47-$G47</f>
        <v>0</v>
      </c>
      <c r="N47" s="2305">
        <f t="shared" si="14"/>
        <v>0</v>
      </c>
      <c r="P47" s="2071"/>
      <c r="Q47" s="2071"/>
      <c r="R47" s="2072"/>
      <c r="S47" s="2072"/>
      <c r="T47" s="2072"/>
      <c r="U47" s="2072"/>
      <c r="V47" s="2072"/>
      <c r="W47" s="2071"/>
      <c r="X47" s="2071"/>
      <c r="Y47" s="2071"/>
      <c r="Z47" s="2071"/>
      <c r="AA47" s="2071"/>
      <c r="AB47" s="2071"/>
      <c r="AC47" s="2071"/>
      <c r="AD47" s="2072"/>
      <c r="AE47" s="1291"/>
      <c r="AF47" s="1291"/>
      <c r="AG47" s="1291"/>
      <c r="AH47" s="1291"/>
      <c r="AI47" s="1291"/>
      <c r="AJ47" s="1291"/>
      <c r="AK47" s="1291"/>
      <c r="AL47" s="1291"/>
      <c r="AM47" s="1291"/>
      <c r="AN47" s="1291"/>
    </row>
    <row r="48" spans="1:40" s="1290" customFormat="1" ht="36">
      <c r="A48" s="965" t="s">
        <v>954</v>
      </c>
      <c r="B48" s="2275" t="str">
        <f>估价对象房地状况!C18</f>
        <v>233路、平湖k166路；大云镇客运站；嘉善南站；1高速、1省道</v>
      </c>
      <c r="C48" s="948"/>
      <c r="D48" s="2284">
        <f t="shared" si="10"/>
        <v>0</v>
      </c>
      <c r="E48" s="2306"/>
      <c r="F48" s="2304"/>
      <c r="G48" s="2282"/>
      <c r="H48" s="2328" t="str">
        <f t="shared" si="11"/>
        <v>——</v>
      </c>
      <c r="I48" s="2302">
        <v>0.25</v>
      </c>
      <c r="J48" s="2305">
        <f t="shared" si="12"/>
        <v>0</v>
      </c>
      <c r="K48" s="2305">
        <f t="shared" si="13"/>
        <v>0</v>
      </c>
      <c r="L48" s="2305">
        <v>0</v>
      </c>
      <c r="M48" s="2305">
        <f t="shared" si="14"/>
        <v>0</v>
      </c>
      <c r="N48" s="2305">
        <f t="shared" si="14"/>
        <v>0</v>
      </c>
      <c r="P48" s="2071"/>
      <c r="Q48" s="2071"/>
      <c r="R48" s="2072"/>
      <c r="S48" s="2072"/>
      <c r="T48" s="2072"/>
      <c r="U48" s="2072"/>
      <c r="V48" s="2072"/>
      <c r="W48" s="2071"/>
      <c r="X48" s="2071"/>
      <c r="Y48" s="2071"/>
      <c r="Z48" s="2071"/>
      <c r="AA48" s="2071"/>
      <c r="AB48" s="2071"/>
      <c r="AC48" s="2071"/>
      <c r="AD48" s="2072"/>
      <c r="AE48" s="1291"/>
      <c r="AF48" s="1291"/>
      <c r="AG48" s="1291"/>
      <c r="AH48" s="1291"/>
      <c r="AI48" s="1291"/>
      <c r="AJ48" s="1291"/>
      <c r="AK48" s="1291"/>
      <c r="AL48" s="1291"/>
      <c r="AM48" s="1291"/>
      <c r="AN48" s="1291"/>
    </row>
    <row r="49" spans="1:40" s="1290" customFormat="1" ht="24">
      <c r="A49" s="965" t="s">
        <v>955</v>
      </c>
      <c r="B49" s="2275" t="str">
        <f>估价对象房地状况!C19</f>
        <v>周围大量工业用地</v>
      </c>
      <c r="C49" s="948"/>
      <c r="D49" s="2284">
        <f t="shared" si="10"/>
        <v>0</v>
      </c>
      <c r="E49" s="2306"/>
      <c r="F49" s="2304"/>
      <c r="G49" s="2282"/>
      <c r="H49" s="2328" t="str">
        <f t="shared" si="11"/>
        <v>——</v>
      </c>
      <c r="I49" s="2302">
        <v>0.05</v>
      </c>
      <c r="J49" s="2305">
        <f t="shared" si="12"/>
        <v>0</v>
      </c>
      <c r="K49" s="2305">
        <f t="shared" si="13"/>
        <v>0</v>
      </c>
      <c r="L49" s="2305">
        <v>0</v>
      </c>
      <c r="M49" s="2305">
        <f t="shared" si="14"/>
        <v>0</v>
      </c>
      <c r="N49" s="2305">
        <f t="shared" si="14"/>
        <v>0</v>
      </c>
      <c r="P49" s="2071"/>
      <c r="Q49" s="2071"/>
      <c r="R49" s="2072"/>
      <c r="S49" s="2072"/>
      <c r="T49" s="2072"/>
      <c r="U49" s="2072"/>
      <c r="V49" s="2072"/>
      <c r="W49" s="2071"/>
      <c r="X49" s="2071"/>
      <c r="Y49" s="2071"/>
      <c r="Z49" s="2071"/>
      <c r="AA49" s="2071"/>
      <c r="AB49" s="2071"/>
      <c r="AC49" s="2071"/>
      <c r="AD49" s="2072"/>
      <c r="AE49" s="1291"/>
      <c r="AF49" s="1291"/>
      <c r="AG49" s="1291"/>
      <c r="AH49" s="1291"/>
      <c r="AI49" s="1291"/>
      <c r="AJ49" s="1291"/>
      <c r="AK49" s="1291"/>
      <c r="AL49" s="1291"/>
      <c r="AM49" s="1291"/>
      <c r="AN49" s="1291"/>
    </row>
    <row r="50" spans="1:40" s="1290" customFormat="1" ht="36">
      <c r="A50" s="965" t="s">
        <v>956</v>
      </c>
      <c r="B50" s="2952" t="s">
        <v>2851</v>
      </c>
      <c r="C50" s="948"/>
      <c r="D50" s="2284">
        <f t="shared" si="10"/>
        <v>0</v>
      </c>
      <c r="E50" s="2306"/>
      <c r="F50" s="2304"/>
      <c r="G50" s="2282"/>
      <c r="H50" s="2328" t="str">
        <f t="shared" si="11"/>
        <v>——</v>
      </c>
      <c r="I50" s="2302">
        <v>0.05</v>
      </c>
      <c r="J50" s="2305">
        <f t="shared" si="12"/>
        <v>0</v>
      </c>
      <c r="K50" s="2305">
        <f t="shared" si="13"/>
        <v>0</v>
      </c>
      <c r="L50" s="2305">
        <v>0</v>
      </c>
      <c r="M50" s="2305">
        <f t="shared" si="14"/>
        <v>0</v>
      </c>
      <c r="N50" s="2305">
        <f t="shared" si="14"/>
        <v>0</v>
      </c>
      <c r="P50" s="2071"/>
      <c r="Q50" s="2071"/>
      <c r="R50" s="2072"/>
      <c r="S50" s="2072"/>
      <c r="T50" s="2072"/>
      <c r="U50" s="2072"/>
      <c r="V50" s="2072"/>
      <c r="W50" s="2071"/>
      <c r="X50" s="2071"/>
      <c r="Y50" s="2071"/>
      <c r="Z50" s="2071"/>
      <c r="AA50" s="2071"/>
      <c r="AB50" s="2071"/>
      <c r="AC50" s="2071"/>
      <c r="AD50" s="2072"/>
      <c r="AE50" s="1291"/>
      <c r="AF50" s="1291"/>
      <c r="AG50" s="1291"/>
      <c r="AH50" s="1291"/>
      <c r="AI50" s="1291"/>
      <c r="AJ50" s="1291"/>
      <c r="AK50" s="1291"/>
      <c r="AL50" s="1291"/>
      <c r="AM50" s="1291"/>
      <c r="AN50" s="1291"/>
    </row>
    <row r="51" spans="1:40" s="1290" customFormat="1" ht="24">
      <c r="A51" s="965" t="s">
        <v>957</v>
      </c>
      <c r="B51" s="2275" t="str">
        <f>估价对象房地状况!C24</f>
        <v>支路</v>
      </c>
      <c r="C51" s="948"/>
      <c r="D51" s="2284">
        <f t="shared" si="10"/>
        <v>0</v>
      </c>
      <c r="E51" s="2306"/>
      <c r="F51" s="2304"/>
      <c r="G51" s="2282"/>
      <c r="H51" s="2328" t="str">
        <f t="shared" si="11"/>
        <v>——</v>
      </c>
      <c r="I51" s="2302">
        <v>0.08</v>
      </c>
      <c r="J51" s="2305">
        <f t="shared" si="12"/>
        <v>0</v>
      </c>
      <c r="K51" s="2305">
        <f t="shared" si="13"/>
        <v>0</v>
      </c>
      <c r="L51" s="2305">
        <v>0</v>
      </c>
      <c r="M51" s="2305">
        <f t="shared" si="14"/>
        <v>0</v>
      </c>
      <c r="N51" s="2305">
        <f t="shared" si="14"/>
        <v>0</v>
      </c>
      <c r="P51" s="2071"/>
      <c r="Q51" s="2071"/>
      <c r="R51" s="2072"/>
      <c r="S51" s="2072"/>
      <c r="T51" s="2072"/>
      <c r="U51" s="2072"/>
      <c r="V51" s="2072"/>
      <c r="W51" s="2071"/>
      <c r="X51" s="2071"/>
      <c r="Y51" s="2071"/>
      <c r="Z51" s="2071"/>
      <c r="AA51" s="2071"/>
      <c r="AB51" s="2071"/>
      <c r="AC51" s="2071"/>
      <c r="AD51" s="2072"/>
      <c r="AE51" s="1291"/>
      <c r="AF51" s="1291"/>
      <c r="AG51" s="1291"/>
      <c r="AH51" s="1291"/>
      <c r="AI51" s="1291"/>
      <c r="AJ51" s="1291"/>
      <c r="AK51" s="1291"/>
      <c r="AL51" s="1291"/>
      <c r="AM51" s="1291"/>
      <c r="AN51" s="1291"/>
    </row>
    <row r="52" spans="1:40" s="1290" customFormat="1" ht="24">
      <c r="A52" s="965" t="s">
        <v>958</v>
      </c>
      <c r="B52" s="2951" t="s">
        <v>2850</v>
      </c>
      <c r="C52" s="948"/>
      <c r="D52" s="2284">
        <f t="shared" si="10"/>
        <v>0</v>
      </c>
      <c r="E52" s="2306"/>
      <c r="F52" s="2304"/>
      <c r="G52" s="2282"/>
      <c r="H52" s="2328" t="str">
        <f t="shared" si="11"/>
        <v>——</v>
      </c>
      <c r="I52" s="2302">
        <v>0.03</v>
      </c>
      <c r="J52" s="2305">
        <f t="shared" si="12"/>
        <v>0</v>
      </c>
      <c r="K52" s="2305">
        <f t="shared" si="13"/>
        <v>0</v>
      </c>
      <c r="L52" s="2305">
        <v>0</v>
      </c>
      <c r="M52" s="2305">
        <f t="shared" si="14"/>
        <v>0</v>
      </c>
      <c r="N52" s="2305">
        <f t="shared" si="14"/>
        <v>0</v>
      </c>
      <c r="P52" s="2071"/>
      <c r="Q52" s="2071"/>
      <c r="R52" s="2072"/>
      <c r="S52" s="2072"/>
      <c r="T52" s="2072"/>
      <c r="U52" s="2072"/>
      <c r="V52" s="2072"/>
      <c r="W52" s="2071"/>
      <c r="X52" s="2071"/>
      <c r="Y52" s="2071"/>
      <c r="Z52" s="2071"/>
      <c r="AA52" s="2071"/>
      <c r="AB52" s="2071"/>
      <c r="AC52" s="2071"/>
      <c r="AD52" s="2072"/>
      <c r="AE52" s="1291"/>
      <c r="AF52" s="1291"/>
      <c r="AG52" s="1291"/>
      <c r="AH52" s="1291"/>
      <c r="AI52" s="1291"/>
      <c r="AJ52" s="1291"/>
      <c r="AK52" s="1291"/>
      <c r="AL52" s="1291"/>
      <c r="AM52" s="1291"/>
      <c r="AN52" s="1291"/>
    </row>
    <row r="53" spans="1:40" s="1290" customFormat="1" ht="24">
      <c r="A53" s="2307" t="s">
        <v>959</v>
      </c>
      <c r="B53" s="2276" t="str">
        <f>估价对象房地状况!C21</f>
        <v>医院、学校、银行、餐饮</v>
      </c>
      <c r="C53" s="948"/>
      <c r="D53" s="2284">
        <f t="shared" si="10"/>
        <v>0</v>
      </c>
      <c r="E53" s="2306"/>
      <c r="F53" s="2304"/>
      <c r="G53" s="2282"/>
      <c r="H53" s="2328" t="str">
        <f t="shared" si="11"/>
        <v>——</v>
      </c>
      <c r="I53" s="2302">
        <v>0.05</v>
      </c>
      <c r="J53" s="2305">
        <f t="shared" si="12"/>
        <v>0</v>
      </c>
      <c r="K53" s="2305">
        <f t="shared" si="13"/>
        <v>0</v>
      </c>
      <c r="L53" s="2305">
        <v>0</v>
      </c>
      <c r="M53" s="2305">
        <f t="shared" si="14"/>
        <v>0</v>
      </c>
      <c r="N53" s="2305">
        <f t="shared" si="14"/>
        <v>0</v>
      </c>
      <c r="P53" s="2071"/>
      <c r="Q53" s="2071"/>
      <c r="R53" s="2072"/>
      <c r="S53" s="2072"/>
      <c r="T53" s="2072"/>
      <c r="U53" s="2072"/>
      <c r="V53" s="2072"/>
      <c r="W53" s="2071"/>
      <c r="X53" s="2071"/>
      <c r="Y53" s="2071"/>
      <c r="Z53" s="2071"/>
      <c r="AA53" s="2071"/>
      <c r="AB53" s="2071"/>
      <c r="AC53" s="2071"/>
      <c r="AD53" s="2072"/>
      <c r="AE53" s="1291"/>
      <c r="AF53" s="1291"/>
      <c r="AG53" s="1291"/>
      <c r="AH53" s="1291"/>
      <c r="AI53" s="1291"/>
      <c r="AJ53" s="1291"/>
      <c r="AK53" s="1291"/>
      <c r="AL53" s="1291"/>
      <c r="AM53" s="1291"/>
      <c r="AN53" s="1291"/>
    </row>
    <row r="54" spans="1:40" s="1290" customFormat="1" ht="24">
      <c r="A54" s="2307" t="s">
        <v>960</v>
      </c>
      <c r="B54" s="2275" t="str">
        <f>估价对象房地状况!C22</f>
        <v>六通</v>
      </c>
      <c r="C54" s="948"/>
      <c r="D54" s="2284">
        <f t="shared" si="10"/>
        <v>0</v>
      </c>
      <c r="E54" s="2306"/>
      <c r="F54" s="2304"/>
      <c r="G54" s="2282"/>
      <c r="H54" s="2328" t="str">
        <f t="shared" si="11"/>
        <v>——</v>
      </c>
      <c r="I54" s="2302">
        <v>0.1</v>
      </c>
      <c r="J54" s="2305">
        <f t="shared" si="12"/>
        <v>0</v>
      </c>
      <c r="K54" s="2305">
        <f t="shared" si="13"/>
        <v>0</v>
      </c>
      <c r="L54" s="2305">
        <v>0</v>
      </c>
      <c r="M54" s="2305">
        <f t="shared" si="14"/>
        <v>0</v>
      </c>
      <c r="N54" s="2305">
        <f t="shared" si="14"/>
        <v>0</v>
      </c>
      <c r="P54" s="2071"/>
      <c r="Q54" s="2071"/>
      <c r="R54" s="2072"/>
      <c r="S54" s="2072"/>
      <c r="T54" s="2072"/>
      <c r="U54" s="2072"/>
      <c r="V54" s="2072"/>
      <c r="W54" s="2071"/>
      <c r="X54" s="2071"/>
      <c r="Y54" s="2071"/>
      <c r="Z54" s="2071"/>
      <c r="AA54" s="2071"/>
      <c r="AB54" s="2071"/>
      <c r="AC54" s="2071"/>
      <c r="AD54" s="2072"/>
      <c r="AE54" s="1291"/>
      <c r="AF54" s="1291"/>
      <c r="AG54" s="1291"/>
      <c r="AH54" s="1291"/>
      <c r="AI54" s="1291"/>
      <c r="AJ54" s="1291"/>
      <c r="AK54" s="1291"/>
      <c r="AL54" s="1291"/>
      <c r="AM54" s="1291"/>
      <c r="AN54" s="1291"/>
    </row>
    <row r="55" spans="1:40" s="1290" customFormat="1" ht="24.75" thickBot="1">
      <c r="A55" s="2308" t="s">
        <v>961</v>
      </c>
      <c r="B55" s="2279" t="str">
        <f>估价对象房地状况!C20</f>
        <v>六生河</v>
      </c>
      <c r="C55" s="948"/>
      <c r="D55" s="2284">
        <f t="shared" si="10"/>
        <v>0</v>
      </c>
      <c r="E55" s="2310"/>
      <c r="F55" s="2304"/>
      <c r="G55" s="2282"/>
      <c r="H55" s="2328" t="str">
        <f t="shared" si="11"/>
        <v>——</v>
      </c>
      <c r="I55" s="2309">
        <v>0.06</v>
      </c>
      <c r="J55" s="2305">
        <f t="shared" si="12"/>
        <v>0</v>
      </c>
      <c r="K55" s="2305">
        <f t="shared" si="13"/>
        <v>0</v>
      </c>
      <c r="L55" s="2305">
        <v>0</v>
      </c>
      <c r="M55" s="2305">
        <f t="shared" si="14"/>
        <v>0</v>
      </c>
      <c r="N55" s="2305">
        <f t="shared" si="14"/>
        <v>0</v>
      </c>
      <c r="P55" s="2071"/>
      <c r="Q55" s="2071"/>
      <c r="R55" s="2072"/>
      <c r="S55" s="2072"/>
      <c r="T55" s="2072"/>
      <c r="U55" s="2072"/>
      <c r="V55" s="2072"/>
      <c r="W55" s="2071"/>
      <c r="X55" s="2071"/>
      <c r="Y55" s="2071"/>
      <c r="Z55" s="2071"/>
      <c r="AA55" s="2071"/>
      <c r="AB55" s="2071"/>
      <c r="AC55" s="2071"/>
      <c r="AD55" s="2072"/>
      <c r="AE55" s="1291"/>
      <c r="AF55" s="1291"/>
      <c r="AG55" s="1291"/>
      <c r="AH55" s="1291"/>
      <c r="AI55" s="1291"/>
      <c r="AJ55" s="1291"/>
      <c r="AK55" s="1291"/>
      <c r="AL55" s="1291"/>
      <c r="AM55" s="1291"/>
      <c r="AN55" s="1291"/>
    </row>
    <row r="56" spans="1:40" s="1290" customFormat="1" ht="15">
      <c r="A56" s="2291" t="s">
        <v>962</v>
      </c>
      <c r="B56" s="2292">
        <f>1+E58</f>
        <v>1</v>
      </c>
      <c r="C56" s="2311"/>
      <c r="D56" s="2294"/>
      <c r="E56" s="2295"/>
      <c r="F56" s="2296"/>
      <c r="G56" s="2290"/>
      <c r="H56" s="2290"/>
      <c r="I56" s="2290"/>
      <c r="J56" s="964"/>
      <c r="K56" s="964"/>
      <c r="L56" s="964"/>
      <c r="M56" s="964"/>
      <c r="N56" s="964"/>
      <c r="P56" s="2071"/>
      <c r="Q56" s="2071"/>
      <c r="R56" s="2072"/>
      <c r="S56" s="2072"/>
      <c r="T56" s="2072"/>
      <c r="U56" s="2072"/>
      <c r="V56" s="2072"/>
      <c r="W56" s="2071"/>
      <c r="X56" s="2071"/>
      <c r="Y56" s="2071"/>
      <c r="Z56" s="2071"/>
      <c r="AA56" s="2071"/>
      <c r="AB56" s="2071"/>
      <c r="AC56" s="2071"/>
      <c r="AD56" s="2072"/>
      <c r="AE56" s="1291"/>
      <c r="AF56" s="1291"/>
      <c r="AG56" s="1291"/>
      <c r="AH56" s="1291"/>
      <c r="AI56" s="1291"/>
      <c r="AJ56" s="1291"/>
      <c r="AK56" s="1291"/>
      <c r="AL56" s="1291"/>
      <c r="AM56" s="1291"/>
      <c r="AN56" s="1291"/>
    </row>
    <row r="57" spans="1:40" s="1290" customFormat="1" ht="24">
      <c r="A57" s="965" t="s">
        <v>941</v>
      </c>
      <c r="B57" s="2275"/>
      <c r="C57" s="2297" t="s">
        <v>943</v>
      </c>
      <c r="D57" s="2298" t="s">
        <v>944</v>
      </c>
      <c r="E57" s="2299" t="s">
        <v>946</v>
      </c>
      <c r="F57" s="2300" t="s">
        <v>2183</v>
      </c>
      <c r="G57" s="2298" t="s">
        <v>947</v>
      </c>
      <c r="H57" s="2281" t="s">
        <v>2346</v>
      </c>
      <c r="I57" s="2298" t="s">
        <v>945</v>
      </c>
      <c r="J57" s="2301" t="s">
        <v>948</v>
      </c>
      <c r="K57" s="2301" t="s">
        <v>949</v>
      </c>
      <c r="L57" s="2301" t="s">
        <v>950</v>
      </c>
      <c r="M57" s="2301" t="s">
        <v>951</v>
      </c>
      <c r="N57" s="2301" t="s">
        <v>952</v>
      </c>
      <c r="P57" s="2071"/>
      <c r="Q57" s="2071"/>
      <c r="R57" s="2072"/>
      <c r="S57" s="2072"/>
      <c r="T57" s="2072"/>
      <c r="U57" s="2072"/>
      <c r="V57" s="2072"/>
      <c r="W57" s="2071"/>
      <c r="X57" s="2071"/>
      <c r="Y57" s="2071"/>
      <c r="Z57" s="2071"/>
      <c r="AA57" s="2071"/>
      <c r="AB57" s="2071"/>
      <c r="AC57" s="2071"/>
      <c r="AD57" s="2072"/>
      <c r="AE57" s="1291"/>
      <c r="AF57" s="1291"/>
      <c r="AG57" s="1291"/>
      <c r="AH57" s="1291"/>
      <c r="AI57" s="1291"/>
      <c r="AJ57" s="1291"/>
      <c r="AK57" s="1291"/>
      <c r="AL57" s="1291"/>
      <c r="AM57" s="1291"/>
      <c r="AN57" s="1291"/>
    </row>
    <row r="58" spans="1:40" s="1290" customFormat="1" ht="24">
      <c r="A58" s="965" t="s">
        <v>963</v>
      </c>
      <c r="B58" s="2278" t="str">
        <f>估价对象房地状况!C17</f>
        <v>多家工业厂房</v>
      </c>
      <c r="C58" s="948"/>
      <c r="D58" s="2284">
        <f t="shared" ref="D58:D66" si="15">SUMIF($J$57:$N$57,C58,J58:N58)</f>
        <v>0</v>
      </c>
      <c r="E58" s="2303">
        <f>ROUND(SUM(D58:D66),4)</f>
        <v>0</v>
      </c>
      <c r="F58" s="2304" t="str">
        <f>IF(E2="办公",SUMIF(L1:L12,G2,N1:N12),"——")</f>
        <v>——</v>
      </c>
      <c r="G58" s="2282"/>
      <c r="H58" s="2328" t="str">
        <f>IFERROR(ROUNDDOWN($F$58*I58/2,4),"——")</f>
        <v>——</v>
      </c>
      <c r="I58" s="2302">
        <v>0.24</v>
      </c>
      <c r="J58" s="2305">
        <f t="shared" ref="J58:J66" si="16">K58+$G58</f>
        <v>0</v>
      </c>
      <c r="K58" s="2305">
        <f t="shared" ref="K58:K66" si="17">$L58+$G58</f>
        <v>0</v>
      </c>
      <c r="L58" s="2305">
        <v>0</v>
      </c>
      <c r="M58" s="2305">
        <f t="shared" ref="M58:N66" si="18">L58-$G58</f>
        <v>0</v>
      </c>
      <c r="N58" s="2305">
        <f t="shared" si="18"/>
        <v>0</v>
      </c>
      <c r="P58" s="2071"/>
      <c r="Q58" s="2071"/>
      <c r="R58" s="2072"/>
      <c r="S58" s="2072"/>
      <c r="T58" s="2072"/>
      <c r="U58" s="2072"/>
      <c r="V58" s="2072"/>
      <c r="W58" s="2071"/>
      <c r="X58" s="2071"/>
      <c r="Y58" s="2071"/>
      <c r="Z58" s="2071"/>
      <c r="AA58" s="2071"/>
      <c r="AB58" s="2071"/>
      <c r="AC58" s="2071"/>
      <c r="AD58" s="2072"/>
      <c r="AE58" s="1291"/>
      <c r="AF58" s="1291"/>
      <c r="AG58" s="1291"/>
      <c r="AH58" s="1291"/>
      <c r="AI58" s="1291"/>
      <c r="AJ58" s="1291"/>
      <c r="AK58" s="1291"/>
      <c r="AL58" s="1291"/>
      <c r="AM58" s="1291"/>
      <c r="AN58" s="1291"/>
    </row>
    <row r="59" spans="1:40" s="1290" customFormat="1" ht="36">
      <c r="A59" s="965" t="s">
        <v>954</v>
      </c>
      <c r="B59" s="2275" t="str">
        <f>估价对象房地状况!C18</f>
        <v>233路、平湖k166路；大云镇客运站；嘉善南站；1高速、1省道</v>
      </c>
      <c r="C59" s="948"/>
      <c r="D59" s="2284">
        <f t="shared" si="15"/>
        <v>0</v>
      </c>
      <c r="E59" s="2306"/>
      <c r="F59" s="2304"/>
      <c r="G59" s="2282"/>
      <c r="H59" s="2283" t="str">
        <f t="shared" ref="H59:H66" si="19">IFERROR($F$58*I59/2,"——")</f>
        <v>——</v>
      </c>
      <c r="I59" s="2302">
        <v>0.3</v>
      </c>
      <c r="J59" s="2305">
        <f t="shared" si="16"/>
        <v>0</v>
      </c>
      <c r="K59" s="2305">
        <f t="shared" si="17"/>
        <v>0</v>
      </c>
      <c r="L59" s="2305">
        <v>0</v>
      </c>
      <c r="M59" s="2305">
        <f t="shared" si="18"/>
        <v>0</v>
      </c>
      <c r="N59" s="2305">
        <f t="shared" si="18"/>
        <v>0</v>
      </c>
      <c r="P59" s="2071"/>
      <c r="Q59" s="2071"/>
      <c r="R59" s="2072"/>
      <c r="S59" s="2072"/>
      <c r="T59" s="2072"/>
      <c r="U59" s="2072"/>
      <c r="V59" s="2072"/>
      <c r="W59" s="2071"/>
      <c r="X59" s="2071"/>
      <c r="Y59" s="2071"/>
      <c r="Z59" s="2071"/>
      <c r="AA59" s="2071"/>
      <c r="AB59" s="2071"/>
      <c r="AC59" s="2071"/>
      <c r="AD59" s="2072"/>
      <c r="AE59" s="1291"/>
      <c r="AF59" s="1291"/>
      <c r="AG59" s="1291"/>
      <c r="AH59" s="1291"/>
      <c r="AI59" s="1291"/>
      <c r="AJ59" s="1291"/>
      <c r="AK59" s="1291"/>
      <c r="AL59" s="1291"/>
      <c r="AM59" s="1291"/>
      <c r="AN59" s="1291"/>
    </row>
    <row r="60" spans="1:40" s="1290" customFormat="1" ht="24">
      <c r="A60" s="965" t="s">
        <v>955</v>
      </c>
      <c r="B60" s="2275" t="str">
        <f>估价对象房地状况!C19</f>
        <v>周围大量工业用地</v>
      </c>
      <c r="C60" s="948"/>
      <c r="D60" s="2284">
        <f t="shared" si="15"/>
        <v>0</v>
      </c>
      <c r="E60" s="2306"/>
      <c r="F60" s="2304"/>
      <c r="G60" s="2282"/>
      <c r="H60" s="2283" t="str">
        <f t="shared" si="19"/>
        <v>——</v>
      </c>
      <c r="I60" s="2302">
        <v>0.08</v>
      </c>
      <c r="J60" s="2305">
        <f t="shared" si="16"/>
        <v>0</v>
      </c>
      <c r="K60" s="2305">
        <f t="shared" si="17"/>
        <v>0</v>
      </c>
      <c r="L60" s="2305">
        <v>0</v>
      </c>
      <c r="M60" s="2305">
        <f t="shared" si="18"/>
        <v>0</v>
      </c>
      <c r="N60" s="2305">
        <f t="shared" si="18"/>
        <v>0</v>
      </c>
      <c r="P60" s="2071"/>
      <c r="Q60" s="2071"/>
      <c r="R60" s="2072"/>
      <c r="S60" s="2072"/>
      <c r="T60" s="2072"/>
      <c r="U60" s="2072"/>
      <c r="V60" s="2072"/>
      <c r="W60" s="2071"/>
      <c r="X60" s="2071"/>
      <c r="Y60" s="2071"/>
      <c r="Z60" s="2071"/>
      <c r="AA60" s="2071"/>
      <c r="AB60" s="2071"/>
      <c r="AC60" s="2071"/>
      <c r="AD60" s="2072"/>
      <c r="AE60" s="1291"/>
      <c r="AF60" s="1291"/>
      <c r="AG60" s="1291"/>
      <c r="AH60" s="1291"/>
      <c r="AI60" s="1291"/>
      <c r="AJ60" s="1291"/>
      <c r="AK60" s="1291"/>
      <c r="AL60" s="1291"/>
      <c r="AM60" s="1291"/>
      <c r="AN60" s="1291"/>
    </row>
    <row r="61" spans="1:40" s="1290" customFormat="1" ht="36">
      <c r="A61" s="965" t="s">
        <v>956</v>
      </c>
      <c r="B61" s="2952" t="s">
        <v>2852</v>
      </c>
      <c r="C61" s="948"/>
      <c r="D61" s="2284">
        <f t="shared" si="15"/>
        <v>0</v>
      </c>
      <c r="E61" s="2306"/>
      <c r="F61" s="2304"/>
      <c r="G61" s="2282"/>
      <c r="H61" s="2283" t="str">
        <f t="shared" si="19"/>
        <v>——</v>
      </c>
      <c r="I61" s="2302">
        <v>0.04</v>
      </c>
      <c r="J61" s="2305">
        <f t="shared" si="16"/>
        <v>0</v>
      </c>
      <c r="K61" s="2305">
        <f t="shared" si="17"/>
        <v>0</v>
      </c>
      <c r="L61" s="2305">
        <v>0</v>
      </c>
      <c r="M61" s="2305">
        <f t="shared" si="18"/>
        <v>0</v>
      </c>
      <c r="N61" s="2305">
        <f t="shared" si="18"/>
        <v>0</v>
      </c>
      <c r="P61" s="2071"/>
      <c r="Q61" s="2071"/>
      <c r="R61" s="2072"/>
      <c r="S61" s="2072"/>
      <c r="T61" s="2072"/>
      <c r="U61" s="2072"/>
      <c r="V61" s="2072"/>
      <c r="W61" s="2071"/>
      <c r="X61" s="2071"/>
      <c r="Y61" s="2071"/>
      <c r="Z61" s="2071"/>
      <c r="AA61" s="2071"/>
      <c r="AB61" s="2071"/>
      <c r="AC61" s="2071"/>
      <c r="AD61" s="2072"/>
      <c r="AE61" s="1291"/>
      <c r="AF61" s="1291"/>
      <c r="AG61" s="1291"/>
      <c r="AH61" s="1291"/>
      <c r="AI61" s="1291"/>
      <c r="AJ61" s="1291"/>
      <c r="AK61" s="1291"/>
      <c r="AL61" s="1291"/>
      <c r="AM61" s="1291"/>
      <c r="AN61" s="1291"/>
    </row>
    <row r="62" spans="1:40" s="1290" customFormat="1" ht="24">
      <c r="A62" s="965" t="s">
        <v>957</v>
      </c>
      <c r="B62" s="2275" t="str">
        <f>估价对象房地状况!C24</f>
        <v>支路</v>
      </c>
      <c r="C62" s="948"/>
      <c r="D62" s="2284">
        <f t="shared" si="15"/>
        <v>0</v>
      </c>
      <c r="E62" s="2306"/>
      <c r="F62" s="2304"/>
      <c r="G62" s="2282"/>
      <c r="H62" s="2283" t="str">
        <f t="shared" si="19"/>
        <v>——</v>
      </c>
      <c r="I62" s="2302">
        <v>0.05</v>
      </c>
      <c r="J62" s="2305">
        <f t="shared" si="16"/>
        <v>0</v>
      </c>
      <c r="K62" s="2305">
        <f t="shared" si="17"/>
        <v>0</v>
      </c>
      <c r="L62" s="2305">
        <v>0</v>
      </c>
      <c r="M62" s="2305">
        <f t="shared" si="18"/>
        <v>0</v>
      </c>
      <c r="N62" s="2305">
        <f t="shared" si="18"/>
        <v>0</v>
      </c>
      <c r="P62" s="2071"/>
      <c r="Q62" s="2071"/>
      <c r="R62" s="2072"/>
      <c r="S62" s="2072"/>
      <c r="T62" s="2072"/>
      <c r="U62" s="2072"/>
      <c r="V62" s="2072"/>
      <c r="W62" s="2071"/>
      <c r="X62" s="2071"/>
      <c r="Y62" s="2071"/>
      <c r="Z62" s="2071"/>
      <c r="AA62" s="2071"/>
      <c r="AB62" s="2071"/>
      <c r="AC62" s="2071"/>
      <c r="AD62" s="2072"/>
      <c r="AE62" s="1291"/>
      <c r="AF62" s="1291"/>
      <c r="AG62" s="1291"/>
      <c r="AH62" s="1291"/>
      <c r="AI62" s="1291"/>
      <c r="AJ62" s="1291"/>
      <c r="AK62" s="1291"/>
      <c r="AL62" s="1291"/>
      <c r="AM62" s="1291"/>
      <c r="AN62" s="1291"/>
    </row>
    <row r="63" spans="1:40" s="1290" customFormat="1" ht="24">
      <c r="A63" s="965" t="s">
        <v>958</v>
      </c>
      <c r="B63" s="2951" t="s">
        <v>2850</v>
      </c>
      <c r="C63" s="948"/>
      <c r="D63" s="2284">
        <f t="shared" si="15"/>
        <v>0</v>
      </c>
      <c r="E63" s="2306"/>
      <c r="F63" s="2304"/>
      <c r="G63" s="2282"/>
      <c r="H63" s="2283" t="str">
        <f t="shared" si="19"/>
        <v>——</v>
      </c>
      <c r="I63" s="2302">
        <v>0.05</v>
      </c>
      <c r="J63" s="2305">
        <f t="shared" si="16"/>
        <v>0</v>
      </c>
      <c r="K63" s="2305">
        <f t="shared" si="17"/>
        <v>0</v>
      </c>
      <c r="L63" s="2305">
        <v>0</v>
      </c>
      <c r="M63" s="2305">
        <f t="shared" si="18"/>
        <v>0</v>
      </c>
      <c r="N63" s="2305">
        <f t="shared" si="18"/>
        <v>0</v>
      </c>
      <c r="P63" s="2071"/>
      <c r="Q63" s="2071"/>
      <c r="R63" s="2072"/>
      <c r="S63" s="2072"/>
      <c r="T63" s="2072"/>
      <c r="U63" s="2072"/>
      <c r="V63" s="2072"/>
      <c r="W63" s="2071"/>
      <c r="X63" s="2071"/>
      <c r="Y63" s="2071"/>
      <c r="Z63" s="2071"/>
      <c r="AA63" s="2071"/>
      <c r="AB63" s="2071"/>
      <c r="AC63" s="2071"/>
      <c r="AD63" s="2072"/>
      <c r="AE63" s="1291"/>
      <c r="AF63" s="1291"/>
      <c r="AG63" s="1291"/>
      <c r="AH63" s="1291"/>
      <c r="AI63" s="1291"/>
      <c r="AJ63" s="1291"/>
      <c r="AK63" s="1291"/>
      <c r="AL63" s="1291"/>
      <c r="AM63" s="1291"/>
      <c r="AN63" s="1291"/>
    </row>
    <row r="64" spans="1:40" s="1290" customFormat="1" ht="24">
      <c r="A64" s="965" t="s">
        <v>959</v>
      </c>
      <c r="B64" s="2276" t="str">
        <f>估价对象房地状况!C21</f>
        <v>医院、学校、银行、餐饮</v>
      </c>
      <c r="C64" s="948"/>
      <c r="D64" s="2284">
        <f t="shared" si="15"/>
        <v>0</v>
      </c>
      <c r="E64" s="2306"/>
      <c r="F64" s="2304"/>
      <c r="G64" s="2282"/>
      <c r="H64" s="2283" t="str">
        <f t="shared" si="19"/>
        <v>——</v>
      </c>
      <c r="I64" s="2302">
        <v>0.06</v>
      </c>
      <c r="J64" s="2305">
        <f t="shared" si="16"/>
        <v>0</v>
      </c>
      <c r="K64" s="2305">
        <f t="shared" si="17"/>
        <v>0</v>
      </c>
      <c r="L64" s="2305">
        <v>0</v>
      </c>
      <c r="M64" s="2305">
        <f t="shared" si="18"/>
        <v>0</v>
      </c>
      <c r="N64" s="2305">
        <f t="shared" si="18"/>
        <v>0</v>
      </c>
      <c r="P64" s="2071"/>
      <c r="Q64" s="2071"/>
      <c r="R64" s="2072"/>
      <c r="S64" s="2072"/>
      <c r="T64" s="2072"/>
      <c r="U64" s="2072"/>
      <c r="V64" s="2072"/>
      <c r="W64" s="2071"/>
      <c r="X64" s="2071"/>
      <c r="Y64" s="2071"/>
      <c r="Z64" s="2071"/>
      <c r="AA64" s="2071"/>
      <c r="AB64" s="2071"/>
      <c r="AC64" s="2071"/>
      <c r="AD64" s="2072"/>
      <c r="AE64" s="1291"/>
      <c r="AF64" s="1291"/>
      <c r="AG64" s="1291"/>
      <c r="AH64" s="1291"/>
      <c r="AI64" s="1291"/>
      <c r="AJ64" s="1291"/>
      <c r="AK64" s="1291"/>
      <c r="AL64" s="1291"/>
      <c r="AM64" s="1291"/>
      <c r="AN64" s="1291"/>
    </row>
    <row r="65" spans="1:40" s="1290" customFormat="1" ht="24">
      <c r="A65" s="965" t="s">
        <v>960</v>
      </c>
      <c r="B65" s="2276" t="str">
        <f>估价对象房地状况!C22</f>
        <v>六通</v>
      </c>
      <c r="C65" s="948"/>
      <c r="D65" s="2284">
        <f t="shared" si="15"/>
        <v>0</v>
      </c>
      <c r="E65" s="2306"/>
      <c r="F65" s="2304"/>
      <c r="G65" s="2282"/>
      <c r="H65" s="2283" t="str">
        <f t="shared" si="19"/>
        <v>——</v>
      </c>
      <c r="I65" s="2302">
        <v>0.12</v>
      </c>
      <c r="J65" s="2305">
        <f t="shared" si="16"/>
        <v>0</v>
      </c>
      <c r="K65" s="2305">
        <f t="shared" si="17"/>
        <v>0</v>
      </c>
      <c r="L65" s="2305">
        <v>0</v>
      </c>
      <c r="M65" s="2305">
        <f t="shared" si="18"/>
        <v>0</v>
      </c>
      <c r="N65" s="2305">
        <f t="shared" si="18"/>
        <v>0</v>
      </c>
      <c r="P65" s="2071"/>
      <c r="Q65" s="2071"/>
      <c r="R65" s="2072"/>
      <c r="S65" s="2072"/>
      <c r="T65" s="2072"/>
      <c r="U65" s="2072"/>
      <c r="V65" s="2072"/>
      <c r="W65" s="2071"/>
      <c r="X65" s="2071"/>
      <c r="Y65" s="2071"/>
      <c r="Z65" s="2071"/>
      <c r="AA65" s="2071"/>
      <c r="AB65" s="2071"/>
      <c r="AC65" s="2071"/>
      <c r="AD65" s="2072"/>
      <c r="AE65" s="1291"/>
      <c r="AF65" s="1291"/>
      <c r="AG65" s="1291"/>
      <c r="AH65" s="1291"/>
      <c r="AI65" s="1291"/>
      <c r="AJ65" s="1291"/>
      <c r="AK65" s="1291"/>
      <c r="AL65" s="1291"/>
      <c r="AM65" s="1291"/>
      <c r="AN65" s="1291"/>
    </row>
    <row r="66" spans="1:40" s="1290" customFormat="1" ht="24.75" thickBot="1">
      <c r="A66" s="2308" t="s">
        <v>961</v>
      </c>
      <c r="B66" s="2280" t="str">
        <f>估价对象房地状况!C20</f>
        <v>六生河</v>
      </c>
      <c r="C66" s="948"/>
      <c r="D66" s="2284">
        <f t="shared" si="15"/>
        <v>0</v>
      </c>
      <c r="E66" s="2310"/>
      <c r="F66" s="2304"/>
      <c r="G66" s="2282"/>
      <c r="H66" s="2283" t="str">
        <f t="shared" si="19"/>
        <v>——</v>
      </c>
      <c r="I66" s="2309">
        <v>0.06</v>
      </c>
      <c r="J66" s="2305">
        <f t="shared" si="16"/>
        <v>0</v>
      </c>
      <c r="K66" s="2305">
        <f t="shared" si="17"/>
        <v>0</v>
      </c>
      <c r="L66" s="2305">
        <v>0</v>
      </c>
      <c r="M66" s="2305">
        <f t="shared" si="18"/>
        <v>0</v>
      </c>
      <c r="N66" s="2305">
        <f t="shared" si="18"/>
        <v>0</v>
      </c>
      <c r="P66" s="2071"/>
      <c r="Q66" s="2071"/>
      <c r="R66" s="2072"/>
      <c r="S66" s="2072"/>
      <c r="T66" s="2072"/>
      <c r="U66" s="2072"/>
      <c r="V66" s="2072"/>
      <c r="W66" s="2071"/>
      <c r="X66" s="2071"/>
      <c r="Y66" s="2071"/>
      <c r="Z66" s="2071"/>
      <c r="AA66" s="2071"/>
      <c r="AB66" s="2071"/>
      <c r="AC66" s="2071"/>
      <c r="AD66" s="2072"/>
      <c r="AE66" s="1291"/>
      <c r="AF66" s="1291"/>
      <c r="AG66" s="1291"/>
      <c r="AH66" s="1291"/>
      <c r="AI66" s="1291"/>
      <c r="AJ66" s="1291"/>
      <c r="AK66" s="1291"/>
      <c r="AL66" s="1291"/>
      <c r="AM66" s="1291"/>
      <c r="AN66" s="1291"/>
    </row>
    <row r="67" spans="1:40" s="1290" customFormat="1" ht="15">
      <c r="A67" s="2291" t="s">
        <v>964</v>
      </c>
      <c r="B67" s="2292">
        <f>1+E69</f>
        <v>1</v>
      </c>
      <c r="C67" s="2311"/>
      <c r="D67" s="2294"/>
      <c r="E67" s="2295"/>
      <c r="F67" s="2296"/>
      <c r="G67" s="2290"/>
      <c r="H67" s="2290"/>
      <c r="I67" s="2290"/>
      <c r="J67" s="964"/>
      <c r="K67" s="964"/>
      <c r="L67" s="964"/>
      <c r="M67" s="964"/>
      <c r="N67" s="964"/>
      <c r="P67" s="2071"/>
      <c r="Q67" s="2071"/>
      <c r="R67" s="2072"/>
      <c r="S67" s="2072"/>
      <c r="T67" s="2072"/>
      <c r="U67" s="2072"/>
      <c r="V67" s="2072"/>
      <c r="W67" s="2071"/>
      <c r="X67" s="2071"/>
      <c r="Y67" s="2071"/>
      <c r="Z67" s="2071"/>
      <c r="AA67" s="2071"/>
      <c r="AB67" s="2071"/>
      <c r="AC67" s="2071"/>
      <c r="AD67" s="2072"/>
      <c r="AE67" s="1291"/>
      <c r="AF67" s="1291"/>
      <c r="AG67" s="1291"/>
      <c r="AH67" s="1291"/>
      <c r="AI67" s="1291"/>
      <c r="AJ67" s="1291"/>
      <c r="AK67" s="1291"/>
      <c r="AL67" s="1291"/>
      <c r="AM67" s="1291"/>
      <c r="AN67" s="1291"/>
    </row>
    <row r="68" spans="1:40" s="1290" customFormat="1" ht="24">
      <c r="A68" s="965" t="s">
        <v>941</v>
      </c>
      <c r="B68" s="2275"/>
      <c r="C68" s="2297" t="s">
        <v>943</v>
      </c>
      <c r="D68" s="2298" t="s">
        <v>944</v>
      </c>
      <c r="E68" s="2299" t="s">
        <v>946</v>
      </c>
      <c r="F68" s="2300" t="s">
        <v>2184</v>
      </c>
      <c r="G68" s="2298" t="s">
        <v>947</v>
      </c>
      <c r="H68" s="2281" t="s">
        <v>2346</v>
      </c>
      <c r="I68" s="2298" t="s">
        <v>945</v>
      </c>
      <c r="J68" s="2301" t="s">
        <v>948</v>
      </c>
      <c r="K68" s="2301" t="s">
        <v>949</v>
      </c>
      <c r="L68" s="2301" t="s">
        <v>950</v>
      </c>
      <c r="M68" s="2301" t="s">
        <v>951</v>
      </c>
      <c r="N68" s="2301" t="s">
        <v>952</v>
      </c>
      <c r="P68" s="2071"/>
      <c r="Q68" s="2071"/>
      <c r="R68" s="2072"/>
      <c r="S68" s="2072"/>
      <c r="T68" s="2072"/>
      <c r="U68" s="2072"/>
      <c r="V68" s="2072"/>
      <c r="W68" s="2071"/>
      <c r="X68" s="2071"/>
      <c r="Y68" s="2071"/>
      <c r="Z68" s="2071"/>
      <c r="AA68" s="2071"/>
      <c r="AB68" s="2071"/>
      <c r="AC68" s="2071"/>
      <c r="AD68" s="2072"/>
      <c r="AE68" s="1291"/>
      <c r="AF68" s="1291"/>
      <c r="AG68" s="1291"/>
      <c r="AH68" s="1291"/>
      <c r="AI68" s="1291"/>
      <c r="AJ68" s="1291"/>
      <c r="AK68" s="1291"/>
      <c r="AL68" s="1291"/>
      <c r="AM68" s="1291"/>
      <c r="AN68" s="1291"/>
    </row>
    <row r="69" spans="1:40" s="1290" customFormat="1" ht="24">
      <c r="A69" s="965" t="s">
        <v>965</v>
      </c>
      <c r="B69" s="2278" t="str">
        <f>估价对象房地状况!C15</f>
        <v>大运府邸、云都花园、中都华庭</v>
      </c>
      <c r="C69" s="1057"/>
      <c r="D69" s="2284">
        <f t="shared" ref="D69:D77" si="20">SUMIF($J$68:$N$68,C69,J69:N69)</f>
        <v>0</v>
      </c>
      <c r="E69" s="2303">
        <f>ROUND(SUM(D69:D77),4)</f>
        <v>0</v>
      </c>
      <c r="F69" s="2304" t="str">
        <f>IF(E2="住宅",SUMIF(L1:L12,G2,N1:N12),"——")</f>
        <v>——</v>
      </c>
      <c r="G69" s="2285"/>
      <c r="H69" s="2329" t="str">
        <f t="shared" ref="H69:H77" si="21">IFERROR(ROUNDDOWN($F$69*I69/2,4),"——")</f>
        <v>——</v>
      </c>
      <c r="I69" s="2302">
        <v>0.14000000000000001</v>
      </c>
      <c r="J69" s="2305">
        <f t="shared" ref="J69:J77" si="22">K69+$G69</f>
        <v>0</v>
      </c>
      <c r="K69" s="2305">
        <f t="shared" ref="K69:K77" si="23">$L69+$G69</f>
        <v>0</v>
      </c>
      <c r="L69" s="2305">
        <v>0</v>
      </c>
      <c r="M69" s="2305">
        <f t="shared" ref="M69:N77" si="24">L69-$G69</f>
        <v>0</v>
      </c>
      <c r="N69" s="2305">
        <f t="shared" si="24"/>
        <v>0</v>
      </c>
      <c r="P69" s="2071"/>
      <c r="Q69" s="2071"/>
      <c r="R69" s="2072"/>
      <c r="S69" s="2072"/>
      <c r="T69" s="2072"/>
      <c r="U69" s="2072"/>
      <c r="V69" s="2072"/>
      <c r="W69" s="2071"/>
      <c r="X69" s="2071"/>
      <c r="Y69" s="2071"/>
      <c r="Z69" s="2071"/>
      <c r="AA69" s="2071"/>
      <c r="AB69" s="2071"/>
      <c r="AC69" s="2071"/>
      <c r="AD69" s="2072"/>
      <c r="AE69" s="1291"/>
      <c r="AF69" s="1291"/>
      <c r="AG69" s="1291"/>
      <c r="AH69" s="1291"/>
      <c r="AI69" s="1291"/>
      <c r="AJ69" s="1291"/>
      <c r="AK69" s="1291"/>
      <c r="AL69" s="1291"/>
      <c r="AM69" s="1291"/>
      <c r="AN69" s="1291"/>
    </row>
    <row r="70" spans="1:40" s="1290" customFormat="1" ht="36">
      <c r="A70" s="965" t="s">
        <v>966</v>
      </c>
      <c r="B70" s="2275" t="str">
        <f>估价对象房地状况!C18</f>
        <v>233路、平湖k166路；大云镇客运站；嘉善南站；1高速、1省道</v>
      </c>
      <c r="C70" s="1057"/>
      <c r="D70" s="2284">
        <f t="shared" si="20"/>
        <v>0</v>
      </c>
      <c r="E70" s="2312"/>
      <c r="F70" s="2313"/>
      <c r="G70" s="2285"/>
      <c r="H70" s="2329" t="str">
        <f t="shared" si="21"/>
        <v>——</v>
      </c>
      <c r="I70" s="2302">
        <v>0.3</v>
      </c>
      <c r="J70" s="2305">
        <f t="shared" si="22"/>
        <v>0</v>
      </c>
      <c r="K70" s="2305">
        <f t="shared" si="23"/>
        <v>0</v>
      </c>
      <c r="L70" s="2305">
        <v>0</v>
      </c>
      <c r="M70" s="2305">
        <f t="shared" si="24"/>
        <v>0</v>
      </c>
      <c r="N70" s="2305">
        <f t="shared" si="24"/>
        <v>0</v>
      </c>
      <c r="P70" s="2071"/>
      <c r="Q70" s="2071"/>
      <c r="R70" s="2072"/>
      <c r="S70" s="2072"/>
      <c r="T70" s="2072"/>
      <c r="U70" s="2072"/>
      <c r="V70" s="2072"/>
      <c r="W70" s="2071"/>
      <c r="X70" s="2071"/>
      <c r="Y70" s="2071"/>
      <c r="Z70" s="2071"/>
      <c r="AA70" s="2071"/>
      <c r="AB70" s="2071"/>
      <c r="AC70" s="2071"/>
      <c r="AD70" s="2072"/>
      <c r="AE70" s="1291"/>
      <c r="AF70" s="1291"/>
      <c r="AG70" s="1291"/>
      <c r="AH70" s="1291"/>
      <c r="AI70" s="1291"/>
      <c r="AJ70" s="1291"/>
      <c r="AK70" s="1291"/>
      <c r="AL70" s="1291"/>
      <c r="AM70" s="1291"/>
      <c r="AN70" s="1291"/>
    </row>
    <row r="71" spans="1:40" s="1290" customFormat="1" ht="24">
      <c r="A71" s="965" t="s">
        <v>955</v>
      </c>
      <c r="B71" s="2275" t="str">
        <f>估价对象房地状况!C19</f>
        <v>周围大量工业用地</v>
      </c>
      <c r="C71" s="1057"/>
      <c r="D71" s="2284">
        <f t="shared" si="20"/>
        <v>0</v>
      </c>
      <c r="E71" s="2312"/>
      <c r="F71" s="2313"/>
      <c r="G71" s="2285"/>
      <c r="H71" s="2329" t="str">
        <f t="shared" si="21"/>
        <v>——</v>
      </c>
      <c r="I71" s="2302">
        <v>0.08</v>
      </c>
      <c r="J71" s="2305">
        <f t="shared" si="22"/>
        <v>0</v>
      </c>
      <c r="K71" s="2305">
        <f t="shared" si="23"/>
        <v>0</v>
      </c>
      <c r="L71" s="2305">
        <v>0</v>
      </c>
      <c r="M71" s="2305">
        <f t="shared" si="24"/>
        <v>0</v>
      </c>
      <c r="N71" s="2305">
        <f t="shared" si="24"/>
        <v>0</v>
      </c>
      <c r="P71" s="2071"/>
      <c r="Q71" s="2071"/>
      <c r="R71" s="2072"/>
      <c r="S71" s="2072"/>
      <c r="T71" s="2072"/>
      <c r="U71" s="2072"/>
      <c r="V71" s="2072"/>
      <c r="W71" s="2071"/>
      <c r="X71" s="2071"/>
      <c r="Y71" s="2071"/>
      <c r="Z71" s="2071"/>
      <c r="AA71" s="2071"/>
      <c r="AB71" s="2071"/>
      <c r="AC71" s="2071"/>
      <c r="AD71" s="2072"/>
      <c r="AE71" s="1291"/>
      <c r="AF71" s="1291"/>
      <c r="AG71" s="1291"/>
      <c r="AH71" s="1291"/>
      <c r="AI71" s="1291"/>
      <c r="AJ71" s="1291"/>
      <c r="AK71" s="1291"/>
      <c r="AL71" s="1291"/>
      <c r="AM71" s="1291"/>
      <c r="AN71" s="1291"/>
    </row>
    <row r="72" spans="1:40" s="1290" customFormat="1" ht="14.25">
      <c r="A72" s="965" t="s">
        <v>967</v>
      </c>
      <c r="B72" s="2275" t="str">
        <f>估价对象房地状况!C24</f>
        <v>支路</v>
      </c>
      <c r="C72" s="1057"/>
      <c r="D72" s="2284">
        <f t="shared" si="20"/>
        <v>0</v>
      </c>
      <c r="E72" s="2312"/>
      <c r="F72" s="2313"/>
      <c r="G72" s="2285"/>
      <c r="H72" s="2329" t="str">
        <f t="shared" si="21"/>
        <v>——</v>
      </c>
      <c r="I72" s="2302">
        <v>0.04</v>
      </c>
      <c r="J72" s="2305">
        <f t="shared" si="22"/>
        <v>0</v>
      </c>
      <c r="K72" s="2305">
        <f t="shared" si="23"/>
        <v>0</v>
      </c>
      <c r="L72" s="2305">
        <v>0</v>
      </c>
      <c r="M72" s="2305">
        <f t="shared" si="24"/>
        <v>0</v>
      </c>
      <c r="N72" s="2305">
        <f t="shared" si="24"/>
        <v>0</v>
      </c>
      <c r="P72" s="2071"/>
      <c r="Q72" s="2071"/>
      <c r="R72" s="2072"/>
      <c r="S72" s="2072"/>
      <c r="T72" s="2072"/>
      <c r="U72" s="2072"/>
      <c r="V72" s="2072"/>
      <c r="W72" s="2071"/>
      <c r="X72" s="2071"/>
      <c r="Y72" s="2071"/>
      <c r="Z72" s="2071"/>
      <c r="AA72" s="2071"/>
      <c r="AB72" s="2071"/>
      <c r="AC72" s="2071"/>
      <c r="AD72" s="2072"/>
      <c r="AE72" s="1291"/>
      <c r="AF72" s="1291"/>
      <c r="AG72" s="1291"/>
      <c r="AH72" s="1291"/>
      <c r="AI72" s="1291"/>
      <c r="AJ72" s="1291"/>
      <c r="AK72" s="1291"/>
      <c r="AL72" s="1291"/>
      <c r="AM72" s="1291"/>
      <c r="AN72" s="1291"/>
    </row>
    <row r="73" spans="1:40" s="1290" customFormat="1" ht="24">
      <c r="A73" s="965" t="s">
        <v>959</v>
      </c>
      <c r="B73" s="2276" t="str">
        <f>估价对象房地状况!C21</f>
        <v>医院、学校、银行、餐饮</v>
      </c>
      <c r="C73" s="1057"/>
      <c r="D73" s="2284">
        <f t="shared" si="20"/>
        <v>0</v>
      </c>
      <c r="E73" s="2312"/>
      <c r="F73" s="2313"/>
      <c r="G73" s="2285"/>
      <c r="H73" s="2329" t="str">
        <f t="shared" si="21"/>
        <v>——</v>
      </c>
      <c r="I73" s="2302">
        <v>0.08</v>
      </c>
      <c r="J73" s="2305">
        <f t="shared" si="22"/>
        <v>0</v>
      </c>
      <c r="K73" s="2305">
        <f t="shared" si="23"/>
        <v>0</v>
      </c>
      <c r="L73" s="2305">
        <v>0</v>
      </c>
      <c r="M73" s="2305">
        <f t="shared" si="24"/>
        <v>0</v>
      </c>
      <c r="N73" s="2305">
        <f t="shared" si="24"/>
        <v>0</v>
      </c>
      <c r="P73" s="2071"/>
      <c r="Q73" s="2071"/>
      <c r="R73" s="2072"/>
      <c r="S73" s="2072"/>
      <c r="T73" s="2072"/>
      <c r="U73" s="2072"/>
      <c r="V73" s="2072"/>
      <c r="W73" s="2071"/>
      <c r="X73" s="2071"/>
      <c r="Y73" s="2071"/>
      <c r="Z73" s="2071"/>
      <c r="AA73" s="2071"/>
      <c r="AB73" s="2071"/>
      <c r="AC73" s="2071"/>
      <c r="AD73" s="2072"/>
      <c r="AE73" s="1291"/>
      <c r="AF73" s="1291"/>
      <c r="AG73" s="1291"/>
      <c r="AH73" s="1291"/>
      <c r="AI73" s="1291"/>
      <c r="AJ73" s="1291"/>
      <c r="AK73" s="1291"/>
      <c r="AL73" s="1291"/>
      <c r="AM73" s="1291"/>
      <c r="AN73" s="1291"/>
    </row>
    <row r="74" spans="1:40" s="1290" customFormat="1" ht="24">
      <c r="A74" s="965" t="s">
        <v>960</v>
      </c>
      <c r="B74" s="2276" t="str">
        <f>估价对象房地状况!C22</f>
        <v>六通</v>
      </c>
      <c r="C74" s="1057"/>
      <c r="D74" s="2284">
        <f t="shared" si="20"/>
        <v>0</v>
      </c>
      <c r="E74" s="2312"/>
      <c r="F74" s="2313"/>
      <c r="G74" s="2285"/>
      <c r="H74" s="2329" t="str">
        <f t="shared" si="21"/>
        <v>——</v>
      </c>
      <c r="I74" s="2302">
        <v>0.12</v>
      </c>
      <c r="J74" s="2305">
        <f t="shared" si="22"/>
        <v>0</v>
      </c>
      <c r="K74" s="2305">
        <f t="shared" si="23"/>
        <v>0</v>
      </c>
      <c r="L74" s="2305">
        <v>0</v>
      </c>
      <c r="M74" s="2305">
        <f t="shared" si="24"/>
        <v>0</v>
      </c>
      <c r="N74" s="2305">
        <f t="shared" si="24"/>
        <v>0</v>
      </c>
      <c r="P74" s="2071"/>
      <c r="Q74" s="2071"/>
      <c r="R74" s="2072"/>
      <c r="S74" s="2072"/>
      <c r="T74" s="2072"/>
      <c r="U74" s="2072"/>
      <c r="V74" s="2072"/>
      <c r="W74" s="2071"/>
      <c r="X74" s="2071"/>
      <c r="Y74" s="2071"/>
      <c r="Z74" s="2071"/>
      <c r="AA74" s="2071"/>
      <c r="AB74" s="2071"/>
      <c r="AC74" s="2071"/>
      <c r="AD74" s="2072"/>
      <c r="AE74" s="1291"/>
      <c r="AF74" s="1291"/>
      <c r="AG74" s="1291"/>
      <c r="AH74" s="1291"/>
      <c r="AI74" s="1291"/>
      <c r="AJ74" s="1291"/>
      <c r="AK74" s="1291"/>
      <c r="AL74" s="1291"/>
      <c r="AM74" s="1291"/>
      <c r="AN74" s="1291"/>
    </row>
    <row r="75" spans="1:40" s="1290" customFormat="1" ht="24">
      <c r="A75" s="965" t="s">
        <v>958</v>
      </c>
      <c r="B75" s="2951" t="s">
        <v>2850</v>
      </c>
      <c r="C75" s="1057"/>
      <c r="D75" s="2284">
        <f t="shared" si="20"/>
        <v>0</v>
      </c>
      <c r="E75" s="2312"/>
      <c r="F75" s="2313"/>
      <c r="G75" s="2285"/>
      <c r="H75" s="2329" t="str">
        <f t="shared" si="21"/>
        <v>——</v>
      </c>
      <c r="I75" s="2302">
        <v>0.05</v>
      </c>
      <c r="J75" s="2305">
        <f t="shared" si="22"/>
        <v>0</v>
      </c>
      <c r="K75" s="2305">
        <f t="shared" si="23"/>
        <v>0</v>
      </c>
      <c r="L75" s="2305">
        <v>0</v>
      </c>
      <c r="M75" s="2305">
        <f t="shared" si="24"/>
        <v>0</v>
      </c>
      <c r="N75" s="2305">
        <f t="shared" si="24"/>
        <v>0</v>
      </c>
      <c r="P75" s="2071"/>
      <c r="Q75" s="2071"/>
      <c r="R75" s="2072"/>
      <c r="S75" s="2072"/>
      <c r="T75" s="2072"/>
      <c r="U75" s="2072"/>
      <c r="V75" s="2072"/>
      <c r="W75" s="2071"/>
      <c r="X75" s="2071"/>
      <c r="Y75" s="2071"/>
      <c r="Z75" s="2071"/>
      <c r="AA75" s="2071"/>
      <c r="AB75" s="2071"/>
      <c r="AC75" s="2071"/>
      <c r="AD75" s="2072"/>
      <c r="AE75" s="1291"/>
      <c r="AF75" s="1291"/>
      <c r="AG75" s="1291"/>
      <c r="AH75" s="1291"/>
      <c r="AI75" s="1291"/>
      <c r="AJ75" s="1291"/>
      <c r="AK75" s="1291"/>
      <c r="AL75" s="1291"/>
      <c r="AM75" s="1291"/>
      <c r="AN75" s="1291"/>
    </row>
    <row r="76" spans="1:40" ht="24">
      <c r="A76" s="965" t="s">
        <v>961</v>
      </c>
      <c r="B76" s="2278" t="str">
        <f>估价对象房地状况!C20</f>
        <v>六生河</v>
      </c>
      <c r="C76" s="1057"/>
      <c r="D76" s="2284">
        <f t="shared" si="20"/>
        <v>0</v>
      </c>
      <c r="E76" s="2312"/>
      <c r="F76" s="2313"/>
      <c r="G76" s="2285"/>
      <c r="H76" s="2329" t="str">
        <f t="shared" si="21"/>
        <v>——</v>
      </c>
      <c r="I76" s="2302">
        <v>0.15</v>
      </c>
      <c r="J76" s="2305">
        <f t="shared" si="22"/>
        <v>0</v>
      </c>
      <c r="K76" s="2305">
        <f t="shared" si="23"/>
        <v>0</v>
      </c>
      <c r="L76" s="2305">
        <v>0</v>
      </c>
      <c r="M76" s="2305">
        <f t="shared" si="24"/>
        <v>0</v>
      </c>
      <c r="N76" s="2305">
        <f t="shared" si="24"/>
        <v>0</v>
      </c>
      <c r="P76" s="2074"/>
      <c r="Q76" s="2074"/>
      <c r="R76" s="2075"/>
      <c r="S76" s="2075"/>
      <c r="T76" s="2075"/>
      <c r="U76" s="2075"/>
      <c r="V76" s="2075"/>
      <c r="W76" s="2074"/>
      <c r="X76" s="2074"/>
      <c r="Y76" s="2074"/>
      <c r="Z76" s="2074"/>
      <c r="AA76" s="2074"/>
      <c r="AB76" s="2074"/>
      <c r="AC76" s="2074"/>
      <c r="AD76" s="2075"/>
      <c r="AJ76" s="1291"/>
      <c r="AN76" s="1292"/>
    </row>
    <row r="77" spans="1:40" ht="24.75" thickBot="1">
      <c r="A77" s="2308" t="s">
        <v>968</v>
      </c>
      <c r="B77" s="1732"/>
      <c r="C77" s="1057"/>
      <c r="D77" s="2284">
        <f t="shared" si="20"/>
        <v>0</v>
      </c>
      <c r="E77" s="2314"/>
      <c r="F77" s="2313"/>
      <c r="G77" s="2285"/>
      <c r="H77" s="2329" t="str">
        <f t="shared" si="21"/>
        <v>——</v>
      </c>
      <c r="I77" s="2309">
        <v>0.04</v>
      </c>
      <c r="J77" s="2305">
        <f t="shared" si="22"/>
        <v>0</v>
      </c>
      <c r="K77" s="2305">
        <f t="shared" si="23"/>
        <v>0</v>
      </c>
      <c r="L77" s="2305">
        <v>0</v>
      </c>
      <c r="M77" s="2305">
        <f t="shared" si="24"/>
        <v>0</v>
      </c>
      <c r="N77" s="2305">
        <f t="shared" si="24"/>
        <v>0</v>
      </c>
      <c r="AC77" s="1293"/>
      <c r="AD77" s="1292"/>
      <c r="AJ77" s="1291"/>
      <c r="AN77" s="1292"/>
    </row>
    <row r="78" spans="1:40" ht="15">
      <c r="A78" s="2291" t="s">
        <v>969</v>
      </c>
      <c r="B78" s="2292">
        <f>1+E80</f>
        <v>1</v>
      </c>
      <c r="C78" s="2311"/>
      <c r="D78" s="2294"/>
      <c r="E78" s="2295"/>
      <c r="F78" s="2296"/>
      <c r="G78" s="2290"/>
      <c r="H78" s="2290"/>
      <c r="I78" s="2290"/>
      <c r="J78" s="964"/>
      <c r="K78" s="964"/>
      <c r="L78" s="964"/>
      <c r="M78" s="964"/>
      <c r="N78" s="964"/>
      <c r="AC78" s="1293"/>
      <c r="AD78" s="1292"/>
      <c r="AJ78" s="1291"/>
      <c r="AN78" s="1292"/>
    </row>
    <row r="79" spans="1:40" ht="24">
      <c r="A79" s="965" t="s">
        <v>941</v>
      </c>
      <c r="B79" s="2275"/>
      <c r="C79" s="2297" t="s">
        <v>943</v>
      </c>
      <c r="D79" s="2298" t="s">
        <v>944</v>
      </c>
      <c r="E79" s="2299" t="s">
        <v>946</v>
      </c>
      <c r="F79" s="2300" t="s">
        <v>2185</v>
      </c>
      <c r="G79" s="2298" t="s">
        <v>947</v>
      </c>
      <c r="H79" s="2281" t="s">
        <v>2346</v>
      </c>
      <c r="I79" s="2298" t="s">
        <v>945</v>
      </c>
      <c r="J79" s="2301" t="s">
        <v>948</v>
      </c>
      <c r="K79" s="2301" t="s">
        <v>949</v>
      </c>
      <c r="L79" s="2301" t="s">
        <v>950</v>
      </c>
      <c r="M79" s="2301" t="s">
        <v>951</v>
      </c>
      <c r="N79" s="2301" t="s">
        <v>952</v>
      </c>
      <c r="AC79" s="1293"/>
      <c r="AD79" s="1292"/>
      <c r="AJ79" s="1291"/>
      <c r="AN79" s="1292"/>
    </row>
    <row r="80" spans="1:40" ht="24">
      <c r="A80" s="965" t="s">
        <v>970</v>
      </c>
      <c r="B80" s="2275">
        <f>估价对象房地状况!G15</f>
        <v>0</v>
      </c>
      <c r="C80" s="948"/>
      <c r="D80" s="2284">
        <f t="shared" ref="D80:D87" si="25">SUMIF($J$79:$N$79,C80,J80:N80)</f>
        <v>0</v>
      </c>
      <c r="E80" s="2303">
        <f>ROUND(SUM(D80:D87),4)</f>
        <v>0</v>
      </c>
      <c r="F80" s="2304" t="str">
        <f>IF(E2="工业",SUMIF(L1:L12,G2,N1:N12),"——")</f>
        <v>——</v>
      </c>
      <c r="G80" s="2282"/>
      <c r="H80" s="2328" t="str">
        <f t="shared" ref="H80:H87" si="26">IFERROR(ROUNDDOWN($F$80*I80/2,4),"——")</f>
        <v>——</v>
      </c>
      <c r="I80" s="2302">
        <v>0.26</v>
      </c>
      <c r="J80" s="2305">
        <f t="shared" ref="J80:J87" si="27">K80+$G80</f>
        <v>0</v>
      </c>
      <c r="K80" s="2305">
        <f t="shared" ref="K80:K87" si="28">$L80+$G80</f>
        <v>0</v>
      </c>
      <c r="L80" s="2305">
        <v>0</v>
      </c>
      <c r="M80" s="2305">
        <f t="shared" ref="M80:N87" si="29">L80-$G80</f>
        <v>0</v>
      </c>
      <c r="N80" s="2305">
        <f t="shared" si="29"/>
        <v>0</v>
      </c>
      <c r="AC80" s="1293"/>
      <c r="AD80" s="1292"/>
      <c r="AJ80" s="1291"/>
      <c r="AN80" s="1292"/>
    </row>
    <row r="81" spans="1:40" ht="14.25">
      <c r="A81" s="965" t="s">
        <v>966</v>
      </c>
      <c r="B81" s="2275">
        <f>估价对象房地状况!G16</f>
        <v>0</v>
      </c>
      <c r="C81" s="948"/>
      <c r="D81" s="2284">
        <f t="shared" si="25"/>
        <v>0</v>
      </c>
      <c r="E81" s="2312"/>
      <c r="F81" s="2313"/>
      <c r="G81" s="2282"/>
      <c r="H81" s="2328" t="str">
        <f t="shared" si="26"/>
        <v>——</v>
      </c>
      <c r="I81" s="2302">
        <v>0.33</v>
      </c>
      <c r="J81" s="2305">
        <f t="shared" si="27"/>
        <v>0</v>
      </c>
      <c r="K81" s="2305">
        <f t="shared" si="28"/>
        <v>0</v>
      </c>
      <c r="L81" s="2305">
        <v>0</v>
      </c>
      <c r="M81" s="2305">
        <f t="shared" si="29"/>
        <v>0</v>
      </c>
      <c r="N81" s="2305">
        <f t="shared" si="29"/>
        <v>0</v>
      </c>
      <c r="AC81" s="1293"/>
      <c r="AD81" s="1292"/>
      <c r="AJ81" s="1291"/>
      <c r="AN81" s="1292"/>
    </row>
    <row r="82" spans="1:40" ht="24">
      <c r="A82" s="965" t="s">
        <v>955</v>
      </c>
      <c r="B82" s="2275">
        <f>估价对象房地状况!G17</f>
        <v>0</v>
      </c>
      <c r="C82" s="948"/>
      <c r="D82" s="2284">
        <f t="shared" si="25"/>
        <v>0</v>
      </c>
      <c r="E82" s="2312"/>
      <c r="F82" s="2313"/>
      <c r="G82" s="2282"/>
      <c r="H82" s="2328" t="str">
        <f t="shared" si="26"/>
        <v>——</v>
      </c>
      <c r="I82" s="2302">
        <v>0.05</v>
      </c>
      <c r="J82" s="2305">
        <f t="shared" si="27"/>
        <v>0</v>
      </c>
      <c r="K82" s="2305">
        <f t="shared" si="28"/>
        <v>0</v>
      </c>
      <c r="L82" s="2305">
        <v>0</v>
      </c>
      <c r="M82" s="2305">
        <f t="shared" si="29"/>
        <v>0</v>
      </c>
      <c r="N82" s="2305">
        <f t="shared" si="29"/>
        <v>0</v>
      </c>
      <c r="AC82" s="1293"/>
      <c r="AD82" s="1292"/>
      <c r="AJ82" s="1291"/>
      <c r="AN82" s="1292"/>
    </row>
    <row r="83" spans="1:40" ht="14.25">
      <c r="A83" s="965" t="s">
        <v>967</v>
      </c>
      <c r="B83" s="2275">
        <f>估价对象房地状况!G22</f>
        <v>0</v>
      </c>
      <c r="C83" s="948"/>
      <c r="D83" s="2284">
        <f t="shared" si="25"/>
        <v>0</v>
      </c>
      <c r="E83" s="2312"/>
      <c r="F83" s="2313"/>
      <c r="G83" s="2282"/>
      <c r="H83" s="2328" t="str">
        <f t="shared" si="26"/>
        <v>——</v>
      </c>
      <c r="I83" s="2302">
        <v>0.04</v>
      </c>
      <c r="J83" s="2305">
        <f t="shared" si="27"/>
        <v>0</v>
      </c>
      <c r="K83" s="2305">
        <f t="shared" si="28"/>
        <v>0</v>
      </c>
      <c r="L83" s="2305">
        <v>0</v>
      </c>
      <c r="M83" s="2305">
        <f t="shared" si="29"/>
        <v>0</v>
      </c>
      <c r="N83" s="2305">
        <f t="shared" si="29"/>
        <v>0</v>
      </c>
      <c r="AC83" s="1293"/>
      <c r="AD83" s="1292"/>
      <c r="AJ83" s="1291"/>
      <c r="AN83" s="1292"/>
    </row>
    <row r="84" spans="1:40" ht="24">
      <c r="A84" s="965" t="s">
        <v>959</v>
      </c>
      <c r="B84" s="2276">
        <f>估价对象房地状况!G19</f>
        <v>0</v>
      </c>
      <c r="C84" s="948"/>
      <c r="D84" s="2284">
        <f t="shared" si="25"/>
        <v>0</v>
      </c>
      <c r="E84" s="2312"/>
      <c r="F84" s="2313"/>
      <c r="G84" s="2282"/>
      <c r="H84" s="2328" t="str">
        <f t="shared" si="26"/>
        <v>——</v>
      </c>
      <c r="I84" s="2302">
        <v>0.06</v>
      </c>
      <c r="J84" s="2305">
        <f t="shared" si="27"/>
        <v>0</v>
      </c>
      <c r="K84" s="2305">
        <f t="shared" si="28"/>
        <v>0</v>
      </c>
      <c r="L84" s="2305">
        <v>0</v>
      </c>
      <c r="M84" s="2305">
        <f t="shared" si="29"/>
        <v>0</v>
      </c>
      <c r="N84" s="2305">
        <f t="shared" si="29"/>
        <v>0</v>
      </c>
      <c r="AC84" s="1293"/>
      <c r="AD84" s="1292"/>
      <c r="AJ84" s="1291"/>
      <c r="AN84" s="1292"/>
    </row>
    <row r="85" spans="1:40" ht="24">
      <c r="A85" s="965" t="s">
        <v>960</v>
      </c>
      <c r="B85" s="2276">
        <f>估价对象房地状况!G20</f>
        <v>0</v>
      </c>
      <c r="C85" s="948"/>
      <c r="D85" s="2284">
        <f t="shared" si="25"/>
        <v>0</v>
      </c>
      <c r="E85" s="2312"/>
      <c r="F85" s="2313"/>
      <c r="G85" s="2282"/>
      <c r="H85" s="2328" t="str">
        <f t="shared" si="26"/>
        <v>——</v>
      </c>
      <c r="I85" s="2302">
        <v>0.15</v>
      </c>
      <c r="J85" s="2305">
        <f t="shared" si="27"/>
        <v>0</v>
      </c>
      <c r="K85" s="2305">
        <f t="shared" si="28"/>
        <v>0</v>
      </c>
      <c r="L85" s="2305">
        <v>0</v>
      </c>
      <c r="M85" s="2305">
        <f t="shared" si="29"/>
        <v>0</v>
      </c>
      <c r="N85" s="2305">
        <f t="shared" si="29"/>
        <v>0</v>
      </c>
      <c r="AC85" s="1293"/>
      <c r="AD85" s="1292"/>
      <c r="AJ85" s="1291"/>
      <c r="AN85" s="1292"/>
    </row>
    <row r="86" spans="1:40" ht="24">
      <c r="A86" s="965" t="s">
        <v>958</v>
      </c>
      <c r="B86" s="2951" t="s">
        <v>2850</v>
      </c>
      <c r="C86" s="948"/>
      <c r="D86" s="2284">
        <f t="shared" si="25"/>
        <v>0</v>
      </c>
      <c r="E86" s="2312"/>
      <c r="F86" s="2313"/>
      <c r="G86" s="2282"/>
      <c r="H86" s="2328" t="str">
        <f t="shared" si="26"/>
        <v>——</v>
      </c>
      <c r="I86" s="2302">
        <v>0.05</v>
      </c>
      <c r="J86" s="2305">
        <f t="shared" si="27"/>
        <v>0</v>
      </c>
      <c r="K86" s="2305">
        <f t="shared" si="28"/>
        <v>0</v>
      </c>
      <c r="L86" s="2305">
        <v>0</v>
      </c>
      <c r="M86" s="2305">
        <f t="shared" si="29"/>
        <v>0</v>
      </c>
      <c r="N86" s="2305">
        <f t="shared" si="29"/>
        <v>0</v>
      </c>
      <c r="AC86" s="1293"/>
      <c r="AD86" s="1292"/>
      <c r="AJ86" s="1291"/>
      <c r="AN86" s="1292"/>
    </row>
    <row r="87" spans="1:40" ht="15" thickBot="1">
      <c r="A87" s="2308" t="s">
        <v>971</v>
      </c>
      <c r="B87" s="2277">
        <f>估价对象房地状况!G18</f>
        <v>0</v>
      </c>
      <c r="C87" s="948"/>
      <c r="D87" s="2284">
        <f t="shared" si="25"/>
        <v>0</v>
      </c>
      <c r="E87" s="2314"/>
      <c r="F87" s="2313"/>
      <c r="G87" s="2282"/>
      <c r="H87" s="2328" t="str">
        <f t="shared" si="26"/>
        <v>——</v>
      </c>
      <c r="I87" s="2309">
        <v>0.06</v>
      </c>
      <c r="J87" s="2305">
        <f t="shared" si="27"/>
        <v>0</v>
      </c>
      <c r="K87" s="2305">
        <f t="shared" si="28"/>
        <v>0</v>
      </c>
      <c r="L87" s="2305">
        <v>0</v>
      </c>
      <c r="M87" s="2305">
        <f t="shared" si="29"/>
        <v>0</v>
      </c>
      <c r="N87" s="2305">
        <f t="shared" si="29"/>
        <v>0</v>
      </c>
      <c r="AC87" s="1293"/>
      <c r="AD87" s="1292"/>
      <c r="AJ87" s="1291"/>
      <c r="AN87" s="1292"/>
    </row>
    <row r="90" spans="1:40">
      <c r="A90" s="3440" t="s">
        <v>1566</v>
      </c>
      <c r="B90" s="3440"/>
      <c r="C90" s="3440"/>
      <c r="D90" s="3440"/>
      <c r="E90" s="3440"/>
      <c r="F90" s="3440"/>
      <c r="G90" s="3440"/>
      <c r="H90" s="3440"/>
      <c r="I90" s="3440"/>
      <c r="J90" s="3440"/>
      <c r="K90" s="2317"/>
      <c r="L90" s="2317"/>
      <c r="M90" s="2317"/>
      <c r="N90" s="2317"/>
    </row>
    <row r="91" spans="1:40">
      <c r="A91" s="3441" t="s">
        <v>1376</v>
      </c>
      <c r="B91" s="3441" t="s">
        <v>1567</v>
      </c>
      <c r="C91" s="1038" t="s">
        <v>1568</v>
      </c>
      <c r="D91" s="1039"/>
      <c r="E91" s="1039"/>
      <c r="F91" s="1039"/>
      <c r="G91" s="1039"/>
      <c r="H91" s="1039"/>
      <c r="I91" s="1039"/>
      <c r="J91" s="1040"/>
      <c r="K91" s="1032"/>
      <c r="L91" s="1032"/>
      <c r="M91" s="1032"/>
      <c r="N91" s="1032"/>
    </row>
    <row r="92" spans="1:40">
      <c r="A92" s="3441"/>
      <c r="B92" s="3441"/>
      <c r="C92" s="2316" t="s">
        <v>839</v>
      </c>
      <c r="D92" s="2316" t="s">
        <v>817</v>
      </c>
      <c r="E92" s="2316" t="s">
        <v>818</v>
      </c>
      <c r="F92" s="2316" t="s">
        <v>842</v>
      </c>
      <c r="G92" s="2316" t="s">
        <v>820</v>
      </c>
      <c r="H92" s="2316" t="s">
        <v>821</v>
      </c>
      <c r="I92" s="2316" t="s">
        <v>822</v>
      </c>
      <c r="J92" s="2316" t="s">
        <v>823</v>
      </c>
      <c r="K92" s="2316" t="s">
        <v>847</v>
      </c>
      <c r="L92" s="2316" t="s">
        <v>825</v>
      </c>
      <c r="M92" s="2316" t="s">
        <v>826</v>
      </c>
      <c r="N92" s="2316" t="s">
        <v>850</v>
      </c>
    </row>
    <row r="93" spans="1:40">
      <c r="A93" s="3430" t="s">
        <v>2692</v>
      </c>
      <c r="B93" s="1041">
        <v>1</v>
      </c>
      <c r="C93" s="1042">
        <v>1.9361999999999999</v>
      </c>
      <c r="D93" s="1042">
        <v>1.9361999999999999</v>
      </c>
      <c r="E93" s="1042">
        <v>1.8629</v>
      </c>
      <c r="F93" s="1042">
        <v>1.8629</v>
      </c>
      <c r="G93" s="1042">
        <v>1.8629</v>
      </c>
      <c r="H93" s="1042">
        <v>1.8629</v>
      </c>
      <c r="I93" s="1042">
        <v>1.8629</v>
      </c>
      <c r="J93" s="1042">
        <v>1.9419999999999999</v>
      </c>
      <c r="K93" s="1042">
        <v>1.9419999999999999</v>
      </c>
      <c r="L93" s="1042">
        <v>1.9419999999999999</v>
      </c>
      <c r="M93" s="1042">
        <v>1.9419999999999999</v>
      </c>
      <c r="N93" s="1042">
        <v>1.9419999999999999</v>
      </c>
    </row>
    <row r="94" spans="1:40">
      <c r="A94" s="3431"/>
      <c r="B94" s="1041">
        <v>2</v>
      </c>
      <c r="C94" s="1042">
        <v>1.4198</v>
      </c>
      <c r="D94" s="1042">
        <v>1.4198</v>
      </c>
      <c r="E94" s="1042">
        <v>1.3371999999999999</v>
      </c>
      <c r="F94" s="1042">
        <v>1.3371999999999999</v>
      </c>
      <c r="G94" s="1042">
        <v>1.3371999999999999</v>
      </c>
      <c r="H94" s="1042">
        <v>1.3371999999999999</v>
      </c>
      <c r="I94" s="1042">
        <v>1.3371999999999999</v>
      </c>
      <c r="J94" s="1042">
        <v>1.2799</v>
      </c>
      <c r="K94" s="1042">
        <v>1.2799</v>
      </c>
      <c r="L94" s="1042">
        <v>1.2799</v>
      </c>
      <c r="M94" s="1042">
        <v>1.2799</v>
      </c>
      <c r="N94" s="1042">
        <v>1.2799</v>
      </c>
    </row>
    <row r="95" spans="1:40">
      <c r="A95" s="3431"/>
      <c r="B95" s="1041">
        <v>3</v>
      </c>
      <c r="C95" s="1042">
        <v>1.1594</v>
      </c>
      <c r="D95" s="1042">
        <v>1.1594</v>
      </c>
      <c r="E95" s="1042">
        <v>1.0788</v>
      </c>
      <c r="F95" s="1042">
        <v>1.0788</v>
      </c>
      <c r="G95" s="1042">
        <v>1.0788</v>
      </c>
      <c r="H95" s="1042">
        <v>1.0788</v>
      </c>
      <c r="I95" s="1042">
        <v>1.0788</v>
      </c>
      <c r="J95" s="1042">
        <v>1.0072000000000001</v>
      </c>
      <c r="K95" s="1042">
        <v>1.0072000000000001</v>
      </c>
      <c r="L95" s="1042">
        <v>1.0072000000000001</v>
      </c>
      <c r="M95" s="1042">
        <v>1.0072000000000001</v>
      </c>
      <c r="N95" s="1042">
        <v>1.0072000000000001</v>
      </c>
    </row>
    <row r="96" spans="1:40">
      <c r="A96" s="3431"/>
      <c r="B96" s="1041">
        <v>4</v>
      </c>
      <c r="C96" s="1042">
        <v>0.96220000000000006</v>
      </c>
      <c r="D96" s="1042">
        <v>0.96220000000000006</v>
      </c>
      <c r="E96" s="1042">
        <v>0.86560000000000004</v>
      </c>
      <c r="F96" s="1042">
        <v>0.86560000000000004</v>
      </c>
      <c r="G96" s="1042">
        <v>0.86560000000000004</v>
      </c>
      <c r="H96" s="1042">
        <v>0.86560000000000004</v>
      </c>
      <c r="I96" s="1042">
        <v>0.86560000000000004</v>
      </c>
      <c r="J96" s="1042">
        <v>0.75249999999999995</v>
      </c>
      <c r="K96" s="1042">
        <v>0.75249999999999995</v>
      </c>
      <c r="L96" s="1042">
        <v>0.75249999999999995</v>
      </c>
      <c r="M96" s="1042">
        <v>0.75249999999999995</v>
      </c>
      <c r="N96" s="1042">
        <v>0.75249999999999995</v>
      </c>
    </row>
    <row r="97" spans="1:14">
      <c r="A97" s="3431"/>
      <c r="B97" s="1041">
        <v>5</v>
      </c>
      <c r="C97" s="1042">
        <v>0.8417</v>
      </c>
      <c r="D97" s="1042">
        <v>0.8417</v>
      </c>
      <c r="E97" s="1042">
        <v>0.73709999999999998</v>
      </c>
      <c r="F97" s="1042">
        <v>0.73709999999999998</v>
      </c>
      <c r="G97" s="1042">
        <v>0.73709999999999998</v>
      </c>
      <c r="H97" s="1042">
        <v>0.73709999999999998</v>
      </c>
      <c r="I97" s="1042">
        <v>0.73709999999999998</v>
      </c>
      <c r="J97" s="1042">
        <v>0.56589999999999996</v>
      </c>
      <c r="K97" s="1042">
        <v>0.56589999999999996</v>
      </c>
      <c r="L97" s="1042">
        <v>0.56589999999999996</v>
      </c>
      <c r="M97" s="1042">
        <v>0.56589999999999996</v>
      </c>
      <c r="N97" s="1042">
        <v>0.56589999999999996</v>
      </c>
    </row>
    <row r="98" spans="1:14">
      <c r="A98" s="3431"/>
      <c r="B98" s="1041">
        <v>6</v>
      </c>
      <c r="C98" s="1042">
        <v>0.76080000000000003</v>
      </c>
      <c r="D98" s="1042">
        <v>0.76080000000000003</v>
      </c>
      <c r="E98" s="1042">
        <v>0.6482</v>
      </c>
      <c r="F98" s="1042">
        <v>0.6482</v>
      </c>
      <c r="G98" s="1042">
        <v>0.6482</v>
      </c>
      <c r="H98" s="1042">
        <v>0.6482</v>
      </c>
      <c r="I98" s="1042">
        <v>0.6482</v>
      </c>
      <c r="J98" s="1042">
        <v>0.45250000000000001</v>
      </c>
      <c r="K98" s="1042">
        <v>0.45250000000000001</v>
      </c>
      <c r="L98" s="1042">
        <v>0.45250000000000001</v>
      </c>
      <c r="M98" s="1042">
        <v>0.45250000000000001</v>
      </c>
      <c r="N98" s="1042">
        <v>0.45250000000000001</v>
      </c>
    </row>
    <row r="99" spans="1:14">
      <c r="A99" s="3431"/>
      <c r="B99" s="1041" t="s">
        <v>1569</v>
      </c>
      <c r="C99" s="1043">
        <f>$I$3</f>
        <v>8</v>
      </c>
      <c r="D99" s="1043">
        <f t="shared" ref="D99:N99" si="30">$I$3</f>
        <v>8</v>
      </c>
      <c r="E99" s="1043">
        <f t="shared" si="30"/>
        <v>8</v>
      </c>
      <c r="F99" s="1043">
        <f t="shared" si="30"/>
        <v>8</v>
      </c>
      <c r="G99" s="1043">
        <f t="shared" si="30"/>
        <v>8</v>
      </c>
      <c r="H99" s="1043">
        <f t="shared" si="30"/>
        <v>8</v>
      </c>
      <c r="I99" s="1043">
        <f t="shared" si="30"/>
        <v>8</v>
      </c>
      <c r="J99" s="1043">
        <f t="shared" si="30"/>
        <v>8</v>
      </c>
      <c r="K99" s="1043">
        <f t="shared" si="30"/>
        <v>8</v>
      </c>
      <c r="L99" s="1043">
        <f t="shared" si="30"/>
        <v>8</v>
      </c>
      <c r="M99" s="1043">
        <f t="shared" si="30"/>
        <v>8</v>
      </c>
      <c r="N99" s="1043">
        <f t="shared" si="30"/>
        <v>8</v>
      </c>
    </row>
    <row r="100" spans="1:14">
      <c r="A100" s="3432"/>
      <c r="B100" s="1041">
        <v>7</v>
      </c>
      <c r="C100" s="1044">
        <f>(-0.163*(C99^2)-0.59*C99+7617)*(10^(-4))</f>
        <v>0.76018479999999999</v>
      </c>
      <c r="D100" s="1044">
        <f>(-0.163*(D99^2)-0.59*D99+7617)*(10^(-4))</f>
        <v>0.76018479999999999</v>
      </c>
      <c r="E100" s="1044">
        <f>(-0.161*(E99^2)-7.509*E99+6533)*(10^(-4))</f>
        <v>0.64626240000000001</v>
      </c>
      <c r="F100" s="1044">
        <f>(-0.161*(F99^2)-7.509*F99+6533)*(10^(-4))</f>
        <v>0.64626240000000001</v>
      </c>
      <c r="G100" s="1044">
        <f>(-0.161*(G99^2)-7.509*G99+6533)*(10^(-4))</f>
        <v>0.64626240000000001</v>
      </c>
      <c r="H100" s="1044">
        <f>(-0.161*(H99^2)-7.509*H99+6533)*(10^(-4))</f>
        <v>0.64626240000000001</v>
      </c>
      <c r="I100" s="1044">
        <f>(-0.161*(I99^2)-7.509*I99+6533)*(10^(-4))</f>
        <v>0.64626240000000001</v>
      </c>
      <c r="J100" s="1044">
        <f>(-0.214*(J99^2)-21.991*J99+4665)*(10^(-4))</f>
        <v>0.44753760000000004</v>
      </c>
      <c r="K100" s="1044">
        <f>(-0.214*(K99^2)-21.991*K99+4665)*(10^(-4))</f>
        <v>0.44753760000000004</v>
      </c>
      <c r="L100" s="1044">
        <f>(-0.214*(L99^2)-21.991*L99+4665)*(10^(-4))</f>
        <v>0.44753760000000004</v>
      </c>
      <c r="M100" s="1044">
        <f>(-0.214*(M99^2)-21.991*M99+4665)*(10^(-4))</f>
        <v>0.44753760000000004</v>
      </c>
      <c r="N100" s="1044">
        <f>(-0.214*(N99^2)-21.991*N99+4665)*(10^(-4))</f>
        <v>0.44753760000000004</v>
      </c>
    </row>
    <row r="101" spans="1:14">
      <c r="A101" s="3430" t="s">
        <v>1570</v>
      </c>
      <c r="B101" s="1045" t="s">
        <v>838</v>
      </c>
      <c r="C101" s="1046">
        <f>$G$3</f>
        <v>1.8</v>
      </c>
      <c r="D101" s="1046">
        <f t="shared" ref="D101:N101" si="31">$G$3</f>
        <v>1.8</v>
      </c>
      <c r="E101" s="1046">
        <f t="shared" si="31"/>
        <v>1.8</v>
      </c>
      <c r="F101" s="1046">
        <f t="shared" si="31"/>
        <v>1.8</v>
      </c>
      <c r="G101" s="1046">
        <f t="shared" si="31"/>
        <v>1.8</v>
      </c>
      <c r="H101" s="1046">
        <f t="shared" si="31"/>
        <v>1.8</v>
      </c>
      <c r="I101" s="1046">
        <f t="shared" si="31"/>
        <v>1.8</v>
      </c>
      <c r="J101" s="1046">
        <f t="shared" si="31"/>
        <v>1.8</v>
      </c>
      <c r="K101" s="1046">
        <f t="shared" si="31"/>
        <v>1.8</v>
      </c>
      <c r="L101" s="1046">
        <f t="shared" si="31"/>
        <v>1.8</v>
      </c>
      <c r="M101" s="1046">
        <f t="shared" si="31"/>
        <v>1.8</v>
      </c>
      <c r="N101" s="1046">
        <f t="shared" si="31"/>
        <v>1.8</v>
      </c>
    </row>
    <row r="102" spans="1:14">
      <c r="A102" s="3431"/>
      <c r="B102" s="1041">
        <v>1</v>
      </c>
      <c r="C102" s="1042">
        <f>1.9362/C101</f>
        <v>1.0756666666666665</v>
      </c>
      <c r="D102" s="1042">
        <f>1.9362/D101</f>
        <v>1.0756666666666665</v>
      </c>
      <c r="E102" s="1042">
        <f>1.8629/E101</f>
        <v>1.0349444444444444</v>
      </c>
      <c r="F102" s="1042">
        <f>1.8629/F101</f>
        <v>1.0349444444444444</v>
      </c>
      <c r="G102" s="1042">
        <f>1.8629/G101</f>
        <v>1.0349444444444444</v>
      </c>
      <c r="H102" s="1042">
        <f>1.8629/H101</f>
        <v>1.0349444444444444</v>
      </c>
      <c r="I102" s="1042">
        <f>1.8629/I101</f>
        <v>1.0349444444444444</v>
      </c>
      <c r="J102" s="1042">
        <f>1.942/J101</f>
        <v>1.0788888888888888</v>
      </c>
      <c r="K102" s="1042">
        <f>1.942/K101</f>
        <v>1.0788888888888888</v>
      </c>
      <c r="L102" s="1042">
        <f>1.942/L101</f>
        <v>1.0788888888888888</v>
      </c>
      <c r="M102" s="1042">
        <f>1.942/M101</f>
        <v>1.0788888888888888</v>
      </c>
      <c r="N102" s="1042">
        <f>1.942/N101</f>
        <v>1.0788888888888888</v>
      </c>
    </row>
    <row r="103" spans="1:14">
      <c r="A103" s="3431"/>
      <c r="B103" s="1041">
        <v>2</v>
      </c>
      <c r="C103" s="1042">
        <f>1.4198/C101</f>
        <v>0.78877777777777769</v>
      </c>
      <c r="D103" s="1042">
        <f>1.4198/D101</f>
        <v>0.78877777777777769</v>
      </c>
      <c r="E103" s="1042">
        <f>1.3372/E101</f>
        <v>0.74288888888888882</v>
      </c>
      <c r="F103" s="1042">
        <f>1.3372/F101</f>
        <v>0.74288888888888882</v>
      </c>
      <c r="G103" s="1042">
        <f>1.3372/G101</f>
        <v>0.74288888888888882</v>
      </c>
      <c r="H103" s="1042">
        <f>1.3372/H101</f>
        <v>0.74288888888888882</v>
      </c>
      <c r="I103" s="1042">
        <f>1.3372/I101</f>
        <v>0.74288888888888882</v>
      </c>
      <c r="J103" s="1042">
        <f>1.2799/J101</f>
        <v>0.71105555555555555</v>
      </c>
      <c r="K103" s="1042">
        <f>1.2799/K101</f>
        <v>0.71105555555555555</v>
      </c>
      <c r="L103" s="1042">
        <f>1.2799/L101</f>
        <v>0.71105555555555555</v>
      </c>
      <c r="M103" s="1042">
        <f>1.2799/M101</f>
        <v>0.71105555555555555</v>
      </c>
      <c r="N103" s="1042">
        <f>1.2799/N101</f>
        <v>0.71105555555555555</v>
      </c>
    </row>
    <row r="104" spans="1:14">
      <c r="A104" s="3431"/>
      <c r="B104" s="1041">
        <v>3</v>
      </c>
      <c r="C104" s="1042">
        <f>1.1594/C101</f>
        <v>0.64411111111111108</v>
      </c>
      <c r="D104" s="1042">
        <f>1.1594/D101</f>
        <v>0.64411111111111108</v>
      </c>
      <c r="E104" s="1042">
        <f>1.0788/E101</f>
        <v>0.59933333333333327</v>
      </c>
      <c r="F104" s="1042">
        <f>1.0788/F101</f>
        <v>0.59933333333333327</v>
      </c>
      <c r="G104" s="1042">
        <f>1.0788/G101</f>
        <v>0.59933333333333327</v>
      </c>
      <c r="H104" s="1042">
        <f>1.0788/H101</f>
        <v>0.59933333333333327</v>
      </c>
      <c r="I104" s="1042">
        <f>1.0788/I101</f>
        <v>0.59933333333333327</v>
      </c>
      <c r="J104" s="1042">
        <f>1.0072/J101</f>
        <v>0.55955555555555558</v>
      </c>
      <c r="K104" s="1042">
        <f>1.0072/K101</f>
        <v>0.55955555555555558</v>
      </c>
      <c r="L104" s="1042">
        <f>1.0072/L101</f>
        <v>0.55955555555555558</v>
      </c>
      <c r="M104" s="1042">
        <f>1.0072/M101</f>
        <v>0.55955555555555558</v>
      </c>
      <c r="N104" s="1042">
        <f>1.0072/N101</f>
        <v>0.55955555555555558</v>
      </c>
    </row>
    <row r="105" spans="1:14">
      <c r="A105" s="3431"/>
      <c r="B105" s="1041">
        <v>4</v>
      </c>
      <c r="C105" s="1042">
        <f>0.9622/C101</f>
        <v>0.53455555555555556</v>
      </c>
      <c r="D105" s="1042">
        <f>0.9622/D101</f>
        <v>0.53455555555555556</v>
      </c>
      <c r="E105" s="1042">
        <f>0.8656/E101</f>
        <v>0.48088888888888892</v>
      </c>
      <c r="F105" s="1042">
        <f>0.8656/F101</f>
        <v>0.48088888888888892</v>
      </c>
      <c r="G105" s="1042">
        <f>0.8656/G101</f>
        <v>0.48088888888888892</v>
      </c>
      <c r="H105" s="1042">
        <f>0.8656/H101</f>
        <v>0.48088888888888892</v>
      </c>
      <c r="I105" s="1042">
        <f>0.8656/I101</f>
        <v>0.48088888888888892</v>
      </c>
      <c r="J105" s="1042">
        <f>0.7525/J101</f>
        <v>0.41805555555555551</v>
      </c>
      <c r="K105" s="1042">
        <f>0.7525/K101</f>
        <v>0.41805555555555551</v>
      </c>
      <c r="L105" s="1042">
        <f>0.7525/L101</f>
        <v>0.41805555555555551</v>
      </c>
      <c r="M105" s="1042">
        <f>0.7525/M101</f>
        <v>0.41805555555555551</v>
      </c>
      <c r="N105" s="1042">
        <f>0.7525/N101</f>
        <v>0.41805555555555551</v>
      </c>
    </row>
    <row r="106" spans="1:14">
      <c r="A106" s="3431"/>
      <c r="B106" s="1041">
        <v>5</v>
      </c>
      <c r="C106" s="1042">
        <f>0.8417/C101</f>
        <v>0.46761111111111109</v>
      </c>
      <c r="D106" s="1042">
        <f>0.8417/D101</f>
        <v>0.46761111111111109</v>
      </c>
      <c r="E106" s="1042">
        <f>0.7371/E101</f>
        <v>0.40949999999999998</v>
      </c>
      <c r="F106" s="1042">
        <f>0.7371/F101</f>
        <v>0.40949999999999998</v>
      </c>
      <c r="G106" s="1042">
        <f>0.7371/G101</f>
        <v>0.40949999999999998</v>
      </c>
      <c r="H106" s="1042">
        <f>0.7371/H101</f>
        <v>0.40949999999999998</v>
      </c>
      <c r="I106" s="1042">
        <f>0.7371/I101</f>
        <v>0.40949999999999998</v>
      </c>
      <c r="J106" s="1042">
        <f>0.5659/J101</f>
        <v>0.31438888888888888</v>
      </c>
      <c r="K106" s="1042">
        <f>0.5659/K101</f>
        <v>0.31438888888888888</v>
      </c>
      <c r="L106" s="1042">
        <f>0.5659/L101</f>
        <v>0.31438888888888888</v>
      </c>
      <c r="M106" s="1042">
        <f>0.5659/M101</f>
        <v>0.31438888888888888</v>
      </c>
      <c r="N106" s="1042">
        <f>0.5659/N101</f>
        <v>0.31438888888888888</v>
      </c>
    </row>
    <row r="107" spans="1:14">
      <c r="A107" s="3431"/>
      <c r="B107" s="1041">
        <v>6</v>
      </c>
      <c r="C107" s="1042">
        <f>0.7608/C101</f>
        <v>0.42266666666666669</v>
      </c>
      <c r="D107" s="1042">
        <f>0.7608/D101</f>
        <v>0.42266666666666669</v>
      </c>
      <c r="E107" s="1042">
        <f>0.6482/E101</f>
        <v>0.3601111111111111</v>
      </c>
      <c r="F107" s="1042">
        <f>0.6482/F101</f>
        <v>0.3601111111111111</v>
      </c>
      <c r="G107" s="1042">
        <f>0.6482/G101</f>
        <v>0.3601111111111111</v>
      </c>
      <c r="H107" s="1042">
        <f>0.6482/H101</f>
        <v>0.3601111111111111</v>
      </c>
      <c r="I107" s="1042">
        <f>0.6482/I101</f>
        <v>0.3601111111111111</v>
      </c>
      <c r="J107" s="1042">
        <f>0.4525/J101</f>
        <v>0.25138888888888888</v>
      </c>
      <c r="K107" s="1042">
        <f>0.4525/K101</f>
        <v>0.25138888888888888</v>
      </c>
      <c r="L107" s="1042">
        <f>0.4525/L101</f>
        <v>0.25138888888888888</v>
      </c>
      <c r="M107" s="1042">
        <f>0.4525/M101</f>
        <v>0.25138888888888888</v>
      </c>
      <c r="N107" s="1042">
        <f>0.4525/N101</f>
        <v>0.25138888888888888</v>
      </c>
    </row>
    <row r="108" spans="1:14">
      <c r="A108" s="3431"/>
      <c r="B108" s="3433" t="s">
        <v>1571</v>
      </c>
      <c r="C108" s="1043">
        <f>C99</f>
        <v>8</v>
      </c>
      <c r="D108" s="1043">
        <f t="shared" ref="D108:N108" si="32">D99</f>
        <v>8</v>
      </c>
      <c r="E108" s="1043">
        <f t="shared" si="32"/>
        <v>8</v>
      </c>
      <c r="F108" s="1043">
        <f t="shared" si="32"/>
        <v>8</v>
      </c>
      <c r="G108" s="1043">
        <f t="shared" si="32"/>
        <v>8</v>
      </c>
      <c r="H108" s="1043">
        <f t="shared" si="32"/>
        <v>8</v>
      </c>
      <c r="I108" s="1043">
        <f t="shared" si="32"/>
        <v>8</v>
      </c>
      <c r="J108" s="1043">
        <f t="shared" si="32"/>
        <v>8</v>
      </c>
      <c r="K108" s="1043">
        <f t="shared" si="32"/>
        <v>8</v>
      </c>
      <c r="L108" s="1043">
        <f t="shared" si="32"/>
        <v>8</v>
      </c>
      <c r="M108" s="1043">
        <f t="shared" si="32"/>
        <v>8</v>
      </c>
      <c r="N108" s="1043">
        <f t="shared" si="32"/>
        <v>8</v>
      </c>
    </row>
    <row r="109" spans="1:14">
      <c r="A109" s="3432"/>
      <c r="B109" s="3434"/>
      <c r="C109" s="1044">
        <f>(-0.163*(C108^2)-0.59*C108+7617)*(10^(-4))/C101</f>
        <v>0.42232488888888886</v>
      </c>
      <c r="D109" s="1044">
        <f>(-0.163*(D108^2)-0.59*D108+7617)*(10^(-4))/D101</f>
        <v>0.42232488888888886</v>
      </c>
      <c r="E109" s="1044">
        <f>(-0.161*(E108^2)-7.509*E108+6533)*(10^(-4))/E101</f>
        <v>0.35903466666666667</v>
      </c>
      <c r="F109" s="1044">
        <f>(-0.161*(F108^2)-7.509*F108+6533)*(10^(-4))/F101</f>
        <v>0.35903466666666667</v>
      </c>
      <c r="G109" s="1044">
        <f>(-0.161*(G108^2)-7.509*G108+6533)*(10^(-4))/G101</f>
        <v>0.35903466666666667</v>
      </c>
      <c r="H109" s="1044">
        <f>(-0.161*(H108^2)-7.509*H108+6533)*(10^(-4))/H101</f>
        <v>0.35903466666666667</v>
      </c>
      <c r="I109" s="1044">
        <f>(-0.161*(I108^2)-7.509*I108+6533)*(10^(-4))/I101</f>
        <v>0.35903466666666667</v>
      </c>
      <c r="J109" s="1044">
        <f>(-0.214*(J108^2)-21.991*J108+4665)*(10^(-4))/J101</f>
        <v>0.24863200000000002</v>
      </c>
      <c r="K109" s="1044">
        <f>(-0.214*(K108^2)-21.991*K108+4665)*(10^(-4))/K101</f>
        <v>0.24863200000000002</v>
      </c>
      <c r="L109" s="1044">
        <f>(-0.214*(L108^2)-21.991*L108+4665)*(10^(-4))/L101</f>
        <v>0.24863200000000002</v>
      </c>
      <c r="M109" s="1044">
        <f>(-0.214*(M108^2)-21.991*M108+4665)*(10^(-4))/M101</f>
        <v>0.24863200000000002</v>
      </c>
      <c r="N109" s="1044">
        <f>(-0.214*(N108^2)-21.991*N108+4665)*(10^(-4))/N101</f>
        <v>0.24863200000000002</v>
      </c>
    </row>
    <row r="110" spans="1:14">
      <c r="A110" s="3435" t="s">
        <v>1572</v>
      </c>
      <c r="B110" s="3435"/>
      <c r="C110" s="3435"/>
      <c r="D110" s="3435"/>
      <c r="E110" s="3435"/>
      <c r="F110" s="3435"/>
      <c r="G110" s="3435"/>
      <c r="H110" s="3435"/>
      <c r="I110" s="3435"/>
      <c r="J110" s="3435"/>
      <c r="K110" s="2315"/>
      <c r="L110" s="2315"/>
      <c r="M110" s="2315"/>
      <c r="N110" s="2315"/>
    </row>
    <row r="112" spans="1:14" ht="12.75" thickBot="1"/>
    <row r="113" spans="1:13" ht="25.5" thickBot="1">
      <c r="A113" s="914" t="s">
        <v>828</v>
      </c>
      <c r="B113" s="2318">
        <f>G3</f>
        <v>1.8</v>
      </c>
      <c r="C113" s="915" t="s">
        <v>829</v>
      </c>
      <c r="D113" s="916">
        <f>SUMPRODUCT((A115:A118=F113)*(B114:M114=H113)*B115:M118)</f>
        <v>0</v>
      </c>
      <c r="E113" s="917" t="s">
        <v>830</v>
      </c>
      <c r="F113" s="918">
        <f>E2</f>
        <v>0</v>
      </c>
      <c r="G113" s="917" t="s">
        <v>831</v>
      </c>
      <c r="H113" s="918">
        <f>G2</f>
        <v>0</v>
      </c>
      <c r="I113" s="917"/>
      <c r="J113" s="909"/>
      <c r="K113" s="909"/>
      <c r="L113" s="909"/>
      <c r="M113" s="909"/>
    </row>
    <row r="114" spans="1:13" ht="12.75">
      <c r="A114" s="921"/>
      <c r="B114" s="922" t="s">
        <v>816</v>
      </c>
      <c r="C114" s="922" t="s">
        <v>817</v>
      </c>
      <c r="D114" s="922" t="s">
        <v>818</v>
      </c>
      <c r="E114" s="923" t="s">
        <v>819</v>
      </c>
      <c r="F114" s="923" t="s">
        <v>820</v>
      </c>
      <c r="G114" s="923" t="s">
        <v>821</v>
      </c>
      <c r="H114" s="924" t="s">
        <v>822</v>
      </c>
      <c r="I114" s="924" t="s">
        <v>823</v>
      </c>
      <c r="J114" s="925" t="s">
        <v>824</v>
      </c>
      <c r="K114" s="925" t="s">
        <v>825</v>
      </c>
      <c r="L114" s="925" t="s">
        <v>826</v>
      </c>
      <c r="M114" s="926" t="s">
        <v>827</v>
      </c>
    </row>
    <row r="115" spans="1:13" ht="12.75">
      <c r="A115" s="927" t="s">
        <v>832</v>
      </c>
      <c r="B115" s="928">
        <f>ROUND(0.9335-0.0094*B113,4)</f>
        <v>0.91659999999999997</v>
      </c>
      <c r="C115" s="928">
        <f>B115</f>
        <v>0.91659999999999997</v>
      </c>
      <c r="D115" s="928">
        <f>ROUND(0.8331-0.0109*B113,4)</f>
        <v>0.8135</v>
      </c>
      <c r="E115" s="928">
        <f>D115</f>
        <v>0.8135</v>
      </c>
      <c r="F115" s="928">
        <f>E115</f>
        <v>0.8135</v>
      </c>
      <c r="G115" s="928">
        <f>F115</f>
        <v>0.8135</v>
      </c>
      <c r="H115" s="928">
        <f>G115</f>
        <v>0.8135</v>
      </c>
      <c r="I115" s="928">
        <f>ROUND(0.689-0.0155*B113,4)</f>
        <v>0.66110000000000002</v>
      </c>
      <c r="J115" s="928">
        <f t="shared" ref="J115:M118" si="33">I115</f>
        <v>0.66110000000000002</v>
      </c>
      <c r="K115" s="928">
        <f t="shared" si="33"/>
        <v>0.66110000000000002</v>
      </c>
      <c r="L115" s="928">
        <f t="shared" si="33"/>
        <v>0.66110000000000002</v>
      </c>
      <c r="M115" s="929">
        <f t="shared" si="33"/>
        <v>0.66110000000000002</v>
      </c>
    </row>
    <row r="116" spans="1:13" ht="12.75">
      <c r="A116" s="927" t="s">
        <v>833</v>
      </c>
      <c r="B116" s="928">
        <f>ROUND(0.949-0.012*B113,4)</f>
        <v>0.9274</v>
      </c>
      <c r="C116" s="928">
        <f>B116</f>
        <v>0.9274</v>
      </c>
      <c r="D116" s="928">
        <f>ROUND(0.8567-0.013*B113,4)</f>
        <v>0.83330000000000004</v>
      </c>
      <c r="E116" s="928">
        <f t="shared" ref="E116:H117" si="34">D116</f>
        <v>0.83330000000000004</v>
      </c>
      <c r="F116" s="928">
        <f t="shared" si="34"/>
        <v>0.83330000000000004</v>
      </c>
      <c r="G116" s="928">
        <f t="shared" si="34"/>
        <v>0.83330000000000004</v>
      </c>
      <c r="H116" s="928">
        <f t="shared" si="34"/>
        <v>0.83330000000000004</v>
      </c>
      <c r="I116" s="928">
        <f>ROUND(0.7694-0.014*B113,4)</f>
        <v>0.74419999999999997</v>
      </c>
      <c r="J116" s="928">
        <f t="shared" si="33"/>
        <v>0.74419999999999997</v>
      </c>
      <c r="K116" s="928">
        <f t="shared" si="33"/>
        <v>0.74419999999999997</v>
      </c>
      <c r="L116" s="928">
        <f t="shared" si="33"/>
        <v>0.74419999999999997</v>
      </c>
      <c r="M116" s="929">
        <f t="shared" si="33"/>
        <v>0.74419999999999997</v>
      </c>
    </row>
    <row r="117" spans="1:13" ht="12.75">
      <c r="A117" s="930" t="s">
        <v>834</v>
      </c>
      <c r="B117" s="928">
        <f>ROUND(0.8808-0.006*B113,4)</f>
        <v>0.87</v>
      </c>
      <c r="C117" s="928">
        <f>B117</f>
        <v>0.87</v>
      </c>
      <c r="D117" s="928">
        <f>ROUND(0.8748-0.008*B113,4)</f>
        <v>0.86040000000000005</v>
      </c>
      <c r="E117" s="928">
        <f t="shared" si="34"/>
        <v>0.86040000000000005</v>
      </c>
      <c r="F117" s="928">
        <f t="shared" si="34"/>
        <v>0.86040000000000005</v>
      </c>
      <c r="G117" s="928">
        <f t="shared" si="34"/>
        <v>0.86040000000000005</v>
      </c>
      <c r="H117" s="928">
        <f t="shared" si="34"/>
        <v>0.86040000000000005</v>
      </c>
      <c r="I117" s="928">
        <f>ROUND(0.7412-0.0095*B113,4)</f>
        <v>0.72409999999999997</v>
      </c>
      <c r="J117" s="928">
        <f t="shared" si="33"/>
        <v>0.72409999999999997</v>
      </c>
      <c r="K117" s="928">
        <f t="shared" si="33"/>
        <v>0.72409999999999997</v>
      </c>
      <c r="L117" s="928">
        <f t="shared" si="33"/>
        <v>0.72409999999999997</v>
      </c>
      <c r="M117" s="929">
        <f t="shared" si="33"/>
        <v>0.72409999999999997</v>
      </c>
    </row>
    <row r="118" spans="1:13" ht="13.5" thickBot="1">
      <c r="A118" s="931" t="s">
        <v>835</v>
      </c>
      <c r="B118" s="932">
        <f>ROUND(0.7275-0.01*B113,4)</f>
        <v>0.70950000000000002</v>
      </c>
      <c r="C118" s="932">
        <f>B118</f>
        <v>0.70950000000000002</v>
      </c>
      <c r="D118" s="932">
        <f>ROUND(0.7043-0.012*B113,4)</f>
        <v>0.68269999999999997</v>
      </c>
      <c r="E118" s="932">
        <f>D118</f>
        <v>0.68269999999999997</v>
      </c>
      <c r="F118" s="932">
        <f>E118</f>
        <v>0.68269999999999997</v>
      </c>
      <c r="G118" s="932">
        <f>ROUND(0.6299-0.0122*B113,4)</f>
        <v>0.6079</v>
      </c>
      <c r="H118" s="932">
        <f>G118</f>
        <v>0.6079</v>
      </c>
      <c r="I118" s="932">
        <f>ROUND(0.5667-0.0136*B113,4)</f>
        <v>0.54220000000000002</v>
      </c>
      <c r="J118" s="932">
        <f t="shared" si="33"/>
        <v>0.54220000000000002</v>
      </c>
      <c r="K118" s="932">
        <f t="shared" si="33"/>
        <v>0.54220000000000002</v>
      </c>
      <c r="L118" s="932">
        <f t="shared" si="33"/>
        <v>0.54220000000000002</v>
      </c>
      <c r="M118" s="933">
        <f t="shared" si="33"/>
        <v>0.54220000000000002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964" customWidth="1"/>
    <col min="2" max="9" width="8.25" style="1003" customWidth="1"/>
    <col min="10" max="13" width="8.25" style="964"/>
    <col min="14" max="14" width="10" style="964" customWidth="1"/>
    <col min="15" max="16" width="8.25" style="964"/>
    <col min="17" max="17" width="34.125" style="964" customWidth="1"/>
    <col min="18" max="18" width="8.25" style="964" customWidth="1"/>
    <col min="19" max="19" width="8.25" style="964"/>
    <col min="20" max="20" width="11.625" style="964" customWidth="1"/>
    <col min="21" max="16384" width="8.25" style="964"/>
  </cols>
  <sheetData>
    <row r="1" spans="1:13" ht="19.5" customHeight="1" thickBot="1">
      <c r="A1" s="1004" t="s">
        <v>1364</v>
      </c>
      <c r="B1" s="970" t="s">
        <v>839</v>
      </c>
      <c r="C1" s="970" t="s">
        <v>840</v>
      </c>
      <c r="D1" s="970" t="s">
        <v>841</v>
      </c>
      <c r="E1" s="970" t="s">
        <v>842</v>
      </c>
      <c r="F1" s="970" t="s">
        <v>843</v>
      </c>
      <c r="G1" s="970" t="s">
        <v>844</v>
      </c>
      <c r="H1" s="970" t="s">
        <v>845</v>
      </c>
      <c r="I1" s="970" t="s">
        <v>846</v>
      </c>
      <c r="J1" s="970" t="s">
        <v>847</v>
      </c>
      <c r="K1" s="970" t="s">
        <v>848</v>
      </c>
      <c r="L1" s="970" t="s">
        <v>849</v>
      </c>
      <c r="M1" s="971" t="s">
        <v>850</v>
      </c>
    </row>
    <row r="2" spans="1:13" ht="19.5" customHeight="1">
      <c r="A2" s="1005" t="s">
        <v>940</v>
      </c>
      <c r="B2" s="1006">
        <v>3.5</v>
      </c>
      <c r="C2" s="1006">
        <v>3.5</v>
      </c>
      <c r="D2" s="1007">
        <v>2.5</v>
      </c>
      <c r="E2" s="1007">
        <v>2.5</v>
      </c>
      <c r="F2" s="1007">
        <v>2.5</v>
      </c>
      <c r="G2" s="1007">
        <v>2.5</v>
      </c>
      <c r="H2" s="1007">
        <v>2.5</v>
      </c>
      <c r="I2" s="1006">
        <v>2</v>
      </c>
      <c r="J2" s="1006">
        <v>2</v>
      </c>
      <c r="K2" s="1006">
        <v>2</v>
      </c>
      <c r="L2" s="1006">
        <v>2</v>
      </c>
      <c r="M2" s="1008">
        <v>2</v>
      </c>
    </row>
    <row r="3" spans="1:13" ht="19.5" customHeight="1">
      <c r="A3" s="1009" t="s">
        <v>962</v>
      </c>
      <c r="B3" s="1010">
        <v>3.5</v>
      </c>
      <c r="C3" s="1010">
        <v>3.5</v>
      </c>
      <c r="D3" s="1011">
        <v>2.5</v>
      </c>
      <c r="E3" s="1011">
        <v>2.5</v>
      </c>
      <c r="F3" s="1011">
        <v>2.5</v>
      </c>
      <c r="G3" s="1011">
        <v>2.5</v>
      </c>
      <c r="H3" s="1011">
        <v>2.5</v>
      </c>
      <c r="I3" s="1010">
        <v>2</v>
      </c>
      <c r="J3" s="1010">
        <v>2</v>
      </c>
      <c r="K3" s="1010">
        <v>2</v>
      </c>
      <c r="L3" s="1010">
        <v>2</v>
      </c>
      <c r="M3" s="1012">
        <v>2</v>
      </c>
    </row>
    <row r="4" spans="1:13" ht="19.5" customHeight="1">
      <c r="A4" s="1009" t="s">
        <v>964</v>
      </c>
      <c r="B4" s="1011">
        <v>2.5</v>
      </c>
      <c r="C4" s="1011">
        <v>2.5</v>
      </c>
      <c r="D4" s="1011">
        <v>2.5</v>
      </c>
      <c r="E4" s="1011">
        <v>2.5</v>
      </c>
      <c r="F4" s="1011">
        <v>2.5</v>
      </c>
      <c r="G4" s="1011">
        <v>2.5</v>
      </c>
      <c r="H4" s="1011">
        <v>2.5</v>
      </c>
      <c r="I4" s="1010">
        <v>1.5</v>
      </c>
      <c r="J4" s="1010">
        <v>1.5</v>
      </c>
      <c r="K4" s="1010">
        <v>1.5</v>
      </c>
      <c r="L4" s="1010">
        <v>1.5</v>
      </c>
      <c r="M4" s="1012">
        <v>1.5</v>
      </c>
    </row>
    <row r="5" spans="1:13" ht="19.5" customHeight="1" thickBot="1">
      <c r="A5" s="1013" t="s">
        <v>1365</v>
      </c>
      <c r="B5" s="1014">
        <v>1.5</v>
      </c>
      <c r="C5" s="1014">
        <v>1.5</v>
      </c>
      <c r="D5" s="1014">
        <v>1.5</v>
      </c>
      <c r="E5" s="1014">
        <v>1.5</v>
      </c>
      <c r="F5" s="1014">
        <v>1.5</v>
      </c>
      <c r="G5" s="1015">
        <v>1.2</v>
      </c>
      <c r="H5" s="1015">
        <v>1.2</v>
      </c>
      <c r="I5" s="1015">
        <v>1</v>
      </c>
      <c r="J5" s="1015">
        <v>1</v>
      </c>
      <c r="K5" s="1015">
        <v>1</v>
      </c>
      <c r="L5" s="1015">
        <v>1</v>
      </c>
      <c r="M5" s="1016">
        <v>1</v>
      </c>
    </row>
    <row r="6" spans="1:13" ht="19.5" customHeight="1">
      <c r="A6" s="1017" t="s">
        <v>1366</v>
      </c>
      <c r="B6" s="1018">
        <v>80</v>
      </c>
      <c r="C6" s="1018">
        <v>80</v>
      </c>
      <c r="D6" s="1018">
        <v>65</v>
      </c>
      <c r="E6" s="1018">
        <v>65</v>
      </c>
      <c r="F6" s="1018">
        <v>65</v>
      </c>
      <c r="G6" s="1018">
        <v>65</v>
      </c>
      <c r="H6" s="1018">
        <v>65</v>
      </c>
      <c r="I6" s="1018">
        <v>50</v>
      </c>
      <c r="J6" s="1018">
        <v>50</v>
      </c>
      <c r="K6" s="1018">
        <v>50</v>
      </c>
      <c r="L6" s="1018">
        <v>50</v>
      </c>
      <c r="M6" s="1019">
        <v>50</v>
      </c>
    </row>
    <row r="7" spans="1:13" ht="19.5" customHeight="1">
      <c r="A7" s="965" t="s">
        <v>1367</v>
      </c>
      <c r="B7" s="966">
        <v>70</v>
      </c>
      <c r="C7" s="966">
        <v>70</v>
      </c>
      <c r="D7" s="966">
        <v>55</v>
      </c>
      <c r="E7" s="966">
        <v>55</v>
      </c>
      <c r="F7" s="966">
        <v>55</v>
      </c>
      <c r="G7" s="966">
        <v>55</v>
      </c>
      <c r="H7" s="966">
        <v>55</v>
      </c>
      <c r="I7" s="966">
        <v>40</v>
      </c>
      <c r="J7" s="966">
        <v>40</v>
      </c>
      <c r="K7" s="966">
        <v>40</v>
      </c>
      <c r="L7" s="966">
        <v>40</v>
      </c>
      <c r="M7" s="1020">
        <v>40</v>
      </c>
    </row>
    <row r="8" spans="1:13" ht="19.5" customHeight="1">
      <c r="A8" s="965" t="s">
        <v>1368</v>
      </c>
      <c r="B8" s="966">
        <v>20</v>
      </c>
      <c r="C8" s="966">
        <v>20</v>
      </c>
      <c r="D8" s="966">
        <v>15</v>
      </c>
      <c r="E8" s="966">
        <v>15</v>
      </c>
      <c r="F8" s="966">
        <v>15</v>
      </c>
      <c r="G8" s="966">
        <v>15</v>
      </c>
      <c r="H8" s="966">
        <v>15</v>
      </c>
      <c r="I8" s="966">
        <v>10</v>
      </c>
      <c r="J8" s="966">
        <v>10</v>
      </c>
      <c r="K8" s="966">
        <v>10</v>
      </c>
      <c r="L8" s="966">
        <v>10</v>
      </c>
      <c r="M8" s="1020">
        <v>10</v>
      </c>
    </row>
    <row r="9" spans="1:13" ht="19.5" customHeight="1">
      <c r="A9" s="965" t="s">
        <v>1369</v>
      </c>
      <c r="B9" s="966">
        <v>30</v>
      </c>
      <c r="C9" s="966">
        <v>30</v>
      </c>
      <c r="D9" s="966">
        <v>25</v>
      </c>
      <c r="E9" s="966">
        <v>25</v>
      </c>
      <c r="F9" s="966">
        <v>25</v>
      </c>
      <c r="G9" s="966">
        <v>25</v>
      </c>
      <c r="H9" s="966">
        <v>25</v>
      </c>
      <c r="I9" s="966">
        <v>20</v>
      </c>
      <c r="J9" s="966">
        <v>20</v>
      </c>
      <c r="K9" s="966">
        <v>20</v>
      </c>
      <c r="L9" s="966">
        <v>20</v>
      </c>
      <c r="M9" s="1020">
        <v>20</v>
      </c>
    </row>
    <row r="10" spans="1:13" ht="19.5" customHeight="1">
      <c r="A10" s="965" t="s">
        <v>1370</v>
      </c>
      <c r="B10" s="966">
        <v>45</v>
      </c>
      <c r="C10" s="966">
        <v>45</v>
      </c>
      <c r="D10" s="966">
        <v>35</v>
      </c>
      <c r="E10" s="966">
        <v>35</v>
      </c>
      <c r="F10" s="966">
        <v>35</v>
      </c>
      <c r="G10" s="966">
        <v>35</v>
      </c>
      <c r="H10" s="966">
        <v>35</v>
      </c>
      <c r="I10" s="966">
        <v>25</v>
      </c>
      <c r="J10" s="966">
        <v>25</v>
      </c>
      <c r="K10" s="966">
        <v>25</v>
      </c>
      <c r="L10" s="966">
        <v>25</v>
      </c>
      <c r="M10" s="1020">
        <v>25</v>
      </c>
    </row>
    <row r="11" spans="1:13" ht="19.5" customHeight="1">
      <c r="A11" s="965" t="s">
        <v>1371</v>
      </c>
      <c r="B11" s="966">
        <v>60</v>
      </c>
      <c r="C11" s="966">
        <v>60</v>
      </c>
      <c r="D11" s="966">
        <v>50</v>
      </c>
      <c r="E11" s="966">
        <v>50</v>
      </c>
      <c r="F11" s="966">
        <v>50</v>
      </c>
      <c r="G11" s="966">
        <v>50</v>
      </c>
      <c r="H11" s="966">
        <v>50</v>
      </c>
      <c r="I11" s="966">
        <v>40</v>
      </c>
      <c r="J11" s="966">
        <v>40</v>
      </c>
      <c r="K11" s="966">
        <v>40</v>
      </c>
      <c r="L11" s="966">
        <v>40</v>
      </c>
      <c r="M11" s="1020">
        <v>40</v>
      </c>
    </row>
    <row r="12" spans="1:13" ht="19.5" customHeight="1">
      <c r="A12" s="965" t="s">
        <v>1372</v>
      </c>
      <c r="B12" s="966">
        <v>50</v>
      </c>
      <c r="C12" s="966">
        <v>50</v>
      </c>
      <c r="D12" s="966">
        <v>40</v>
      </c>
      <c r="E12" s="966">
        <v>40</v>
      </c>
      <c r="F12" s="966">
        <v>40</v>
      </c>
      <c r="G12" s="966">
        <v>40</v>
      </c>
      <c r="H12" s="966">
        <v>40</v>
      </c>
      <c r="I12" s="966">
        <v>30</v>
      </c>
      <c r="J12" s="966">
        <v>30</v>
      </c>
      <c r="K12" s="966">
        <v>30</v>
      </c>
      <c r="L12" s="966">
        <v>30</v>
      </c>
      <c r="M12" s="1020">
        <v>30</v>
      </c>
    </row>
    <row r="13" spans="1:13" ht="19.5" customHeight="1">
      <c r="A13" s="1021" t="s">
        <v>1373</v>
      </c>
      <c r="B13" s="1051">
        <v>20</v>
      </c>
      <c r="C13" s="1051">
        <v>20</v>
      </c>
      <c r="D13" s="1051">
        <v>15</v>
      </c>
      <c r="E13" s="1051">
        <v>15</v>
      </c>
      <c r="F13" s="1051">
        <v>15</v>
      </c>
      <c r="G13" s="1051">
        <v>15</v>
      </c>
      <c r="H13" s="1051">
        <v>15</v>
      </c>
      <c r="I13" s="1051">
        <v>10</v>
      </c>
      <c r="J13" s="1051">
        <v>10</v>
      </c>
      <c r="K13" s="1051">
        <v>10</v>
      </c>
      <c r="L13" s="1051">
        <v>10</v>
      </c>
      <c r="M13" s="1022">
        <v>10</v>
      </c>
    </row>
    <row r="14" spans="1:13" ht="19.5" customHeight="1">
      <c r="A14" s="966" t="s">
        <v>1374</v>
      </c>
      <c r="B14" s="1023">
        <v>0</v>
      </c>
      <c r="C14" s="1023">
        <v>0</v>
      </c>
      <c r="D14" s="1023">
        <v>0</v>
      </c>
      <c r="E14" s="1023">
        <v>0</v>
      </c>
      <c r="F14" s="1023">
        <v>0</v>
      </c>
      <c r="G14" s="1023">
        <v>0</v>
      </c>
      <c r="H14" s="1023">
        <v>0</v>
      </c>
      <c r="I14" s="1023">
        <v>0</v>
      </c>
      <c r="J14" s="1023">
        <v>0</v>
      </c>
      <c r="K14" s="1023">
        <v>0</v>
      </c>
      <c r="L14" s="1023">
        <v>0</v>
      </c>
      <c r="M14" s="1023">
        <v>0</v>
      </c>
    </row>
    <row r="16" spans="1:13" ht="19.5" customHeight="1">
      <c r="A16" s="1024" t="s">
        <v>1375</v>
      </c>
      <c r="B16" s="1024"/>
      <c r="C16" s="1025"/>
      <c r="D16" s="1025"/>
      <c r="E16" s="1024"/>
      <c r="F16" s="1025"/>
      <c r="G16" s="1025"/>
    </row>
    <row r="17" spans="1:9" ht="19.5" customHeight="1">
      <c r="A17" s="966" t="s">
        <v>1376</v>
      </c>
      <c r="B17" s="1026" t="s">
        <v>1377</v>
      </c>
      <c r="C17" s="1026" t="s">
        <v>1576</v>
      </c>
      <c r="D17" s="1027"/>
      <c r="E17" s="966" t="s">
        <v>1378</v>
      </c>
      <c r="F17" s="1028"/>
      <c r="G17" s="1028"/>
    </row>
    <row r="18" spans="1:9" s="1487" customFormat="1" ht="19.5" customHeight="1">
      <c r="A18" s="3441" t="s">
        <v>940</v>
      </c>
      <c r="B18" s="1052" t="s">
        <v>1379</v>
      </c>
      <c r="C18" s="1029" t="s">
        <v>1380</v>
      </c>
      <c r="D18" s="1030"/>
      <c r="E18" s="1052">
        <v>1</v>
      </c>
      <c r="F18" s="1031" t="s">
        <v>1381</v>
      </c>
      <c r="G18" s="1032"/>
      <c r="H18" s="1003"/>
      <c r="I18" s="1003"/>
    </row>
    <row r="19" spans="1:9" s="1487" customFormat="1" ht="19.5" customHeight="1">
      <c r="A19" s="3441"/>
      <c r="B19" s="3441" t="s">
        <v>1382</v>
      </c>
      <c r="C19" s="1029" t="s">
        <v>1383</v>
      </c>
      <c r="D19" s="1030"/>
      <c r="E19" s="1052">
        <v>0.9</v>
      </c>
      <c r="F19" s="1031" t="s">
        <v>1384</v>
      </c>
      <c r="G19" s="1032"/>
      <c r="H19" s="1003"/>
      <c r="I19" s="1003"/>
    </row>
    <row r="20" spans="1:9" s="1487" customFormat="1" ht="19.5" customHeight="1">
      <c r="A20" s="3441"/>
      <c r="B20" s="3441"/>
      <c r="C20" s="1029" t="s">
        <v>1385</v>
      </c>
      <c r="D20" s="1030"/>
      <c r="E20" s="1052">
        <v>1.1000000000000001</v>
      </c>
      <c r="F20" s="1031" t="s">
        <v>1386</v>
      </c>
      <c r="G20" s="1032"/>
      <c r="H20" s="1003"/>
      <c r="I20" s="1003"/>
    </row>
    <row r="21" spans="1:9" s="1487" customFormat="1" ht="19.5" customHeight="1">
      <c r="A21" s="3441"/>
      <c r="B21" s="3441"/>
      <c r="C21" s="1029" t="s">
        <v>1387</v>
      </c>
      <c r="D21" s="1030"/>
      <c r="E21" s="1052">
        <v>0.8</v>
      </c>
      <c r="F21" s="1031" t="s">
        <v>1388</v>
      </c>
      <c r="G21" s="1032"/>
      <c r="H21" s="1003"/>
      <c r="I21" s="1003"/>
    </row>
    <row r="22" spans="1:9" s="1487" customFormat="1" ht="19.5" customHeight="1">
      <c r="A22" s="3441"/>
      <c r="B22" s="3441"/>
      <c r="C22" s="1029" t="s">
        <v>1389</v>
      </c>
      <c r="D22" s="1030"/>
      <c r="E22" s="1052">
        <v>0.5</v>
      </c>
      <c r="F22" s="1031"/>
      <c r="G22" s="1032"/>
      <c r="H22" s="1003"/>
      <c r="I22" s="1003"/>
    </row>
    <row r="23" spans="1:9" s="1487" customFormat="1" ht="19.5" customHeight="1">
      <c r="A23" s="3441" t="s">
        <v>962</v>
      </c>
      <c r="B23" s="1052" t="s">
        <v>1379</v>
      </c>
      <c r="C23" s="1029" t="s">
        <v>1390</v>
      </c>
      <c r="D23" s="1030"/>
      <c r="E23" s="1052">
        <v>1</v>
      </c>
      <c r="F23" s="1031" t="s">
        <v>1391</v>
      </c>
      <c r="G23" s="1032"/>
      <c r="H23" s="1003"/>
      <c r="I23" s="1003"/>
    </row>
    <row r="24" spans="1:9" s="1487" customFormat="1" ht="19.5" customHeight="1">
      <c r="A24" s="3441"/>
      <c r="B24" s="3441" t="s">
        <v>1382</v>
      </c>
      <c r="C24" s="1029" t="s">
        <v>1392</v>
      </c>
      <c r="D24" s="1030"/>
      <c r="E24" s="1052">
        <v>0.5</v>
      </c>
      <c r="F24" s="1031"/>
      <c r="G24" s="1032"/>
      <c r="H24" s="1003"/>
      <c r="I24" s="1003"/>
    </row>
    <row r="25" spans="1:9" s="1487" customFormat="1" ht="19.5" customHeight="1">
      <c r="A25" s="3441"/>
      <c r="B25" s="3441"/>
      <c r="C25" s="1029" t="s">
        <v>1393</v>
      </c>
      <c r="D25" s="1030"/>
      <c r="E25" s="1052">
        <v>1.1000000000000001</v>
      </c>
      <c r="F25" s="1031"/>
      <c r="G25" s="1032"/>
      <c r="H25" s="1003"/>
      <c r="I25" s="1003"/>
    </row>
    <row r="26" spans="1:9" s="1487" customFormat="1" ht="19.5" customHeight="1">
      <c r="A26" s="3441"/>
      <c r="B26" s="3441"/>
      <c r="C26" s="1029" t="s">
        <v>1394</v>
      </c>
      <c r="D26" s="1030"/>
      <c r="E26" s="1052">
        <v>1.1000000000000001</v>
      </c>
      <c r="F26" s="1031"/>
      <c r="G26" s="1032"/>
      <c r="H26" s="1003"/>
      <c r="I26" s="1003"/>
    </row>
    <row r="27" spans="1:9" s="1487" customFormat="1" ht="19.5" customHeight="1">
      <c r="A27" s="3441"/>
      <c r="B27" s="3441"/>
      <c r="C27" s="1029" t="s">
        <v>1395</v>
      </c>
      <c r="D27" s="1030"/>
      <c r="E27" s="1052">
        <v>0.9</v>
      </c>
      <c r="F27" s="1031" t="s">
        <v>1396</v>
      </c>
      <c r="G27" s="1032"/>
      <c r="H27" s="1003"/>
      <c r="I27" s="1003"/>
    </row>
    <row r="28" spans="1:9" s="1487" customFormat="1" ht="19.5" customHeight="1">
      <c r="A28" s="3441"/>
      <c r="B28" s="3441"/>
      <c r="C28" s="1029" t="s">
        <v>1397</v>
      </c>
      <c r="D28" s="1030"/>
      <c r="E28" s="1052">
        <v>0.9</v>
      </c>
      <c r="F28" s="1031" t="s">
        <v>1398</v>
      </c>
      <c r="G28" s="1032"/>
      <c r="H28" s="1003"/>
      <c r="I28" s="1003"/>
    </row>
    <row r="29" spans="1:9" s="1487" customFormat="1" ht="19.5" customHeight="1">
      <c r="A29" s="3441"/>
      <c r="B29" s="3441"/>
      <c r="C29" s="1029" t="s">
        <v>1399</v>
      </c>
      <c r="D29" s="1030"/>
      <c r="E29" s="1052">
        <v>0.9</v>
      </c>
      <c r="F29" s="1031" t="s">
        <v>1400</v>
      </c>
      <c r="G29" s="1032"/>
      <c r="H29" s="1003"/>
      <c r="I29" s="1003"/>
    </row>
    <row r="30" spans="1:9" s="1487" customFormat="1" ht="19.5" customHeight="1">
      <c r="A30" s="3441"/>
      <c r="B30" s="3441"/>
      <c r="C30" s="1029" t="s">
        <v>1401</v>
      </c>
      <c r="D30" s="1030"/>
      <c r="E30" s="1052">
        <v>0.9</v>
      </c>
      <c r="F30" s="1031" t="s">
        <v>1402</v>
      </c>
      <c r="G30" s="1032"/>
      <c r="H30" s="1003"/>
      <c r="I30" s="1003"/>
    </row>
    <row r="31" spans="1:9" s="1487" customFormat="1" ht="19.5" customHeight="1">
      <c r="A31" s="3441"/>
      <c r="B31" s="3441"/>
      <c r="C31" s="1029" t="s">
        <v>1403</v>
      </c>
      <c r="D31" s="1030"/>
      <c r="E31" s="1052">
        <v>0.8</v>
      </c>
      <c r="F31" s="1031" t="s">
        <v>1404</v>
      </c>
      <c r="G31" s="1032"/>
      <c r="H31" s="1003"/>
      <c r="I31" s="1003"/>
    </row>
    <row r="32" spans="1:9" s="1487" customFormat="1" ht="19.5" customHeight="1">
      <c r="A32" s="3441"/>
      <c r="B32" s="3441"/>
      <c r="C32" s="1029" t="s">
        <v>1405</v>
      </c>
      <c r="D32" s="1030"/>
      <c r="E32" s="1052">
        <v>0.8</v>
      </c>
      <c r="F32" s="1031" t="s">
        <v>1406</v>
      </c>
      <c r="G32" s="1032"/>
      <c r="H32" s="1003"/>
      <c r="I32" s="1003"/>
    </row>
    <row r="33" spans="1:9" s="1487" customFormat="1" ht="19.5" customHeight="1">
      <c r="A33" s="3441" t="s">
        <v>1407</v>
      </c>
      <c r="B33" s="1052" t="s">
        <v>1379</v>
      </c>
      <c r="C33" s="1029" t="s">
        <v>1408</v>
      </c>
      <c r="D33" s="1030"/>
      <c r="E33" s="1052">
        <v>1</v>
      </c>
      <c r="F33" s="1031" t="s">
        <v>1409</v>
      </c>
      <c r="G33" s="1032"/>
      <c r="H33" s="1003"/>
      <c r="I33" s="1003"/>
    </row>
    <row r="34" spans="1:9" s="1487" customFormat="1" ht="19.5" customHeight="1">
      <c r="A34" s="3441"/>
      <c r="B34" s="1052" t="s">
        <v>1382</v>
      </c>
      <c r="C34" s="1029" t="s">
        <v>1410</v>
      </c>
      <c r="D34" s="1030"/>
      <c r="E34" s="1052">
        <v>1.5</v>
      </c>
      <c r="F34" s="1031" t="s">
        <v>1411</v>
      </c>
      <c r="G34" s="1032"/>
      <c r="H34" s="1003"/>
      <c r="I34" s="1003"/>
    </row>
    <row r="35" spans="1:9" s="1487" customFormat="1" ht="19.5" customHeight="1">
      <c r="A35" s="3441" t="s">
        <v>1365</v>
      </c>
      <c r="B35" s="1052" t="s">
        <v>1379</v>
      </c>
      <c r="C35" s="1029" t="s">
        <v>1412</v>
      </c>
      <c r="D35" s="1030"/>
      <c r="E35" s="1052">
        <v>1</v>
      </c>
      <c r="F35" s="1031" t="s">
        <v>1413</v>
      </c>
      <c r="G35" s="1032"/>
      <c r="H35" s="1003"/>
      <c r="I35" s="1003"/>
    </row>
    <row r="36" spans="1:9" s="1487" customFormat="1" ht="19.5" customHeight="1">
      <c r="A36" s="3441"/>
      <c r="B36" s="3441" t="s">
        <v>1382</v>
      </c>
      <c r="C36" s="1029" t="s">
        <v>1414</v>
      </c>
      <c r="D36" s="1030"/>
      <c r="E36" s="1052">
        <v>1</v>
      </c>
      <c r="F36" s="1031" t="s">
        <v>1415</v>
      </c>
      <c r="G36" s="1032"/>
      <c r="H36" s="1003"/>
      <c r="I36" s="1003"/>
    </row>
    <row r="37" spans="1:9" s="1487" customFormat="1" ht="19.5" customHeight="1">
      <c r="A37" s="3441"/>
      <c r="B37" s="3441"/>
      <c r="C37" s="1029" t="s">
        <v>1416</v>
      </c>
      <c r="D37" s="1030"/>
      <c r="E37" s="1052">
        <v>1.5</v>
      </c>
      <c r="F37" s="1031" t="s">
        <v>1417</v>
      </c>
      <c r="G37" s="1032"/>
      <c r="H37" s="1003"/>
      <c r="I37" s="1003"/>
    </row>
    <row r="38" spans="1:9" s="1487" customFormat="1" ht="19.5" customHeight="1">
      <c r="A38" s="3441"/>
      <c r="B38" s="3441"/>
      <c r="C38" s="1029" t="s">
        <v>1418</v>
      </c>
      <c r="D38" s="1030"/>
      <c r="E38" s="1052">
        <v>1</v>
      </c>
      <c r="F38" s="1031" t="s">
        <v>1419</v>
      </c>
      <c r="G38" s="1032"/>
      <c r="H38" s="1003"/>
      <c r="I38" s="1003"/>
    </row>
    <row r="39" spans="1:9" s="1487" customFormat="1" ht="19.5" customHeight="1">
      <c r="A39" s="3441"/>
      <c r="B39" s="3441"/>
      <c r="C39" s="1029" t="s">
        <v>1420</v>
      </c>
      <c r="D39" s="1030"/>
      <c r="E39" s="1052">
        <v>1</v>
      </c>
      <c r="F39" s="1031" t="s">
        <v>1421</v>
      </c>
      <c r="G39" s="1032"/>
      <c r="H39" s="1003"/>
      <c r="I39" s="1003"/>
    </row>
    <row r="40" spans="1:9" s="1487" customFormat="1" ht="19.5" customHeight="1">
      <c r="A40" s="1488" t="s">
        <v>1422</v>
      </c>
      <c r="B40" s="1488"/>
      <c r="C40" s="1488"/>
      <c r="D40" s="1488"/>
      <c r="E40" s="1488"/>
      <c r="F40" s="1031"/>
      <c r="G40" s="1031"/>
      <c r="H40" s="1003"/>
      <c r="I40" s="1003"/>
    </row>
    <row r="42" spans="1:9" ht="19.5" customHeight="1">
      <c r="A42" s="1033"/>
      <c r="B42" s="966" t="s">
        <v>1423</v>
      </c>
      <c r="C42" s="966" t="s">
        <v>1423</v>
      </c>
      <c r="D42" s="966" t="s">
        <v>1423</v>
      </c>
      <c r="E42" s="1051" t="s">
        <v>1423</v>
      </c>
      <c r="F42" s="1051" t="s">
        <v>1423</v>
      </c>
      <c r="G42" s="1051" t="s">
        <v>1424</v>
      </c>
      <c r="H42" s="1051" t="s">
        <v>1423</v>
      </c>
    </row>
    <row r="43" spans="1:9" ht="19.5" customHeight="1">
      <c r="A43" s="1034"/>
      <c r="B43" s="1051" t="s">
        <v>940</v>
      </c>
      <c r="C43" s="1051" t="s">
        <v>940</v>
      </c>
      <c r="D43" s="1051" t="s">
        <v>940</v>
      </c>
      <c r="E43" s="1051" t="s">
        <v>940</v>
      </c>
      <c r="F43" s="966" t="s">
        <v>962</v>
      </c>
      <c r="G43" s="966" t="s">
        <v>1365</v>
      </c>
      <c r="H43" s="966" t="s">
        <v>1425</v>
      </c>
    </row>
    <row r="44" spans="1:9" ht="19.5" customHeight="1">
      <c r="A44" s="1035"/>
      <c r="B44" s="966">
        <v>1</v>
      </c>
      <c r="C44" s="966">
        <v>2</v>
      </c>
      <c r="D44" s="966">
        <v>3</v>
      </c>
      <c r="E44" s="1051">
        <v>4</v>
      </c>
      <c r="F44" s="1027" t="s">
        <v>1426</v>
      </c>
      <c r="G44" s="1027" t="s">
        <v>1426</v>
      </c>
      <c r="H44" s="1027" t="s">
        <v>1426</v>
      </c>
    </row>
    <row r="45" spans="1:9" ht="19.5" customHeight="1">
      <c r="A45" s="1050" t="s">
        <v>839</v>
      </c>
      <c r="B45" s="966">
        <v>0.8</v>
      </c>
      <c r="C45" s="966">
        <v>0.5</v>
      </c>
      <c r="D45" s="966">
        <v>0.36</v>
      </c>
      <c r="E45" s="966">
        <v>0.3</v>
      </c>
      <c r="F45" s="1027">
        <v>0.3</v>
      </c>
      <c r="G45" s="966">
        <v>0.3</v>
      </c>
      <c r="H45" s="966">
        <v>0.25</v>
      </c>
    </row>
    <row r="46" spans="1:9" ht="19.5" customHeight="1">
      <c r="A46" s="1050" t="s">
        <v>840</v>
      </c>
      <c r="B46" s="966">
        <v>0.8</v>
      </c>
      <c r="C46" s="966">
        <v>0.5</v>
      </c>
      <c r="D46" s="966">
        <v>0.36</v>
      </c>
      <c r="E46" s="966">
        <v>0.3</v>
      </c>
      <c r="F46" s="966">
        <v>0.3</v>
      </c>
      <c r="G46" s="966">
        <v>0.3</v>
      </c>
      <c r="H46" s="966">
        <v>0.25</v>
      </c>
    </row>
    <row r="47" spans="1:9" ht="19.5" customHeight="1">
      <c r="A47" s="1050" t="s">
        <v>841</v>
      </c>
      <c r="B47" s="966">
        <v>0.7</v>
      </c>
      <c r="C47" s="966">
        <v>0.4</v>
      </c>
      <c r="D47" s="966">
        <v>0.28000000000000003</v>
      </c>
      <c r="E47" s="966">
        <v>0.25</v>
      </c>
      <c r="F47" s="966">
        <v>0.25</v>
      </c>
      <c r="G47" s="966">
        <v>0.25</v>
      </c>
      <c r="H47" s="966">
        <v>0.2</v>
      </c>
    </row>
    <row r="48" spans="1:9" ht="19.5" customHeight="1">
      <c r="A48" s="1050" t="s">
        <v>842</v>
      </c>
      <c r="B48" s="966">
        <v>0.7</v>
      </c>
      <c r="C48" s="966">
        <v>0.4</v>
      </c>
      <c r="D48" s="966">
        <v>0.28000000000000003</v>
      </c>
      <c r="E48" s="966">
        <v>0.25</v>
      </c>
      <c r="F48" s="966">
        <v>0.25</v>
      </c>
      <c r="G48" s="966">
        <v>0.25</v>
      </c>
      <c r="H48" s="966">
        <v>0.2</v>
      </c>
    </row>
    <row r="49" spans="1:8" s="1003" customFormat="1" ht="19.5" customHeight="1">
      <c r="A49" s="1050" t="s">
        <v>843</v>
      </c>
      <c r="B49" s="966">
        <v>0.7</v>
      </c>
      <c r="C49" s="966">
        <v>0.4</v>
      </c>
      <c r="D49" s="966">
        <v>0.28000000000000003</v>
      </c>
      <c r="E49" s="966">
        <v>0.25</v>
      </c>
      <c r="F49" s="966">
        <v>0.25</v>
      </c>
      <c r="G49" s="966">
        <v>0.25</v>
      </c>
      <c r="H49" s="966">
        <v>0.2</v>
      </c>
    </row>
    <row r="50" spans="1:8" s="1003" customFormat="1" ht="19.5" customHeight="1">
      <c r="A50" s="1050" t="s">
        <v>844</v>
      </c>
      <c r="B50" s="966">
        <v>0.7</v>
      </c>
      <c r="C50" s="966">
        <v>0.4</v>
      </c>
      <c r="D50" s="966">
        <v>0.28000000000000003</v>
      </c>
      <c r="E50" s="966">
        <v>0.25</v>
      </c>
      <c r="F50" s="966">
        <v>0.25</v>
      </c>
      <c r="G50" s="966">
        <v>0.25</v>
      </c>
      <c r="H50" s="966">
        <v>0.2</v>
      </c>
    </row>
    <row r="51" spans="1:8" s="1003" customFormat="1" ht="19.5" customHeight="1">
      <c r="A51" s="1050" t="s">
        <v>845</v>
      </c>
      <c r="B51" s="966">
        <v>0.7</v>
      </c>
      <c r="C51" s="966">
        <v>0.4</v>
      </c>
      <c r="D51" s="966">
        <v>0.28000000000000003</v>
      </c>
      <c r="E51" s="966">
        <v>0.25</v>
      </c>
      <c r="F51" s="966">
        <v>0.25</v>
      </c>
      <c r="G51" s="966">
        <v>0.25</v>
      </c>
      <c r="H51" s="966">
        <v>0.2</v>
      </c>
    </row>
    <row r="52" spans="1:8" s="1003" customFormat="1" ht="19.5" customHeight="1">
      <c r="A52" s="1050" t="s">
        <v>846</v>
      </c>
      <c r="B52" s="966">
        <v>0.6</v>
      </c>
      <c r="C52" s="966">
        <v>0.3</v>
      </c>
      <c r="D52" s="966">
        <v>0.2</v>
      </c>
      <c r="E52" s="966">
        <v>0.2</v>
      </c>
      <c r="F52" s="966">
        <v>0.2</v>
      </c>
      <c r="G52" s="966">
        <v>0.2</v>
      </c>
      <c r="H52" s="966">
        <v>0.15</v>
      </c>
    </row>
    <row r="53" spans="1:8" s="1003" customFormat="1" ht="19.5" customHeight="1">
      <c r="A53" s="1050" t="s">
        <v>847</v>
      </c>
      <c r="B53" s="966">
        <v>0.6</v>
      </c>
      <c r="C53" s="966">
        <v>0.3</v>
      </c>
      <c r="D53" s="966">
        <v>0.2</v>
      </c>
      <c r="E53" s="966">
        <v>0.2</v>
      </c>
      <c r="F53" s="966">
        <v>0.2</v>
      </c>
      <c r="G53" s="966">
        <v>0.2</v>
      </c>
      <c r="H53" s="966">
        <v>0.15</v>
      </c>
    </row>
    <row r="54" spans="1:8" s="1003" customFormat="1" ht="19.5" customHeight="1">
      <c r="A54" s="1050" t="s">
        <v>848</v>
      </c>
      <c r="B54" s="966">
        <v>0.6</v>
      </c>
      <c r="C54" s="966">
        <v>0.3</v>
      </c>
      <c r="D54" s="966">
        <v>0.2</v>
      </c>
      <c r="E54" s="966">
        <v>0.2</v>
      </c>
      <c r="F54" s="966">
        <v>0.2</v>
      </c>
      <c r="G54" s="966">
        <v>0.2</v>
      </c>
      <c r="H54" s="966">
        <v>0.15</v>
      </c>
    </row>
    <row r="55" spans="1:8" s="1003" customFormat="1" ht="19.5" customHeight="1">
      <c r="A55" s="1050" t="s">
        <v>849</v>
      </c>
      <c r="B55" s="966">
        <v>0.6</v>
      </c>
      <c r="C55" s="966">
        <v>0.3</v>
      </c>
      <c r="D55" s="966">
        <v>0.2</v>
      </c>
      <c r="E55" s="966">
        <v>0.2</v>
      </c>
      <c r="F55" s="966">
        <v>0.2</v>
      </c>
      <c r="G55" s="966">
        <v>0.2</v>
      </c>
      <c r="H55" s="966">
        <v>0.15</v>
      </c>
    </row>
    <row r="56" spans="1:8" s="1003" customFormat="1" ht="19.5" customHeight="1">
      <c r="A56" s="1050" t="s">
        <v>850</v>
      </c>
      <c r="B56" s="966">
        <v>0.6</v>
      </c>
      <c r="C56" s="966">
        <v>0.3</v>
      </c>
      <c r="D56" s="966">
        <v>0.2</v>
      </c>
      <c r="E56" s="966">
        <v>0.2</v>
      </c>
      <c r="F56" s="966">
        <v>0.2</v>
      </c>
      <c r="G56" s="966">
        <v>0.2</v>
      </c>
      <c r="H56" s="966">
        <v>0.15</v>
      </c>
    </row>
    <row r="58" spans="1:8" s="1003" customFormat="1" ht="19.5" customHeight="1">
      <c r="A58" s="1036"/>
      <c r="B58" s="1024"/>
      <c r="C58" s="1024"/>
      <c r="D58" s="1024" t="s">
        <v>1427</v>
      </c>
      <c r="E58" s="1024"/>
      <c r="F58" s="1024"/>
    </row>
    <row r="59" spans="1:8" s="1003" customFormat="1" ht="19.5" customHeight="1">
      <c r="A59" s="1052" t="s">
        <v>1428</v>
      </c>
      <c r="B59" s="1052" t="s">
        <v>1429</v>
      </c>
      <c r="C59" s="1052" t="s">
        <v>1430</v>
      </c>
      <c r="D59" s="1052" t="s">
        <v>1431</v>
      </c>
      <c r="E59" s="1052" t="s">
        <v>1432</v>
      </c>
      <c r="F59" s="1052" t="s">
        <v>1433</v>
      </c>
    </row>
    <row r="60" spans="1:8" s="1003" customFormat="1" ht="19.5" customHeight="1">
      <c r="A60" s="1052"/>
      <c r="B60" s="1052"/>
      <c r="C60" s="1052" t="s">
        <v>1565</v>
      </c>
      <c r="D60" s="1052"/>
      <c r="E60" s="1037" t="s">
        <v>1374</v>
      </c>
      <c r="F60" s="1052" t="s">
        <v>1374</v>
      </c>
    </row>
    <row r="61" spans="1:8" s="1003" customFormat="1" ht="24">
      <c r="A61" s="1052">
        <v>1</v>
      </c>
      <c r="B61" s="3441" t="s">
        <v>1434</v>
      </c>
      <c r="C61" s="966" t="s">
        <v>1435</v>
      </c>
      <c r="D61" s="966" t="s">
        <v>1436</v>
      </c>
      <c r="E61" s="1037">
        <v>0.5</v>
      </c>
      <c r="F61" s="1052">
        <v>80</v>
      </c>
      <c r="H61" s="1003">
        <f>SUMIF(C59:C119,基准地价!C8,E59:E119)</f>
        <v>0</v>
      </c>
    </row>
    <row r="62" spans="1:8" s="1003" customFormat="1" ht="24">
      <c r="A62" s="1052">
        <v>2</v>
      </c>
      <c r="B62" s="3441"/>
      <c r="C62" s="966" t="s">
        <v>1437</v>
      </c>
      <c r="D62" s="966" t="s">
        <v>1438</v>
      </c>
      <c r="E62" s="1037">
        <v>0.5</v>
      </c>
      <c r="F62" s="1052">
        <v>80</v>
      </c>
    </row>
    <row r="63" spans="1:8" s="1003" customFormat="1" ht="36">
      <c r="A63" s="1052">
        <v>3</v>
      </c>
      <c r="B63" s="3441"/>
      <c r="C63" s="966" t="s">
        <v>1439</v>
      </c>
      <c r="D63" s="966" t="s">
        <v>1440</v>
      </c>
      <c r="E63" s="1037">
        <v>0.5</v>
      </c>
      <c r="F63" s="1052">
        <v>80</v>
      </c>
    </row>
    <row r="64" spans="1:8" s="1003" customFormat="1" ht="36">
      <c r="A64" s="1052">
        <v>4</v>
      </c>
      <c r="B64" s="3441"/>
      <c r="C64" s="966" t="s">
        <v>1441</v>
      </c>
      <c r="D64" s="966" t="s">
        <v>1442</v>
      </c>
      <c r="E64" s="1037">
        <v>0.4</v>
      </c>
      <c r="F64" s="1052">
        <v>60</v>
      </c>
    </row>
    <row r="65" spans="1:6" s="1003" customFormat="1" ht="36">
      <c r="A65" s="1052">
        <v>5</v>
      </c>
      <c r="B65" s="3441"/>
      <c r="C65" s="966" t="s">
        <v>1443</v>
      </c>
      <c r="D65" s="966" t="s">
        <v>1444</v>
      </c>
      <c r="E65" s="1037">
        <v>0.2</v>
      </c>
      <c r="F65" s="1052">
        <v>30</v>
      </c>
    </row>
    <row r="66" spans="1:6" s="1003" customFormat="1" ht="36">
      <c r="A66" s="1052">
        <v>6</v>
      </c>
      <c r="B66" s="3441"/>
      <c r="C66" s="966" t="s">
        <v>1445</v>
      </c>
      <c r="D66" s="966" t="s">
        <v>1446</v>
      </c>
      <c r="E66" s="1037">
        <v>0.3</v>
      </c>
      <c r="F66" s="1052">
        <v>50</v>
      </c>
    </row>
    <row r="67" spans="1:6" s="1003" customFormat="1" ht="36">
      <c r="A67" s="1052">
        <v>7</v>
      </c>
      <c r="B67" s="3441"/>
      <c r="C67" s="966" t="s">
        <v>1447</v>
      </c>
      <c r="D67" s="966" t="s">
        <v>1448</v>
      </c>
      <c r="E67" s="1037">
        <v>0.2</v>
      </c>
      <c r="F67" s="1052">
        <v>30</v>
      </c>
    </row>
    <row r="68" spans="1:6" s="1003" customFormat="1" ht="36">
      <c r="A68" s="1052">
        <v>8</v>
      </c>
      <c r="B68" s="3441"/>
      <c r="C68" s="966" t="s">
        <v>1449</v>
      </c>
      <c r="D68" s="966" t="s">
        <v>1450</v>
      </c>
      <c r="E68" s="1037">
        <v>0.2</v>
      </c>
      <c r="F68" s="1052">
        <v>30</v>
      </c>
    </row>
    <row r="69" spans="1:6" s="1003" customFormat="1" ht="36">
      <c r="A69" s="1052">
        <v>9</v>
      </c>
      <c r="B69" s="3441"/>
      <c r="C69" s="966" t="s">
        <v>1451</v>
      </c>
      <c r="D69" s="966" t="s">
        <v>1452</v>
      </c>
      <c r="E69" s="1037">
        <v>0.2</v>
      </c>
      <c r="F69" s="1052">
        <v>30</v>
      </c>
    </row>
    <row r="70" spans="1:6" s="1003" customFormat="1" ht="48">
      <c r="A70" s="1052">
        <v>10</v>
      </c>
      <c r="B70" s="3441"/>
      <c r="C70" s="966" t="s">
        <v>1453</v>
      </c>
      <c r="D70" s="966" t="s">
        <v>1454</v>
      </c>
      <c r="E70" s="1037">
        <v>0.2</v>
      </c>
      <c r="F70" s="1052">
        <v>30</v>
      </c>
    </row>
    <row r="71" spans="1:6" s="1003" customFormat="1" ht="48">
      <c r="A71" s="1052">
        <v>11</v>
      </c>
      <c r="B71" s="3441"/>
      <c r="C71" s="966" t="s">
        <v>1455</v>
      </c>
      <c r="D71" s="966" t="s">
        <v>1456</v>
      </c>
      <c r="E71" s="1037">
        <v>0.2</v>
      </c>
      <c r="F71" s="1052">
        <v>30</v>
      </c>
    </row>
    <row r="72" spans="1:6" s="1003" customFormat="1" ht="36">
      <c r="A72" s="1052">
        <v>12</v>
      </c>
      <c r="B72" s="3441"/>
      <c r="C72" s="966" t="s">
        <v>1457</v>
      </c>
      <c r="D72" s="966" t="s">
        <v>1458</v>
      </c>
      <c r="E72" s="1037">
        <v>0.5</v>
      </c>
      <c r="F72" s="1052">
        <v>80</v>
      </c>
    </row>
    <row r="73" spans="1:6" s="1003" customFormat="1" ht="24">
      <c r="A73" s="1052">
        <v>13</v>
      </c>
      <c r="B73" s="3441"/>
      <c r="C73" s="966" t="s">
        <v>1459</v>
      </c>
      <c r="D73" s="966" t="s">
        <v>1460</v>
      </c>
      <c r="E73" s="1037">
        <v>0.4</v>
      </c>
      <c r="F73" s="1052">
        <v>60</v>
      </c>
    </row>
    <row r="74" spans="1:6" s="1003" customFormat="1" ht="24">
      <c r="A74" s="1052">
        <v>14</v>
      </c>
      <c r="B74" s="3441"/>
      <c r="C74" s="966" t="s">
        <v>1461</v>
      </c>
      <c r="D74" s="966" t="s">
        <v>1462</v>
      </c>
      <c r="E74" s="1037">
        <v>0.2</v>
      </c>
      <c r="F74" s="1052">
        <v>30</v>
      </c>
    </row>
    <row r="75" spans="1:6" s="1003" customFormat="1" ht="24">
      <c r="A75" s="1052">
        <v>15</v>
      </c>
      <c r="B75" s="3441"/>
      <c r="C75" s="966" t="s">
        <v>1463</v>
      </c>
      <c r="D75" s="966" t="s">
        <v>1464</v>
      </c>
      <c r="E75" s="1037">
        <v>0.2</v>
      </c>
      <c r="F75" s="1052">
        <v>30</v>
      </c>
    </row>
    <row r="76" spans="1:6" s="1003" customFormat="1" ht="24">
      <c r="A76" s="1052">
        <v>16</v>
      </c>
      <c r="B76" s="3441" t="s">
        <v>1465</v>
      </c>
      <c r="C76" s="966" t="s">
        <v>1466</v>
      </c>
      <c r="D76" s="966" t="s">
        <v>1467</v>
      </c>
      <c r="E76" s="1037">
        <v>0.5</v>
      </c>
      <c r="F76" s="1052">
        <v>80</v>
      </c>
    </row>
    <row r="77" spans="1:6" s="1003" customFormat="1" ht="24">
      <c r="A77" s="1052">
        <v>17</v>
      </c>
      <c r="B77" s="3441"/>
      <c r="C77" s="966" t="s">
        <v>1468</v>
      </c>
      <c r="D77" s="966" t="s">
        <v>1469</v>
      </c>
      <c r="E77" s="1037">
        <v>0.5</v>
      </c>
      <c r="F77" s="1052">
        <v>80</v>
      </c>
    </row>
    <row r="78" spans="1:6" s="1003" customFormat="1" ht="24">
      <c r="A78" s="1052">
        <v>18</v>
      </c>
      <c r="B78" s="3441"/>
      <c r="C78" s="966" t="s">
        <v>1470</v>
      </c>
      <c r="D78" s="966" t="s">
        <v>1471</v>
      </c>
      <c r="E78" s="1037">
        <v>0.2</v>
      </c>
      <c r="F78" s="1052">
        <v>30</v>
      </c>
    </row>
    <row r="79" spans="1:6" s="1003" customFormat="1" ht="24">
      <c r="A79" s="1052">
        <v>19</v>
      </c>
      <c r="B79" s="3441"/>
      <c r="C79" s="966" t="s">
        <v>1472</v>
      </c>
      <c r="D79" s="966" t="s">
        <v>1473</v>
      </c>
      <c r="E79" s="1037">
        <v>0.5</v>
      </c>
      <c r="F79" s="1052">
        <v>80</v>
      </c>
    </row>
    <row r="80" spans="1:6" s="1003" customFormat="1" ht="36">
      <c r="A80" s="1052">
        <v>20</v>
      </c>
      <c r="B80" s="3441"/>
      <c r="C80" s="966" t="s">
        <v>1474</v>
      </c>
      <c r="D80" s="966" t="s">
        <v>1475</v>
      </c>
      <c r="E80" s="1037">
        <v>0.2</v>
      </c>
      <c r="F80" s="1052">
        <v>30</v>
      </c>
    </row>
    <row r="81" spans="1:6" s="1003" customFormat="1" ht="36">
      <c r="A81" s="1052">
        <v>21</v>
      </c>
      <c r="B81" s="3441"/>
      <c r="C81" s="966" t="s">
        <v>1476</v>
      </c>
      <c r="D81" s="966" t="s">
        <v>1477</v>
      </c>
      <c r="E81" s="1037">
        <v>0.2</v>
      </c>
      <c r="F81" s="1052">
        <v>30</v>
      </c>
    </row>
    <row r="82" spans="1:6" s="1003" customFormat="1" ht="48">
      <c r="A82" s="1052">
        <v>22</v>
      </c>
      <c r="B82" s="3441"/>
      <c r="C82" s="966" t="s">
        <v>1478</v>
      </c>
      <c r="D82" s="966" t="s">
        <v>1479</v>
      </c>
      <c r="E82" s="1037">
        <v>0.2</v>
      </c>
      <c r="F82" s="1052">
        <v>30</v>
      </c>
    </row>
    <row r="83" spans="1:6" s="1003" customFormat="1" ht="48">
      <c r="A83" s="1052">
        <v>23</v>
      </c>
      <c r="B83" s="3441"/>
      <c r="C83" s="966" t="s">
        <v>1480</v>
      </c>
      <c r="D83" s="966" t="s">
        <v>1481</v>
      </c>
      <c r="E83" s="1037">
        <v>0.2</v>
      </c>
      <c r="F83" s="1052">
        <v>30</v>
      </c>
    </row>
    <row r="84" spans="1:6" s="1003" customFormat="1" ht="36">
      <c r="A84" s="1052">
        <v>24</v>
      </c>
      <c r="B84" s="3441"/>
      <c r="C84" s="966" t="s">
        <v>1482</v>
      </c>
      <c r="D84" s="966" t="s">
        <v>1483</v>
      </c>
      <c r="E84" s="1037">
        <v>0.2</v>
      </c>
      <c r="F84" s="1052">
        <v>30</v>
      </c>
    </row>
    <row r="85" spans="1:6" s="1003" customFormat="1" ht="36">
      <c r="A85" s="1052">
        <v>25</v>
      </c>
      <c r="B85" s="3441"/>
      <c r="C85" s="966" t="s">
        <v>1484</v>
      </c>
      <c r="D85" s="966" t="s">
        <v>1485</v>
      </c>
      <c r="E85" s="1037">
        <v>0.5</v>
      </c>
      <c r="F85" s="1052">
        <v>80</v>
      </c>
    </row>
    <row r="86" spans="1:6" s="1003" customFormat="1" ht="36">
      <c r="A86" s="1052">
        <v>26</v>
      </c>
      <c r="B86" s="3441"/>
      <c r="C86" s="966" t="s">
        <v>1486</v>
      </c>
      <c r="D86" s="966" t="s">
        <v>1487</v>
      </c>
      <c r="E86" s="1037">
        <v>0.2</v>
      </c>
      <c r="F86" s="1052">
        <v>30</v>
      </c>
    </row>
    <row r="87" spans="1:6" s="1003" customFormat="1" ht="36">
      <c r="A87" s="1052">
        <v>27</v>
      </c>
      <c r="B87" s="3441"/>
      <c r="C87" s="966" t="s">
        <v>1488</v>
      </c>
      <c r="D87" s="966" t="s">
        <v>1489</v>
      </c>
      <c r="E87" s="1037">
        <v>0.2</v>
      </c>
      <c r="F87" s="1052">
        <v>30</v>
      </c>
    </row>
    <row r="88" spans="1:6" s="1003" customFormat="1" ht="36">
      <c r="A88" s="1052">
        <v>28</v>
      </c>
      <c r="B88" s="3441"/>
      <c r="C88" s="966" t="s">
        <v>1490</v>
      </c>
      <c r="D88" s="966" t="s">
        <v>1491</v>
      </c>
      <c r="E88" s="1037">
        <v>0.2</v>
      </c>
      <c r="F88" s="1052">
        <v>30</v>
      </c>
    </row>
    <row r="89" spans="1:6" s="1003" customFormat="1" ht="24">
      <c r="A89" s="1052">
        <v>29</v>
      </c>
      <c r="B89" s="3441"/>
      <c r="C89" s="966" t="s">
        <v>1492</v>
      </c>
      <c r="D89" s="966" t="s">
        <v>1493</v>
      </c>
      <c r="E89" s="1037">
        <v>0.2</v>
      </c>
      <c r="F89" s="1052">
        <v>30</v>
      </c>
    </row>
    <row r="90" spans="1:6" s="1003" customFormat="1" ht="24">
      <c r="A90" s="1052">
        <v>30</v>
      </c>
      <c r="B90" s="3441"/>
      <c r="C90" s="966" t="s">
        <v>1494</v>
      </c>
      <c r="D90" s="966" t="s">
        <v>1495</v>
      </c>
      <c r="E90" s="1037">
        <v>0.2</v>
      </c>
      <c r="F90" s="1052">
        <v>30</v>
      </c>
    </row>
    <row r="91" spans="1:6" s="1003" customFormat="1" ht="36">
      <c r="A91" s="1052">
        <v>31</v>
      </c>
      <c r="B91" s="3441"/>
      <c r="C91" s="966" t="s">
        <v>1496</v>
      </c>
      <c r="D91" s="966" t="s">
        <v>1497</v>
      </c>
      <c r="E91" s="1037">
        <v>0.2</v>
      </c>
      <c r="F91" s="1052">
        <v>30</v>
      </c>
    </row>
    <row r="92" spans="1:6" s="1003" customFormat="1" ht="24">
      <c r="A92" s="1052">
        <v>32</v>
      </c>
      <c r="B92" s="3441" t="s">
        <v>1498</v>
      </c>
      <c r="C92" s="1052" t="s">
        <v>1499</v>
      </c>
      <c r="D92" s="966" t="s">
        <v>1500</v>
      </c>
      <c r="E92" s="1037">
        <v>0.2</v>
      </c>
      <c r="F92" s="1052">
        <v>30</v>
      </c>
    </row>
    <row r="93" spans="1:6" s="1003" customFormat="1" ht="36">
      <c r="A93" s="1052">
        <v>33</v>
      </c>
      <c r="B93" s="3441"/>
      <c r="C93" s="1052" t="s">
        <v>1501</v>
      </c>
      <c r="D93" s="966" t="s">
        <v>1502</v>
      </c>
      <c r="E93" s="1037">
        <v>0.2</v>
      </c>
      <c r="F93" s="1052">
        <v>30</v>
      </c>
    </row>
    <row r="94" spans="1:6" s="1003" customFormat="1" ht="48">
      <c r="A94" s="1052">
        <v>34</v>
      </c>
      <c r="B94" s="3441"/>
      <c r="C94" s="1052" t="s">
        <v>1503</v>
      </c>
      <c r="D94" s="966" t="s">
        <v>1504</v>
      </c>
      <c r="E94" s="1037">
        <v>0.2</v>
      </c>
      <c r="F94" s="1052">
        <v>30</v>
      </c>
    </row>
    <row r="95" spans="1:6" s="1003" customFormat="1" ht="36">
      <c r="A95" s="1052">
        <v>35</v>
      </c>
      <c r="B95" s="3441"/>
      <c r="C95" s="1052" t="s">
        <v>1505</v>
      </c>
      <c r="D95" s="966" t="s">
        <v>1506</v>
      </c>
      <c r="E95" s="1037">
        <v>0.2</v>
      </c>
      <c r="F95" s="1052">
        <v>30</v>
      </c>
    </row>
    <row r="96" spans="1:6" s="1003" customFormat="1" ht="48">
      <c r="A96" s="1052">
        <v>36</v>
      </c>
      <c r="B96" s="3441"/>
      <c r="C96" s="966" t="s">
        <v>1507</v>
      </c>
      <c r="D96" s="966" t="s">
        <v>1508</v>
      </c>
      <c r="E96" s="1037">
        <v>0.2</v>
      </c>
      <c r="F96" s="1052">
        <v>30</v>
      </c>
    </row>
    <row r="97" spans="1:6" s="1003" customFormat="1" ht="36">
      <c r="A97" s="1052">
        <v>37</v>
      </c>
      <c r="B97" s="3441"/>
      <c r="C97" s="1052" t="s">
        <v>1509</v>
      </c>
      <c r="D97" s="966" t="s">
        <v>1510</v>
      </c>
      <c r="E97" s="1037">
        <v>0.2</v>
      </c>
      <c r="F97" s="1052">
        <v>30</v>
      </c>
    </row>
    <row r="98" spans="1:6" s="1003" customFormat="1" ht="36">
      <c r="A98" s="1052">
        <v>38</v>
      </c>
      <c r="B98" s="3441"/>
      <c r="C98" s="1052" t="s">
        <v>1511</v>
      </c>
      <c r="D98" s="966" t="s">
        <v>1512</v>
      </c>
      <c r="E98" s="1037">
        <v>0.2</v>
      </c>
      <c r="F98" s="1052">
        <v>30</v>
      </c>
    </row>
    <row r="99" spans="1:6" s="1003" customFormat="1" ht="36">
      <c r="A99" s="1052">
        <v>39</v>
      </c>
      <c r="B99" s="3441" t="s">
        <v>1513</v>
      </c>
      <c r="C99" s="1052" t="s">
        <v>1514</v>
      </c>
      <c r="D99" s="966" t="s">
        <v>1515</v>
      </c>
      <c r="E99" s="1037">
        <v>0.3</v>
      </c>
      <c r="F99" s="1052">
        <v>50</v>
      </c>
    </row>
    <row r="100" spans="1:6" s="1003" customFormat="1" ht="24">
      <c r="A100" s="1052">
        <v>40</v>
      </c>
      <c r="B100" s="3441"/>
      <c r="C100" s="1052" t="s">
        <v>1516</v>
      </c>
      <c r="D100" s="966" t="s">
        <v>1517</v>
      </c>
      <c r="E100" s="1037">
        <v>0.2</v>
      </c>
      <c r="F100" s="1052">
        <v>30</v>
      </c>
    </row>
    <row r="101" spans="1:6" s="1003" customFormat="1" ht="36">
      <c r="A101" s="1052">
        <v>41</v>
      </c>
      <c r="B101" s="3441"/>
      <c r="C101" s="1052" t="s">
        <v>1518</v>
      </c>
      <c r="D101" s="966" t="s">
        <v>1515</v>
      </c>
      <c r="E101" s="1037">
        <v>0.2</v>
      </c>
      <c r="F101" s="1052">
        <v>30</v>
      </c>
    </row>
    <row r="102" spans="1:6" s="1003" customFormat="1" ht="48">
      <c r="A102" s="1052">
        <v>42</v>
      </c>
      <c r="B102" s="1052" t="s">
        <v>1519</v>
      </c>
      <c r="C102" s="966" t="s">
        <v>1520</v>
      </c>
      <c r="D102" s="966" t="s">
        <v>1521</v>
      </c>
      <c r="E102" s="1037">
        <v>0.2</v>
      </c>
      <c r="F102" s="1052">
        <v>30</v>
      </c>
    </row>
    <row r="103" spans="1:6" s="1003" customFormat="1" ht="24">
      <c r="A103" s="1052">
        <v>43</v>
      </c>
      <c r="B103" s="1052" t="s">
        <v>1522</v>
      </c>
      <c r="C103" s="1052" t="s">
        <v>1523</v>
      </c>
      <c r="D103" s="966" t="s">
        <v>1524</v>
      </c>
      <c r="E103" s="1037">
        <v>0.2</v>
      </c>
      <c r="F103" s="1052">
        <v>30</v>
      </c>
    </row>
    <row r="104" spans="1:6" s="1003" customFormat="1" ht="36">
      <c r="A104" s="1052">
        <v>44</v>
      </c>
      <c r="B104" s="1052" t="s">
        <v>1525</v>
      </c>
      <c r="C104" s="1052" t="s">
        <v>1526</v>
      </c>
      <c r="D104" s="966" t="s">
        <v>1527</v>
      </c>
      <c r="E104" s="1037">
        <v>0.2</v>
      </c>
      <c r="F104" s="1052">
        <v>30</v>
      </c>
    </row>
    <row r="105" spans="1:6" s="1003" customFormat="1" ht="36">
      <c r="A105" s="1052">
        <v>45</v>
      </c>
      <c r="B105" s="3441" t="s">
        <v>1528</v>
      </c>
      <c r="C105" s="1052" t="s">
        <v>1529</v>
      </c>
      <c r="D105" s="966" t="s">
        <v>1530</v>
      </c>
      <c r="E105" s="1037">
        <v>0.2</v>
      </c>
      <c r="F105" s="1052">
        <v>30</v>
      </c>
    </row>
    <row r="106" spans="1:6" s="1003" customFormat="1" ht="36">
      <c r="A106" s="1052">
        <v>46</v>
      </c>
      <c r="B106" s="3441"/>
      <c r="C106" s="1052" t="s">
        <v>1531</v>
      </c>
      <c r="D106" s="966" t="s">
        <v>1532</v>
      </c>
      <c r="E106" s="1037">
        <v>0.2</v>
      </c>
      <c r="F106" s="1052">
        <v>30</v>
      </c>
    </row>
    <row r="107" spans="1:6" s="1003" customFormat="1" ht="36">
      <c r="A107" s="1052">
        <v>47</v>
      </c>
      <c r="B107" s="3441" t="s">
        <v>1533</v>
      </c>
      <c r="C107" s="1052" t="s">
        <v>1534</v>
      </c>
      <c r="D107" s="966" t="s">
        <v>1535</v>
      </c>
      <c r="E107" s="1037">
        <v>0.3</v>
      </c>
      <c r="F107" s="1052">
        <v>50</v>
      </c>
    </row>
    <row r="108" spans="1:6" s="1003" customFormat="1" ht="36">
      <c r="A108" s="1052">
        <v>48</v>
      </c>
      <c r="B108" s="3441"/>
      <c r="C108" s="1052" t="s">
        <v>1536</v>
      </c>
      <c r="D108" s="966" t="s">
        <v>1537</v>
      </c>
      <c r="E108" s="1037">
        <v>0.2</v>
      </c>
      <c r="F108" s="1052">
        <v>30</v>
      </c>
    </row>
    <row r="109" spans="1:6" s="1003" customFormat="1" ht="36">
      <c r="A109" s="1052">
        <v>49</v>
      </c>
      <c r="B109" s="1052" t="s">
        <v>1538</v>
      </c>
      <c r="C109" s="1052" t="s">
        <v>1539</v>
      </c>
      <c r="D109" s="966" t="s">
        <v>1540</v>
      </c>
      <c r="E109" s="1037">
        <v>0.2</v>
      </c>
      <c r="F109" s="1052">
        <v>30</v>
      </c>
    </row>
    <row r="110" spans="1:6" s="1003" customFormat="1" ht="36">
      <c r="A110" s="1052">
        <v>50</v>
      </c>
      <c r="B110" s="1052" t="s">
        <v>1541</v>
      </c>
      <c r="C110" s="1052" t="s">
        <v>1542</v>
      </c>
      <c r="D110" s="966" t="s">
        <v>1543</v>
      </c>
      <c r="E110" s="1037">
        <v>0.2</v>
      </c>
      <c r="F110" s="1052">
        <v>30</v>
      </c>
    </row>
    <row r="111" spans="1:6" s="1003" customFormat="1" ht="36">
      <c r="A111" s="1052">
        <v>51</v>
      </c>
      <c r="B111" s="3441" t="s">
        <v>1544</v>
      </c>
      <c r="C111" s="1052" t="s">
        <v>1545</v>
      </c>
      <c r="D111" s="966" t="s">
        <v>1546</v>
      </c>
      <c r="E111" s="1037">
        <v>0.2</v>
      </c>
      <c r="F111" s="1052">
        <v>30</v>
      </c>
    </row>
    <row r="112" spans="1:6" s="1003" customFormat="1" ht="24">
      <c r="A112" s="1052">
        <v>52</v>
      </c>
      <c r="B112" s="3441"/>
      <c r="C112" s="1052" t="s">
        <v>1547</v>
      </c>
      <c r="D112" s="966" t="s">
        <v>1548</v>
      </c>
      <c r="E112" s="1037">
        <v>0.2</v>
      </c>
      <c r="F112" s="1052">
        <v>30</v>
      </c>
    </row>
    <row r="113" spans="1:14" s="1003" customFormat="1" ht="24">
      <c r="A113" s="1052">
        <v>53</v>
      </c>
      <c r="B113" s="3441"/>
      <c r="C113" s="1052" t="s">
        <v>1549</v>
      </c>
      <c r="D113" s="966" t="s">
        <v>1550</v>
      </c>
      <c r="E113" s="1037">
        <v>0.2</v>
      </c>
      <c r="F113" s="1052">
        <v>30</v>
      </c>
    </row>
    <row r="114" spans="1:14" ht="36">
      <c r="A114" s="1052">
        <v>54</v>
      </c>
      <c r="B114" s="1052" t="s">
        <v>1551</v>
      </c>
      <c r="C114" s="1052" t="s">
        <v>1552</v>
      </c>
      <c r="D114" s="966" t="s">
        <v>1553</v>
      </c>
      <c r="E114" s="1037">
        <v>0.2</v>
      </c>
      <c r="F114" s="1052">
        <v>30</v>
      </c>
    </row>
    <row r="115" spans="1:14" ht="24">
      <c r="A115" s="1052">
        <v>55</v>
      </c>
      <c r="B115" s="1052" t="s">
        <v>1554</v>
      </c>
      <c r="C115" s="1052" t="s">
        <v>1555</v>
      </c>
      <c r="D115" s="966" t="s">
        <v>1556</v>
      </c>
      <c r="E115" s="1037">
        <v>0.2</v>
      </c>
      <c r="F115" s="1052">
        <v>30</v>
      </c>
    </row>
    <row r="116" spans="1:14" ht="24">
      <c r="A116" s="1052">
        <v>56</v>
      </c>
      <c r="B116" s="3441" t="s">
        <v>1557</v>
      </c>
      <c r="C116" s="1052" t="s">
        <v>1558</v>
      </c>
      <c r="D116" s="966" t="s">
        <v>1559</v>
      </c>
      <c r="E116" s="1037">
        <v>0.2</v>
      </c>
      <c r="F116" s="1052">
        <v>30</v>
      </c>
    </row>
    <row r="117" spans="1:14" ht="36">
      <c r="A117" s="1052">
        <v>57</v>
      </c>
      <c r="B117" s="3441"/>
      <c r="C117" s="1052" t="s">
        <v>1560</v>
      </c>
      <c r="D117" s="966" t="s">
        <v>1561</v>
      </c>
      <c r="E117" s="1037">
        <v>0.2</v>
      </c>
      <c r="F117" s="1052">
        <v>30</v>
      </c>
    </row>
    <row r="118" spans="1:14" ht="36">
      <c r="A118" s="1052">
        <v>58</v>
      </c>
      <c r="B118" s="1052" t="s">
        <v>1562</v>
      </c>
      <c r="C118" s="1052" t="s">
        <v>1563</v>
      </c>
      <c r="D118" s="966" t="s">
        <v>1564</v>
      </c>
      <c r="E118" s="1037">
        <v>0.2</v>
      </c>
      <c r="F118" s="1052">
        <v>30</v>
      </c>
    </row>
    <row r="119" spans="1:14" ht="13.5">
      <c r="A119" s="1052"/>
      <c r="B119" s="1052"/>
      <c r="C119" s="1052"/>
      <c r="D119" s="1052"/>
      <c r="E119" s="1037"/>
      <c r="F119" s="1052"/>
    </row>
    <row r="121" spans="1:14" ht="19.5" customHeight="1">
      <c r="A121" s="3440" t="s">
        <v>1566</v>
      </c>
      <c r="B121" s="3440"/>
      <c r="C121" s="3440"/>
      <c r="D121" s="3440"/>
      <c r="E121" s="3440"/>
      <c r="F121" s="3440"/>
      <c r="G121" s="3440"/>
      <c r="H121" s="3440"/>
      <c r="I121" s="3440"/>
      <c r="J121" s="3440"/>
      <c r="K121" s="1053"/>
      <c r="L121" s="1053"/>
      <c r="M121" s="1053"/>
      <c r="N121" s="10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03" customWidth="1"/>
    <col min="2" max="5" width="10.25" style="964" customWidth="1"/>
    <col min="6" max="6" width="9" style="964"/>
    <col min="7" max="7" width="9" style="967"/>
    <col min="8" max="8" width="9" style="964"/>
    <col min="9" max="9" width="9" style="967"/>
    <col min="10" max="16384" width="9" style="964"/>
  </cols>
  <sheetData>
    <row r="1" spans="1:20">
      <c r="A1" s="3445" t="s">
        <v>972</v>
      </c>
      <c r="B1" s="3445"/>
      <c r="C1" s="3445"/>
      <c r="D1" s="3445"/>
      <c r="E1" s="3445"/>
      <c r="F1" s="3445"/>
      <c r="H1" s="968"/>
      <c r="I1" s="969" t="s">
        <v>973</v>
      </c>
      <c r="J1" s="970" t="s">
        <v>974</v>
      </c>
      <c r="K1" s="970" t="s">
        <v>975</v>
      </c>
      <c r="L1" s="970" t="s">
        <v>976</v>
      </c>
      <c r="M1" s="970" t="s">
        <v>977</v>
      </c>
      <c r="N1" s="970" t="s">
        <v>978</v>
      </c>
      <c r="O1" s="970" t="s">
        <v>979</v>
      </c>
      <c r="P1" s="970" t="s">
        <v>980</v>
      </c>
      <c r="Q1" s="970" t="s">
        <v>981</v>
      </c>
      <c r="R1" s="970" t="s">
        <v>982</v>
      </c>
      <c r="S1" s="970" t="s">
        <v>983</v>
      </c>
      <c r="T1" s="971" t="s">
        <v>984</v>
      </c>
    </row>
    <row r="2" spans="1:20" ht="14.25" thickBot="1">
      <c r="A2" s="3446" t="s">
        <v>985</v>
      </c>
      <c r="B2" s="3446"/>
      <c r="C2" s="3446"/>
      <c r="D2" s="3446"/>
      <c r="E2" s="3446"/>
      <c r="F2" s="3446"/>
      <c r="I2" s="972" t="s">
        <v>986</v>
      </c>
      <c r="J2" s="973" t="s">
        <v>987</v>
      </c>
      <c r="K2" s="973" t="s">
        <v>988</v>
      </c>
      <c r="L2" s="973" t="s">
        <v>989</v>
      </c>
      <c r="M2" s="973" t="s">
        <v>990</v>
      </c>
      <c r="N2" s="973" t="s">
        <v>991</v>
      </c>
      <c r="O2" s="973" t="s">
        <v>992</v>
      </c>
      <c r="P2" s="973" t="s">
        <v>993</v>
      </c>
      <c r="Q2" s="973" t="s">
        <v>994</v>
      </c>
      <c r="R2" s="973" t="s">
        <v>995</v>
      </c>
      <c r="S2" s="973" t="s">
        <v>996</v>
      </c>
      <c r="T2" s="973" t="s">
        <v>997</v>
      </c>
    </row>
    <row r="3" spans="1:20" s="968" customFormat="1" ht="19.5" customHeight="1">
      <c r="A3" s="3447" t="s">
        <v>998</v>
      </c>
      <c r="B3" s="974"/>
      <c r="C3" s="975" t="s">
        <v>999</v>
      </c>
      <c r="D3" s="975" t="s">
        <v>1000</v>
      </c>
      <c r="E3" s="975" t="s">
        <v>1001</v>
      </c>
      <c r="F3" s="975" t="s">
        <v>1002</v>
      </c>
      <c r="G3" s="976"/>
      <c r="I3" s="972" t="s">
        <v>1003</v>
      </c>
      <c r="J3" s="973" t="s">
        <v>1004</v>
      </c>
      <c r="K3" s="973" t="s">
        <v>1005</v>
      </c>
      <c r="L3" s="973" t="s">
        <v>1006</v>
      </c>
      <c r="M3" s="973" t="s">
        <v>1007</v>
      </c>
      <c r="N3" s="973" t="s">
        <v>1008</v>
      </c>
      <c r="O3" s="973" t="s">
        <v>1009</v>
      </c>
      <c r="P3" s="973" t="s">
        <v>1010</v>
      </c>
      <c r="Q3" s="973" t="s">
        <v>1011</v>
      </c>
      <c r="R3" s="973" t="s">
        <v>1012</v>
      </c>
      <c r="S3" s="973" t="s">
        <v>1013</v>
      </c>
      <c r="T3" s="973" t="s">
        <v>1014</v>
      </c>
    </row>
    <row r="4" spans="1:20" s="968" customFormat="1" ht="19.5" customHeight="1" thickBot="1">
      <c r="A4" s="3448"/>
      <c r="B4" s="977" t="s">
        <v>1015</v>
      </c>
      <c r="C4" s="977" t="s">
        <v>1016</v>
      </c>
      <c r="D4" s="977" t="s">
        <v>1016</v>
      </c>
      <c r="E4" s="977" t="s">
        <v>1016</v>
      </c>
      <c r="F4" s="978" t="s">
        <v>1016</v>
      </c>
      <c r="G4" s="976"/>
      <c r="I4" s="972" t="s">
        <v>1017</v>
      </c>
      <c r="J4" s="973" t="s">
        <v>1018</v>
      </c>
      <c r="K4" s="973" t="s">
        <v>1019</v>
      </c>
      <c r="L4" s="973" t="s">
        <v>1020</v>
      </c>
      <c r="M4" s="973" t="s">
        <v>1021</v>
      </c>
      <c r="N4" s="973" t="s">
        <v>1022</v>
      </c>
      <c r="O4" s="973" t="s">
        <v>1023</v>
      </c>
      <c r="P4" s="973" t="s">
        <v>1024</v>
      </c>
      <c r="Q4" s="973" t="s">
        <v>1025</v>
      </c>
      <c r="R4" s="973" t="s">
        <v>1026</v>
      </c>
      <c r="S4" s="973" t="s">
        <v>1027</v>
      </c>
      <c r="T4" s="973" t="s">
        <v>1028</v>
      </c>
    </row>
    <row r="5" spans="1:20" ht="14.25" customHeight="1" thickBot="1">
      <c r="A5" s="979" t="s">
        <v>1029</v>
      </c>
      <c r="B5" s="980" t="s">
        <v>986</v>
      </c>
      <c r="C5" s="980">
        <v>29530</v>
      </c>
      <c r="D5" s="980">
        <v>28130</v>
      </c>
      <c r="E5" s="980">
        <v>27930</v>
      </c>
      <c r="F5" s="981">
        <v>11300</v>
      </c>
      <c r="G5" s="982" t="s">
        <v>973</v>
      </c>
      <c r="H5" s="983">
        <f>SUMPRODUCT((B5:B9=基准地价!I2)*(C3:F3=基准地价!E2)*(C5:F9))</f>
        <v>0</v>
      </c>
      <c r="I5" s="972" t="s">
        <v>1030</v>
      </c>
      <c r="J5" s="973" t="s">
        <v>1031</v>
      </c>
      <c r="K5" s="973" t="s">
        <v>1032</v>
      </c>
      <c r="L5" s="973" t="s">
        <v>1033</v>
      </c>
      <c r="M5" s="973" t="s">
        <v>1034</v>
      </c>
      <c r="N5" s="973" t="s">
        <v>1035</v>
      </c>
      <c r="O5" s="973" t="s">
        <v>1036</v>
      </c>
      <c r="P5" s="973" t="s">
        <v>1037</v>
      </c>
      <c r="Q5" s="973" t="s">
        <v>1038</v>
      </c>
      <c r="R5" s="973" t="s">
        <v>1039</v>
      </c>
      <c r="S5" s="973" t="s">
        <v>1040</v>
      </c>
      <c r="T5" s="973" t="s">
        <v>1041</v>
      </c>
    </row>
    <row r="6" spans="1:20" ht="14.25" customHeight="1" thickBot="1">
      <c r="A6" s="979" t="s">
        <v>1029</v>
      </c>
      <c r="B6" s="973" t="s">
        <v>1042</v>
      </c>
      <c r="C6" s="973">
        <v>30290</v>
      </c>
      <c r="D6" s="973">
        <v>29210</v>
      </c>
      <c r="E6" s="973">
        <v>28860</v>
      </c>
      <c r="F6" s="984">
        <v>12600</v>
      </c>
      <c r="G6" s="985" t="s">
        <v>1043</v>
      </c>
      <c r="H6" s="986">
        <f>SUMPRODUCT((B10:B28=基准地价!I2)*(C3:F3=基准地价!E2)*(C10:F28))</f>
        <v>0</v>
      </c>
      <c r="I6" s="972" t="s">
        <v>1044</v>
      </c>
      <c r="J6" s="973" t="s">
        <v>1045</v>
      </c>
      <c r="K6" s="973" t="s">
        <v>1046</v>
      </c>
      <c r="L6" s="973" t="s">
        <v>1047</v>
      </c>
      <c r="M6" s="973" t="s">
        <v>1048</v>
      </c>
      <c r="N6" s="973" t="s">
        <v>1049</v>
      </c>
      <c r="O6" s="973" t="s">
        <v>1050</v>
      </c>
      <c r="P6" s="973" t="s">
        <v>1051</v>
      </c>
      <c r="Q6" s="973" t="s">
        <v>1052</v>
      </c>
      <c r="R6" s="973" t="s">
        <v>1053</v>
      </c>
      <c r="S6" s="973" t="s">
        <v>1054</v>
      </c>
      <c r="T6" s="973" t="s">
        <v>1055</v>
      </c>
    </row>
    <row r="7" spans="1:20" ht="14.25" customHeight="1" thickBot="1">
      <c r="A7" s="979" t="s">
        <v>1029</v>
      </c>
      <c r="B7" s="987" t="s">
        <v>1017</v>
      </c>
      <c r="C7" s="973">
        <v>29350</v>
      </c>
      <c r="D7" s="973">
        <v>28410</v>
      </c>
      <c r="E7" s="973">
        <v>27990</v>
      </c>
      <c r="F7" s="984">
        <v>12300</v>
      </c>
      <c r="G7" s="985" t="s">
        <v>841</v>
      </c>
      <c r="H7" s="986">
        <f>SUMPRODUCT((B29:B48=基准地价!I2)*(C3:F3=基准地价!E2)*(C29:F48))</f>
        <v>0</v>
      </c>
      <c r="J7" s="973" t="s">
        <v>1056</v>
      </c>
      <c r="K7" s="973" t="s">
        <v>1057</v>
      </c>
      <c r="L7" s="973" t="s">
        <v>1058</v>
      </c>
      <c r="M7" s="973" t="s">
        <v>1059</v>
      </c>
      <c r="N7" s="973" t="s">
        <v>1060</v>
      </c>
      <c r="O7" s="973" t="s">
        <v>1061</v>
      </c>
      <c r="P7" s="973" t="s">
        <v>1062</v>
      </c>
      <c r="Q7" s="973" t="s">
        <v>1063</v>
      </c>
      <c r="R7" s="973" t="s">
        <v>1064</v>
      </c>
      <c r="S7" s="973" t="s">
        <v>1065</v>
      </c>
      <c r="T7" s="987" t="s">
        <v>1066</v>
      </c>
    </row>
    <row r="8" spans="1:20" ht="14.25" customHeight="1" thickBot="1">
      <c r="A8" s="979" t="s">
        <v>1029</v>
      </c>
      <c r="B8" s="973" t="s">
        <v>1030</v>
      </c>
      <c r="C8" s="973">
        <v>30890</v>
      </c>
      <c r="D8" s="973">
        <v>29780</v>
      </c>
      <c r="E8" s="973">
        <v>29270</v>
      </c>
      <c r="F8" s="984">
        <v>11600</v>
      </c>
      <c r="G8" s="985" t="s">
        <v>842</v>
      </c>
      <c r="H8" s="986">
        <f>SUMPRODUCT((B49:B75=基准地价!I2)*(C3:F3=基准地价!E2)*(C49:F75))</f>
        <v>0</v>
      </c>
      <c r="J8" s="973" t="s">
        <v>1067</v>
      </c>
      <c r="K8" s="973" t="s">
        <v>1068</v>
      </c>
      <c r="L8" s="973" t="s">
        <v>1069</v>
      </c>
      <c r="M8" s="973" t="s">
        <v>1070</v>
      </c>
      <c r="N8" s="973" t="s">
        <v>1071</v>
      </c>
      <c r="O8" s="973" t="s">
        <v>1072</v>
      </c>
      <c r="P8" s="973" t="s">
        <v>1073</v>
      </c>
      <c r="Q8" s="973" t="s">
        <v>1074</v>
      </c>
      <c r="R8" s="973" t="s">
        <v>1075</v>
      </c>
      <c r="S8" s="973" t="s">
        <v>1076</v>
      </c>
      <c r="T8" s="973" t="s">
        <v>1077</v>
      </c>
    </row>
    <row r="9" spans="1:20" ht="14.25" customHeight="1" thickBot="1">
      <c r="A9" s="979" t="s">
        <v>1029</v>
      </c>
      <c r="B9" s="988" t="s">
        <v>1044</v>
      </c>
      <c r="C9" s="989">
        <v>28140</v>
      </c>
      <c r="D9" s="989"/>
      <c r="E9" s="989"/>
      <c r="F9" s="990"/>
      <c r="G9" s="985" t="s">
        <v>843</v>
      </c>
      <c r="H9" s="986">
        <f>SUMPRODUCT((B76:B109=基准地价!I2)*(C3:F3=基准地价!E2)*(C76:F109))</f>
        <v>0</v>
      </c>
      <c r="J9" s="973" t="s">
        <v>1078</v>
      </c>
      <c r="K9" s="973" t="s">
        <v>1079</v>
      </c>
      <c r="L9" s="973" t="s">
        <v>1080</v>
      </c>
      <c r="M9" s="973" t="s">
        <v>1081</v>
      </c>
      <c r="N9" s="973" t="s">
        <v>1082</v>
      </c>
      <c r="O9" s="973" t="s">
        <v>1083</v>
      </c>
      <c r="P9" s="973" t="s">
        <v>1084</v>
      </c>
      <c r="Q9" s="973" t="s">
        <v>1085</v>
      </c>
      <c r="R9" s="973" t="s">
        <v>1086</v>
      </c>
      <c r="S9" s="973" t="s">
        <v>1087</v>
      </c>
    </row>
    <row r="10" spans="1:20" ht="14.25" customHeight="1" thickBot="1">
      <c r="A10" s="979" t="s">
        <v>1088</v>
      </c>
      <c r="B10" s="980" t="s">
        <v>1089</v>
      </c>
      <c r="C10" s="980">
        <v>27450</v>
      </c>
      <c r="D10" s="980">
        <v>26180</v>
      </c>
      <c r="E10" s="980">
        <v>25980</v>
      </c>
      <c r="F10" s="981">
        <v>8910</v>
      </c>
      <c r="G10" s="985" t="s">
        <v>844</v>
      </c>
      <c r="H10" s="986">
        <f>SUMPRODUCT((B110:B157=基准地价!I2)*(C3:F3=基准地价!E2)*(C110:F157))</f>
        <v>0</v>
      </c>
      <c r="J10" s="973" t="s">
        <v>1090</v>
      </c>
      <c r="K10" s="973" t="s">
        <v>1091</v>
      </c>
      <c r="L10" s="973" t="s">
        <v>1092</v>
      </c>
      <c r="M10" s="973" t="s">
        <v>1093</v>
      </c>
      <c r="N10" s="973" t="s">
        <v>1094</v>
      </c>
      <c r="O10" s="973" t="s">
        <v>1095</v>
      </c>
      <c r="P10" s="973" t="s">
        <v>1096</v>
      </c>
      <c r="Q10" s="973" t="s">
        <v>1097</v>
      </c>
      <c r="R10" s="973" t="s">
        <v>1098</v>
      </c>
      <c r="S10" s="973" t="s">
        <v>1099</v>
      </c>
    </row>
    <row r="11" spans="1:20" ht="14.25" customHeight="1" thickBot="1">
      <c r="A11" s="979" t="s">
        <v>1088</v>
      </c>
      <c r="B11" s="987" t="s">
        <v>1004</v>
      </c>
      <c r="C11" s="973">
        <v>22950</v>
      </c>
      <c r="D11" s="973">
        <v>22630</v>
      </c>
      <c r="E11" s="973">
        <v>22030</v>
      </c>
      <c r="F11" s="991">
        <v>8330</v>
      </c>
      <c r="G11" s="985" t="s">
        <v>845</v>
      </c>
      <c r="H11" s="986">
        <f>SUMPRODUCT((B158:B205=基准地价!I2)*(C3:F3=基准地价!E2)*(C158:F205))</f>
        <v>0</v>
      </c>
      <c r="J11" s="973" t="s">
        <v>1100</v>
      </c>
      <c r="K11" s="973" t="s">
        <v>1101</v>
      </c>
      <c r="L11" s="973" t="s">
        <v>1102</v>
      </c>
      <c r="M11" s="973" t="s">
        <v>1103</v>
      </c>
      <c r="N11" s="973" t="s">
        <v>1104</v>
      </c>
      <c r="O11" s="973" t="s">
        <v>1105</v>
      </c>
      <c r="P11" s="973" t="s">
        <v>1106</v>
      </c>
      <c r="Q11" s="973" t="s">
        <v>1107</v>
      </c>
      <c r="R11" s="973" t="s">
        <v>1108</v>
      </c>
      <c r="S11" s="973" t="s">
        <v>1109</v>
      </c>
    </row>
    <row r="12" spans="1:20" ht="14.25" customHeight="1" thickBot="1">
      <c r="A12" s="979" t="s">
        <v>1088</v>
      </c>
      <c r="B12" s="987" t="s">
        <v>1018</v>
      </c>
      <c r="C12" s="973">
        <v>24940</v>
      </c>
      <c r="D12" s="973">
        <v>23180</v>
      </c>
      <c r="E12" s="973">
        <v>22910</v>
      </c>
      <c r="F12" s="991">
        <v>7180</v>
      </c>
      <c r="G12" s="985" t="s">
        <v>846</v>
      </c>
      <c r="H12" s="986">
        <f>SUMPRODUCT((B206:B244=基准地价!I2)*(C3:F3=基准地价!E2)*(C206:F244))</f>
        <v>0</v>
      </c>
      <c r="J12" s="973" t="s">
        <v>1110</v>
      </c>
      <c r="K12" s="973" t="s">
        <v>1111</v>
      </c>
      <c r="L12" s="973" t="s">
        <v>1112</v>
      </c>
      <c r="M12" s="973" t="s">
        <v>1113</v>
      </c>
      <c r="N12" s="973" t="s">
        <v>1114</v>
      </c>
      <c r="O12" s="973" t="s">
        <v>1115</v>
      </c>
      <c r="P12" s="973" t="s">
        <v>1116</v>
      </c>
      <c r="Q12" s="973" t="s">
        <v>1117</v>
      </c>
      <c r="R12" s="973" t="s">
        <v>1118</v>
      </c>
      <c r="S12" s="973" t="s">
        <v>1119</v>
      </c>
    </row>
    <row r="13" spans="1:20" ht="14.25" customHeight="1" thickBot="1">
      <c r="A13" s="979" t="s">
        <v>1088</v>
      </c>
      <c r="B13" s="987" t="s">
        <v>1031</v>
      </c>
      <c r="C13" s="973">
        <v>24140</v>
      </c>
      <c r="D13" s="973">
        <v>22270</v>
      </c>
      <c r="E13" s="973">
        <v>21950</v>
      </c>
      <c r="F13" s="991">
        <v>7600</v>
      </c>
      <c r="G13" s="985" t="s">
        <v>847</v>
      </c>
      <c r="H13" s="986">
        <f>SUMPRODUCT((B245:B289=基准地价!I2)*(C3:F3=基准地价!E2)*(C245:F289))</f>
        <v>0</v>
      </c>
      <c r="J13" s="973" t="s">
        <v>1120</v>
      </c>
      <c r="K13" s="973" t="s">
        <v>1121</v>
      </c>
      <c r="L13" s="973" t="s">
        <v>1122</v>
      </c>
      <c r="M13" s="973" t="s">
        <v>1123</v>
      </c>
      <c r="N13" s="973" t="s">
        <v>1124</v>
      </c>
      <c r="O13" s="973" t="s">
        <v>1125</v>
      </c>
      <c r="P13" s="973" t="s">
        <v>1126</v>
      </c>
      <c r="Q13" s="973" t="s">
        <v>1127</v>
      </c>
      <c r="R13" s="973" t="s">
        <v>1128</v>
      </c>
      <c r="S13" s="973" t="s">
        <v>1129</v>
      </c>
    </row>
    <row r="14" spans="1:20" ht="14.25" customHeight="1" thickBot="1">
      <c r="A14" s="979" t="s">
        <v>1088</v>
      </c>
      <c r="B14" s="987" t="s">
        <v>1045</v>
      </c>
      <c r="C14" s="973">
        <v>25600</v>
      </c>
      <c r="D14" s="973">
        <v>22260</v>
      </c>
      <c r="E14" s="973">
        <v>22110</v>
      </c>
      <c r="F14" s="991">
        <v>7630</v>
      </c>
      <c r="G14" s="985" t="s">
        <v>848</v>
      </c>
      <c r="H14" s="986">
        <f>SUMPRODUCT((B290:B316=基准地价!I2)*(C3:F3=基准地价!E2)*(C290:F316))</f>
        <v>0</v>
      </c>
      <c r="J14" s="973" t="s">
        <v>1130</v>
      </c>
      <c r="K14" s="973" t="s">
        <v>1131</v>
      </c>
      <c r="L14" s="973" t="s">
        <v>1132</v>
      </c>
      <c r="M14" s="973" t="s">
        <v>1133</v>
      </c>
      <c r="N14" s="973" t="s">
        <v>1134</v>
      </c>
      <c r="O14" s="973" t="s">
        <v>1135</v>
      </c>
      <c r="P14" s="973" t="s">
        <v>1136</v>
      </c>
      <c r="Q14" s="973" t="s">
        <v>1137</v>
      </c>
      <c r="R14" s="973" t="s">
        <v>1138</v>
      </c>
      <c r="S14" s="973" t="s">
        <v>1139</v>
      </c>
    </row>
    <row r="15" spans="1:20" ht="14.25" customHeight="1" thickBot="1">
      <c r="A15" s="979" t="s">
        <v>1088</v>
      </c>
      <c r="B15" s="987" t="s">
        <v>1056</v>
      </c>
      <c r="C15" s="973">
        <v>24760</v>
      </c>
      <c r="D15" s="973">
        <v>24440</v>
      </c>
      <c r="E15" s="973">
        <v>24130</v>
      </c>
      <c r="F15" s="991">
        <v>9480</v>
      </c>
      <c r="G15" s="985" t="s">
        <v>849</v>
      </c>
      <c r="H15" s="986">
        <f>SUMPRODUCT((B317:B337=基准地价!I2)*(C3:F3=基准地价!E2)*(C317:F337))</f>
        <v>0</v>
      </c>
      <c r="J15" s="973" t="s">
        <v>1140</v>
      </c>
      <c r="K15" s="973" t="s">
        <v>1141</v>
      </c>
      <c r="L15" s="973" t="s">
        <v>1142</v>
      </c>
      <c r="M15" s="973" t="s">
        <v>1143</v>
      </c>
      <c r="N15" s="973" t="s">
        <v>1144</v>
      </c>
      <c r="O15" s="973" t="s">
        <v>1145</v>
      </c>
      <c r="P15" s="973" t="s">
        <v>1146</v>
      </c>
      <c r="Q15" s="973" t="s">
        <v>1147</v>
      </c>
      <c r="R15" s="973" t="s">
        <v>1148</v>
      </c>
      <c r="S15" s="973" t="s">
        <v>1149</v>
      </c>
    </row>
    <row r="16" spans="1:20" ht="14.25" customHeight="1" thickBot="1">
      <c r="A16" s="979" t="s">
        <v>1088</v>
      </c>
      <c r="B16" s="987" t="s">
        <v>1067</v>
      </c>
      <c r="C16" s="973">
        <v>22220</v>
      </c>
      <c r="D16" s="973">
        <v>22310</v>
      </c>
      <c r="E16" s="973">
        <v>22000</v>
      </c>
      <c r="F16" s="991">
        <v>8900</v>
      </c>
      <c r="G16" s="992" t="s">
        <v>850</v>
      </c>
      <c r="H16" s="993">
        <f>SUMPRODUCT((B338:B344=基准地价!I2)*(C3:F3=基准地价!E2)*(C338:F344))</f>
        <v>0</v>
      </c>
      <c r="J16" s="973" t="s">
        <v>1150</v>
      </c>
      <c r="K16" s="973" t="s">
        <v>1151</v>
      </c>
      <c r="L16" s="973" t="s">
        <v>1152</v>
      </c>
      <c r="M16" s="973" t="s">
        <v>1153</v>
      </c>
      <c r="N16" s="973" t="s">
        <v>1154</v>
      </c>
      <c r="O16" s="973" t="s">
        <v>1155</v>
      </c>
      <c r="P16" s="973" t="s">
        <v>1156</v>
      </c>
      <c r="Q16" s="973" t="s">
        <v>1157</v>
      </c>
      <c r="R16" s="973" t="s">
        <v>1158</v>
      </c>
      <c r="S16" s="973" t="s">
        <v>1159</v>
      </c>
    </row>
    <row r="17" spans="1:19" ht="14.25" customHeight="1" thickBot="1">
      <c r="A17" s="979" t="s">
        <v>1088</v>
      </c>
      <c r="B17" s="987" t="s">
        <v>1078</v>
      </c>
      <c r="C17" s="973">
        <v>24700</v>
      </c>
      <c r="D17" s="973">
        <v>25150</v>
      </c>
      <c r="E17" s="973">
        <v>24700</v>
      </c>
      <c r="F17" s="994"/>
      <c r="H17" s="995"/>
      <c r="J17" s="973" t="s">
        <v>1160</v>
      </c>
      <c r="K17" s="973" t="s">
        <v>1161</v>
      </c>
      <c r="L17" s="973" t="s">
        <v>1162</v>
      </c>
      <c r="M17" s="973" t="s">
        <v>1163</v>
      </c>
      <c r="N17" s="973" t="s">
        <v>1164</v>
      </c>
      <c r="O17" s="973" t="s">
        <v>1165</v>
      </c>
      <c r="P17" s="973" t="s">
        <v>1166</v>
      </c>
      <c r="Q17" s="973" t="s">
        <v>1167</v>
      </c>
      <c r="R17" s="973" t="s">
        <v>1168</v>
      </c>
      <c r="S17" s="973" t="s">
        <v>1169</v>
      </c>
    </row>
    <row r="18" spans="1:19" ht="14.25" customHeight="1" thickBot="1">
      <c r="A18" s="979" t="s">
        <v>1088</v>
      </c>
      <c r="B18" s="987" t="s">
        <v>1090</v>
      </c>
      <c r="C18" s="973">
        <v>22350</v>
      </c>
      <c r="D18" s="973">
        <v>24340</v>
      </c>
      <c r="E18" s="973">
        <v>24100</v>
      </c>
      <c r="F18" s="994"/>
      <c r="H18" s="995"/>
      <c r="J18" s="973" t="s">
        <v>1170</v>
      </c>
      <c r="K18" s="973" t="s">
        <v>1171</v>
      </c>
      <c r="L18" s="973" t="s">
        <v>1172</v>
      </c>
      <c r="M18" s="973" t="s">
        <v>1173</v>
      </c>
      <c r="N18" s="973" t="s">
        <v>1174</v>
      </c>
      <c r="O18" s="973" t="s">
        <v>1175</v>
      </c>
      <c r="P18" s="973" t="s">
        <v>1176</v>
      </c>
      <c r="Q18" s="973" t="s">
        <v>1177</v>
      </c>
      <c r="R18" s="973" t="s">
        <v>1178</v>
      </c>
      <c r="S18" s="973" t="s">
        <v>1179</v>
      </c>
    </row>
    <row r="19" spans="1:19" ht="14.25" customHeight="1" thickBot="1">
      <c r="A19" s="979" t="s">
        <v>1088</v>
      </c>
      <c r="B19" s="987" t="s">
        <v>1100</v>
      </c>
      <c r="C19" s="973">
        <v>23430</v>
      </c>
      <c r="D19" s="973">
        <v>21580</v>
      </c>
      <c r="E19" s="973">
        <v>21350</v>
      </c>
      <c r="F19" s="994"/>
      <c r="H19" s="995"/>
      <c r="J19" s="973" t="s">
        <v>1180</v>
      </c>
      <c r="K19" s="973" t="s">
        <v>1181</v>
      </c>
      <c r="L19" s="973" t="s">
        <v>1182</v>
      </c>
      <c r="M19" s="973" t="s">
        <v>1183</v>
      </c>
      <c r="N19" s="973" t="s">
        <v>1184</v>
      </c>
      <c r="O19" s="973" t="s">
        <v>1185</v>
      </c>
      <c r="P19" s="973" t="s">
        <v>1186</v>
      </c>
      <c r="Q19" s="973" t="s">
        <v>1187</v>
      </c>
      <c r="R19" s="973" t="s">
        <v>1188</v>
      </c>
      <c r="S19" s="973" t="s">
        <v>1189</v>
      </c>
    </row>
    <row r="20" spans="1:19" ht="14.25" customHeight="1" thickBot="1">
      <c r="A20" s="979" t="s">
        <v>1088</v>
      </c>
      <c r="B20" s="987" t="s">
        <v>1110</v>
      </c>
      <c r="C20" s="973">
        <v>27660</v>
      </c>
      <c r="D20" s="973">
        <v>24240</v>
      </c>
      <c r="E20" s="973">
        <v>24020</v>
      </c>
      <c r="F20" s="994"/>
      <c r="J20" s="973" t="s">
        <v>1190</v>
      </c>
      <c r="K20" s="973" t="s">
        <v>1191</v>
      </c>
      <c r="L20" s="973" t="s">
        <v>1192</v>
      </c>
      <c r="M20" s="973" t="s">
        <v>1193</v>
      </c>
      <c r="N20" s="973" t="s">
        <v>1194</v>
      </c>
      <c r="O20" s="973" t="s">
        <v>1195</v>
      </c>
      <c r="P20" s="973" t="s">
        <v>1196</v>
      </c>
      <c r="Q20" s="973" t="s">
        <v>1197</v>
      </c>
      <c r="R20" s="973" t="s">
        <v>1198</v>
      </c>
      <c r="S20" s="973" t="s">
        <v>1199</v>
      </c>
    </row>
    <row r="21" spans="1:19" ht="14.25" customHeight="1" thickBot="1">
      <c r="A21" s="979" t="s">
        <v>1088</v>
      </c>
      <c r="B21" s="987" t="s">
        <v>1120</v>
      </c>
      <c r="C21" s="973">
        <v>24720</v>
      </c>
      <c r="D21" s="973">
        <v>21670</v>
      </c>
      <c r="E21" s="973">
        <v>21510</v>
      </c>
      <c r="F21" s="994"/>
      <c r="K21" s="973" t="s">
        <v>1200</v>
      </c>
      <c r="L21" s="973" t="s">
        <v>1201</v>
      </c>
      <c r="M21" s="973" t="s">
        <v>1202</v>
      </c>
      <c r="N21" s="973" t="s">
        <v>1203</v>
      </c>
      <c r="O21" s="973" t="s">
        <v>1204</v>
      </c>
      <c r="P21" s="973" t="s">
        <v>1205</v>
      </c>
      <c r="Q21" s="973" t="s">
        <v>1206</v>
      </c>
      <c r="R21" s="973" t="s">
        <v>1207</v>
      </c>
      <c r="S21" s="973" t="s">
        <v>1208</v>
      </c>
    </row>
    <row r="22" spans="1:19" ht="14.25" customHeight="1" thickBot="1">
      <c r="A22" s="979" t="s">
        <v>1088</v>
      </c>
      <c r="B22" s="987" t="s">
        <v>1209</v>
      </c>
      <c r="C22" s="973">
        <v>26530</v>
      </c>
      <c r="D22" s="973">
        <v>22980</v>
      </c>
      <c r="E22" s="973">
        <v>22650</v>
      </c>
      <c r="F22" s="994"/>
      <c r="L22" s="973" t="s">
        <v>1210</v>
      </c>
      <c r="M22" s="973" t="s">
        <v>1211</v>
      </c>
      <c r="N22" s="973" t="s">
        <v>1212</v>
      </c>
      <c r="O22" s="973" t="s">
        <v>1213</v>
      </c>
      <c r="P22" s="973" t="s">
        <v>1214</v>
      </c>
      <c r="Q22" s="973" t="s">
        <v>1215</v>
      </c>
      <c r="R22" s="973" t="s">
        <v>1216</v>
      </c>
      <c r="S22" s="987" t="s">
        <v>1217</v>
      </c>
    </row>
    <row r="23" spans="1:19" ht="14.25" customHeight="1" thickBot="1">
      <c r="A23" s="979" t="s">
        <v>1088</v>
      </c>
      <c r="B23" s="987" t="s">
        <v>1140</v>
      </c>
      <c r="C23" s="973">
        <v>24700</v>
      </c>
      <c r="D23" s="973">
        <v>27290</v>
      </c>
      <c r="E23" s="973">
        <v>26710</v>
      </c>
      <c r="F23" s="994"/>
      <c r="L23" s="973" t="s">
        <v>1218</v>
      </c>
      <c r="M23" s="973" t="s">
        <v>1219</v>
      </c>
      <c r="N23" s="973" t="s">
        <v>1220</v>
      </c>
      <c r="O23" s="973" t="s">
        <v>1221</v>
      </c>
      <c r="P23" s="973" t="s">
        <v>1222</v>
      </c>
      <c r="Q23" s="973" t="s">
        <v>1223</v>
      </c>
      <c r="R23" s="973" t="s">
        <v>1224</v>
      </c>
    </row>
    <row r="24" spans="1:19" ht="14.25" customHeight="1" thickBot="1">
      <c r="A24" s="979" t="s">
        <v>1088</v>
      </c>
      <c r="B24" s="987" t="s">
        <v>1150</v>
      </c>
      <c r="C24" s="973">
        <v>23070</v>
      </c>
      <c r="D24" s="973">
        <v>24130</v>
      </c>
      <c r="E24" s="973">
        <v>23860</v>
      </c>
      <c r="F24" s="994"/>
      <c r="L24" s="973" t="s">
        <v>1225</v>
      </c>
      <c r="M24" s="973" t="s">
        <v>1226</v>
      </c>
      <c r="N24" s="973" t="s">
        <v>1227</v>
      </c>
      <c r="O24" s="973" t="s">
        <v>1228</v>
      </c>
      <c r="P24" s="973" t="s">
        <v>1229</v>
      </c>
      <c r="Q24" s="973" t="s">
        <v>1230</v>
      </c>
      <c r="R24" s="973" t="s">
        <v>1231</v>
      </c>
    </row>
    <row r="25" spans="1:19" ht="14.25" customHeight="1" thickBot="1">
      <c r="A25" s="979" t="s">
        <v>1088</v>
      </c>
      <c r="B25" s="987" t="s">
        <v>1160</v>
      </c>
      <c r="C25" s="973">
        <v>27550</v>
      </c>
      <c r="D25" s="973">
        <v>25850</v>
      </c>
      <c r="E25" s="973">
        <v>25340</v>
      </c>
      <c r="F25" s="994"/>
      <c r="L25" s="973" t="s">
        <v>1232</v>
      </c>
      <c r="M25" s="973" t="s">
        <v>1233</v>
      </c>
      <c r="N25" s="973" t="s">
        <v>1234</v>
      </c>
      <c r="O25" s="973" t="s">
        <v>1235</v>
      </c>
      <c r="P25" s="973" t="s">
        <v>1236</v>
      </c>
      <c r="Q25" s="973" t="s">
        <v>1237</v>
      </c>
      <c r="R25" s="973" t="s">
        <v>1238</v>
      </c>
    </row>
    <row r="26" spans="1:19" ht="14.25" customHeight="1" thickBot="1">
      <c r="A26" s="979" t="s">
        <v>1088</v>
      </c>
      <c r="B26" s="987" t="s">
        <v>1170</v>
      </c>
      <c r="C26" s="973"/>
      <c r="D26" s="973">
        <v>23900</v>
      </c>
      <c r="E26" s="973">
        <v>23590</v>
      </c>
      <c r="F26" s="994"/>
      <c r="L26" s="973" t="s">
        <v>1239</v>
      </c>
      <c r="M26" s="973" t="s">
        <v>1240</v>
      </c>
      <c r="N26" s="973" t="s">
        <v>1241</v>
      </c>
      <c r="O26" s="973" t="s">
        <v>1242</v>
      </c>
      <c r="P26" s="973" t="s">
        <v>1243</v>
      </c>
      <c r="Q26" s="973" t="s">
        <v>1244</v>
      </c>
      <c r="R26" s="973" t="s">
        <v>1245</v>
      </c>
    </row>
    <row r="27" spans="1:19" ht="14.25" customHeight="1" thickBot="1">
      <c r="A27" s="979" t="s">
        <v>1088</v>
      </c>
      <c r="B27" s="987" t="s">
        <v>1180</v>
      </c>
      <c r="C27" s="973"/>
      <c r="D27" s="973">
        <v>22850</v>
      </c>
      <c r="E27" s="973">
        <v>21920</v>
      </c>
      <c r="F27" s="994"/>
      <c r="L27" s="973" t="s">
        <v>1246</v>
      </c>
      <c r="M27" s="973" t="s">
        <v>1247</v>
      </c>
      <c r="N27" s="973" t="s">
        <v>1248</v>
      </c>
      <c r="O27" s="973" t="s">
        <v>1249</v>
      </c>
      <c r="P27" s="973" t="s">
        <v>1250</v>
      </c>
      <c r="Q27" s="973" t="s">
        <v>1251</v>
      </c>
      <c r="R27" s="973" t="s">
        <v>1252</v>
      </c>
    </row>
    <row r="28" spans="1:19" ht="14.25" customHeight="1" thickBot="1">
      <c r="A28" s="996" t="s">
        <v>1088</v>
      </c>
      <c r="B28" s="988" t="s">
        <v>1190</v>
      </c>
      <c r="C28" s="989"/>
      <c r="D28" s="989">
        <v>26610</v>
      </c>
      <c r="E28" s="989">
        <v>26370</v>
      </c>
      <c r="F28" s="990"/>
      <c r="L28" s="973" t="s">
        <v>1253</v>
      </c>
      <c r="M28" s="973" t="s">
        <v>1254</v>
      </c>
      <c r="N28" s="973" t="s">
        <v>1255</v>
      </c>
      <c r="O28" s="973" t="s">
        <v>1256</v>
      </c>
      <c r="P28" s="973" t="s">
        <v>1257</v>
      </c>
      <c r="Q28" s="973" t="s">
        <v>1258</v>
      </c>
    </row>
    <row r="29" spans="1:19" ht="14.25" customHeight="1" thickBot="1">
      <c r="A29" s="979" t="s">
        <v>1259</v>
      </c>
      <c r="B29" s="980" t="s">
        <v>1260</v>
      </c>
      <c r="C29" s="980">
        <v>22090</v>
      </c>
      <c r="D29" s="980">
        <v>21860</v>
      </c>
      <c r="E29" s="980">
        <v>19380</v>
      </c>
      <c r="F29" s="981">
        <v>6610</v>
      </c>
      <c r="M29" s="973" t="s">
        <v>1261</v>
      </c>
      <c r="N29" s="973" t="s">
        <v>1262</v>
      </c>
      <c r="O29" s="973" t="s">
        <v>1263</v>
      </c>
      <c r="P29" s="973" t="s">
        <v>1264</v>
      </c>
      <c r="Q29" s="973" t="s">
        <v>1265</v>
      </c>
    </row>
    <row r="30" spans="1:19" ht="14.25" customHeight="1" thickBot="1">
      <c r="A30" s="979" t="s">
        <v>1259</v>
      </c>
      <c r="B30" s="987" t="s">
        <v>1005</v>
      </c>
      <c r="C30" s="973">
        <v>21380</v>
      </c>
      <c r="D30" s="973">
        <v>19930</v>
      </c>
      <c r="E30" s="973">
        <v>19860</v>
      </c>
      <c r="F30" s="991">
        <v>6010</v>
      </c>
      <c r="H30" s="995"/>
      <c r="M30" s="973" t="s">
        <v>1266</v>
      </c>
      <c r="N30" s="973" t="s">
        <v>1267</v>
      </c>
      <c r="O30" s="973" t="s">
        <v>1268</v>
      </c>
      <c r="P30" s="973" t="s">
        <v>2350</v>
      </c>
      <c r="Q30" s="973" t="s">
        <v>1269</v>
      </c>
    </row>
    <row r="31" spans="1:19" ht="14.25" customHeight="1" thickBot="1">
      <c r="A31" s="979" t="s">
        <v>1259</v>
      </c>
      <c r="B31" s="987" t="s">
        <v>1019</v>
      </c>
      <c r="C31" s="973">
        <v>21670</v>
      </c>
      <c r="D31" s="973">
        <v>20660</v>
      </c>
      <c r="E31" s="973">
        <v>20290</v>
      </c>
      <c r="F31" s="991">
        <v>5840</v>
      </c>
      <c r="H31" s="995"/>
      <c r="M31" s="973" t="s">
        <v>1270</v>
      </c>
      <c r="N31" s="973" t="s">
        <v>1271</v>
      </c>
      <c r="O31" s="973" t="s">
        <v>1272</v>
      </c>
      <c r="P31" s="973" t="s">
        <v>1273</v>
      </c>
      <c r="Q31" s="973" t="s">
        <v>1274</v>
      </c>
    </row>
    <row r="32" spans="1:19" ht="14.25" customHeight="1" thickBot="1">
      <c r="A32" s="979" t="s">
        <v>1259</v>
      </c>
      <c r="B32" s="987" t="s">
        <v>1032</v>
      </c>
      <c r="C32" s="973">
        <v>22280</v>
      </c>
      <c r="D32" s="973">
        <v>21800</v>
      </c>
      <c r="E32" s="973">
        <v>17650</v>
      </c>
      <c r="F32" s="991">
        <v>4690</v>
      </c>
      <c r="H32" s="995"/>
      <c r="M32" s="973" t="s">
        <v>1275</v>
      </c>
      <c r="N32" s="973" t="s">
        <v>1276</v>
      </c>
      <c r="O32" s="973" t="s">
        <v>1277</v>
      </c>
      <c r="P32" s="973" t="s">
        <v>1278</v>
      </c>
      <c r="Q32" s="973" t="s">
        <v>1279</v>
      </c>
    </row>
    <row r="33" spans="1:17" ht="14.25" customHeight="1" thickBot="1">
      <c r="A33" s="979" t="s">
        <v>1259</v>
      </c>
      <c r="B33" s="987" t="s">
        <v>1046</v>
      </c>
      <c r="C33" s="973">
        <v>22130</v>
      </c>
      <c r="D33" s="973">
        <v>20460</v>
      </c>
      <c r="E33" s="973">
        <v>18500</v>
      </c>
      <c r="F33" s="991">
        <v>5340</v>
      </c>
      <c r="H33" s="995"/>
      <c r="M33" s="973" t="s">
        <v>1280</v>
      </c>
      <c r="N33" s="973" t="s">
        <v>1281</v>
      </c>
      <c r="O33" s="973" t="s">
        <v>1282</v>
      </c>
      <c r="P33" s="973" t="s">
        <v>1283</v>
      </c>
      <c r="Q33" s="973" t="s">
        <v>1284</v>
      </c>
    </row>
    <row r="34" spans="1:17" ht="14.25" customHeight="1" thickBot="1">
      <c r="A34" s="979" t="s">
        <v>1259</v>
      </c>
      <c r="B34" s="987" t="s">
        <v>1057</v>
      </c>
      <c r="C34" s="973">
        <v>22070</v>
      </c>
      <c r="D34" s="973">
        <v>20110</v>
      </c>
      <c r="E34" s="973">
        <v>18830</v>
      </c>
      <c r="F34" s="991">
        <v>5190</v>
      </c>
      <c r="H34" s="995"/>
      <c r="M34" s="973" t="s">
        <v>1285</v>
      </c>
      <c r="N34" s="973" t="s">
        <v>1286</v>
      </c>
      <c r="O34" s="973" t="s">
        <v>1287</v>
      </c>
      <c r="P34" s="973" t="s">
        <v>1288</v>
      </c>
      <c r="Q34" s="973" t="s">
        <v>1289</v>
      </c>
    </row>
    <row r="35" spans="1:17" ht="14.25" customHeight="1" thickBot="1">
      <c r="A35" s="979" t="s">
        <v>1259</v>
      </c>
      <c r="B35" s="987" t="s">
        <v>1068</v>
      </c>
      <c r="C35" s="973">
        <v>22240</v>
      </c>
      <c r="D35" s="973">
        <v>19550</v>
      </c>
      <c r="E35" s="973">
        <v>19220</v>
      </c>
      <c r="F35" s="991">
        <v>5800</v>
      </c>
      <c r="H35" s="995"/>
      <c r="M35" s="973" t="s">
        <v>1290</v>
      </c>
      <c r="N35" s="973" t="s">
        <v>1291</v>
      </c>
      <c r="O35" s="973" t="s">
        <v>1292</v>
      </c>
      <c r="P35" s="973" t="s">
        <v>1293</v>
      </c>
      <c r="Q35" s="973" t="s">
        <v>1294</v>
      </c>
    </row>
    <row r="36" spans="1:17" ht="14.25" customHeight="1" thickBot="1">
      <c r="A36" s="979" t="s">
        <v>1259</v>
      </c>
      <c r="B36" s="987" t="s">
        <v>1079</v>
      </c>
      <c r="C36" s="973">
        <v>19750</v>
      </c>
      <c r="D36" s="973">
        <v>19790</v>
      </c>
      <c r="E36" s="973">
        <v>18510</v>
      </c>
      <c r="F36" s="991">
        <v>6520</v>
      </c>
      <c r="H36" s="995"/>
      <c r="N36" s="973" t="s">
        <v>1295</v>
      </c>
      <c r="O36" s="973" t="s">
        <v>1296</v>
      </c>
      <c r="P36" s="973" t="s">
        <v>1297</v>
      </c>
      <c r="Q36" s="973" t="s">
        <v>1298</v>
      </c>
    </row>
    <row r="37" spans="1:17" ht="14.25" customHeight="1" thickBot="1">
      <c r="A37" s="979" t="s">
        <v>1259</v>
      </c>
      <c r="B37" s="987" t="s">
        <v>1091</v>
      </c>
      <c r="C37" s="973">
        <v>22380</v>
      </c>
      <c r="D37" s="973">
        <v>18530</v>
      </c>
      <c r="E37" s="973">
        <v>17930</v>
      </c>
      <c r="F37" s="991">
        <v>6270</v>
      </c>
      <c r="H37" s="997"/>
      <c r="N37" s="973" t="s">
        <v>1299</v>
      </c>
      <c r="O37" s="973" t="s">
        <v>1300</v>
      </c>
      <c r="P37" s="973" t="s">
        <v>1301</v>
      </c>
      <c r="Q37" s="973" t="s">
        <v>1302</v>
      </c>
    </row>
    <row r="38" spans="1:17" ht="14.25" customHeight="1" thickBot="1">
      <c r="A38" s="979" t="s">
        <v>1259</v>
      </c>
      <c r="B38" s="987" t="s">
        <v>1101</v>
      </c>
      <c r="C38" s="973">
        <v>20200</v>
      </c>
      <c r="D38" s="973">
        <v>20070</v>
      </c>
      <c r="E38" s="973">
        <v>19950</v>
      </c>
      <c r="F38" s="991"/>
      <c r="H38" s="998"/>
      <c r="N38" s="973" t="s">
        <v>1303</v>
      </c>
      <c r="O38" s="973" t="s">
        <v>1304</v>
      </c>
      <c r="P38" s="973" t="s">
        <v>1305</v>
      </c>
      <c r="Q38" s="973" t="s">
        <v>1306</v>
      </c>
    </row>
    <row r="39" spans="1:17" ht="14.25" customHeight="1" thickBot="1">
      <c r="A39" s="979" t="s">
        <v>1259</v>
      </c>
      <c r="B39" s="987" t="s">
        <v>1111</v>
      </c>
      <c r="C39" s="973">
        <v>19300</v>
      </c>
      <c r="D39" s="973">
        <v>20360</v>
      </c>
      <c r="E39" s="973">
        <v>20230</v>
      </c>
      <c r="F39" s="991"/>
      <c r="H39" s="998"/>
      <c r="N39" s="973" t="s">
        <v>1307</v>
      </c>
      <c r="O39" s="973" t="s">
        <v>1308</v>
      </c>
      <c r="P39" s="973" t="s">
        <v>1309</v>
      </c>
      <c r="Q39" s="973" t="s">
        <v>1310</v>
      </c>
    </row>
    <row r="40" spans="1:17" ht="14.25" customHeight="1" thickBot="1">
      <c r="A40" s="979" t="s">
        <v>1259</v>
      </c>
      <c r="B40" s="987" t="s">
        <v>1121</v>
      </c>
      <c r="C40" s="973">
        <v>20210</v>
      </c>
      <c r="D40" s="973">
        <v>19060</v>
      </c>
      <c r="E40" s="973">
        <v>18890</v>
      </c>
      <c r="F40" s="991"/>
      <c r="H40" s="998"/>
      <c r="N40" s="973" t="s">
        <v>1311</v>
      </c>
      <c r="O40" s="973" t="s">
        <v>1312</v>
      </c>
      <c r="P40" s="973" t="s">
        <v>1313</v>
      </c>
      <c r="Q40" s="973" t="s">
        <v>1314</v>
      </c>
    </row>
    <row r="41" spans="1:17" ht="14.25" customHeight="1" thickBot="1">
      <c r="A41" s="979" t="s">
        <v>1259</v>
      </c>
      <c r="B41" s="987" t="s">
        <v>1131</v>
      </c>
      <c r="C41" s="973">
        <v>20560</v>
      </c>
      <c r="D41" s="973">
        <v>21040</v>
      </c>
      <c r="E41" s="973">
        <v>20740</v>
      </c>
      <c r="F41" s="991"/>
      <c r="H41" s="998"/>
      <c r="N41" s="987" t="s">
        <v>1315</v>
      </c>
      <c r="O41" s="987" t="s">
        <v>1316</v>
      </c>
      <c r="Q41" s="987" t="s">
        <v>1317</v>
      </c>
    </row>
    <row r="42" spans="1:17" ht="14.25" customHeight="1" thickBot="1">
      <c r="A42" s="979" t="s">
        <v>1259</v>
      </c>
      <c r="B42" s="987" t="s">
        <v>1141</v>
      </c>
      <c r="C42" s="973">
        <v>19280</v>
      </c>
      <c r="D42" s="973">
        <v>22940</v>
      </c>
      <c r="E42" s="973">
        <v>22500</v>
      </c>
      <c r="F42" s="991"/>
      <c r="H42" s="998"/>
      <c r="N42" s="973" t="s">
        <v>1318</v>
      </c>
      <c r="O42" s="973" t="s">
        <v>1319</v>
      </c>
      <c r="Q42" s="973" t="s">
        <v>1320</v>
      </c>
    </row>
    <row r="43" spans="1:17" ht="14.25" customHeight="1" thickBot="1">
      <c r="A43" s="979" t="s">
        <v>1259</v>
      </c>
      <c r="B43" s="987" t="s">
        <v>1151</v>
      </c>
      <c r="C43" s="973">
        <v>21520</v>
      </c>
      <c r="D43" s="973">
        <v>19230</v>
      </c>
      <c r="E43" s="973">
        <v>18540</v>
      </c>
      <c r="F43" s="991"/>
      <c r="H43" s="998"/>
      <c r="N43" s="973" t="s">
        <v>1321</v>
      </c>
      <c r="O43" s="973" t="s">
        <v>1322</v>
      </c>
      <c r="Q43" s="973" t="s">
        <v>1323</v>
      </c>
    </row>
    <row r="44" spans="1:17" ht="14.25" customHeight="1" thickBot="1">
      <c r="A44" s="979" t="s">
        <v>1259</v>
      </c>
      <c r="B44" s="987" t="s">
        <v>1161</v>
      </c>
      <c r="C44" s="973">
        <v>23260</v>
      </c>
      <c r="D44" s="973">
        <v>21180</v>
      </c>
      <c r="E44" s="973">
        <v>20730</v>
      </c>
      <c r="F44" s="991"/>
      <c r="H44" s="998"/>
      <c r="N44" s="973" t="s">
        <v>1324</v>
      </c>
      <c r="O44" s="973" t="s">
        <v>1325</v>
      </c>
      <c r="Q44" s="973" t="s">
        <v>1326</v>
      </c>
    </row>
    <row r="45" spans="1:17" ht="14.25" customHeight="1" thickBot="1">
      <c r="A45" s="979" t="s">
        <v>1259</v>
      </c>
      <c r="B45" s="987" t="s">
        <v>1171</v>
      </c>
      <c r="C45" s="973">
        <v>19610</v>
      </c>
      <c r="D45" s="973">
        <v>18090</v>
      </c>
      <c r="E45" s="973">
        <v>17970</v>
      </c>
      <c r="F45" s="991"/>
      <c r="H45" s="995"/>
      <c r="N45" s="973" t="s">
        <v>1327</v>
      </c>
      <c r="O45" s="973" t="s">
        <v>1328</v>
      </c>
      <c r="Q45" s="973" t="s">
        <v>1329</v>
      </c>
    </row>
    <row r="46" spans="1:17" ht="14.25" customHeight="1" thickBot="1">
      <c r="A46" s="979" t="s">
        <v>1259</v>
      </c>
      <c r="B46" s="987" t="s">
        <v>1181</v>
      </c>
      <c r="C46" s="973">
        <v>21660</v>
      </c>
      <c r="D46" s="973">
        <v>19190</v>
      </c>
      <c r="E46" s="973">
        <v>19790</v>
      </c>
      <c r="F46" s="991"/>
      <c r="H46" s="998"/>
      <c r="N46" s="973" t="s">
        <v>1330</v>
      </c>
      <c r="O46" s="973" t="s">
        <v>1331</v>
      </c>
      <c r="Q46" s="973" t="s">
        <v>1332</v>
      </c>
    </row>
    <row r="47" spans="1:17" ht="14.25" customHeight="1" thickBot="1">
      <c r="A47" s="979" t="s">
        <v>1259</v>
      </c>
      <c r="B47" s="987" t="s">
        <v>1191</v>
      </c>
      <c r="C47" s="973">
        <v>18220</v>
      </c>
      <c r="D47" s="973"/>
      <c r="E47" s="973">
        <v>17220</v>
      </c>
      <c r="F47" s="991"/>
      <c r="H47" s="998"/>
      <c r="N47" s="973" t="s">
        <v>1333</v>
      </c>
      <c r="O47" s="973" t="s">
        <v>1334</v>
      </c>
    </row>
    <row r="48" spans="1:17" ht="14.25" customHeight="1" thickBot="1">
      <c r="A48" s="979" t="s">
        <v>1259</v>
      </c>
      <c r="B48" s="988" t="s">
        <v>1200</v>
      </c>
      <c r="C48" s="989">
        <v>19430</v>
      </c>
      <c r="D48" s="989"/>
      <c r="E48" s="989">
        <v>17830</v>
      </c>
      <c r="F48" s="999"/>
      <c r="H48" s="995"/>
      <c r="N48" s="973" t="s">
        <v>1335</v>
      </c>
      <c r="O48" s="973" t="s">
        <v>1336</v>
      </c>
    </row>
    <row r="49" spans="1:15" ht="14.25" customHeight="1" thickBot="1">
      <c r="A49" s="979" t="s">
        <v>857</v>
      </c>
      <c r="B49" s="980" t="s">
        <v>1337</v>
      </c>
      <c r="C49" s="980">
        <v>17090</v>
      </c>
      <c r="D49" s="980">
        <v>16950</v>
      </c>
      <c r="E49" s="980">
        <v>16310</v>
      </c>
      <c r="F49" s="981">
        <v>4540</v>
      </c>
      <c r="H49" s="998"/>
      <c r="N49" s="973" t="s">
        <v>1338</v>
      </c>
      <c r="O49" s="973" t="s">
        <v>1339</v>
      </c>
    </row>
    <row r="50" spans="1:15" ht="14.25" customHeight="1" thickBot="1">
      <c r="A50" s="979" t="s">
        <v>857</v>
      </c>
      <c r="B50" s="973" t="s">
        <v>1006</v>
      </c>
      <c r="C50" s="973">
        <v>19040</v>
      </c>
      <c r="D50" s="973">
        <v>16960</v>
      </c>
      <c r="E50" s="973">
        <v>14800</v>
      </c>
      <c r="F50" s="991">
        <v>3940</v>
      </c>
      <c r="H50" s="998"/>
    </row>
    <row r="51" spans="1:15" ht="14.25" customHeight="1" thickBot="1">
      <c r="A51" s="979" t="s">
        <v>857</v>
      </c>
      <c r="B51" s="973" t="s">
        <v>1020</v>
      </c>
      <c r="C51" s="973">
        <v>17040</v>
      </c>
      <c r="D51" s="973">
        <v>16930</v>
      </c>
      <c r="E51" s="973">
        <v>15030</v>
      </c>
      <c r="F51" s="991">
        <v>4120</v>
      </c>
      <c r="H51" s="998"/>
    </row>
    <row r="52" spans="1:15" ht="14.25" customHeight="1" thickBot="1">
      <c r="A52" s="979" t="s">
        <v>857</v>
      </c>
      <c r="B52" s="973" t="s">
        <v>1033</v>
      </c>
      <c r="C52" s="973">
        <v>17110</v>
      </c>
      <c r="D52" s="973">
        <v>17750</v>
      </c>
      <c r="E52" s="973">
        <v>17310</v>
      </c>
      <c r="F52" s="991">
        <v>3220</v>
      </c>
      <c r="H52" s="998"/>
    </row>
    <row r="53" spans="1:15" ht="14.25" customHeight="1" thickBot="1">
      <c r="A53" s="979" t="s">
        <v>857</v>
      </c>
      <c r="B53" s="973" t="s">
        <v>1047</v>
      </c>
      <c r="C53" s="973">
        <v>17810</v>
      </c>
      <c r="D53" s="973">
        <v>17260</v>
      </c>
      <c r="E53" s="973">
        <v>17090</v>
      </c>
      <c r="F53" s="991">
        <v>3520</v>
      </c>
      <c r="H53" s="998"/>
    </row>
    <row r="54" spans="1:15" ht="14.25" customHeight="1" thickBot="1">
      <c r="A54" s="979" t="s">
        <v>857</v>
      </c>
      <c r="B54" s="973" t="s">
        <v>1058</v>
      </c>
      <c r="C54" s="973">
        <v>17410</v>
      </c>
      <c r="D54" s="973">
        <v>16780</v>
      </c>
      <c r="E54" s="973">
        <v>16370</v>
      </c>
      <c r="F54" s="991">
        <v>3410</v>
      </c>
      <c r="H54" s="998"/>
    </row>
    <row r="55" spans="1:15" ht="14.25" customHeight="1" thickBot="1">
      <c r="A55" s="979" t="s">
        <v>857</v>
      </c>
      <c r="B55" s="973" t="s">
        <v>1069</v>
      </c>
      <c r="C55" s="973">
        <v>16930</v>
      </c>
      <c r="D55" s="973">
        <v>14720</v>
      </c>
      <c r="E55" s="973">
        <v>15000</v>
      </c>
      <c r="F55" s="991">
        <v>3710</v>
      </c>
      <c r="H55" s="998"/>
    </row>
    <row r="56" spans="1:15" ht="14.25" customHeight="1" thickBot="1">
      <c r="A56" s="979" t="s">
        <v>857</v>
      </c>
      <c r="B56" s="973" t="s">
        <v>1080</v>
      </c>
      <c r="C56" s="973">
        <v>14930</v>
      </c>
      <c r="D56" s="973">
        <v>15850</v>
      </c>
      <c r="E56" s="973">
        <v>14320</v>
      </c>
      <c r="F56" s="991">
        <v>3960</v>
      </c>
      <c r="H56" s="998"/>
    </row>
    <row r="57" spans="1:15" ht="14.25" customHeight="1" thickBot="1">
      <c r="A57" s="979" t="s">
        <v>857</v>
      </c>
      <c r="B57" s="973" t="s">
        <v>1092</v>
      </c>
      <c r="C57" s="973">
        <v>16160</v>
      </c>
      <c r="D57" s="973">
        <v>16190</v>
      </c>
      <c r="E57" s="973">
        <v>15650</v>
      </c>
      <c r="F57" s="991">
        <v>4200</v>
      </c>
      <c r="H57" s="998"/>
    </row>
    <row r="58" spans="1:15" ht="14.25" customHeight="1" thickBot="1">
      <c r="A58" s="979" t="s">
        <v>857</v>
      </c>
      <c r="B58" s="973" t="s">
        <v>1102</v>
      </c>
      <c r="C58" s="973">
        <v>16360</v>
      </c>
      <c r="D58" s="973">
        <v>14050</v>
      </c>
      <c r="E58" s="973">
        <v>16070</v>
      </c>
      <c r="F58" s="991">
        <v>3990</v>
      </c>
      <c r="H58" s="998"/>
    </row>
    <row r="59" spans="1:15" ht="14.25" customHeight="1" thickBot="1">
      <c r="A59" s="979" t="s">
        <v>857</v>
      </c>
      <c r="B59" s="973" t="s">
        <v>1112</v>
      </c>
      <c r="C59" s="973">
        <v>14160</v>
      </c>
      <c r="D59" s="973">
        <v>16620</v>
      </c>
      <c r="E59" s="973">
        <v>13940</v>
      </c>
      <c r="F59" s="991">
        <v>4260</v>
      </c>
      <c r="H59" s="998"/>
    </row>
    <row r="60" spans="1:15" ht="14.25" customHeight="1" thickBot="1">
      <c r="A60" s="979" t="s">
        <v>857</v>
      </c>
      <c r="B60" s="973" t="s">
        <v>1122</v>
      </c>
      <c r="C60" s="973">
        <v>16750</v>
      </c>
      <c r="D60" s="973">
        <v>13910</v>
      </c>
      <c r="E60" s="973">
        <v>16550</v>
      </c>
      <c r="F60" s="991">
        <v>4550</v>
      </c>
      <c r="H60" s="998"/>
    </row>
    <row r="61" spans="1:15" ht="14.25" customHeight="1" thickBot="1">
      <c r="A61" s="979" t="s">
        <v>857</v>
      </c>
      <c r="B61" s="973" t="s">
        <v>1132</v>
      </c>
      <c r="C61" s="973">
        <v>14000</v>
      </c>
      <c r="D61" s="973">
        <v>14550</v>
      </c>
      <c r="E61" s="973">
        <v>13860</v>
      </c>
      <c r="F61" s="1000"/>
      <c r="H61" s="998"/>
    </row>
    <row r="62" spans="1:15" ht="14.25" customHeight="1" thickBot="1">
      <c r="A62" s="979" t="s">
        <v>857</v>
      </c>
      <c r="B62" s="973" t="s">
        <v>1142</v>
      </c>
      <c r="C62" s="973">
        <v>14660</v>
      </c>
      <c r="D62" s="973">
        <v>17450</v>
      </c>
      <c r="E62" s="973">
        <v>14470</v>
      </c>
      <c r="F62" s="1000"/>
      <c r="H62" s="998"/>
    </row>
    <row r="63" spans="1:15" ht="14.25" customHeight="1" thickBot="1">
      <c r="A63" s="979" t="s">
        <v>857</v>
      </c>
      <c r="B63" s="973" t="s">
        <v>1152</v>
      </c>
      <c r="C63" s="973">
        <v>17610</v>
      </c>
      <c r="D63" s="973">
        <v>16500</v>
      </c>
      <c r="E63" s="973">
        <v>17330</v>
      </c>
      <c r="F63" s="1000"/>
      <c r="H63" s="998"/>
    </row>
    <row r="64" spans="1:15" ht="14.25" customHeight="1" thickBot="1">
      <c r="A64" s="979" t="s">
        <v>857</v>
      </c>
      <c r="B64" s="973" t="s">
        <v>1162</v>
      </c>
      <c r="C64" s="973">
        <v>16590</v>
      </c>
      <c r="D64" s="973">
        <v>15130</v>
      </c>
      <c r="E64" s="973">
        <v>16420</v>
      </c>
      <c r="F64" s="1000"/>
      <c r="H64" s="998"/>
    </row>
    <row r="65" spans="1:8" s="967" customFormat="1" ht="14.25" customHeight="1" thickBot="1">
      <c r="A65" s="979" t="s">
        <v>857</v>
      </c>
      <c r="B65" s="973" t="s">
        <v>1172</v>
      </c>
      <c r="C65" s="973">
        <v>15220</v>
      </c>
      <c r="D65" s="973">
        <v>14660</v>
      </c>
      <c r="E65" s="973">
        <v>15060</v>
      </c>
      <c r="F65" s="991"/>
      <c r="H65" s="998"/>
    </row>
    <row r="66" spans="1:8" s="967" customFormat="1" ht="14.25" customHeight="1" thickBot="1">
      <c r="A66" s="979" t="s">
        <v>857</v>
      </c>
      <c r="B66" s="973" t="s">
        <v>1182</v>
      </c>
      <c r="C66" s="973">
        <v>14720</v>
      </c>
      <c r="D66" s="973">
        <v>15970</v>
      </c>
      <c r="E66" s="973">
        <v>14610</v>
      </c>
      <c r="F66" s="991"/>
      <c r="H66" s="998"/>
    </row>
    <row r="67" spans="1:8" s="967" customFormat="1" ht="14.25" customHeight="1" thickBot="1">
      <c r="A67" s="979" t="s">
        <v>857</v>
      </c>
      <c r="B67" s="973" t="s">
        <v>1192</v>
      </c>
      <c r="C67" s="973">
        <v>16080</v>
      </c>
      <c r="D67" s="973">
        <v>14840</v>
      </c>
      <c r="E67" s="973">
        <v>15630</v>
      </c>
      <c r="F67" s="991"/>
      <c r="H67" s="998"/>
    </row>
    <row r="68" spans="1:8" s="967" customFormat="1" ht="14.25" customHeight="1" thickBot="1">
      <c r="A68" s="979" t="s">
        <v>857</v>
      </c>
      <c r="B68" s="973" t="s">
        <v>1201</v>
      </c>
      <c r="C68" s="973">
        <v>14940</v>
      </c>
      <c r="D68" s="973">
        <v>18000</v>
      </c>
      <c r="E68" s="973">
        <v>14040</v>
      </c>
      <c r="F68" s="991"/>
      <c r="H68" s="998"/>
    </row>
    <row r="69" spans="1:8" s="967" customFormat="1" ht="14.25" customHeight="1" thickBot="1">
      <c r="A69" s="979" t="s">
        <v>857</v>
      </c>
      <c r="B69" s="973" t="s">
        <v>1210</v>
      </c>
      <c r="C69" s="973">
        <v>18810</v>
      </c>
      <c r="D69" s="973">
        <v>15100</v>
      </c>
      <c r="E69" s="973">
        <v>14710</v>
      </c>
      <c r="F69" s="991"/>
      <c r="H69" s="998"/>
    </row>
    <row r="70" spans="1:8" s="967" customFormat="1" ht="14.25" customHeight="1" thickBot="1">
      <c r="A70" s="979" t="s">
        <v>857</v>
      </c>
      <c r="B70" s="973" t="s">
        <v>1218</v>
      </c>
      <c r="C70" s="973">
        <v>18270</v>
      </c>
      <c r="D70" s="973"/>
      <c r="E70" s="973"/>
      <c r="F70" s="991"/>
      <c r="H70" s="998"/>
    </row>
    <row r="71" spans="1:8" s="967" customFormat="1" ht="14.25" customHeight="1" thickBot="1">
      <c r="A71" s="979" t="s">
        <v>857</v>
      </c>
      <c r="B71" s="973" t="s">
        <v>1225</v>
      </c>
      <c r="C71" s="973">
        <v>15230</v>
      </c>
      <c r="D71" s="973"/>
      <c r="E71" s="973"/>
      <c r="F71" s="991"/>
      <c r="H71" s="998"/>
    </row>
    <row r="72" spans="1:8" s="967" customFormat="1" ht="14.25" customHeight="1" thickBot="1">
      <c r="A72" s="979" t="s">
        <v>857</v>
      </c>
      <c r="B72" s="973" t="s">
        <v>1232</v>
      </c>
      <c r="C72" s="973"/>
      <c r="D72" s="973"/>
      <c r="E72" s="973"/>
      <c r="F72" s="991">
        <v>4120</v>
      </c>
      <c r="H72" s="998"/>
    </row>
    <row r="73" spans="1:8" s="967" customFormat="1" ht="14.25" customHeight="1" thickBot="1">
      <c r="A73" s="979" t="s">
        <v>857</v>
      </c>
      <c r="B73" s="973" t="s">
        <v>1239</v>
      </c>
      <c r="C73" s="973"/>
      <c r="D73" s="973"/>
      <c r="E73" s="973"/>
      <c r="F73" s="991">
        <v>3930</v>
      </c>
      <c r="H73" s="998"/>
    </row>
    <row r="74" spans="1:8" s="967" customFormat="1" ht="14.25" customHeight="1" thickBot="1">
      <c r="A74" s="979" t="s">
        <v>857</v>
      </c>
      <c r="B74" s="973" t="s">
        <v>1246</v>
      </c>
      <c r="C74" s="973"/>
      <c r="D74" s="973"/>
      <c r="E74" s="973"/>
      <c r="F74" s="991">
        <v>4060</v>
      </c>
      <c r="H74" s="998"/>
    </row>
    <row r="75" spans="1:8" s="967" customFormat="1" ht="14.25" customHeight="1" thickBot="1">
      <c r="A75" s="979" t="s">
        <v>857</v>
      </c>
      <c r="B75" s="989" t="s">
        <v>1253</v>
      </c>
      <c r="C75" s="989"/>
      <c r="D75" s="989"/>
      <c r="E75" s="989"/>
      <c r="F75" s="999">
        <v>3750</v>
      </c>
      <c r="H75" s="998"/>
    </row>
    <row r="76" spans="1:8" s="967" customFormat="1" ht="14.25" customHeight="1" thickBot="1">
      <c r="A76" s="979" t="s">
        <v>1340</v>
      </c>
      <c r="B76" s="980" t="s">
        <v>1341</v>
      </c>
      <c r="C76" s="980">
        <v>14690</v>
      </c>
      <c r="D76" s="980">
        <v>14640</v>
      </c>
      <c r="E76" s="980">
        <v>14590</v>
      </c>
      <c r="F76" s="981">
        <v>3060</v>
      </c>
      <c r="H76" s="998"/>
    </row>
    <row r="77" spans="1:8" s="967" customFormat="1" ht="14.25" customHeight="1" thickBot="1">
      <c r="A77" s="979" t="s">
        <v>1340</v>
      </c>
      <c r="B77" s="973" t="s">
        <v>1007</v>
      </c>
      <c r="C77" s="973">
        <v>12550</v>
      </c>
      <c r="D77" s="973">
        <v>12480</v>
      </c>
      <c r="E77" s="973">
        <v>12450</v>
      </c>
      <c r="F77" s="991">
        <v>2590</v>
      </c>
      <c r="H77" s="998"/>
    </row>
    <row r="78" spans="1:8" s="967" customFormat="1" ht="14.25" customHeight="1" thickBot="1">
      <c r="A78" s="979" t="s">
        <v>1340</v>
      </c>
      <c r="B78" s="973" t="s">
        <v>1021</v>
      </c>
      <c r="C78" s="973">
        <v>14360</v>
      </c>
      <c r="D78" s="973">
        <v>14320</v>
      </c>
      <c r="E78" s="973">
        <v>12510</v>
      </c>
      <c r="F78" s="991">
        <v>2700</v>
      </c>
      <c r="H78" s="998"/>
    </row>
    <row r="79" spans="1:8" s="967" customFormat="1" ht="14.25" customHeight="1" thickBot="1">
      <c r="A79" s="979" t="s">
        <v>1340</v>
      </c>
      <c r="B79" s="973" t="s">
        <v>1034</v>
      </c>
      <c r="C79" s="973">
        <v>12590</v>
      </c>
      <c r="D79" s="973">
        <v>12540</v>
      </c>
      <c r="E79" s="973">
        <v>12350</v>
      </c>
      <c r="F79" s="991">
        <v>2740</v>
      </c>
      <c r="H79" s="998"/>
    </row>
    <row r="80" spans="1:8" s="967" customFormat="1" ht="14.25" customHeight="1" thickBot="1">
      <c r="A80" s="979" t="s">
        <v>1340</v>
      </c>
      <c r="B80" s="973" t="s">
        <v>1048</v>
      </c>
      <c r="C80" s="973">
        <v>12450</v>
      </c>
      <c r="D80" s="973">
        <v>12370</v>
      </c>
      <c r="E80" s="973">
        <v>10790</v>
      </c>
      <c r="F80" s="991">
        <v>2290</v>
      </c>
      <c r="H80" s="998"/>
    </row>
    <row r="81" spans="1:8" s="967" customFormat="1" ht="14.25" customHeight="1" thickBot="1">
      <c r="A81" s="979" t="s">
        <v>1340</v>
      </c>
      <c r="B81" s="973" t="s">
        <v>1059</v>
      </c>
      <c r="C81" s="973">
        <v>14210</v>
      </c>
      <c r="D81" s="973">
        <v>14150</v>
      </c>
      <c r="E81" s="973">
        <v>12730</v>
      </c>
      <c r="F81" s="991">
        <v>2240</v>
      </c>
      <c r="H81" s="998"/>
    </row>
    <row r="82" spans="1:8" s="967" customFormat="1" ht="14.25" customHeight="1" thickBot="1">
      <c r="A82" s="979" t="s">
        <v>1340</v>
      </c>
      <c r="B82" s="973" t="s">
        <v>1070</v>
      </c>
      <c r="C82" s="973">
        <v>10860</v>
      </c>
      <c r="D82" s="973">
        <v>10820</v>
      </c>
      <c r="E82" s="973">
        <v>14720</v>
      </c>
      <c r="F82" s="991">
        <v>2490</v>
      </c>
      <c r="H82" s="998"/>
    </row>
    <row r="83" spans="1:8" s="967" customFormat="1" ht="14.25" customHeight="1" thickBot="1">
      <c r="A83" s="979" t="s">
        <v>1340</v>
      </c>
      <c r="B83" s="973" t="s">
        <v>1081</v>
      </c>
      <c r="C83" s="973">
        <v>12810</v>
      </c>
      <c r="D83" s="973">
        <v>12760</v>
      </c>
      <c r="E83" s="973">
        <v>14830</v>
      </c>
      <c r="F83" s="991">
        <v>2450</v>
      </c>
      <c r="H83" s="998"/>
    </row>
    <row r="84" spans="1:8" s="967" customFormat="1" ht="14.25" customHeight="1" thickBot="1">
      <c r="A84" s="979" t="s">
        <v>1340</v>
      </c>
      <c r="B84" s="973" t="s">
        <v>1093</v>
      </c>
      <c r="C84" s="973">
        <v>14950</v>
      </c>
      <c r="D84" s="973">
        <v>14810</v>
      </c>
      <c r="E84" s="973">
        <v>12590</v>
      </c>
      <c r="F84" s="991">
        <v>2540</v>
      </c>
      <c r="H84" s="998"/>
    </row>
    <row r="85" spans="1:8" s="967" customFormat="1" ht="14.25" customHeight="1" thickBot="1">
      <c r="A85" s="979" t="s">
        <v>1340</v>
      </c>
      <c r="B85" s="973" t="s">
        <v>1103</v>
      </c>
      <c r="C85" s="973">
        <v>14960</v>
      </c>
      <c r="D85" s="973">
        <v>14890</v>
      </c>
      <c r="E85" s="973">
        <v>12840</v>
      </c>
      <c r="F85" s="991">
        <v>2840</v>
      </c>
      <c r="H85" s="998"/>
    </row>
    <row r="86" spans="1:8" s="967" customFormat="1" ht="14.25" customHeight="1" thickBot="1">
      <c r="A86" s="979" t="s">
        <v>1340</v>
      </c>
      <c r="B86" s="973" t="s">
        <v>1113</v>
      </c>
      <c r="C86" s="973">
        <v>12730</v>
      </c>
      <c r="D86" s="973">
        <v>12660</v>
      </c>
      <c r="E86" s="973">
        <v>13310</v>
      </c>
      <c r="F86" s="991">
        <v>3140</v>
      </c>
      <c r="H86" s="998"/>
    </row>
    <row r="87" spans="1:8" s="967" customFormat="1" ht="14.25" customHeight="1" thickBot="1">
      <c r="A87" s="979" t="s">
        <v>1340</v>
      </c>
      <c r="B87" s="973" t="s">
        <v>1123</v>
      </c>
      <c r="C87" s="973">
        <v>12940</v>
      </c>
      <c r="D87" s="973">
        <v>12890</v>
      </c>
      <c r="E87" s="973">
        <v>11580</v>
      </c>
      <c r="F87" s="1000"/>
      <c r="H87" s="998"/>
    </row>
    <row r="88" spans="1:8" s="967" customFormat="1" ht="14.25" customHeight="1" thickBot="1">
      <c r="A88" s="979" t="s">
        <v>1340</v>
      </c>
      <c r="B88" s="973" t="s">
        <v>1133</v>
      </c>
      <c r="C88" s="973">
        <v>13430</v>
      </c>
      <c r="D88" s="973">
        <v>13360</v>
      </c>
      <c r="E88" s="973">
        <v>12790</v>
      </c>
      <c r="F88" s="1000"/>
      <c r="H88" s="998"/>
    </row>
    <row r="89" spans="1:8" s="967" customFormat="1" ht="14.25" customHeight="1" thickBot="1">
      <c r="A89" s="979" t="s">
        <v>1340</v>
      </c>
      <c r="B89" s="973" t="s">
        <v>1143</v>
      </c>
      <c r="C89" s="973">
        <v>11680</v>
      </c>
      <c r="D89" s="973">
        <v>11630</v>
      </c>
      <c r="E89" s="973">
        <v>11320</v>
      </c>
      <c r="F89" s="1000"/>
      <c r="H89" s="998"/>
    </row>
    <row r="90" spans="1:8" s="967" customFormat="1" ht="14.25" customHeight="1" thickBot="1">
      <c r="A90" s="979" t="s">
        <v>1340</v>
      </c>
      <c r="B90" s="973" t="s">
        <v>1153</v>
      </c>
      <c r="C90" s="973">
        <v>12890</v>
      </c>
      <c r="D90" s="973">
        <v>12820</v>
      </c>
      <c r="E90" s="973">
        <v>12710</v>
      </c>
      <c r="F90" s="1000"/>
      <c r="H90" s="998"/>
    </row>
    <row r="91" spans="1:8" s="967" customFormat="1" ht="14.25" customHeight="1" thickBot="1">
      <c r="A91" s="979" t="s">
        <v>1340</v>
      </c>
      <c r="B91" s="973" t="s">
        <v>1163</v>
      </c>
      <c r="C91" s="973">
        <v>11410</v>
      </c>
      <c r="D91" s="973">
        <v>11360</v>
      </c>
      <c r="E91" s="973">
        <v>12670</v>
      </c>
      <c r="F91" s="1000"/>
      <c r="H91" s="998"/>
    </row>
    <row r="92" spans="1:8" s="967" customFormat="1" ht="14.25" customHeight="1" thickBot="1">
      <c r="A92" s="979" t="s">
        <v>1340</v>
      </c>
      <c r="B92" s="973" t="s">
        <v>1173</v>
      </c>
      <c r="C92" s="973">
        <v>12770</v>
      </c>
      <c r="D92" s="973">
        <v>12740</v>
      </c>
      <c r="E92" s="973">
        <v>11970</v>
      </c>
      <c r="F92" s="1000"/>
      <c r="H92" s="998"/>
    </row>
    <row r="93" spans="1:8" s="967" customFormat="1" ht="14.25" customHeight="1" thickBot="1">
      <c r="A93" s="979" t="s">
        <v>1340</v>
      </c>
      <c r="B93" s="973" t="s">
        <v>1183</v>
      </c>
      <c r="C93" s="973">
        <v>12740</v>
      </c>
      <c r="D93" s="973">
        <v>12700</v>
      </c>
      <c r="E93" s="973">
        <v>12540</v>
      </c>
      <c r="F93" s="1000"/>
      <c r="H93" s="998"/>
    </row>
    <row r="94" spans="1:8" s="967" customFormat="1" ht="14.25" customHeight="1" thickBot="1">
      <c r="A94" s="979" t="s">
        <v>1340</v>
      </c>
      <c r="B94" s="973" t="s">
        <v>1193</v>
      </c>
      <c r="C94" s="973">
        <v>12020</v>
      </c>
      <c r="D94" s="973">
        <v>11990</v>
      </c>
      <c r="E94" s="973">
        <v>13110</v>
      </c>
      <c r="F94" s="1000"/>
      <c r="H94" s="998"/>
    </row>
    <row r="95" spans="1:8" s="967" customFormat="1" ht="14.25" customHeight="1" thickBot="1">
      <c r="A95" s="979" t="s">
        <v>1340</v>
      </c>
      <c r="B95" s="973" t="s">
        <v>1202</v>
      </c>
      <c r="C95" s="973">
        <v>12620</v>
      </c>
      <c r="D95" s="973">
        <v>12580</v>
      </c>
      <c r="E95" s="973">
        <v>13160</v>
      </c>
      <c r="F95" s="991"/>
      <c r="H95" s="998"/>
    </row>
    <row r="96" spans="1:8" s="967" customFormat="1" ht="14.25" customHeight="1" thickBot="1">
      <c r="A96" s="979" t="s">
        <v>1340</v>
      </c>
      <c r="B96" s="973" t="s">
        <v>1211</v>
      </c>
      <c r="C96" s="973">
        <v>13200</v>
      </c>
      <c r="D96" s="973">
        <v>13150</v>
      </c>
      <c r="E96" s="973">
        <v>12900</v>
      </c>
      <c r="F96" s="991"/>
      <c r="H96" s="998"/>
    </row>
    <row r="97" spans="1:8" s="967" customFormat="1" ht="14.25" customHeight="1" thickBot="1">
      <c r="A97" s="979" t="s">
        <v>1340</v>
      </c>
      <c r="B97" s="973" t="s">
        <v>1219</v>
      </c>
      <c r="C97" s="973">
        <v>13270</v>
      </c>
      <c r="D97" s="973">
        <v>13210</v>
      </c>
      <c r="E97" s="973">
        <v>11080</v>
      </c>
      <c r="F97" s="991"/>
      <c r="H97" s="998"/>
    </row>
    <row r="98" spans="1:8" s="967" customFormat="1" ht="14.25" customHeight="1" thickBot="1">
      <c r="A98" s="979" t="s">
        <v>1340</v>
      </c>
      <c r="B98" s="973" t="s">
        <v>1226</v>
      </c>
      <c r="C98" s="973">
        <v>13010</v>
      </c>
      <c r="D98" s="973">
        <v>12930</v>
      </c>
      <c r="E98" s="973">
        <v>12840</v>
      </c>
      <c r="F98" s="991"/>
      <c r="H98" s="998"/>
    </row>
    <row r="99" spans="1:8" s="967" customFormat="1" ht="14.25" customHeight="1" thickBot="1">
      <c r="A99" s="979" t="s">
        <v>1340</v>
      </c>
      <c r="B99" s="973" t="s">
        <v>1233</v>
      </c>
      <c r="C99" s="973">
        <v>11190</v>
      </c>
      <c r="D99" s="973">
        <v>11130</v>
      </c>
      <c r="E99" s="973"/>
      <c r="F99" s="991"/>
      <c r="H99" s="998"/>
    </row>
    <row r="100" spans="1:8" s="967" customFormat="1" ht="14.25" customHeight="1" thickBot="1">
      <c r="A100" s="979" t="s">
        <v>1340</v>
      </c>
      <c r="B100" s="973" t="s">
        <v>1240</v>
      </c>
      <c r="C100" s="973">
        <v>14280</v>
      </c>
      <c r="D100" s="973">
        <v>14180</v>
      </c>
      <c r="E100" s="973"/>
      <c r="F100" s="991"/>
      <c r="H100" s="998"/>
    </row>
    <row r="101" spans="1:8" s="967" customFormat="1" ht="14.25" customHeight="1" thickBot="1">
      <c r="A101" s="979" t="s">
        <v>1340</v>
      </c>
      <c r="B101" s="973" t="s">
        <v>1247</v>
      </c>
      <c r="C101" s="973">
        <v>12960</v>
      </c>
      <c r="D101" s="973">
        <v>12890</v>
      </c>
      <c r="E101" s="973"/>
      <c r="F101" s="991"/>
      <c r="H101" s="998"/>
    </row>
    <row r="102" spans="1:8" s="967" customFormat="1" ht="14.25" customHeight="1" thickBot="1">
      <c r="A102" s="979" t="s">
        <v>1340</v>
      </c>
      <c r="B102" s="973" t="s">
        <v>1254</v>
      </c>
      <c r="C102" s="973"/>
      <c r="D102" s="973"/>
      <c r="E102" s="973"/>
      <c r="F102" s="991">
        <v>3100</v>
      </c>
      <c r="H102" s="998"/>
    </row>
    <row r="103" spans="1:8" s="967" customFormat="1" ht="14.25" customHeight="1" thickBot="1">
      <c r="A103" s="979" t="s">
        <v>1340</v>
      </c>
      <c r="B103" s="973" t="s">
        <v>1261</v>
      </c>
      <c r="C103" s="973"/>
      <c r="D103" s="973"/>
      <c r="E103" s="973"/>
      <c r="F103" s="991">
        <v>2320</v>
      </c>
      <c r="H103" s="998"/>
    </row>
    <row r="104" spans="1:8" s="967" customFormat="1" ht="14.25" customHeight="1" thickBot="1">
      <c r="A104" s="979" t="s">
        <v>1340</v>
      </c>
      <c r="B104" s="973" t="s">
        <v>1266</v>
      </c>
      <c r="C104" s="973"/>
      <c r="D104" s="973"/>
      <c r="E104" s="973"/>
      <c r="F104" s="991">
        <v>2320</v>
      </c>
      <c r="H104" s="998"/>
    </row>
    <row r="105" spans="1:8" s="967" customFormat="1" ht="14.25" customHeight="1" thickBot="1">
      <c r="A105" s="979" t="s">
        <v>1340</v>
      </c>
      <c r="B105" s="973" t="s">
        <v>1270</v>
      </c>
      <c r="C105" s="973"/>
      <c r="D105" s="973"/>
      <c r="E105" s="973"/>
      <c r="F105" s="991">
        <v>2320</v>
      </c>
      <c r="H105" s="998"/>
    </row>
    <row r="106" spans="1:8" s="967" customFormat="1" ht="14.25" customHeight="1" thickBot="1">
      <c r="A106" s="979" t="s">
        <v>1340</v>
      </c>
      <c r="B106" s="973" t="s">
        <v>1275</v>
      </c>
      <c r="C106" s="973"/>
      <c r="D106" s="973"/>
      <c r="E106" s="973"/>
      <c r="F106" s="991">
        <v>2320</v>
      </c>
      <c r="H106" s="998"/>
    </row>
    <row r="107" spans="1:8" s="967" customFormat="1" ht="14.25" customHeight="1" thickBot="1">
      <c r="A107" s="979" t="s">
        <v>1340</v>
      </c>
      <c r="B107" s="973" t="s">
        <v>1280</v>
      </c>
      <c r="C107" s="973"/>
      <c r="D107" s="973"/>
      <c r="E107" s="973"/>
      <c r="F107" s="991">
        <v>2280</v>
      </c>
      <c r="H107" s="998"/>
    </row>
    <row r="108" spans="1:8" s="967" customFormat="1" ht="14.25" customHeight="1" thickBot="1">
      <c r="A108" s="979" t="s">
        <v>1340</v>
      </c>
      <c r="B108" s="973" t="s">
        <v>1285</v>
      </c>
      <c r="C108" s="973"/>
      <c r="D108" s="973"/>
      <c r="E108" s="973"/>
      <c r="F108" s="991">
        <v>2280</v>
      </c>
      <c r="H108" s="998"/>
    </row>
    <row r="109" spans="1:8" s="967" customFormat="1" ht="14.25" customHeight="1" thickBot="1">
      <c r="A109" s="979" t="s">
        <v>1340</v>
      </c>
      <c r="B109" s="989" t="s">
        <v>1290</v>
      </c>
      <c r="C109" s="989"/>
      <c r="D109" s="989"/>
      <c r="E109" s="989"/>
      <c r="F109" s="999">
        <v>2280</v>
      </c>
      <c r="H109" s="998"/>
    </row>
    <row r="110" spans="1:8" s="967" customFormat="1" ht="14.25" customHeight="1" thickBot="1">
      <c r="A110" s="979" t="s">
        <v>1342</v>
      </c>
      <c r="B110" s="980" t="s">
        <v>1343</v>
      </c>
      <c r="C110" s="980">
        <v>10520</v>
      </c>
      <c r="D110" s="980">
        <v>10490</v>
      </c>
      <c r="E110" s="980">
        <v>10760</v>
      </c>
      <c r="F110" s="981">
        <v>2160</v>
      </c>
      <c r="H110" s="998"/>
    </row>
    <row r="111" spans="1:8" s="967" customFormat="1" ht="14.25" customHeight="1" thickBot="1">
      <c r="A111" s="979" t="s">
        <v>1342</v>
      </c>
      <c r="B111" s="973" t="s">
        <v>1008</v>
      </c>
      <c r="C111" s="973">
        <v>10090</v>
      </c>
      <c r="D111" s="973">
        <v>10060</v>
      </c>
      <c r="E111" s="973">
        <v>10300</v>
      </c>
      <c r="F111" s="991">
        <v>2010</v>
      </c>
      <c r="H111" s="998"/>
    </row>
    <row r="112" spans="1:8" s="967" customFormat="1" ht="14.25" customHeight="1" thickBot="1">
      <c r="A112" s="979" t="s">
        <v>1342</v>
      </c>
      <c r="B112" s="973" t="s">
        <v>1022</v>
      </c>
      <c r="C112" s="973">
        <v>9910</v>
      </c>
      <c r="D112" s="973">
        <v>9850</v>
      </c>
      <c r="E112" s="973">
        <v>9960</v>
      </c>
      <c r="F112" s="991">
        <v>2090</v>
      </c>
      <c r="H112" s="998"/>
    </row>
    <row r="113" spans="1:8" s="967" customFormat="1" ht="14.25" customHeight="1" thickBot="1">
      <c r="A113" s="979" t="s">
        <v>1342</v>
      </c>
      <c r="B113" s="973" t="s">
        <v>1035</v>
      </c>
      <c r="C113" s="973">
        <v>11430</v>
      </c>
      <c r="D113" s="973">
        <v>11400</v>
      </c>
      <c r="E113" s="973">
        <v>11710</v>
      </c>
      <c r="F113" s="991">
        <v>2050</v>
      </c>
      <c r="H113" s="998"/>
    </row>
    <row r="114" spans="1:8" s="967" customFormat="1" ht="14.25" customHeight="1" thickBot="1">
      <c r="A114" s="979" t="s">
        <v>1342</v>
      </c>
      <c r="B114" s="973" t="s">
        <v>1049</v>
      </c>
      <c r="C114" s="973">
        <v>11390</v>
      </c>
      <c r="D114" s="973">
        <v>11350</v>
      </c>
      <c r="E114" s="973">
        <v>11640</v>
      </c>
      <c r="F114" s="991">
        <v>1620</v>
      </c>
      <c r="H114" s="998"/>
    </row>
    <row r="115" spans="1:8" s="967" customFormat="1" ht="14.25" customHeight="1" thickBot="1">
      <c r="A115" s="979" t="s">
        <v>1342</v>
      </c>
      <c r="B115" s="973" t="s">
        <v>1060</v>
      </c>
      <c r="C115" s="973">
        <v>9930</v>
      </c>
      <c r="D115" s="973">
        <v>9900</v>
      </c>
      <c r="E115" s="973">
        <v>10160</v>
      </c>
      <c r="F115" s="991">
        <v>1580</v>
      </c>
      <c r="H115" s="998"/>
    </row>
    <row r="116" spans="1:8" s="967" customFormat="1" ht="14.25" customHeight="1" thickBot="1">
      <c r="A116" s="979" t="s">
        <v>1342</v>
      </c>
      <c r="B116" s="973" t="s">
        <v>1071</v>
      </c>
      <c r="C116" s="973">
        <v>9150</v>
      </c>
      <c r="D116" s="973">
        <v>9120</v>
      </c>
      <c r="E116" s="973">
        <v>9380</v>
      </c>
      <c r="F116" s="991">
        <v>1750</v>
      </c>
      <c r="H116" s="998"/>
    </row>
    <row r="117" spans="1:8" s="967" customFormat="1" ht="14.25" customHeight="1" thickBot="1">
      <c r="A117" s="979" t="s">
        <v>1342</v>
      </c>
      <c r="B117" s="973" t="s">
        <v>1082</v>
      </c>
      <c r="C117" s="973">
        <v>10680</v>
      </c>
      <c r="D117" s="973">
        <v>10650</v>
      </c>
      <c r="E117" s="973">
        <v>10970</v>
      </c>
      <c r="F117" s="991">
        <v>1730</v>
      </c>
      <c r="H117" s="998"/>
    </row>
    <row r="118" spans="1:8" s="967" customFormat="1" ht="14.25" customHeight="1" thickBot="1">
      <c r="A118" s="979" t="s">
        <v>1342</v>
      </c>
      <c r="B118" s="973" t="s">
        <v>1094</v>
      </c>
      <c r="C118" s="973">
        <v>10080</v>
      </c>
      <c r="D118" s="973">
        <v>10050</v>
      </c>
      <c r="E118" s="973">
        <v>10350</v>
      </c>
      <c r="F118" s="991">
        <v>1920</v>
      </c>
      <c r="H118" s="998"/>
    </row>
    <row r="119" spans="1:8" s="967" customFormat="1" ht="14.25" customHeight="1" thickBot="1">
      <c r="A119" s="979" t="s">
        <v>1342</v>
      </c>
      <c r="B119" s="973" t="s">
        <v>1104</v>
      </c>
      <c r="C119" s="973">
        <v>9450</v>
      </c>
      <c r="D119" s="973">
        <v>9410</v>
      </c>
      <c r="E119" s="973">
        <v>9680</v>
      </c>
      <c r="F119" s="991">
        <v>1880</v>
      </c>
      <c r="H119" s="998"/>
    </row>
    <row r="120" spans="1:8" s="967" customFormat="1" ht="14.25" customHeight="1" thickBot="1">
      <c r="A120" s="979" t="s">
        <v>1342</v>
      </c>
      <c r="B120" s="973" t="s">
        <v>1114</v>
      </c>
      <c r="C120" s="973">
        <v>8730</v>
      </c>
      <c r="D120" s="973">
        <v>8700</v>
      </c>
      <c r="E120" s="973">
        <v>8950</v>
      </c>
      <c r="F120" s="991">
        <v>1830</v>
      </c>
      <c r="H120" s="998"/>
    </row>
    <row r="121" spans="1:8" s="967" customFormat="1" ht="14.25" customHeight="1" thickBot="1">
      <c r="A121" s="979" t="s">
        <v>1342</v>
      </c>
      <c r="B121" s="973" t="s">
        <v>1124</v>
      </c>
      <c r="C121" s="973">
        <v>10070</v>
      </c>
      <c r="D121" s="973">
        <v>10040</v>
      </c>
      <c r="E121" s="973">
        <v>10270</v>
      </c>
      <c r="F121" s="991">
        <v>1960</v>
      </c>
      <c r="H121" s="998"/>
    </row>
    <row r="122" spans="1:8" s="967" customFormat="1" ht="14.25" customHeight="1" thickBot="1">
      <c r="A122" s="979" t="s">
        <v>1342</v>
      </c>
      <c r="B122" s="973" t="s">
        <v>1134</v>
      </c>
      <c r="C122" s="973">
        <v>10500</v>
      </c>
      <c r="D122" s="973">
        <v>10470</v>
      </c>
      <c r="E122" s="973">
        <v>10780</v>
      </c>
      <c r="F122" s="991">
        <v>2180</v>
      </c>
      <c r="H122" s="998"/>
    </row>
    <row r="123" spans="1:8" s="967" customFormat="1" ht="14.25" customHeight="1" thickBot="1">
      <c r="A123" s="979" t="s">
        <v>1342</v>
      </c>
      <c r="B123" s="973" t="s">
        <v>1144</v>
      </c>
      <c r="C123" s="973">
        <v>10390</v>
      </c>
      <c r="D123" s="973">
        <v>10360</v>
      </c>
      <c r="E123" s="973">
        <v>10660</v>
      </c>
      <c r="F123" s="991">
        <v>2040</v>
      </c>
      <c r="H123" s="998"/>
    </row>
    <row r="124" spans="1:8" s="967" customFormat="1" ht="14.25" customHeight="1" thickBot="1">
      <c r="A124" s="979" t="s">
        <v>1342</v>
      </c>
      <c r="B124" s="973" t="s">
        <v>1154</v>
      </c>
      <c r="C124" s="973">
        <v>10390</v>
      </c>
      <c r="D124" s="973">
        <v>10360</v>
      </c>
      <c r="E124" s="973">
        <v>10680</v>
      </c>
      <c r="F124" s="1000"/>
      <c r="H124" s="998"/>
    </row>
    <row r="125" spans="1:8" s="967" customFormat="1" ht="14.25" customHeight="1" thickBot="1">
      <c r="A125" s="979" t="s">
        <v>1342</v>
      </c>
      <c r="B125" s="973" t="s">
        <v>1164</v>
      </c>
      <c r="C125" s="973">
        <v>10440</v>
      </c>
      <c r="D125" s="973">
        <v>10410</v>
      </c>
      <c r="E125" s="973">
        <v>10710</v>
      </c>
      <c r="F125" s="1000"/>
      <c r="H125" s="998"/>
    </row>
    <row r="126" spans="1:8" s="967" customFormat="1" ht="14.25" customHeight="1" thickBot="1">
      <c r="A126" s="979" t="s">
        <v>1342</v>
      </c>
      <c r="B126" s="973" t="s">
        <v>1174</v>
      </c>
      <c r="C126" s="973">
        <v>10780</v>
      </c>
      <c r="D126" s="973">
        <v>10750</v>
      </c>
      <c r="E126" s="973">
        <v>11080</v>
      </c>
      <c r="F126" s="1000"/>
      <c r="H126" s="998"/>
    </row>
    <row r="127" spans="1:8" s="967" customFormat="1" ht="14.25" customHeight="1" thickBot="1">
      <c r="A127" s="979" t="s">
        <v>1342</v>
      </c>
      <c r="B127" s="973" t="s">
        <v>1184</v>
      </c>
      <c r="C127" s="973">
        <v>10100</v>
      </c>
      <c r="D127" s="973">
        <v>10070</v>
      </c>
      <c r="E127" s="973">
        <v>10350</v>
      </c>
      <c r="F127" s="1000"/>
      <c r="H127" s="998"/>
    </row>
    <row r="128" spans="1:8" s="967" customFormat="1" ht="14.25" customHeight="1" thickBot="1">
      <c r="A128" s="979" t="s">
        <v>1342</v>
      </c>
      <c r="B128" s="973" t="s">
        <v>1194</v>
      </c>
      <c r="C128" s="973">
        <v>9200</v>
      </c>
      <c r="D128" s="973">
        <v>9160</v>
      </c>
      <c r="E128" s="973">
        <v>9660</v>
      </c>
      <c r="F128" s="1000"/>
      <c r="H128" s="998"/>
    </row>
    <row r="129" spans="1:8" s="967" customFormat="1" ht="14.25" customHeight="1" thickBot="1">
      <c r="A129" s="979" t="s">
        <v>1342</v>
      </c>
      <c r="B129" s="973" t="s">
        <v>1203</v>
      </c>
      <c r="C129" s="973">
        <v>10340</v>
      </c>
      <c r="D129" s="973">
        <v>10310</v>
      </c>
      <c r="E129" s="973">
        <v>10580</v>
      </c>
      <c r="F129" s="1000"/>
      <c r="H129" s="998"/>
    </row>
    <row r="130" spans="1:8" s="967" customFormat="1" ht="14.25" customHeight="1" thickBot="1">
      <c r="A130" s="979" t="s">
        <v>1342</v>
      </c>
      <c r="B130" s="973" t="s">
        <v>1212</v>
      </c>
      <c r="C130" s="973">
        <v>9680</v>
      </c>
      <c r="D130" s="973">
        <v>9660</v>
      </c>
      <c r="E130" s="973">
        <v>9950</v>
      </c>
      <c r="F130" s="1000"/>
      <c r="H130" s="998"/>
    </row>
    <row r="131" spans="1:8" s="967" customFormat="1" ht="14.25" customHeight="1" thickBot="1">
      <c r="A131" s="979" t="s">
        <v>1342</v>
      </c>
      <c r="B131" s="973" t="s">
        <v>1220</v>
      </c>
      <c r="C131" s="973">
        <v>9540</v>
      </c>
      <c r="D131" s="973">
        <v>9510</v>
      </c>
      <c r="E131" s="973">
        <v>9790</v>
      </c>
      <c r="F131" s="1000"/>
      <c r="H131" s="998"/>
    </row>
    <row r="132" spans="1:8" s="967" customFormat="1" ht="14.25" customHeight="1" thickBot="1">
      <c r="A132" s="979" t="s">
        <v>1342</v>
      </c>
      <c r="B132" s="973" t="s">
        <v>1227</v>
      </c>
      <c r="C132" s="973">
        <v>9320</v>
      </c>
      <c r="D132" s="973">
        <v>9290</v>
      </c>
      <c r="E132" s="973">
        <v>9570</v>
      </c>
      <c r="F132" s="1000"/>
      <c r="H132" s="998"/>
    </row>
    <row r="133" spans="1:8" s="967" customFormat="1" ht="14.25" customHeight="1" thickBot="1">
      <c r="A133" s="979" t="s">
        <v>1342</v>
      </c>
      <c r="B133" s="973" t="s">
        <v>1234</v>
      </c>
      <c r="C133" s="973">
        <v>10310</v>
      </c>
      <c r="D133" s="973">
        <v>10280</v>
      </c>
      <c r="E133" s="973">
        <v>10530</v>
      </c>
      <c r="F133" s="1000"/>
      <c r="H133" s="998"/>
    </row>
    <row r="134" spans="1:8" s="967" customFormat="1" ht="14.25" customHeight="1" thickBot="1">
      <c r="A134" s="979" t="s">
        <v>1342</v>
      </c>
      <c r="B134" s="973" t="s">
        <v>1241</v>
      </c>
      <c r="C134" s="973">
        <v>10370</v>
      </c>
      <c r="D134" s="973">
        <v>10310</v>
      </c>
      <c r="E134" s="973">
        <v>10240</v>
      </c>
      <c r="F134" s="991">
        <v>2060</v>
      </c>
      <c r="H134" s="998"/>
    </row>
    <row r="135" spans="1:8" s="967" customFormat="1" ht="14.25" customHeight="1" thickBot="1">
      <c r="A135" s="979" t="s">
        <v>1342</v>
      </c>
      <c r="B135" s="973" t="s">
        <v>1248</v>
      </c>
      <c r="C135" s="973">
        <v>9300</v>
      </c>
      <c r="D135" s="973">
        <v>9270</v>
      </c>
      <c r="E135" s="973">
        <v>9350</v>
      </c>
      <c r="F135" s="1000"/>
      <c r="H135" s="998"/>
    </row>
    <row r="136" spans="1:8" s="967" customFormat="1" ht="14.25" customHeight="1" thickBot="1">
      <c r="A136" s="979" t="s">
        <v>1342</v>
      </c>
      <c r="B136" s="973" t="s">
        <v>1255</v>
      </c>
      <c r="C136" s="973">
        <v>10160</v>
      </c>
      <c r="D136" s="973">
        <v>10110</v>
      </c>
      <c r="E136" s="973">
        <v>10080</v>
      </c>
      <c r="F136" s="1000"/>
      <c r="H136" s="998"/>
    </row>
    <row r="137" spans="1:8" s="967" customFormat="1" ht="14.25" customHeight="1" thickBot="1">
      <c r="A137" s="979" t="s">
        <v>1342</v>
      </c>
      <c r="B137" s="973" t="s">
        <v>1262</v>
      </c>
      <c r="C137" s="973">
        <v>9200</v>
      </c>
      <c r="D137" s="973">
        <v>9170</v>
      </c>
      <c r="E137" s="973">
        <v>9450</v>
      </c>
      <c r="F137" s="1000"/>
      <c r="H137" s="998"/>
    </row>
    <row r="138" spans="1:8" s="967" customFormat="1" ht="14.25" customHeight="1" thickBot="1">
      <c r="A138" s="979" t="s">
        <v>1342</v>
      </c>
      <c r="B138" s="973" t="s">
        <v>1267</v>
      </c>
      <c r="C138" s="973">
        <v>9690</v>
      </c>
      <c r="D138" s="973">
        <v>9660</v>
      </c>
      <c r="E138" s="973">
        <v>9840</v>
      </c>
      <c r="F138" s="1000"/>
      <c r="H138" s="998"/>
    </row>
    <row r="139" spans="1:8" s="967" customFormat="1" ht="14.25" customHeight="1" thickBot="1">
      <c r="A139" s="979" t="s">
        <v>1342</v>
      </c>
      <c r="B139" s="973" t="s">
        <v>1271</v>
      </c>
      <c r="C139" s="973">
        <v>10290</v>
      </c>
      <c r="D139" s="973">
        <v>10260</v>
      </c>
      <c r="E139" s="973">
        <v>10550</v>
      </c>
      <c r="F139" s="991">
        <v>1700</v>
      </c>
      <c r="H139" s="998"/>
    </row>
    <row r="140" spans="1:8" s="967" customFormat="1" ht="14.25" customHeight="1" thickBot="1">
      <c r="A140" s="979" t="s">
        <v>1342</v>
      </c>
      <c r="B140" s="973" t="s">
        <v>1276</v>
      </c>
      <c r="C140" s="973">
        <v>9740</v>
      </c>
      <c r="D140" s="973">
        <v>9710</v>
      </c>
      <c r="E140" s="973">
        <v>10000</v>
      </c>
      <c r="F140" s="991">
        <v>2000</v>
      </c>
      <c r="H140" s="998"/>
    </row>
    <row r="141" spans="1:8" s="967" customFormat="1" ht="14.25" customHeight="1" thickBot="1">
      <c r="A141" s="979" t="s">
        <v>1342</v>
      </c>
      <c r="B141" s="973" t="s">
        <v>1281</v>
      </c>
      <c r="C141" s="973">
        <v>9810</v>
      </c>
      <c r="D141" s="973">
        <v>9770</v>
      </c>
      <c r="E141" s="973">
        <v>10060</v>
      </c>
      <c r="F141" s="1000"/>
      <c r="H141" s="998"/>
    </row>
    <row r="142" spans="1:8" s="967" customFormat="1" ht="14.25" customHeight="1" thickBot="1">
      <c r="A142" s="979" t="s">
        <v>1342</v>
      </c>
      <c r="B142" s="973" t="s">
        <v>1286</v>
      </c>
      <c r="C142" s="973">
        <v>9300</v>
      </c>
      <c r="D142" s="973">
        <v>9270</v>
      </c>
      <c r="E142" s="973">
        <v>9530</v>
      </c>
      <c r="F142" s="1000"/>
      <c r="H142" s="998"/>
    </row>
    <row r="143" spans="1:8" s="967" customFormat="1" ht="14.25" customHeight="1" thickBot="1">
      <c r="A143" s="979" t="s">
        <v>1342</v>
      </c>
      <c r="B143" s="973" t="s">
        <v>1291</v>
      </c>
      <c r="C143" s="973">
        <v>10080</v>
      </c>
      <c r="D143" s="973">
        <v>10050</v>
      </c>
      <c r="E143" s="973">
        <v>10340</v>
      </c>
      <c r="F143" s="1000"/>
      <c r="H143" s="998"/>
    </row>
    <row r="144" spans="1:8" s="967" customFormat="1" ht="14.25" customHeight="1" thickBot="1">
      <c r="A144" s="979" t="s">
        <v>1342</v>
      </c>
      <c r="B144" s="973" t="s">
        <v>1295</v>
      </c>
      <c r="C144" s="973">
        <v>9820</v>
      </c>
      <c r="D144" s="973">
        <v>9750</v>
      </c>
      <c r="E144" s="973">
        <v>9900</v>
      </c>
      <c r="F144" s="1000"/>
      <c r="H144" s="998"/>
    </row>
    <row r="145" spans="1:8" s="967" customFormat="1" ht="14.25" customHeight="1" thickBot="1">
      <c r="A145" s="979" t="s">
        <v>1342</v>
      </c>
      <c r="B145" s="973" t="s">
        <v>1299</v>
      </c>
      <c r="C145" s="973"/>
      <c r="D145" s="973"/>
      <c r="E145" s="973"/>
      <c r="F145" s="991">
        <v>1740</v>
      </c>
      <c r="H145" s="998"/>
    </row>
    <row r="146" spans="1:8" s="967" customFormat="1" ht="14.25" customHeight="1" thickBot="1">
      <c r="A146" s="979" t="s">
        <v>1342</v>
      </c>
      <c r="B146" s="973" t="s">
        <v>1303</v>
      </c>
      <c r="C146" s="973"/>
      <c r="D146" s="973"/>
      <c r="E146" s="973"/>
      <c r="F146" s="991">
        <v>1740</v>
      </c>
      <c r="H146" s="998"/>
    </row>
    <row r="147" spans="1:8" s="967" customFormat="1" ht="14.25" customHeight="1" thickBot="1">
      <c r="A147" s="979" t="s">
        <v>1342</v>
      </c>
      <c r="B147" s="973" t="s">
        <v>1307</v>
      </c>
      <c r="C147" s="973"/>
      <c r="D147" s="973"/>
      <c r="E147" s="973"/>
      <c r="F147" s="991">
        <v>1740</v>
      </c>
      <c r="H147" s="998"/>
    </row>
    <row r="148" spans="1:8" s="967" customFormat="1" ht="14.25" customHeight="1" thickBot="1">
      <c r="A148" s="979" t="s">
        <v>1342</v>
      </c>
      <c r="B148" s="973" t="s">
        <v>1311</v>
      </c>
      <c r="C148" s="973"/>
      <c r="D148" s="973"/>
      <c r="E148" s="973"/>
      <c r="F148" s="991">
        <v>1740</v>
      </c>
      <c r="H148" s="998"/>
    </row>
    <row r="149" spans="1:8" s="967" customFormat="1" ht="14.25" customHeight="1" thickBot="1">
      <c r="A149" s="979" t="s">
        <v>1342</v>
      </c>
      <c r="B149" s="973" t="s">
        <v>1315</v>
      </c>
      <c r="C149" s="973"/>
      <c r="D149" s="973"/>
      <c r="E149" s="973"/>
      <c r="F149" s="991">
        <v>1740</v>
      </c>
      <c r="H149" s="998"/>
    </row>
    <row r="150" spans="1:8" s="967" customFormat="1" ht="14.25" customHeight="1" thickBot="1">
      <c r="A150" s="979" t="s">
        <v>1342</v>
      </c>
      <c r="B150" s="973" t="s">
        <v>1318</v>
      </c>
      <c r="C150" s="973"/>
      <c r="D150" s="973"/>
      <c r="E150" s="973"/>
      <c r="F150" s="991">
        <v>1610</v>
      </c>
      <c r="H150" s="998"/>
    </row>
    <row r="151" spans="1:8" s="967" customFormat="1" ht="14.25" customHeight="1" thickBot="1">
      <c r="A151" s="979" t="s">
        <v>1342</v>
      </c>
      <c r="B151" s="973" t="s">
        <v>1321</v>
      </c>
      <c r="C151" s="973"/>
      <c r="D151" s="973"/>
      <c r="E151" s="973"/>
      <c r="F151" s="991">
        <v>1610</v>
      </c>
      <c r="H151" s="998"/>
    </row>
    <row r="152" spans="1:8" s="967" customFormat="1" ht="14.25" customHeight="1" thickBot="1">
      <c r="A152" s="979" t="s">
        <v>1342</v>
      </c>
      <c r="B152" s="973" t="s">
        <v>1324</v>
      </c>
      <c r="C152" s="973"/>
      <c r="D152" s="973"/>
      <c r="E152" s="973"/>
      <c r="F152" s="991">
        <v>1610</v>
      </c>
      <c r="H152" s="998"/>
    </row>
    <row r="153" spans="1:8" s="967" customFormat="1" ht="14.25" customHeight="1" thickBot="1">
      <c r="A153" s="979" t="s">
        <v>1342</v>
      </c>
      <c r="B153" s="973" t="s">
        <v>1327</v>
      </c>
      <c r="C153" s="973"/>
      <c r="D153" s="973"/>
      <c r="E153" s="973"/>
      <c r="F153" s="991">
        <v>1610</v>
      </c>
      <c r="H153" s="998"/>
    </row>
    <row r="154" spans="1:8" s="967" customFormat="1" ht="14.25" customHeight="1" thickBot="1">
      <c r="A154" s="979" t="s">
        <v>1342</v>
      </c>
      <c r="B154" s="973" t="s">
        <v>1330</v>
      </c>
      <c r="C154" s="973"/>
      <c r="D154" s="973"/>
      <c r="E154" s="973"/>
      <c r="F154" s="991">
        <v>1610</v>
      </c>
      <c r="H154" s="998"/>
    </row>
    <row r="155" spans="1:8" s="967" customFormat="1" ht="14.25" customHeight="1" thickBot="1">
      <c r="A155" s="979" t="s">
        <v>1342</v>
      </c>
      <c r="B155" s="973" t="s">
        <v>1333</v>
      </c>
      <c r="C155" s="973"/>
      <c r="D155" s="973"/>
      <c r="E155" s="973"/>
      <c r="F155" s="991">
        <v>1800</v>
      </c>
      <c r="H155" s="998"/>
    </row>
    <row r="156" spans="1:8" s="967" customFormat="1" ht="14.25" customHeight="1" thickBot="1">
      <c r="A156" s="979" t="s">
        <v>1342</v>
      </c>
      <c r="B156" s="973" t="s">
        <v>1335</v>
      </c>
      <c r="C156" s="973"/>
      <c r="D156" s="973"/>
      <c r="E156" s="973"/>
      <c r="F156" s="991">
        <v>1910</v>
      </c>
      <c r="H156" s="998"/>
    </row>
    <row r="157" spans="1:8" s="967" customFormat="1" ht="14.25" customHeight="1" thickBot="1">
      <c r="A157" s="979" t="s">
        <v>1342</v>
      </c>
      <c r="B157" s="989" t="s">
        <v>1338</v>
      </c>
      <c r="C157" s="989"/>
      <c r="D157" s="989"/>
      <c r="E157" s="989"/>
      <c r="F157" s="999">
        <v>1500</v>
      </c>
      <c r="H157" s="998"/>
    </row>
    <row r="158" spans="1:8" s="967" customFormat="1" ht="14.25" customHeight="1" thickBot="1">
      <c r="A158" s="979" t="s">
        <v>1344</v>
      </c>
      <c r="B158" s="980" t="s">
        <v>1345</v>
      </c>
      <c r="C158" s="980">
        <v>8170</v>
      </c>
      <c r="D158" s="980">
        <v>8140</v>
      </c>
      <c r="E158" s="980">
        <v>8590</v>
      </c>
      <c r="F158" s="981">
        <v>1450</v>
      </c>
      <c r="H158" s="998"/>
    </row>
    <row r="159" spans="1:8" s="967" customFormat="1" ht="14.25" customHeight="1" thickBot="1">
      <c r="A159" s="979" t="s">
        <v>1344</v>
      </c>
      <c r="B159" s="973" t="s">
        <v>1009</v>
      </c>
      <c r="C159" s="973">
        <v>7410</v>
      </c>
      <c r="D159" s="973">
        <v>7370</v>
      </c>
      <c r="E159" s="973">
        <v>8030</v>
      </c>
      <c r="F159" s="991">
        <v>1510</v>
      </c>
      <c r="H159" s="998"/>
    </row>
    <row r="160" spans="1:8" s="967" customFormat="1" ht="14.25" customHeight="1" thickBot="1">
      <c r="A160" s="979" t="s">
        <v>1344</v>
      </c>
      <c r="B160" s="973" t="s">
        <v>1023</v>
      </c>
      <c r="C160" s="973">
        <v>7240</v>
      </c>
      <c r="D160" s="973">
        <v>7210</v>
      </c>
      <c r="E160" s="973">
        <v>7860</v>
      </c>
      <c r="F160" s="991">
        <v>1370</v>
      </c>
      <c r="H160" s="998"/>
    </row>
    <row r="161" spans="1:8" s="967" customFormat="1" ht="14.25" customHeight="1" thickBot="1">
      <c r="A161" s="979" t="s">
        <v>1344</v>
      </c>
      <c r="B161" s="973" t="s">
        <v>1036</v>
      </c>
      <c r="C161" s="973">
        <v>7720</v>
      </c>
      <c r="D161" s="973">
        <v>7690</v>
      </c>
      <c r="E161" s="973">
        <v>8200</v>
      </c>
      <c r="F161" s="991">
        <v>1190</v>
      </c>
      <c r="H161" s="998"/>
    </row>
    <row r="162" spans="1:8" s="967" customFormat="1" ht="14.25" customHeight="1" thickBot="1">
      <c r="A162" s="979" t="s">
        <v>1344</v>
      </c>
      <c r="B162" s="973" t="s">
        <v>1050</v>
      </c>
      <c r="C162" s="973">
        <v>6900</v>
      </c>
      <c r="D162" s="973">
        <v>6870</v>
      </c>
      <c r="E162" s="973">
        <v>7500</v>
      </c>
      <c r="F162" s="991">
        <v>1390</v>
      </c>
      <c r="H162" s="998"/>
    </row>
    <row r="163" spans="1:8" s="967" customFormat="1" ht="14.25" customHeight="1" thickBot="1">
      <c r="A163" s="979" t="s">
        <v>1344</v>
      </c>
      <c r="B163" s="973" t="s">
        <v>1061</v>
      </c>
      <c r="C163" s="973">
        <v>7120</v>
      </c>
      <c r="D163" s="973">
        <v>7090</v>
      </c>
      <c r="E163" s="973">
        <v>7690</v>
      </c>
      <c r="F163" s="991">
        <v>1230</v>
      </c>
      <c r="H163" s="998"/>
    </row>
    <row r="164" spans="1:8" s="967" customFormat="1" ht="14.25" customHeight="1" thickBot="1">
      <c r="A164" s="979" t="s">
        <v>1344</v>
      </c>
      <c r="B164" s="973" t="s">
        <v>1072</v>
      </c>
      <c r="C164" s="973">
        <v>6560</v>
      </c>
      <c r="D164" s="973">
        <v>6530</v>
      </c>
      <c r="E164" s="973">
        <v>7110</v>
      </c>
      <c r="F164" s="991">
        <v>1340</v>
      </c>
      <c r="H164" s="998"/>
    </row>
    <row r="165" spans="1:8" s="967" customFormat="1" ht="14.25" customHeight="1" thickBot="1">
      <c r="A165" s="979" t="s">
        <v>1344</v>
      </c>
      <c r="B165" s="973" t="s">
        <v>1083</v>
      </c>
      <c r="C165" s="973">
        <v>7450</v>
      </c>
      <c r="D165" s="973">
        <v>7430</v>
      </c>
      <c r="E165" s="973">
        <v>8110</v>
      </c>
      <c r="F165" s="991">
        <v>1290</v>
      </c>
      <c r="H165" s="998"/>
    </row>
    <row r="166" spans="1:8" s="967" customFormat="1" ht="14.25" customHeight="1" thickBot="1">
      <c r="A166" s="979" t="s">
        <v>1344</v>
      </c>
      <c r="B166" s="973" t="s">
        <v>1095</v>
      </c>
      <c r="C166" s="973">
        <v>7490</v>
      </c>
      <c r="D166" s="973">
        <v>7460</v>
      </c>
      <c r="E166" s="973">
        <v>8150</v>
      </c>
      <c r="F166" s="991">
        <v>1350</v>
      </c>
      <c r="H166" s="998"/>
    </row>
    <row r="167" spans="1:8" s="967" customFormat="1" ht="14.25" customHeight="1" thickBot="1">
      <c r="A167" s="979" t="s">
        <v>1344</v>
      </c>
      <c r="B167" s="973" t="s">
        <v>1105</v>
      </c>
      <c r="C167" s="973">
        <v>7540</v>
      </c>
      <c r="D167" s="973">
        <v>7510</v>
      </c>
      <c r="E167" s="973">
        <v>8030</v>
      </c>
      <c r="F167" s="1000"/>
      <c r="H167" s="998"/>
    </row>
    <row r="168" spans="1:8" s="967" customFormat="1" ht="14.25" customHeight="1" thickBot="1">
      <c r="A168" s="979" t="s">
        <v>1344</v>
      </c>
      <c r="B168" s="973" t="s">
        <v>1115</v>
      </c>
      <c r="C168" s="973">
        <v>7210</v>
      </c>
      <c r="D168" s="973">
        <v>7180</v>
      </c>
      <c r="E168" s="973">
        <v>7830</v>
      </c>
      <c r="F168" s="1000"/>
      <c r="H168" s="998"/>
    </row>
    <row r="169" spans="1:8" s="967" customFormat="1" ht="14.25" customHeight="1" thickBot="1">
      <c r="A169" s="979" t="s">
        <v>1344</v>
      </c>
      <c r="B169" s="973" t="s">
        <v>1125</v>
      </c>
      <c r="C169" s="973">
        <v>7040</v>
      </c>
      <c r="D169" s="973">
        <v>7020</v>
      </c>
      <c r="E169" s="973">
        <v>7670</v>
      </c>
      <c r="F169" s="1000"/>
      <c r="H169" s="998"/>
    </row>
    <row r="170" spans="1:8" s="967" customFormat="1" ht="14.25" customHeight="1" thickBot="1">
      <c r="A170" s="979" t="s">
        <v>1344</v>
      </c>
      <c r="B170" s="973" t="s">
        <v>1135</v>
      </c>
      <c r="C170" s="973">
        <v>8040</v>
      </c>
      <c r="D170" s="973">
        <v>7190</v>
      </c>
      <c r="E170" s="973">
        <v>7850</v>
      </c>
      <c r="F170" s="1000"/>
      <c r="H170" s="998"/>
    </row>
    <row r="171" spans="1:8" s="967" customFormat="1" ht="14.25" customHeight="1" thickBot="1">
      <c r="A171" s="979" t="s">
        <v>1344</v>
      </c>
      <c r="B171" s="973" t="s">
        <v>1145</v>
      </c>
      <c r="C171" s="973">
        <v>7860</v>
      </c>
      <c r="D171" s="973">
        <v>7720</v>
      </c>
      <c r="E171" s="973">
        <v>8150</v>
      </c>
      <c r="F171" s="991">
        <v>1110</v>
      </c>
      <c r="H171" s="998"/>
    </row>
    <row r="172" spans="1:8" s="967" customFormat="1" ht="14.25" customHeight="1" thickBot="1">
      <c r="A172" s="979" t="s">
        <v>1344</v>
      </c>
      <c r="B172" s="973" t="s">
        <v>1155</v>
      </c>
      <c r="C172" s="973">
        <v>7210</v>
      </c>
      <c r="D172" s="973">
        <v>7170</v>
      </c>
      <c r="E172" s="973">
        <v>7320</v>
      </c>
      <c r="F172" s="1000"/>
      <c r="H172" s="998"/>
    </row>
    <row r="173" spans="1:8" s="967" customFormat="1" ht="14.25" customHeight="1" thickBot="1">
      <c r="A173" s="979" t="s">
        <v>1344</v>
      </c>
      <c r="B173" s="973" t="s">
        <v>1165</v>
      </c>
      <c r="C173" s="973">
        <v>6860</v>
      </c>
      <c r="D173" s="973">
        <v>6810</v>
      </c>
      <c r="E173" s="973">
        <v>7440</v>
      </c>
      <c r="F173" s="1000"/>
      <c r="H173" s="998"/>
    </row>
    <row r="174" spans="1:8" s="967" customFormat="1" ht="14.25" customHeight="1" thickBot="1">
      <c r="A174" s="979" t="s">
        <v>1344</v>
      </c>
      <c r="B174" s="973" t="s">
        <v>1175</v>
      </c>
      <c r="C174" s="973">
        <v>7120</v>
      </c>
      <c r="D174" s="973">
        <v>7090</v>
      </c>
      <c r="E174" s="973">
        <v>7500</v>
      </c>
      <c r="F174" s="991">
        <v>1490</v>
      </c>
      <c r="H174" s="998"/>
    </row>
    <row r="175" spans="1:8" s="967" customFormat="1" ht="14.25" customHeight="1" thickBot="1">
      <c r="A175" s="979" t="s">
        <v>1344</v>
      </c>
      <c r="B175" s="973" t="s">
        <v>1185</v>
      </c>
      <c r="C175" s="973">
        <v>7850</v>
      </c>
      <c r="D175" s="973">
        <v>7820</v>
      </c>
      <c r="E175" s="973">
        <v>8120</v>
      </c>
      <c r="F175" s="991">
        <v>1530</v>
      </c>
      <c r="H175" s="998"/>
    </row>
    <row r="176" spans="1:8" s="967" customFormat="1" ht="14.25" customHeight="1" thickBot="1">
      <c r="A176" s="979" t="s">
        <v>1344</v>
      </c>
      <c r="B176" s="973" t="s">
        <v>1195</v>
      </c>
      <c r="C176" s="973">
        <v>7620</v>
      </c>
      <c r="D176" s="973">
        <v>7570</v>
      </c>
      <c r="E176" s="973">
        <v>7990</v>
      </c>
      <c r="F176" s="991">
        <v>1480</v>
      </c>
      <c r="H176" s="998"/>
    </row>
    <row r="177" spans="1:8" s="967" customFormat="1" ht="14.25" customHeight="1" thickBot="1">
      <c r="A177" s="979" t="s">
        <v>1344</v>
      </c>
      <c r="B177" s="973" t="s">
        <v>1204</v>
      </c>
      <c r="C177" s="973">
        <v>8590</v>
      </c>
      <c r="D177" s="973">
        <v>8570</v>
      </c>
      <c r="E177" s="973">
        <v>8740</v>
      </c>
      <c r="F177" s="991">
        <v>1540</v>
      </c>
      <c r="H177" s="998"/>
    </row>
    <row r="178" spans="1:8" s="967" customFormat="1" ht="14.25" customHeight="1" thickBot="1">
      <c r="A178" s="979" t="s">
        <v>1344</v>
      </c>
      <c r="B178" s="973" t="s">
        <v>1213</v>
      </c>
      <c r="C178" s="973">
        <v>7510</v>
      </c>
      <c r="D178" s="973">
        <v>7470</v>
      </c>
      <c r="E178" s="973">
        <v>8090</v>
      </c>
      <c r="F178" s="991">
        <v>1320</v>
      </c>
      <c r="H178" s="998"/>
    </row>
    <row r="179" spans="1:8" s="967" customFormat="1" ht="14.25" customHeight="1" thickBot="1">
      <c r="A179" s="979" t="s">
        <v>1344</v>
      </c>
      <c r="B179" s="973" t="s">
        <v>1221</v>
      </c>
      <c r="C179" s="973">
        <v>6380</v>
      </c>
      <c r="D179" s="973">
        <v>6340</v>
      </c>
      <c r="E179" s="973">
        <v>6810</v>
      </c>
      <c r="F179" s="1000"/>
      <c r="H179" s="998"/>
    </row>
    <row r="180" spans="1:8" s="967" customFormat="1" ht="14.25" customHeight="1" thickBot="1">
      <c r="A180" s="979" t="s">
        <v>1344</v>
      </c>
      <c r="B180" s="973" t="s">
        <v>1228</v>
      </c>
      <c r="C180" s="973">
        <v>7830</v>
      </c>
      <c r="D180" s="973">
        <v>7800</v>
      </c>
      <c r="E180" s="973">
        <v>7780</v>
      </c>
      <c r="F180" s="991">
        <v>1440</v>
      </c>
      <c r="H180" s="998"/>
    </row>
    <row r="181" spans="1:8" s="967" customFormat="1" ht="14.25" customHeight="1" thickBot="1">
      <c r="A181" s="979" t="s">
        <v>1344</v>
      </c>
      <c r="B181" s="973" t="s">
        <v>1235</v>
      </c>
      <c r="C181" s="973">
        <v>7110</v>
      </c>
      <c r="D181" s="973">
        <v>7080</v>
      </c>
      <c r="E181" s="973">
        <v>7730</v>
      </c>
      <c r="F181" s="991">
        <v>1350</v>
      </c>
      <c r="H181" s="998"/>
    </row>
    <row r="182" spans="1:8" s="967" customFormat="1" ht="14.25" customHeight="1" thickBot="1">
      <c r="A182" s="979" t="s">
        <v>1344</v>
      </c>
      <c r="B182" s="973" t="s">
        <v>1242</v>
      </c>
      <c r="C182" s="973">
        <v>7310</v>
      </c>
      <c r="D182" s="973">
        <v>7280</v>
      </c>
      <c r="E182" s="973">
        <v>7950</v>
      </c>
      <c r="F182" s="991">
        <v>1220</v>
      </c>
      <c r="H182" s="998"/>
    </row>
    <row r="183" spans="1:8" s="967" customFormat="1" ht="14.25" customHeight="1" thickBot="1">
      <c r="A183" s="979" t="s">
        <v>1344</v>
      </c>
      <c r="B183" s="973" t="s">
        <v>1249</v>
      </c>
      <c r="C183" s="973">
        <v>7470</v>
      </c>
      <c r="D183" s="973">
        <v>7440</v>
      </c>
      <c r="E183" s="973">
        <v>7880</v>
      </c>
      <c r="F183" s="1000"/>
      <c r="H183" s="998"/>
    </row>
    <row r="184" spans="1:8" s="967" customFormat="1" ht="14.25" customHeight="1" thickBot="1">
      <c r="A184" s="979" t="s">
        <v>1344</v>
      </c>
      <c r="B184" s="973" t="s">
        <v>1256</v>
      </c>
      <c r="C184" s="973">
        <v>6960</v>
      </c>
      <c r="D184" s="973">
        <v>6930</v>
      </c>
      <c r="E184" s="973">
        <v>7570</v>
      </c>
      <c r="F184" s="1000"/>
      <c r="H184" s="998"/>
    </row>
    <row r="185" spans="1:8" s="967" customFormat="1" ht="14.25" customHeight="1" thickBot="1">
      <c r="A185" s="979" t="s">
        <v>1344</v>
      </c>
      <c r="B185" s="973" t="s">
        <v>1263</v>
      </c>
      <c r="C185" s="973">
        <v>7260</v>
      </c>
      <c r="D185" s="973">
        <v>7230</v>
      </c>
      <c r="E185" s="973">
        <v>7710</v>
      </c>
      <c r="F185" s="991">
        <v>1360</v>
      </c>
      <c r="H185" s="998"/>
    </row>
    <row r="186" spans="1:8" s="967" customFormat="1" ht="14.25" customHeight="1" thickBot="1">
      <c r="A186" s="979" t="s">
        <v>1344</v>
      </c>
      <c r="B186" s="973" t="s">
        <v>1268</v>
      </c>
      <c r="C186" s="973"/>
      <c r="D186" s="973"/>
      <c r="E186" s="973"/>
      <c r="F186" s="991">
        <v>1560</v>
      </c>
      <c r="H186" s="998"/>
    </row>
    <row r="187" spans="1:8" s="967" customFormat="1" ht="14.25" customHeight="1" thickBot="1">
      <c r="A187" s="979" t="s">
        <v>1344</v>
      </c>
      <c r="B187" s="973" t="s">
        <v>1272</v>
      </c>
      <c r="C187" s="973"/>
      <c r="D187" s="973"/>
      <c r="E187" s="973"/>
      <c r="F187" s="991">
        <v>1560</v>
      </c>
      <c r="H187" s="998"/>
    </row>
    <row r="188" spans="1:8" s="967" customFormat="1" ht="14.25" customHeight="1" thickBot="1">
      <c r="A188" s="979" t="s">
        <v>1344</v>
      </c>
      <c r="B188" s="973" t="s">
        <v>1277</v>
      </c>
      <c r="C188" s="973"/>
      <c r="D188" s="973"/>
      <c r="E188" s="973"/>
      <c r="F188" s="991">
        <v>1560</v>
      </c>
      <c r="H188" s="998"/>
    </row>
    <row r="189" spans="1:8" s="967" customFormat="1" ht="14.25" customHeight="1" thickBot="1">
      <c r="A189" s="979" t="s">
        <v>1344</v>
      </c>
      <c r="B189" s="973" t="s">
        <v>1282</v>
      </c>
      <c r="C189" s="973"/>
      <c r="D189" s="973"/>
      <c r="E189" s="973"/>
      <c r="F189" s="991">
        <v>1320</v>
      </c>
      <c r="H189" s="998"/>
    </row>
    <row r="190" spans="1:8" s="967" customFormat="1" ht="14.25" customHeight="1" thickBot="1">
      <c r="A190" s="979" t="s">
        <v>1344</v>
      </c>
      <c r="B190" s="973" t="s">
        <v>1287</v>
      </c>
      <c r="C190" s="973"/>
      <c r="D190" s="973"/>
      <c r="E190" s="973"/>
      <c r="F190" s="991">
        <v>1320</v>
      </c>
      <c r="H190" s="998"/>
    </row>
    <row r="191" spans="1:8" s="967" customFormat="1" ht="14.25" customHeight="1" thickBot="1">
      <c r="A191" s="979" t="s">
        <v>1344</v>
      </c>
      <c r="B191" s="973" t="s">
        <v>1292</v>
      </c>
      <c r="C191" s="973"/>
      <c r="D191" s="973"/>
      <c r="E191" s="973"/>
      <c r="F191" s="991">
        <v>1320</v>
      </c>
      <c r="H191" s="998"/>
    </row>
    <row r="192" spans="1:8" s="967" customFormat="1" ht="14.25" customHeight="1" thickBot="1">
      <c r="A192" s="979" t="s">
        <v>1344</v>
      </c>
      <c r="B192" s="973" t="s">
        <v>1296</v>
      </c>
      <c r="C192" s="973"/>
      <c r="D192" s="973"/>
      <c r="E192" s="973"/>
      <c r="F192" s="991">
        <v>1100</v>
      </c>
      <c r="H192" s="998"/>
    </row>
    <row r="193" spans="1:8" s="967" customFormat="1" ht="14.25" customHeight="1" thickBot="1">
      <c r="A193" s="979" t="s">
        <v>1344</v>
      </c>
      <c r="B193" s="973" t="s">
        <v>1300</v>
      </c>
      <c r="C193" s="973"/>
      <c r="D193" s="973"/>
      <c r="E193" s="973"/>
      <c r="F193" s="991">
        <v>1100</v>
      </c>
      <c r="H193" s="998"/>
    </row>
    <row r="194" spans="1:8" s="967" customFormat="1" ht="14.25" customHeight="1" thickBot="1">
      <c r="A194" s="979" t="s">
        <v>1344</v>
      </c>
      <c r="B194" s="973" t="s">
        <v>1304</v>
      </c>
      <c r="C194" s="973"/>
      <c r="D194" s="973"/>
      <c r="E194" s="973"/>
      <c r="F194" s="991">
        <v>1080</v>
      </c>
      <c r="H194" s="998"/>
    </row>
    <row r="195" spans="1:8" s="967" customFormat="1" ht="14.25" customHeight="1" thickBot="1">
      <c r="A195" s="979" t="s">
        <v>1344</v>
      </c>
      <c r="B195" s="973" t="s">
        <v>1308</v>
      </c>
      <c r="C195" s="973"/>
      <c r="D195" s="973"/>
      <c r="E195" s="973"/>
      <c r="F195" s="991">
        <v>1270</v>
      </c>
      <c r="H195" s="998"/>
    </row>
    <row r="196" spans="1:8" s="967" customFormat="1" ht="14.25" customHeight="1" thickBot="1">
      <c r="A196" s="979" t="s">
        <v>1344</v>
      </c>
      <c r="B196" s="973" t="s">
        <v>1312</v>
      </c>
      <c r="C196" s="973"/>
      <c r="D196" s="973"/>
      <c r="E196" s="973"/>
      <c r="F196" s="991">
        <v>1150</v>
      </c>
      <c r="H196" s="998"/>
    </row>
    <row r="197" spans="1:8" s="967" customFormat="1" ht="14.25" customHeight="1" thickBot="1">
      <c r="A197" s="979" t="s">
        <v>1344</v>
      </c>
      <c r="B197" s="973" t="s">
        <v>1316</v>
      </c>
      <c r="C197" s="973"/>
      <c r="D197" s="973"/>
      <c r="E197" s="973"/>
      <c r="F197" s="991">
        <v>1330</v>
      </c>
      <c r="H197" s="998"/>
    </row>
    <row r="198" spans="1:8" s="967" customFormat="1" ht="14.25" customHeight="1" thickBot="1">
      <c r="A198" s="979" t="s">
        <v>1344</v>
      </c>
      <c r="B198" s="973" t="s">
        <v>1319</v>
      </c>
      <c r="C198" s="973"/>
      <c r="D198" s="973"/>
      <c r="E198" s="973"/>
      <c r="F198" s="991">
        <v>1170</v>
      </c>
      <c r="H198" s="998"/>
    </row>
    <row r="199" spans="1:8" s="967" customFormat="1" ht="14.25" customHeight="1" thickBot="1">
      <c r="A199" s="979" t="s">
        <v>1344</v>
      </c>
      <c r="B199" s="973" t="s">
        <v>1322</v>
      </c>
      <c r="C199" s="973"/>
      <c r="D199" s="973"/>
      <c r="E199" s="973"/>
      <c r="F199" s="991">
        <v>1120</v>
      </c>
      <c r="H199" s="998"/>
    </row>
    <row r="200" spans="1:8" s="967" customFormat="1" ht="14.25" customHeight="1" thickBot="1">
      <c r="A200" s="979" t="s">
        <v>1344</v>
      </c>
      <c r="B200" s="973" t="s">
        <v>1325</v>
      </c>
      <c r="C200" s="973"/>
      <c r="D200" s="973"/>
      <c r="E200" s="973"/>
      <c r="F200" s="991">
        <v>1120</v>
      </c>
      <c r="H200" s="998"/>
    </row>
    <row r="201" spans="1:8" s="967" customFormat="1" ht="14.25" customHeight="1" thickBot="1">
      <c r="A201" s="979" t="s">
        <v>1344</v>
      </c>
      <c r="B201" s="973" t="s">
        <v>1328</v>
      </c>
      <c r="C201" s="973"/>
      <c r="D201" s="973"/>
      <c r="E201" s="973"/>
      <c r="F201" s="991">
        <v>1540</v>
      </c>
      <c r="H201" s="998"/>
    </row>
    <row r="202" spans="1:8" s="967" customFormat="1" ht="14.25" customHeight="1" thickBot="1">
      <c r="A202" s="979" t="s">
        <v>1344</v>
      </c>
      <c r="B202" s="973" t="s">
        <v>1331</v>
      </c>
      <c r="C202" s="973"/>
      <c r="D202" s="973"/>
      <c r="E202" s="973"/>
      <c r="F202" s="991">
        <v>1310</v>
      </c>
      <c r="H202" s="998"/>
    </row>
    <row r="203" spans="1:8" s="967" customFormat="1" ht="14.25" customHeight="1" thickBot="1">
      <c r="A203" s="979" t="s">
        <v>1344</v>
      </c>
      <c r="B203" s="973" t="s">
        <v>1334</v>
      </c>
      <c r="C203" s="973"/>
      <c r="D203" s="973"/>
      <c r="E203" s="973"/>
      <c r="F203" s="991">
        <v>1310</v>
      </c>
      <c r="H203" s="998"/>
    </row>
    <row r="204" spans="1:8" s="967" customFormat="1" ht="14.25" customHeight="1" thickBot="1">
      <c r="A204" s="979" t="s">
        <v>1344</v>
      </c>
      <c r="B204" s="973" t="s">
        <v>1336</v>
      </c>
      <c r="C204" s="973"/>
      <c r="D204" s="973"/>
      <c r="E204" s="973"/>
      <c r="F204" s="991">
        <v>1080</v>
      </c>
      <c r="H204" s="998"/>
    </row>
    <row r="205" spans="1:8" s="967" customFormat="1" ht="14.25" customHeight="1" thickBot="1">
      <c r="A205" s="979" t="s">
        <v>1344</v>
      </c>
      <c r="B205" s="973" t="s">
        <v>1339</v>
      </c>
      <c r="C205" s="973"/>
      <c r="D205" s="973"/>
      <c r="E205" s="973"/>
      <c r="F205" s="991">
        <v>1080</v>
      </c>
      <c r="H205" s="998"/>
    </row>
    <row r="206" spans="1:8" s="967" customFormat="1" ht="14.25" customHeight="1" thickBot="1">
      <c r="A206" s="979" t="s">
        <v>1346</v>
      </c>
      <c r="B206" s="980" t="s">
        <v>1347</v>
      </c>
      <c r="C206" s="980">
        <v>5450</v>
      </c>
      <c r="D206" s="980">
        <v>5430</v>
      </c>
      <c r="E206" s="980">
        <v>5700</v>
      </c>
      <c r="F206" s="981">
        <v>1020</v>
      </c>
      <c r="H206" s="998"/>
    </row>
    <row r="207" spans="1:8" s="967" customFormat="1" ht="14.25" customHeight="1" thickBot="1">
      <c r="A207" s="979" t="s">
        <v>1346</v>
      </c>
      <c r="B207" s="973" t="s">
        <v>1010</v>
      </c>
      <c r="C207" s="973">
        <v>5860</v>
      </c>
      <c r="D207" s="973">
        <v>5820</v>
      </c>
      <c r="E207" s="973">
        <v>6050</v>
      </c>
      <c r="F207" s="991">
        <v>1080</v>
      </c>
      <c r="H207" s="998"/>
    </row>
    <row r="208" spans="1:8" s="967" customFormat="1" ht="14.25" customHeight="1" thickBot="1">
      <c r="A208" s="979" t="s">
        <v>1346</v>
      </c>
      <c r="B208" s="973" t="s">
        <v>1024</v>
      </c>
      <c r="C208" s="973">
        <v>4630</v>
      </c>
      <c r="D208" s="973">
        <v>4600</v>
      </c>
      <c r="E208" s="973">
        <v>4840</v>
      </c>
      <c r="F208" s="991">
        <v>900</v>
      </c>
      <c r="H208" s="998"/>
    </row>
    <row r="209" spans="1:8" s="967" customFormat="1" ht="14.25" customHeight="1" thickBot="1">
      <c r="A209" s="979" t="s">
        <v>1346</v>
      </c>
      <c r="B209" s="973" t="s">
        <v>1037</v>
      </c>
      <c r="C209" s="973">
        <v>5320</v>
      </c>
      <c r="D209" s="973">
        <v>5270</v>
      </c>
      <c r="E209" s="973">
        <v>5540</v>
      </c>
      <c r="F209" s="991">
        <v>980</v>
      </c>
      <c r="H209" s="998"/>
    </row>
    <row r="210" spans="1:8" s="967" customFormat="1" ht="14.25" customHeight="1" thickBot="1">
      <c r="A210" s="979" t="s">
        <v>1346</v>
      </c>
      <c r="B210" s="973" t="s">
        <v>1051</v>
      </c>
      <c r="C210" s="973">
        <v>5760</v>
      </c>
      <c r="D210" s="973">
        <v>5710</v>
      </c>
      <c r="E210" s="973">
        <v>6010</v>
      </c>
      <c r="F210" s="991">
        <v>870</v>
      </c>
      <c r="H210" s="998"/>
    </row>
    <row r="211" spans="1:8" s="967" customFormat="1" ht="14.25" customHeight="1" thickBot="1">
      <c r="A211" s="979" t="s">
        <v>1346</v>
      </c>
      <c r="B211" s="973" t="s">
        <v>1062</v>
      </c>
      <c r="C211" s="973">
        <v>4160</v>
      </c>
      <c r="D211" s="973">
        <v>4100</v>
      </c>
      <c r="E211" s="973">
        <v>4270</v>
      </c>
      <c r="F211" s="991">
        <v>790</v>
      </c>
      <c r="H211" s="998"/>
    </row>
    <row r="212" spans="1:8" s="967" customFormat="1" ht="14.25" customHeight="1" thickBot="1">
      <c r="A212" s="979" t="s">
        <v>1346</v>
      </c>
      <c r="B212" s="973" t="s">
        <v>1073</v>
      </c>
      <c r="C212" s="973">
        <v>4880</v>
      </c>
      <c r="D212" s="973">
        <v>4850</v>
      </c>
      <c r="E212" s="973">
        <v>5110</v>
      </c>
      <c r="F212" s="991">
        <v>940</v>
      </c>
      <c r="H212" s="998"/>
    </row>
    <row r="213" spans="1:8" s="967" customFormat="1" ht="14.25" customHeight="1" thickBot="1">
      <c r="A213" s="979" t="s">
        <v>1346</v>
      </c>
      <c r="B213" s="973" t="s">
        <v>1084</v>
      </c>
      <c r="C213" s="973">
        <v>4640</v>
      </c>
      <c r="D213" s="973">
        <v>4590</v>
      </c>
      <c r="E213" s="973">
        <v>4700</v>
      </c>
      <c r="F213" s="991">
        <v>1030</v>
      </c>
      <c r="H213" s="998"/>
    </row>
    <row r="214" spans="1:8" s="967" customFormat="1" ht="14.25" customHeight="1" thickBot="1">
      <c r="A214" s="979" t="s">
        <v>1346</v>
      </c>
      <c r="B214" s="973" t="s">
        <v>1096</v>
      </c>
      <c r="C214" s="973">
        <v>4540</v>
      </c>
      <c r="D214" s="973">
        <v>4490</v>
      </c>
      <c r="E214" s="973">
        <v>4610</v>
      </c>
      <c r="F214" s="1000"/>
      <c r="H214" s="998"/>
    </row>
    <row r="215" spans="1:8" s="967" customFormat="1" ht="14.25" customHeight="1" thickBot="1">
      <c r="A215" s="979" t="s">
        <v>1346</v>
      </c>
      <c r="B215" s="973" t="s">
        <v>1106</v>
      </c>
      <c r="C215" s="973">
        <v>5280</v>
      </c>
      <c r="D215" s="973">
        <v>5250</v>
      </c>
      <c r="E215" s="973">
        <v>5520</v>
      </c>
      <c r="F215" s="991">
        <v>1000</v>
      </c>
      <c r="H215" s="998"/>
    </row>
    <row r="216" spans="1:8" s="967" customFormat="1" ht="14.25" customHeight="1" thickBot="1">
      <c r="A216" s="979" t="s">
        <v>1346</v>
      </c>
      <c r="B216" s="973" t="s">
        <v>1116</v>
      </c>
      <c r="C216" s="973">
        <v>5100</v>
      </c>
      <c r="D216" s="973">
        <v>5050</v>
      </c>
      <c r="E216" s="973">
        <v>5300</v>
      </c>
      <c r="F216" s="991">
        <v>950</v>
      </c>
      <c r="H216" s="998"/>
    </row>
    <row r="217" spans="1:8" s="967" customFormat="1" ht="14.25" customHeight="1" thickBot="1">
      <c r="A217" s="979" t="s">
        <v>1346</v>
      </c>
      <c r="B217" s="973" t="s">
        <v>1126</v>
      </c>
      <c r="C217" s="973">
        <v>5370</v>
      </c>
      <c r="D217" s="973">
        <v>5320</v>
      </c>
      <c r="E217" s="973">
        <v>5410</v>
      </c>
      <c r="F217" s="991">
        <v>950</v>
      </c>
      <c r="H217" s="998"/>
    </row>
    <row r="218" spans="1:8" s="967" customFormat="1" ht="14.25" customHeight="1" thickBot="1">
      <c r="A218" s="979" t="s">
        <v>1346</v>
      </c>
      <c r="B218" s="973" t="s">
        <v>1136</v>
      </c>
      <c r="C218" s="973">
        <v>5540</v>
      </c>
      <c r="D218" s="973">
        <v>5480</v>
      </c>
      <c r="E218" s="973">
        <v>5740</v>
      </c>
      <c r="F218" s="991">
        <v>1020</v>
      </c>
      <c r="H218" s="998"/>
    </row>
    <row r="219" spans="1:8" s="967" customFormat="1" ht="14.25" customHeight="1" thickBot="1">
      <c r="A219" s="979" t="s">
        <v>1346</v>
      </c>
      <c r="B219" s="973" t="s">
        <v>1146</v>
      </c>
      <c r="C219" s="973">
        <v>5140</v>
      </c>
      <c r="D219" s="973">
        <v>5100</v>
      </c>
      <c r="E219" s="973">
        <v>5350</v>
      </c>
      <c r="F219" s="991">
        <v>1120</v>
      </c>
      <c r="H219" s="998"/>
    </row>
    <row r="220" spans="1:8" s="967" customFormat="1" ht="14.25" customHeight="1" thickBot="1">
      <c r="A220" s="979" t="s">
        <v>1346</v>
      </c>
      <c r="B220" s="973" t="s">
        <v>1156</v>
      </c>
      <c r="C220" s="973">
        <v>5040</v>
      </c>
      <c r="D220" s="973">
        <v>5000</v>
      </c>
      <c r="E220" s="973">
        <v>5240</v>
      </c>
      <c r="F220" s="991">
        <v>980</v>
      </c>
      <c r="H220" s="998"/>
    </row>
    <row r="221" spans="1:8" s="967" customFormat="1" ht="14.25" customHeight="1" thickBot="1">
      <c r="A221" s="979" t="s">
        <v>1346</v>
      </c>
      <c r="B221" s="973" t="s">
        <v>1166</v>
      </c>
      <c r="C221" s="1001"/>
      <c r="D221" s="1001"/>
      <c r="E221" s="1001"/>
      <c r="F221" s="991">
        <v>1070</v>
      </c>
      <c r="H221" s="998"/>
    </row>
    <row r="222" spans="1:8" s="967" customFormat="1" ht="14.25" customHeight="1" thickBot="1">
      <c r="A222" s="979" t="s">
        <v>1346</v>
      </c>
      <c r="B222" s="973" t="s">
        <v>1176</v>
      </c>
      <c r="C222" s="1001"/>
      <c r="D222" s="1001"/>
      <c r="E222" s="1001"/>
      <c r="F222" s="991">
        <v>870</v>
      </c>
      <c r="H222" s="998"/>
    </row>
    <row r="223" spans="1:8" s="967" customFormat="1" ht="14.25" customHeight="1" thickBot="1">
      <c r="A223" s="979" t="s">
        <v>1346</v>
      </c>
      <c r="B223" s="973" t="s">
        <v>1186</v>
      </c>
      <c r="C223" s="1001"/>
      <c r="D223" s="1001"/>
      <c r="E223" s="1001"/>
      <c r="F223" s="991">
        <v>940</v>
      </c>
      <c r="H223" s="998"/>
    </row>
    <row r="224" spans="1:8" s="967" customFormat="1" ht="14.25" customHeight="1" thickBot="1">
      <c r="A224" s="979" t="s">
        <v>1346</v>
      </c>
      <c r="B224" s="973" t="s">
        <v>1196</v>
      </c>
      <c r="C224" s="1001"/>
      <c r="D224" s="1001"/>
      <c r="E224" s="1001"/>
      <c r="F224" s="991">
        <v>990</v>
      </c>
      <c r="H224" s="998"/>
    </row>
    <row r="225" spans="1:8" s="967" customFormat="1" ht="14.25" customHeight="1" thickBot="1">
      <c r="A225" s="979" t="s">
        <v>1346</v>
      </c>
      <c r="B225" s="973" t="s">
        <v>1205</v>
      </c>
      <c r="C225" s="973">
        <v>5730</v>
      </c>
      <c r="D225" s="973">
        <v>5680</v>
      </c>
      <c r="E225" s="973">
        <v>6020</v>
      </c>
      <c r="F225" s="991">
        <v>1000</v>
      </c>
      <c r="H225" s="998"/>
    </row>
    <row r="226" spans="1:8" s="967" customFormat="1" ht="14.25" customHeight="1" thickBot="1">
      <c r="A226" s="979" t="s">
        <v>1346</v>
      </c>
      <c r="B226" s="973" t="s">
        <v>1214</v>
      </c>
      <c r="C226" s="973">
        <v>4970</v>
      </c>
      <c r="D226" s="973">
        <v>4940</v>
      </c>
      <c r="E226" s="973">
        <v>5180</v>
      </c>
      <c r="F226" s="991">
        <v>960</v>
      </c>
      <c r="H226" s="998"/>
    </row>
    <row r="227" spans="1:8" s="967" customFormat="1" ht="14.25" customHeight="1" thickBot="1">
      <c r="A227" s="979" t="s">
        <v>1346</v>
      </c>
      <c r="B227" s="973" t="s">
        <v>1222</v>
      </c>
      <c r="C227" s="973">
        <v>5550</v>
      </c>
      <c r="D227" s="973">
        <v>5500</v>
      </c>
      <c r="E227" s="973">
        <v>5780</v>
      </c>
      <c r="F227" s="991">
        <v>940</v>
      </c>
      <c r="H227" s="998"/>
    </row>
    <row r="228" spans="1:8" s="967" customFormat="1" ht="14.25" customHeight="1" thickBot="1">
      <c r="A228" s="979" t="s">
        <v>1346</v>
      </c>
      <c r="B228" s="973" t="s">
        <v>1229</v>
      </c>
      <c r="C228" s="973">
        <v>5460</v>
      </c>
      <c r="D228" s="973">
        <v>5420</v>
      </c>
      <c r="E228" s="973">
        <v>5690</v>
      </c>
      <c r="F228" s="991">
        <v>910</v>
      </c>
      <c r="H228" s="998"/>
    </row>
    <row r="229" spans="1:8" s="967" customFormat="1" ht="14.25" customHeight="1" thickBot="1">
      <c r="A229" s="979" t="s">
        <v>1346</v>
      </c>
      <c r="B229" s="973" t="s">
        <v>1236</v>
      </c>
      <c r="C229" s="973">
        <v>5310</v>
      </c>
      <c r="D229" s="973">
        <v>5270</v>
      </c>
      <c r="E229" s="973">
        <v>5510</v>
      </c>
      <c r="F229" s="1000"/>
      <c r="H229" s="998"/>
    </row>
    <row r="230" spans="1:8" s="967" customFormat="1" ht="14.25" customHeight="1" thickBot="1">
      <c r="A230" s="979" t="s">
        <v>1346</v>
      </c>
      <c r="B230" s="973" t="s">
        <v>1243</v>
      </c>
      <c r="C230" s="973">
        <v>4540</v>
      </c>
      <c r="D230" s="973">
        <v>4500</v>
      </c>
      <c r="E230" s="973">
        <v>4730</v>
      </c>
      <c r="F230" s="1000"/>
      <c r="H230" s="998"/>
    </row>
    <row r="231" spans="1:8" s="967" customFormat="1" ht="14.25" customHeight="1" thickBot="1">
      <c r="A231" s="979" t="s">
        <v>1346</v>
      </c>
      <c r="B231" s="973" t="s">
        <v>1250</v>
      </c>
      <c r="C231" s="973">
        <v>4480</v>
      </c>
      <c r="D231" s="973">
        <v>4410</v>
      </c>
      <c r="E231" s="973">
        <v>4640</v>
      </c>
      <c r="F231" s="1000"/>
      <c r="H231" s="998"/>
    </row>
    <row r="232" spans="1:8" s="967" customFormat="1" ht="14.25" customHeight="1" thickBot="1">
      <c r="A232" s="979" t="s">
        <v>1346</v>
      </c>
      <c r="B232" s="973" t="s">
        <v>1257</v>
      </c>
      <c r="C232" s="973">
        <v>5670</v>
      </c>
      <c r="D232" s="973">
        <v>5600</v>
      </c>
      <c r="E232" s="973">
        <v>5890</v>
      </c>
      <c r="F232" s="991">
        <v>1150</v>
      </c>
      <c r="H232" s="998"/>
    </row>
    <row r="233" spans="1:8" s="967" customFormat="1" ht="14.25" customHeight="1" thickBot="1">
      <c r="A233" s="979" t="s">
        <v>1346</v>
      </c>
      <c r="B233" s="973" t="s">
        <v>1264</v>
      </c>
      <c r="C233" s="973">
        <v>4590</v>
      </c>
      <c r="D233" s="973">
        <v>4500</v>
      </c>
      <c r="E233" s="973">
        <v>4600</v>
      </c>
      <c r="F233" s="1000"/>
      <c r="H233" s="998"/>
    </row>
    <row r="234" spans="1:8" s="967" customFormat="1" ht="14.25" customHeight="1" thickBot="1">
      <c r="A234" s="979" t="s">
        <v>1346</v>
      </c>
      <c r="B234" s="973" t="s">
        <v>2351</v>
      </c>
      <c r="C234" s="973">
        <v>3990</v>
      </c>
      <c r="D234" s="973">
        <v>3950</v>
      </c>
      <c r="E234" s="973">
        <v>4180</v>
      </c>
      <c r="F234" s="1000"/>
      <c r="H234" s="998"/>
    </row>
    <row r="235" spans="1:8" s="967" customFormat="1" ht="14.25" customHeight="1" thickBot="1">
      <c r="A235" s="979" t="s">
        <v>1346</v>
      </c>
      <c r="B235" s="973" t="s">
        <v>1273</v>
      </c>
      <c r="C235" s="973">
        <v>5590</v>
      </c>
      <c r="D235" s="973">
        <v>5540</v>
      </c>
      <c r="E235" s="973">
        <v>5810</v>
      </c>
      <c r="F235" s="991">
        <v>970</v>
      </c>
      <c r="H235" s="998"/>
    </row>
    <row r="236" spans="1:8" s="967" customFormat="1" ht="14.25" customHeight="1" thickBot="1">
      <c r="A236" s="979" t="s">
        <v>1346</v>
      </c>
      <c r="B236" s="973" t="s">
        <v>1278</v>
      </c>
      <c r="C236" s="973"/>
      <c r="D236" s="973"/>
      <c r="E236" s="973"/>
      <c r="F236" s="991">
        <v>1020</v>
      </c>
      <c r="H236" s="998"/>
    </row>
    <row r="237" spans="1:8" s="967" customFormat="1" ht="14.25" customHeight="1" thickBot="1">
      <c r="A237" s="979" t="s">
        <v>1346</v>
      </c>
      <c r="B237" s="973" t="s">
        <v>1283</v>
      </c>
      <c r="C237" s="973"/>
      <c r="D237" s="973"/>
      <c r="E237" s="973"/>
      <c r="F237" s="991">
        <v>960</v>
      </c>
      <c r="H237" s="998"/>
    </row>
    <row r="238" spans="1:8" s="967" customFormat="1" ht="14.25" customHeight="1" thickBot="1">
      <c r="A238" s="979" t="s">
        <v>1346</v>
      </c>
      <c r="B238" s="973" t="s">
        <v>1288</v>
      </c>
      <c r="C238" s="973"/>
      <c r="D238" s="973"/>
      <c r="E238" s="973"/>
      <c r="F238" s="991">
        <v>960</v>
      </c>
      <c r="H238" s="998"/>
    </row>
    <row r="239" spans="1:8" s="967" customFormat="1" ht="14.25" customHeight="1" thickBot="1">
      <c r="A239" s="979" t="s">
        <v>1346</v>
      </c>
      <c r="B239" s="973" t="s">
        <v>1293</v>
      </c>
      <c r="C239" s="973"/>
      <c r="D239" s="973"/>
      <c r="E239" s="973"/>
      <c r="F239" s="991">
        <v>960</v>
      </c>
      <c r="H239" s="998"/>
    </row>
    <row r="240" spans="1:8" s="967" customFormat="1" ht="14.25" customHeight="1" thickBot="1">
      <c r="A240" s="979" t="s">
        <v>1346</v>
      </c>
      <c r="B240" s="973" t="s">
        <v>1297</v>
      </c>
      <c r="C240" s="973"/>
      <c r="D240" s="973"/>
      <c r="E240" s="973"/>
      <c r="F240" s="991">
        <v>990</v>
      </c>
      <c r="H240" s="998"/>
    </row>
    <row r="241" spans="1:8" s="967" customFormat="1" ht="14.25" customHeight="1" thickBot="1">
      <c r="A241" s="979" t="s">
        <v>1346</v>
      </c>
      <c r="B241" s="973" t="s">
        <v>1301</v>
      </c>
      <c r="C241" s="973"/>
      <c r="D241" s="973"/>
      <c r="E241" s="973"/>
      <c r="F241" s="991">
        <v>1000</v>
      </c>
      <c r="H241" s="998"/>
    </row>
    <row r="242" spans="1:8" s="967" customFormat="1" ht="14.25" customHeight="1" thickBot="1">
      <c r="A242" s="979" t="s">
        <v>1346</v>
      </c>
      <c r="B242" s="973" t="s">
        <v>1305</v>
      </c>
      <c r="C242" s="973"/>
      <c r="D242" s="973"/>
      <c r="E242" s="973"/>
      <c r="F242" s="991">
        <v>980</v>
      </c>
      <c r="H242" s="998"/>
    </row>
    <row r="243" spans="1:8" s="967" customFormat="1" ht="14.25" customHeight="1" thickBot="1">
      <c r="A243" s="979" t="s">
        <v>1346</v>
      </c>
      <c r="B243" s="973" t="s">
        <v>1309</v>
      </c>
      <c r="C243" s="973"/>
      <c r="D243" s="973"/>
      <c r="E243" s="973"/>
      <c r="F243" s="991">
        <v>970</v>
      </c>
      <c r="H243" s="998"/>
    </row>
    <row r="244" spans="1:8" s="967" customFormat="1" ht="14.25" customHeight="1" thickBot="1">
      <c r="A244" s="979" t="s">
        <v>1346</v>
      </c>
      <c r="B244" s="989" t="s">
        <v>1313</v>
      </c>
      <c r="C244" s="989"/>
      <c r="D244" s="989"/>
      <c r="E244" s="989"/>
      <c r="F244" s="999">
        <v>970</v>
      </c>
      <c r="H244" s="998"/>
    </row>
    <row r="245" spans="1:8" s="967" customFormat="1" ht="14.25" customHeight="1" thickBot="1">
      <c r="A245" s="979" t="s">
        <v>1348</v>
      </c>
      <c r="B245" s="980" t="s">
        <v>1349</v>
      </c>
      <c r="C245" s="980">
        <v>4050</v>
      </c>
      <c r="D245" s="980">
        <v>4020</v>
      </c>
      <c r="E245" s="980">
        <v>4160</v>
      </c>
      <c r="F245" s="981">
        <v>840</v>
      </c>
      <c r="H245" s="998"/>
    </row>
    <row r="246" spans="1:8" s="967" customFormat="1" ht="14.25" customHeight="1" thickBot="1">
      <c r="A246" s="979" t="s">
        <v>1348</v>
      </c>
      <c r="B246" s="973" t="s">
        <v>1011</v>
      </c>
      <c r="C246" s="973">
        <v>4010</v>
      </c>
      <c r="D246" s="973">
        <v>3960</v>
      </c>
      <c r="E246" s="973">
        <v>4130</v>
      </c>
      <c r="F246" s="991">
        <v>840</v>
      </c>
      <c r="H246" s="998"/>
    </row>
    <row r="247" spans="1:8" s="967" customFormat="1" ht="14.25" customHeight="1" thickBot="1">
      <c r="A247" s="979" t="s">
        <v>1348</v>
      </c>
      <c r="B247" s="973" t="s">
        <v>1350</v>
      </c>
      <c r="C247" s="973">
        <v>3170</v>
      </c>
      <c r="D247" s="973">
        <v>3140</v>
      </c>
      <c r="E247" s="973">
        <v>3270</v>
      </c>
      <c r="F247" s="991">
        <v>640</v>
      </c>
      <c r="H247" s="998"/>
    </row>
    <row r="248" spans="1:8" s="967" customFormat="1" ht="14.25" customHeight="1" thickBot="1">
      <c r="A248" s="979" t="s">
        <v>1348</v>
      </c>
      <c r="B248" s="973" t="s">
        <v>1351</v>
      </c>
      <c r="C248" s="973">
        <v>3140</v>
      </c>
      <c r="D248" s="973">
        <v>3120</v>
      </c>
      <c r="E248" s="973">
        <v>3240</v>
      </c>
      <c r="F248" s="991">
        <v>620</v>
      </c>
      <c r="H248" s="998"/>
    </row>
    <row r="249" spans="1:8" s="967" customFormat="1" ht="14.25" customHeight="1" thickBot="1">
      <c r="A249" s="979" t="s">
        <v>1348</v>
      </c>
      <c r="B249" s="973" t="s">
        <v>1052</v>
      </c>
      <c r="C249" s="973">
        <v>3200</v>
      </c>
      <c r="D249" s="973">
        <v>3100</v>
      </c>
      <c r="E249" s="973">
        <v>3230</v>
      </c>
      <c r="F249" s="991">
        <v>750</v>
      </c>
      <c r="H249" s="998"/>
    </row>
    <row r="250" spans="1:8" s="967" customFormat="1" ht="14.25" customHeight="1" thickBot="1">
      <c r="A250" s="979" t="s">
        <v>1348</v>
      </c>
      <c r="B250" s="973" t="s">
        <v>1063</v>
      </c>
      <c r="C250" s="973">
        <v>4060</v>
      </c>
      <c r="D250" s="973">
        <v>4000</v>
      </c>
      <c r="E250" s="973">
        <v>4140</v>
      </c>
      <c r="F250" s="991">
        <v>790</v>
      </c>
      <c r="H250" s="998"/>
    </row>
    <row r="251" spans="1:8" s="967" customFormat="1" ht="14.25" customHeight="1" thickBot="1">
      <c r="A251" s="979" t="s">
        <v>1348</v>
      </c>
      <c r="B251" s="973" t="s">
        <v>1074</v>
      </c>
      <c r="C251" s="973">
        <v>3990</v>
      </c>
      <c r="D251" s="973">
        <v>3970</v>
      </c>
      <c r="E251" s="973">
        <v>4110</v>
      </c>
      <c r="F251" s="991">
        <v>730</v>
      </c>
      <c r="H251" s="998"/>
    </row>
    <row r="252" spans="1:8" s="967" customFormat="1" ht="14.25" customHeight="1" thickBot="1">
      <c r="A252" s="979" t="s">
        <v>1348</v>
      </c>
      <c r="B252" s="973" t="s">
        <v>1085</v>
      </c>
      <c r="C252" s="973">
        <v>3560</v>
      </c>
      <c r="D252" s="973">
        <v>3530</v>
      </c>
      <c r="E252" s="973">
        <v>3650</v>
      </c>
      <c r="F252" s="991">
        <v>750</v>
      </c>
      <c r="H252" s="998"/>
    </row>
    <row r="253" spans="1:8" s="967" customFormat="1" ht="14.25" customHeight="1" thickBot="1">
      <c r="A253" s="979" t="s">
        <v>1348</v>
      </c>
      <c r="B253" s="973" t="s">
        <v>1097</v>
      </c>
      <c r="C253" s="973">
        <v>3780</v>
      </c>
      <c r="D253" s="973">
        <v>3750</v>
      </c>
      <c r="E253" s="973">
        <v>3870</v>
      </c>
      <c r="F253" s="991">
        <v>770</v>
      </c>
      <c r="H253" s="998"/>
    </row>
    <row r="254" spans="1:8" s="967" customFormat="1" ht="14.25" customHeight="1" thickBot="1">
      <c r="A254" s="979" t="s">
        <v>1348</v>
      </c>
      <c r="B254" s="973" t="s">
        <v>1107</v>
      </c>
      <c r="C254" s="1001"/>
      <c r="D254" s="1001"/>
      <c r="E254" s="1001"/>
      <c r="F254" s="991">
        <v>740</v>
      </c>
      <c r="H254" s="998"/>
    </row>
    <row r="255" spans="1:8" s="967" customFormat="1" ht="14.25" customHeight="1" thickBot="1">
      <c r="A255" s="979" t="s">
        <v>1348</v>
      </c>
      <c r="B255" s="973" t="s">
        <v>1117</v>
      </c>
      <c r="C255" s="1001"/>
      <c r="D255" s="1001"/>
      <c r="E255" s="1001"/>
      <c r="F255" s="991">
        <v>760</v>
      </c>
      <c r="H255" s="998"/>
    </row>
    <row r="256" spans="1:8" s="967" customFormat="1" ht="14.25" customHeight="1" thickBot="1">
      <c r="A256" s="979" t="s">
        <v>1348</v>
      </c>
      <c r="B256" s="973" t="s">
        <v>1127</v>
      </c>
      <c r="C256" s="973">
        <v>3760</v>
      </c>
      <c r="D256" s="973">
        <v>3730</v>
      </c>
      <c r="E256" s="973">
        <v>3870</v>
      </c>
      <c r="F256" s="991">
        <v>830</v>
      </c>
      <c r="H256" s="998"/>
    </row>
    <row r="257" spans="1:8" s="967" customFormat="1" ht="14.25" customHeight="1" thickBot="1">
      <c r="A257" s="979" t="s">
        <v>1348</v>
      </c>
      <c r="B257" s="973" t="s">
        <v>1137</v>
      </c>
      <c r="C257" s="973">
        <v>3570</v>
      </c>
      <c r="D257" s="973">
        <v>3540</v>
      </c>
      <c r="E257" s="973">
        <v>3650</v>
      </c>
      <c r="F257" s="991">
        <v>790</v>
      </c>
      <c r="H257" s="998"/>
    </row>
    <row r="258" spans="1:8" s="967" customFormat="1" ht="14.25" customHeight="1" thickBot="1">
      <c r="A258" s="979" t="s">
        <v>1348</v>
      </c>
      <c r="B258" s="973" t="s">
        <v>1147</v>
      </c>
      <c r="C258" s="973">
        <v>3410</v>
      </c>
      <c r="D258" s="973">
        <v>3380</v>
      </c>
      <c r="E258" s="973">
        <v>3500</v>
      </c>
      <c r="F258" s="991">
        <v>830</v>
      </c>
      <c r="H258" s="998"/>
    </row>
    <row r="259" spans="1:8" s="967" customFormat="1" ht="14.25" customHeight="1" thickBot="1">
      <c r="A259" s="979" t="s">
        <v>1348</v>
      </c>
      <c r="B259" s="973" t="s">
        <v>1157</v>
      </c>
      <c r="C259" s="973">
        <v>3870</v>
      </c>
      <c r="D259" s="973">
        <v>3840</v>
      </c>
      <c r="E259" s="973">
        <v>3970</v>
      </c>
      <c r="F259" s="991">
        <v>830</v>
      </c>
      <c r="H259" s="998"/>
    </row>
    <row r="260" spans="1:8" s="967" customFormat="1" ht="14.25" customHeight="1" thickBot="1">
      <c r="A260" s="979" t="s">
        <v>1348</v>
      </c>
      <c r="B260" s="973" t="s">
        <v>1167</v>
      </c>
      <c r="C260" s="973">
        <v>3700</v>
      </c>
      <c r="D260" s="973">
        <v>3660</v>
      </c>
      <c r="E260" s="973">
        <v>3810</v>
      </c>
      <c r="F260" s="991">
        <v>790</v>
      </c>
      <c r="H260" s="998"/>
    </row>
    <row r="261" spans="1:8" s="967" customFormat="1" ht="14.25" customHeight="1" thickBot="1">
      <c r="A261" s="979" t="s">
        <v>1348</v>
      </c>
      <c r="B261" s="973" t="s">
        <v>1177</v>
      </c>
      <c r="C261" s="973">
        <v>3470</v>
      </c>
      <c r="D261" s="973">
        <v>3430</v>
      </c>
      <c r="E261" s="973">
        <v>3640</v>
      </c>
      <c r="F261" s="991">
        <v>760</v>
      </c>
      <c r="H261" s="998"/>
    </row>
    <row r="262" spans="1:8" s="967" customFormat="1" ht="14.25" customHeight="1" thickBot="1">
      <c r="A262" s="979" t="s">
        <v>1348</v>
      </c>
      <c r="B262" s="973" t="s">
        <v>1187</v>
      </c>
      <c r="C262" s="973">
        <v>3510</v>
      </c>
      <c r="D262" s="973">
        <v>3470</v>
      </c>
      <c r="E262" s="973">
        <v>3680</v>
      </c>
      <c r="F262" s="1000"/>
      <c r="H262" s="998"/>
    </row>
    <row r="263" spans="1:8" s="967" customFormat="1" ht="14.25" customHeight="1" thickBot="1">
      <c r="A263" s="979" t="s">
        <v>1348</v>
      </c>
      <c r="B263" s="973" t="s">
        <v>1197</v>
      </c>
      <c r="C263" s="973">
        <v>3960</v>
      </c>
      <c r="D263" s="973">
        <v>3930</v>
      </c>
      <c r="E263" s="973">
        <v>4070</v>
      </c>
      <c r="F263" s="991">
        <v>830</v>
      </c>
      <c r="H263" s="998"/>
    </row>
    <row r="264" spans="1:8" s="967" customFormat="1" ht="14.25" customHeight="1" thickBot="1">
      <c r="A264" s="979" t="s">
        <v>1348</v>
      </c>
      <c r="B264" s="973" t="s">
        <v>1206</v>
      </c>
      <c r="C264" s="973">
        <v>4010</v>
      </c>
      <c r="D264" s="973">
        <v>3980</v>
      </c>
      <c r="E264" s="973">
        <v>4150</v>
      </c>
      <c r="F264" s="991">
        <v>760</v>
      </c>
      <c r="H264" s="998"/>
    </row>
    <row r="265" spans="1:8" s="967" customFormat="1" ht="14.25" customHeight="1" thickBot="1">
      <c r="A265" s="979" t="s">
        <v>1348</v>
      </c>
      <c r="B265" s="973" t="s">
        <v>1215</v>
      </c>
      <c r="C265" s="973">
        <v>3910</v>
      </c>
      <c r="D265" s="973">
        <v>3890</v>
      </c>
      <c r="E265" s="973">
        <v>4040</v>
      </c>
      <c r="F265" s="991">
        <v>780</v>
      </c>
      <c r="H265" s="998"/>
    </row>
    <row r="266" spans="1:8" s="967" customFormat="1" ht="14.25" customHeight="1" thickBot="1">
      <c r="A266" s="979" t="s">
        <v>1348</v>
      </c>
      <c r="B266" s="973" t="s">
        <v>1223</v>
      </c>
      <c r="C266" s="973">
        <v>3930</v>
      </c>
      <c r="D266" s="973">
        <v>3900</v>
      </c>
      <c r="E266" s="973">
        <v>4080</v>
      </c>
      <c r="F266" s="991">
        <v>770</v>
      </c>
      <c r="H266" s="998"/>
    </row>
    <row r="267" spans="1:8" s="967" customFormat="1" ht="14.25" customHeight="1" thickBot="1">
      <c r="A267" s="979" t="s">
        <v>1348</v>
      </c>
      <c r="B267" s="973" t="s">
        <v>1230</v>
      </c>
      <c r="C267" s="973">
        <v>3800</v>
      </c>
      <c r="D267" s="973">
        <v>3780</v>
      </c>
      <c r="E267" s="973">
        <v>3930</v>
      </c>
      <c r="F267" s="1000"/>
      <c r="H267" s="998"/>
    </row>
    <row r="268" spans="1:8" s="967" customFormat="1" ht="14.25" customHeight="1" thickBot="1">
      <c r="A268" s="979" t="s">
        <v>1348</v>
      </c>
      <c r="B268" s="973" t="s">
        <v>1237</v>
      </c>
      <c r="C268" s="973">
        <v>3460</v>
      </c>
      <c r="D268" s="973">
        <v>3430</v>
      </c>
      <c r="E268" s="973">
        <v>3560</v>
      </c>
      <c r="F268" s="991">
        <v>840</v>
      </c>
      <c r="H268" s="998"/>
    </row>
    <row r="269" spans="1:8" s="967" customFormat="1" ht="14.25" customHeight="1" thickBot="1">
      <c r="A269" s="979" t="s">
        <v>1348</v>
      </c>
      <c r="B269" s="973" t="s">
        <v>1244</v>
      </c>
      <c r="C269" s="973">
        <v>3210</v>
      </c>
      <c r="D269" s="973">
        <v>3190</v>
      </c>
      <c r="E269" s="973">
        <v>3310</v>
      </c>
      <c r="F269" s="991">
        <v>730</v>
      </c>
      <c r="H269" s="998"/>
    </row>
    <row r="270" spans="1:8" s="967" customFormat="1" ht="14.25" customHeight="1" thickBot="1">
      <c r="A270" s="979" t="s">
        <v>1348</v>
      </c>
      <c r="B270" s="973" t="s">
        <v>1251</v>
      </c>
      <c r="C270" s="973">
        <v>3240</v>
      </c>
      <c r="D270" s="973">
        <v>3210</v>
      </c>
      <c r="E270" s="973">
        <v>3390</v>
      </c>
      <c r="F270" s="991">
        <v>820</v>
      </c>
      <c r="H270" s="998"/>
    </row>
    <row r="271" spans="1:8" s="967" customFormat="1" ht="14.25" customHeight="1" thickBot="1">
      <c r="A271" s="979" t="s">
        <v>1348</v>
      </c>
      <c r="B271" s="973" t="s">
        <v>1258</v>
      </c>
      <c r="C271" s="973">
        <v>3300</v>
      </c>
      <c r="D271" s="973">
        <v>3270</v>
      </c>
      <c r="E271" s="973">
        <v>3380</v>
      </c>
      <c r="F271" s="991">
        <v>750</v>
      </c>
      <c r="H271" s="998"/>
    </row>
    <row r="272" spans="1:8" s="967" customFormat="1" ht="14.25" customHeight="1" thickBot="1">
      <c r="A272" s="979" t="s">
        <v>1348</v>
      </c>
      <c r="B272" s="973" t="s">
        <v>1265</v>
      </c>
      <c r="C272" s="1001"/>
      <c r="D272" s="1001"/>
      <c r="E272" s="1001"/>
      <c r="F272" s="991">
        <v>740</v>
      </c>
      <c r="H272" s="998"/>
    </row>
    <row r="273" spans="1:8" s="967" customFormat="1" ht="14.25" customHeight="1" thickBot="1">
      <c r="A273" s="979" t="s">
        <v>1348</v>
      </c>
      <c r="B273" s="973" t="s">
        <v>1269</v>
      </c>
      <c r="C273" s="973">
        <v>3130</v>
      </c>
      <c r="D273" s="973">
        <v>3100</v>
      </c>
      <c r="E273" s="973">
        <v>3230</v>
      </c>
      <c r="F273" s="991">
        <v>700</v>
      </c>
      <c r="H273" s="998"/>
    </row>
    <row r="274" spans="1:8" s="967" customFormat="1" ht="14.25" customHeight="1" thickBot="1">
      <c r="A274" s="979" t="s">
        <v>1348</v>
      </c>
      <c r="B274" s="973" t="s">
        <v>1274</v>
      </c>
      <c r="C274" s="973">
        <v>3460</v>
      </c>
      <c r="D274" s="973">
        <v>3430</v>
      </c>
      <c r="E274" s="973">
        <v>3560</v>
      </c>
      <c r="F274" s="991">
        <v>690</v>
      </c>
      <c r="H274" s="998"/>
    </row>
    <row r="275" spans="1:8" s="967" customFormat="1" ht="14.25" customHeight="1" thickBot="1">
      <c r="A275" s="979" t="s">
        <v>1348</v>
      </c>
      <c r="B275" s="973" t="s">
        <v>1279</v>
      </c>
      <c r="C275" s="973">
        <v>4040</v>
      </c>
      <c r="D275" s="973">
        <v>4020</v>
      </c>
      <c r="E275" s="973">
        <v>4160</v>
      </c>
      <c r="F275" s="991">
        <v>820</v>
      </c>
      <c r="H275" s="998"/>
    </row>
    <row r="276" spans="1:8" s="967" customFormat="1" ht="14.25" customHeight="1" thickBot="1">
      <c r="A276" s="979" t="s">
        <v>1348</v>
      </c>
      <c r="B276" s="973" t="s">
        <v>1284</v>
      </c>
      <c r="C276" s="973">
        <v>3270</v>
      </c>
      <c r="D276" s="973">
        <v>3240</v>
      </c>
      <c r="E276" s="973">
        <v>3350</v>
      </c>
      <c r="F276" s="991">
        <v>680</v>
      </c>
      <c r="H276" s="998"/>
    </row>
    <row r="277" spans="1:8" s="967" customFormat="1" ht="14.25" customHeight="1" thickBot="1">
      <c r="A277" s="979" t="s">
        <v>1348</v>
      </c>
      <c r="B277" s="973" t="s">
        <v>1289</v>
      </c>
      <c r="C277" s="973">
        <v>2930</v>
      </c>
      <c r="D277" s="973">
        <v>2900</v>
      </c>
      <c r="E277" s="973">
        <v>3000</v>
      </c>
      <c r="F277" s="991">
        <v>640</v>
      </c>
      <c r="H277" s="998"/>
    </row>
    <row r="278" spans="1:8" s="967" customFormat="1" ht="14.25" customHeight="1" thickBot="1">
      <c r="A278" s="979" t="s">
        <v>1348</v>
      </c>
      <c r="B278" s="973" t="s">
        <v>1294</v>
      </c>
      <c r="C278" s="973">
        <v>4080</v>
      </c>
      <c r="D278" s="973">
        <v>4030</v>
      </c>
      <c r="E278" s="973">
        <v>4140</v>
      </c>
      <c r="F278" s="991">
        <v>850</v>
      </c>
      <c r="H278" s="998"/>
    </row>
    <row r="279" spans="1:8" s="967" customFormat="1" ht="14.25" customHeight="1" thickBot="1">
      <c r="A279" s="979" t="s">
        <v>1348</v>
      </c>
      <c r="B279" s="973" t="s">
        <v>1298</v>
      </c>
      <c r="C279" s="973"/>
      <c r="D279" s="973"/>
      <c r="E279" s="973"/>
      <c r="F279" s="991">
        <v>760</v>
      </c>
      <c r="H279" s="998"/>
    </row>
    <row r="280" spans="1:8" s="967" customFormat="1" ht="14.25" customHeight="1" thickBot="1">
      <c r="A280" s="979" t="s">
        <v>1348</v>
      </c>
      <c r="B280" s="973" t="s">
        <v>1302</v>
      </c>
      <c r="C280" s="973"/>
      <c r="D280" s="973"/>
      <c r="E280" s="973"/>
      <c r="F280" s="991">
        <v>760</v>
      </c>
      <c r="H280" s="998"/>
    </row>
    <row r="281" spans="1:8" s="967" customFormat="1" ht="14.25" customHeight="1" thickBot="1">
      <c r="A281" s="979" t="s">
        <v>1348</v>
      </c>
      <c r="B281" s="973" t="s">
        <v>1306</v>
      </c>
      <c r="C281" s="973"/>
      <c r="D281" s="973"/>
      <c r="E281" s="973"/>
      <c r="F281" s="991">
        <v>780</v>
      </c>
      <c r="H281" s="998"/>
    </row>
    <row r="282" spans="1:8" s="967" customFormat="1" ht="14.25" customHeight="1" thickBot="1">
      <c r="A282" s="979" t="s">
        <v>1348</v>
      </c>
      <c r="B282" s="973" t="s">
        <v>1310</v>
      </c>
      <c r="C282" s="973"/>
      <c r="D282" s="973"/>
      <c r="E282" s="973"/>
      <c r="F282" s="991">
        <v>730</v>
      </c>
      <c r="H282" s="998"/>
    </row>
    <row r="283" spans="1:8" s="967" customFormat="1" ht="14.25" customHeight="1" thickBot="1">
      <c r="A283" s="979" t="s">
        <v>1348</v>
      </c>
      <c r="B283" s="973" t="s">
        <v>1314</v>
      </c>
      <c r="C283" s="973"/>
      <c r="D283" s="973"/>
      <c r="E283" s="973"/>
      <c r="F283" s="991">
        <v>770</v>
      </c>
      <c r="H283" s="998"/>
    </row>
    <row r="284" spans="1:8" s="967" customFormat="1" ht="14.25" customHeight="1" thickBot="1">
      <c r="A284" s="979" t="s">
        <v>1348</v>
      </c>
      <c r="B284" s="973" t="s">
        <v>1317</v>
      </c>
      <c r="C284" s="973"/>
      <c r="D284" s="973"/>
      <c r="E284" s="973"/>
      <c r="F284" s="991">
        <v>640</v>
      </c>
      <c r="H284" s="998"/>
    </row>
    <row r="285" spans="1:8" s="967" customFormat="1" ht="14.25" customHeight="1" thickBot="1">
      <c r="A285" s="979" t="s">
        <v>1348</v>
      </c>
      <c r="B285" s="973" t="s">
        <v>1320</v>
      </c>
      <c r="C285" s="973"/>
      <c r="D285" s="973"/>
      <c r="E285" s="973"/>
      <c r="F285" s="991">
        <v>640</v>
      </c>
      <c r="H285" s="998"/>
    </row>
    <row r="286" spans="1:8" s="967" customFormat="1" ht="14.25" customHeight="1" thickBot="1">
      <c r="A286" s="979" t="s">
        <v>1348</v>
      </c>
      <c r="B286" s="973" t="s">
        <v>1323</v>
      </c>
      <c r="C286" s="973"/>
      <c r="D286" s="973"/>
      <c r="E286" s="973"/>
      <c r="F286" s="991">
        <v>850</v>
      </c>
      <c r="H286" s="998"/>
    </row>
    <row r="287" spans="1:8" s="967" customFormat="1" ht="14.25" customHeight="1" thickBot="1">
      <c r="A287" s="979" t="s">
        <v>1348</v>
      </c>
      <c r="B287" s="973" t="s">
        <v>1326</v>
      </c>
      <c r="C287" s="973"/>
      <c r="D287" s="973"/>
      <c r="E287" s="973"/>
      <c r="F287" s="991">
        <v>760</v>
      </c>
      <c r="H287" s="998"/>
    </row>
    <row r="288" spans="1:8" s="967" customFormat="1" ht="14.25" customHeight="1" thickBot="1">
      <c r="A288" s="979" t="s">
        <v>1348</v>
      </c>
      <c r="B288" s="973" t="s">
        <v>1329</v>
      </c>
      <c r="C288" s="973"/>
      <c r="D288" s="973"/>
      <c r="E288" s="973"/>
      <c r="F288" s="991">
        <v>830</v>
      </c>
      <c r="H288" s="998"/>
    </row>
    <row r="289" spans="1:8" s="967" customFormat="1" ht="14.25" customHeight="1" thickBot="1">
      <c r="A289" s="979" t="s">
        <v>1348</v>
      </c>
      <c r="B289" s="989" t="s">
        <v>1332</v>
      </c>
      <c r="C289" s="989"/>
      <c r="D289" s="989"/>
      <c r="E289" s="989"/>
      <c r="F289" s="999">
        <v>680</v>
      </c>
      <c r="H289" s="998"/>
    </row>
    <row r="290" spans="1:8" s="967" customFormat="1" ht="14.25" customHeight="1" thickBot="1">
      <c r="A290" s="979" t="s">
        <v>1352</v>
      </c>
      <c r="B290" s="980" t="s">
        <v>1353</v>
      </c>
      <c r="C290" s="980">
        <v>2770</v>
      </c>
      <c r="D290" s="980">
        <v>2740</v>
      </c>
      <c r="E290" s="980">
        <v>2720</v>
      </c>
      <c r="F290" s="1002"/>
      <c r="H290" s="998"/>
    </row>
    <row r="291" spans="1:8" s="967" customFormat="1" ht="14.25" customHeight="1" thickBot="1">
      <c r="A291" s="979" t="s">
        <v>1352</v>
      </c>
      <c r="B291" s="973" t="s">
        <v>1012</v>
      </c>
      <c r="C291" s="973">
        <v>2670</v>
      </c>
      <c r="D291" s="973">
        <v>2640</v>
      </c>
      <c r="E291" s="973">
        <v>2620</v>
      </c>
      <c r="F291" s="1000"/>
      <c r="H291" s="998"/>
    </row>
    <row r="292" spans="1:8" s="967" customFormat="1" ht="14.25" customHeight="1" thickBot="1">
      <c r="A292" s="979" t="s">
        <v>1352</v>
      </c>
      <c r="B292" s="973" t="s">
        <v>1354</v>
      </c>
      <c r="C292" s="973">
        <v>2180</v>
      </c>
      <c r="D292" s="973">
        <v>2140</v>
      </c>
      <c r="E292" s="973">
        <v>2120</v>
      </c>
      <c r="F292" s="991">
        <v>490</v>
      </c>
      <c r="H292" s="998"/>
    </row>
    <row r="293" spans="1:8" s="967" customFormat="1" ht="14.25" customHeight="1" thickBot="1">
      <c r="A293" s="979" t="s">
        <v>1352</v>
      </c>
      <c r="B293" s="973" t="s">
        <v>1355</v>
      </c>
      <c r="C293" s="973"/>
      <c r="D293" s="973"/>
      <c r="E293" s="973"/>
      <c r="F293" s="991">
        <v>470</v>
      </c>
      <c r="H293" s="998"/>
    </row>
    <row r="294" spans="1:8" s="967" customFormat="1" ht="14.25" customHeight="1" thickBot="1">
      <c r="A294" s="979" t="s">
        <v>1352</v>
      </c>
      <c r="B294" s="973" t="s">
        <v>1356</v>
      </c>
      <c r="C294" s="973">
        <v>2730</v>
      </c>
      <c r="D294" s="973">
        <v>2700</v>
      </c>
      <c r="E294" s="973">
        <v>2680</v>
      </c>
      <c r="F294" s="991">
        <v>490</v>
      </c>
      <c r="H294" s="998"/>
    </row>
    <row r="295" spans="1:8" s="967" customFormat="1" ht="14.25" customHeight="1" thickBot="1">
      <c r="A295" s="979" t="s">
        <v>1352</v>
      </c>
      <c r="B295" s="973" t="s">
        <v>1053</v>
      </c>
      <c r="C295" s="973">
        <v>2380</v>
      </c>
      <c r="D295" s="973">
        <v>2350</v>
      </c>
      <c r="E295" s="973">
        <v>2330</v>
      </c>
      <c r="F295" s="991">
        <v>530</v>
      </c>
      <c r="H295" s="998"/>
    </row>
    <row r="296" spans="1:8" s="967" customFormat="1" ht="14.25" customHeight="1" thickBot="1">
      <c r="A296" s="979" t="s">
        <v>1352</v>
      </c>
      <c r="B296" s="973" t="s">
        <v>1064</v>
      </c>
      <c r="C296" s="973">
        <v>2650</v>
      </c>
      <c r="D296" s="973">
        <v>2620</v>
      </c>
      <c r="E296" s="973">
        <v>2590</v>
      </c>
      <c r="F296" s="991">
        <v>590</v>
      </c>
      <c r="H296" s="998"/>
    </row>
    <row r="297" spans="1:8" s="967" customFormat="1" ht="14.25" customHeight="1" thickBot="1">
      <c r="A297" s="979" t="s">
        <v>1352</v>
      </c>
      <c r="B297" s="973" t="s">
        <v>1075</v>
      </c>
      <c r="C297" s="973">
        <v>2700</v>
      </c>
      <c r="D297" s="973">
        <v>2670</v>
      </c>
      <c r="E297" s="973">
        <v>2650</v>
      </c>
      <c r="F297" s="991">
        <v>630</v>
      </c>
      <c r="H297" s="998"/>
    </row>
    <row r="298" spans="1:8" s="967" customFormat="1" ht="14.25" customHeight="1" thickBot="1">
      <c r="A298" s="979" t="s">
        <v>1352</v>
      </c>
      <c r="B298" s="973" t="s">
        <v>1086</v>
      </c>
      <c r="C298" s="973">
        <v>2650</v>
      </c>
      <c r="D298" s="973">
        <v>2620</v>
      </c>
      <c r="E298" s="973">
        <v>2590</v>
      </c>
      <c r="F298" s="991">
        <v>640</v>
      </c>
      <c r="H298" s="998"/>
    </row>
    <row r="299" spans="1:8" s="967" customFormat="1" ht="14.25" customHeight="1" thickBot="1">
      <c r="A299" s="979" t="s">
        <v>1352</v>
      </c>
      <c r="B299" s="973" t="s">
        <v>1098</v>
      </c>
      <c r="C299" s="973">
        <v>2500</v>
      </c>
      <c r="D299" s="973">
        <v>2480</v>
      </c>
      <c r="E299" s="973">
        <v>2460</v>
      </c>
      <c r="F299" s="1000"/>
      <c r="H299" s="998"/>
    </row>
    <row r="300" spans="1:8" s="967" customFormat="1" ht="14.25" customHeight="1" thickBot="1">
      <c r="A300" s="979" t="s">
        <v>1352</v>
      </c>
      <c r="B300" s="973" t="s">
        <v>1108</v>
      </c>
      <c r="C300" s="973">
        <v>2760</v>
      </c>
      <c r="D300" s="973">
        <v>2730</v>
      </c>
      <c r="E300" s="973">
        <v>2700</v>
      </c>
      <c r="F300" s="991">
        <v>630</v>
      </c>
      <c r="H300" s="998"/>
    </row>
    <row r="301" spans="1:8" s="967" customFormat="1" ht="14.25" customHeight="1" thickBot="1">
      <c r="A301" s="979" t="s">
        <v>1352</v>
      </c>
      <c r="B301" s="973" t="s">
        <v>1118</v>
      </c>
      <c r="C301" s="973">
        <v>2510</v>
      </c>
      <c r="D301" s="973">
        <v>2480</v>
      </c>
      <c r="E301" s="973">
        <v>2460</v>
      </c>
      <c r="F301" s="1000"/>
      <c r="H301" s="998"/>
    </row>
    <row r="302" spans="1:8" s="967" customFormat="1" ht="14.25" customHeight="1" thickBot="1">
      <c r="A302" s="979" t="s">
        <v>1352</v>
      </c>
      <c r="B302" s="973" t="s">
        <v>1128</v>
      </c>
      <c r="C302" s="973">
        <v>2480</v>
      </c>
      <c r="D302" s="973">
        <v>2450</v>
      </c>
      <c r="E302" s="973">
        <v>2420</v>
      </c>
      <c r="F302" s="991">
        <v>600</v>
      </c>
      <c r="H302" s="998"/>
    </row>
    <row r="303" spans="1:8" s="967" customFormat="1" ht="14.25" customHeight="1" thickBot="1">
      <c r="A303" s="979" t="s">
        <v>1352</v>
      </c>
      <c r="B303" s="973" t="s">
        <v>1138</v>
      </c>
      <c r="C303" s="973">
        <v>2270</v>
      </c>
      <c r="D303" s="973">
        <v>2240</v>
      </c>
      <c r="E303" s="973">
        <v>2210</v>
      </c>
      <c r="F303" s="991">
        <v>540</v>
      </c>
      <c r="H303" s="998"/>
    </row>
    <row r="304" spans="1:8" s="967" customFormat="1" ht="14.25" customHeight="1" thickBot="1">
      <c r="A304" s="979" t="s">
        <v>1352</v>
      </c>
      <c r="B304" s="973" t="s">
        <v>1148</v>
      </c>
      <c r="C304" s="973">
        <v>2310</v>
      </c>
      <c r="D304" s="973">
        <v>2290</v>
      </c>
      <c r="E304" s="973">
        <v>2270</v>
      </c>
      <c r="F304" s="1000"/>
      <c r="H304" s="998"/>
    </row>
    <row r="305" spans="1:8" s="967" customFormat="1" ht="14.25" customHeight="1" thickBot="1">
      <c r="A305" s="979" t="s">
        <v>1352</v>
      </c>
      <c r="B305" s="973" t="s">
        <v>1158</v>
      </c>
      <c r="C305" s="973">
        <v>2490</v>
      </c>
      <c r="D305" s="973">
        <v>2470</v>
      </c>
      <c r="E305" s="973">
        <v>2440</v>
      </c>
      <c r="F305" s="991">
        <v>560</v>
      </c>
      <c r="H305" s="998"/>
    </row>
    <row r="306" spans="1:8" s="967" customFormat="1" ht="14.25" customHeight="1" thickBot="1">
      <c r="A306" s="979" t="s">
        <v>1352</v>
      </c>
      <c r="B306" s="973" t="s">
        <v>1168</v>
      </c>
      <c r="C306" s="973">
        <v>2420</v>
      </c>
      <c r="D306" s="973">
        <v>2400</v>
      </c>
      <c r="E306" s="973">
        <v>2380</v>
      </c>
      <c r="F306" s="1000"/>
      <c r="H306" s="998"/>
    </row>
    <row r="307" spans="1:8" s="967" customFormat="1" ht="14.25" customHeight="1" thickBot="1">
      <c r="A307" s="979" t="s">
        <v>1352</v>
      </c>
      <c r="B307" s="973" t="s">
        <v>1178</v>
      </c>
      <c r="C307" s="973">
        <v>2770</v>
      </c>
      <c r="D307" s="973">
        <v>2740</v>
      </c>
      <c r="E307" s="973">
        <v>2710</v>
      </c>
      <c r="F307" s="991">
        <v>650</v>
      </c>
      <c r="H307" s="998"/>
    </row>
    <row r="308" spans="1:8" s="967" customFormat="1" ht="14.25" customHeight="1" thickBot="1">
      <c r="A308" s="979" t="s">
        <v>1352</v>
      </c>
      <c r="B308" s="973" t="s">
        <v>1188</v>
      </c>
      <c r="C308" s="973">
        <v>2610</v>
      </c>
      <c r="D308" s="973">
        <v>2580</v>
      </c>
      <c r="E308" s="973">
        <v>2550</v>
      </c>
      <c r="F308" s="991">
        <v>580</v>
      </c>
      <c r="H308" s="998"/>
    </row>
    <row r="309" spans="1:8" s="967" customFormat="1" ht="14.25" customHeight="1" thickBot="1">
      <c r="A309" s="979" t="s">
        <v>1352</v>
      </c>
      <c r="B309" s="973" t="s">
        <v>1198</v>
      </c>
      <c r="C309" s="973">
        <v>2690</v>
      </c>
      <c r="D309" s="973">
        <v>2670</v>
      </c>
      <c r="E309" s="973">
        <v>2650</v>
      </c>
      <c r="F309" s="1000"/>
      <c r="H309" s="998"/>
    </row>
    <row r="310" spans="1:8" s="967" customFormat="1" ht="14.25" customHeight="1" thickBot="1">
      <c r="A310" s="979" t="s">
        <v>1352</v>
      </c>
      <c r="B310" s="973" t="s">
        <v>1207</v>
      </c>
      <c r="C310" s="973">
        <v>2360</v>
      </c>
      <c r="D310" s="973">
        <v>2330</v>
      </c>
      <c r="E310" s="973">
        <v>2310</v>
      </c>
      <c r="F310" s="991">
        <v>560</v>
      </c>
      <c r="H310" s="998"/>
    </row>
    <row r="311" spans="1:8" s="967" customFormat="1" ht="14.25" customHeight="1" thickBot="1">
      <c r="A311" s="979" t="s">
        <v>1352</v>
      </c>
      <c r="B311" s="973" t="s">
        <v>1216</v>
      </c>
      <c r="C311" s="973">
        <v>1970</v>
      </c>
      <c r="D311" s="973">
        <v>1950</v>
      </c>
      <c r="E311" s="973">
        <v>1920</v>
      </c>
      <c r="F311" s="991">
        <v>470</v>
      </c>
      <c r="H311" s="998"/>
    </row>
    <row r="312" spans="1:8" s="967" customFormat="1" ht="14.25" customHeight="1" thickBot="1">
      <c r="A312" s="979" t="s">
        <v>1352</v>
      </c>
      <c r="B312" s="973" t="s">
        <v>1224</v>
      </c>
      <c r="C312" s="973">
        <v>2230</v>
      </c>
      <c r="D312" s="973">
        <v>2200</v>
      </c>
      <c r="E312" s="973">
        <v>2170</v>
      </c>
      <c r="F312" s="991">
        <v>460</v>
      </c>
      <c r="H312" s="998"/>
    </row>
    <row r="313" spans="1:8" s="967" customFormat="1" ht="14.25" customHeight="1" thickBot="1">
      <c r="A313" s="979" t="s">
        <v>1352</v>
      </c>
      <c r="B313" s="973" t="s">
        <v>1231</v>
      </c>
      <c r="C313" s="973">
        <v>2770</v>
      </c>
      <c r="D313" s="973">
        <v>2740</v>
      </c>
      <c r="E313" s="973">
        <v>2710</v>
      </c>
      <c r="F313" s="991">
        <v>610</v>
      </c>
      <c r="H313" s="998"/>
    </row>
    <row r="314" spans="1:8" s="967" customFormat="1" ht="14.25" customHeight="1" thickBot="1">
      <c r="A314" s="979" t="s">
        <v>1352</v>
      </c>
      <c r="B314" s="973" t="s">
        <v>1238</v>
      </c>
      <c r="C314" s="973"/>
      <c r="D314" s="973"/>
      <c r="E314" s="973"/>
      <c r="F314" s="991">
        <v>490</v>
      </c>
      <c r="H314" s="998"/>
    </row>
    <row r="315" spans="1:8" s="967" customFormat="1" ht="14.25" customHeight="1" thickBot="1">
      <c r="A315" s="979" t="s">
        <v>1352</v>
      </c>
      <c r="B315" s="973" t="s">
        <v>1245</v>
      </c>
      <c r="C315" s="973"/>
      <c r="D315" s="973"/>
      <c r="E315" s="973"/>
      <c r="F315" s="991">
        <v>520</v>
      </c>
      <c r="H315" s="998"/>
    </row>
    <row r="316" spans="1:8" s="967" customFormat="1" ht="14.25" customHeight="1" thickBot="1">
      <c r="A316" s="979" t="s">
        <v>1352</v>
      </c>
      <c r="B316" s="989" t="s">
        <v>1252</v>
      </c>
      <c r="C316" s="989"/>
      <c r="D316" s="989"/>
      <c r="E316" s="989"/>
      <c r="F316" s="999">
        <v>460</v>
      </c>
      <c r="H316" s="998"/>
    </row>
    <row r="317" spans="1:8" s="967" customFormat="1" ht="14.25" customHeight="1" thickBot="1">
      <c r="A317" s="979" t="s">
        <v>849</v>
      </c>
      <c r="B317" s="980" t="s">
        <v>1357</v>
      </c>
      <c r="C317" s="980">
        <v>1200</v>
      </c>
      <c r="D317" s="980">
        <v>1180</v>
      </c>
      <c r="E317" s="980">
        <v>1160</v>
      </c>
      <c r="F317" s="981">
        <v>370</v>
      </c>
      <c r="H317" s="964"/>
    </row>
    <row r="318" spans="1:8" s="967" customFormat="1" ht="14.25" customHeight="1" thickBot="1">
      <c r="A318" s="979" t="s">
        <v>849</v>
      </c>
      <c r="B318" s="973" t="s">
        <v>1358</v>
      </c>
      <c r="C318" s="973">
        <v>1090</v>
      </c>
      <c r="D318" s="973">
        <v>1060</v>
      </c>
      <c r="E318" s="973">
        <v>1040</v>
      </c>
      <c r="F318" s="1000"/>
      <c r="H318" s="964"/>
    </row>
    <row r="319" spans="1:8" s="967" customFormat="1" ht="14.25" customHeight="1" thickBot="1">
      <c r="A319" s="979" t="s">
        <v>849</v>
      </c>
      <c r="B319" s="973" t="s">
        <v>1359</v>
      </c>
      <c r="C319" s="973">
        <v>1520</v>
      </c>
      <c r="D319" s="973">
        <v>1470</v>
      </c>
      <c r="E319" s="973">
        <v>1440</v>
      </c>
      <c r="F319" s="991">
        <v>370</v>
      </c>
      <c r="H319" s="964"/>
    </row>
    <row r="320" spans="1:8" s="967" customFormat="1" ht="14.25" customHeight="1" thickBot="1">
      <c r="A320" s="979" t="s">
        <v>849</v>
      </c>
      <c r="B320" s="973" t="s">
        <v>1040</v>
      </c>
      <c r="C320" s="973">
        <v>1360</v>
      </c>
      <c r="D320" s="973">
        <v>1300</v>
      </c>
      <c r="E320" s="973">
        <v>1270</v>
      </c>
      <c r="F320" s="1000"/>
      <c r="H320" s="964"/>
    </row>
    <row r="321" spans="1:8" s="967" customFormat="1" ht="14.25" customHeight="1" thickBot="1">
      <c r="A321" s="979" t="s">
        <v>849</v>
      </c>
      <c r="B321" s="973" t="s">
        <v>1054</v>
      </c>
      <c r="C321" s="973">
        <v>1750</v>
      </c>
      <c r="D321" s="973">
        <v>1690</v>
      </c>
      <c r="E321" s="973">
        <v>1660</v>
      </c>
      <c r="F321" s="1000"/>
      <c r="H321" s="964"/>
    </row>
    <row r="322" spans="1:8" s="967" customFormat="1" ht="14.25" customHeight="1" thickBot="1">
      <c r="A322" s="979" t="s">
        <v>849</v>
      </c>
      <c r="B322" s="973" t="s">
        <v>1065</v>
      </c>
      <c r="C322" s="973">
        <v>1650</v>
      </c>
      <c r="D322" s="973">
        <v>1610</v>
      </c>
      <c r="E322" s="973">
        <v>1580</v>
      </c>
      <c r="F322" s="991">
        <v>500</v>
      </c>
      <c r="H322" s="964"/>
    </row>
    <row r="323" spans="1:8" s="967" customFormat="1" ht="14.25" customHeight="1" thickBot="1">
      <c r="A323" s="979" t="s">
        <v>849</v>
      </c>
      <c r="B323" s="973" t="s">
        <v>1076</v>
      </c>
      <c r="C323" s="973">
        <v>1780</v>
      </c>
      <c r="D323" s="973">
        <v>1740</v>
      </c>
      <c r="E323" s="973">
        <v>1720</v>
      </c>
      <c r="F323" s="1000"/>
      <c r="H323" s="964"/>
    </row>
    <row r="324" spans="1:8" s="967" customFormat="1" ht="14.25" customHeight="1" thickBot="1">
      <c r="A324" s="979" t="s">
        <v>849</v>
      </c>
      <c r="B324" s="973" t="s">
        <v>1087</v>
      </c>
      <c r="C324" s="973">
        <v>1650</v>
      </c>
      <c r="D324" s="973">
        <v>1610</v>
      </c>
      <c r="E324" s="973">
        <v>1580</v>
      </c>
      <c r="F324" s="1000"/>
      <c r="H324" s="964"/>
    </row>
    <row r="325" spans="1:8" s="967" customFormat="1" ht="14.25" customHeight="1" thickBot="1">
      <c r="A325" s="979" t="s">
        <v>849</v>
      </c>
      <c r="B325" s="973" t="s">
        <v>1099</v>
      </c>
      <c r="C325" s="973">
        <v>1330</v>
      </c>
      <c r="D325" s="973">
        <v>1270</v>
      </c>
      <c r="E325" s="973">
        <v>1240</v>
      </c>
      <c r="F325" s="991">
        <v>430</v>
      </c>
      <c r="H325" s="964"/>
    </row>
    <row r="326" spans="1:8" s="967" customFormat="1" ht="14.25" customHeight="1" thickBot="1">
      <c r="A326" s="979" t="s">
        <v>849</v>
      </c>
      <c r="B326" s="973" t="s">
        <v>1109</v>
      </c>
      <c r="C326" s="973">
        <v>1470</v>
      </c>
      <c r="D326" s="973">
        <v>1430</v>
      </c>
      <c r="E326" s="973">
        <v>1400</v>
      </c>
      <c r="F326" s="1000"/>
      <c r="H326" s="964"/>
    </row>
    <row r="327" spans="1:8" s="967" customFormat="1" ht="14.25" customHeight="1" thickBot="1">
      <c r="A327" s="979" t="s">
        <v>849</v>
      </c>
      <c r="B327" s="973" t="s">
        <v>1119</v>
      </c>
      <c r="C327" s="973">
        <v>1420</v>
      </c>
      <c r="D327" s="973">
        <v>1380</v>
      </c>
      <c r="E327" s="973">
        <v>1360</v>
      </c>
      <c r="F327" s="991">
        <v>420</v>
      </c>
      <c r="H327" s="964"/>
    </row>
    <row r="328" spans="1:8" s="967" customFormat="1" ht="14.25" customHeight="1" thickBot="1">
      <c r="A328" s="979" t="s">
        <v>849</v>
      </c>
      <c r="B328" s="973" t="s">
        <v>1129</v>
      </c>
      <c r="C328" s="973">
        <v>1400</v>
      </c>
      <c r="D328" s="973">
        <v>1360</v>
      </c>
      <c r="E328" s="973">
        <v>1330</v>
      </c>
      <c r="F328" s="991">
        <v>460</v>
      </c>
      <c r="H328" s="964"/>
    </row>
    <row r="329" spans="1:8" s="967" customFormat="1" ht="14.25" customHeight="1" thickBot="1">
      <c r="A329" s="979" t="s">
        <v>849</v>
      </c>
      <c r="B329" s="973" t="s">
        <v>1139</v>
      </c>
      <c r="C329" s="973">
        <v>1640</v>
      </c>
      <c r="D329" s="973">
        <v>1610</v>
      </c>
      <c r="E329" s="973">
        <v>1580</v>
      </c>
      <c r="F329" s="991">
        <v>410</v>
      </c>
      <c r="H329" s="964"/>
    </row>
    <row r="330" spans="1:8" s="967" customFormat="1" ht="14.25" customHeight="1" thickBot="1">
      <c r="A330" s="979" t="s">
        <v>849</v>
      </c>
      <c r="B330" s="973" t="s">
        <v>1149</v>
      </c>
      <c r="C330" s="973">
        <v>1260</v>
      </c>
      <c r="D330" s="973">
        <v>1220</v>
      </c>
      <c r="E330" s="973">
        <v>1200</v>
      </c>
      <c r="F330" s="1000"/>
      <c r="H330" s="964"/>
    </row>
    <row r="331" spans="1:8" s="967" customFormat="1" ht="14.25" customHeight="1" thickBot="1">
      <c r="A331" s="979" t="s">
        <v>849</v>
      </c>
      <c r="B331" s="973" t="s">
        <v>1159</v>
      </c>
      <c r="C331" s="973">
        <v>1620</v>
      </c>
      <c r="D331" s="973">
        <v>1560</v>
      </c>
      <c r="E331" s="973">
        <v>1530</v>
      </c>
      <c r="F331" s="991">
        <v>490</v>
      </c>
      <c r="H331" s="964"/>
    </row>
    <row r="332" spans="1:8" s="967" customFormat="1" ht="14.25" customHeight="1" thickBot="1">
      <c r="A332" s="979" t="s">
        <v>849</v>
      </c>
      <c r="B332" s="973" t="s">
        <v>1169</v>
      </c>
      <c r="C332" s="973">
        <v>1520</v>
      </c>
      <c r="D332" s="973">
        <v>1470</v>
      </c>
      <c r="E332" s="973">
        <v>1440</v>
      </c>
      <c r="F332" s="991">
        <v>440</v>
      </c>
      <c r="H332" s="964"/>
    </row>
    <row r="333" spans="1:8" s="967" customFormat="1" ht="14.25" customHeight="1" thickBot="1">
      <c r="A333" s="979" t="s">
        <v>849</v>
      </c>
      <c r="B333" s="973" t="s">
        <v>1179</v>
      </c>
      <c r="C333" s="973">
        <v>1370</v>
      </c>
      <c r="D333" s="973">
        <v>1320</v>
      </c>
      <c r="E333" s="973">
        <v>1300</v>
      </c>
      <c r="F333" s="991">
        <v>460</v>
      </c>
      <c r="H333" s="964"/>
    </row>
    <row r="334" spans="1:8" s="967" customFormat="1" ht="14.25" customHeight="1" thickBot="1">
      <c r="A334" s="979" t="s">
        <v>849</v>
      </c>
      <c r="B334" s="973" t="s">
        <v>1189</v>
      </c>
      <c r="C334" s="973">
        <v>1410</v>
      </c>
      <c r="D334" s="973">
        <v>1340</v>
      </c>
      <c r="E334" s="973">
        <v>1310</v>
      </c>
      <c r="F334" s="991">
        <v>410</v>
      </c>
      <c r="H334" s="964"/>
    </row>
    <row r="335" spans="1:8" s="967" customFormat="1" ht="14.25" customHeight="1" thickBot="1">
      <c r="A335" s="979" t="s">
        <v>849</v>
      </c>
      <c r="B335" s="973" t="s">
        <v>1199</v>
      </c>
      <c r="C335" s="973">
        <v>1260</v>
      </c>
      <c r="D335" s="973">
        <v>1220</v>
      </c>
      <c r="E335" s="973">
        <v>1200</v>
      </c>
      <c r="F335" s="1000"/>
      <c r="H335" s="964"/>
    </row>
    <row r="336" spans="1:8" s="967" customFormat="1" ht="14.25" customHeight="1" thickBot="1">
      <c r="A336" s="979" t="s">
        <v>849</v>
      </c>
      <c r="B336" s="973" t="s">
        <v>1208</v>
      </c>
      <c r="C336" s="973">
        <v>1160</v>
      </c>
      <c r="D336" s="973">
        <v>1140</v>
      </c>
      <c r="E336" s="973">
        <v>1120</v>
      </c>
      <c r="F336" s="991">
        <v>430</v>
      </c>
      <c r="H336" s="964"/>
    </row>
    <row r="337" spans="1:8" s="967" customFormat="1" ht="14.25" customHeight="1" thickBot="1">
      <c r="A337" s="979" t="s">
        <v>849</v>
      </c>
      <c r="B337" s="989" t="s">
        <v>1217</v>
      </c>
      <c r="C337" s="989"/>
      <c r="D337" s="989"/>
      <c r="E337" s="989"/>
      <c r="F337" s="999">
        <v>380</v>
      </c>
      <c r="H337" s="964"/>
    </row>
    <row r="338" spans="1:8" s="967" customFormat="1" ht="14.25" customHeight="1" thickBot="1">
      <c r="A338" s="979" t="s">
        <v>850</v>
      </c>
      <c r="B338" s="980" t="s">
        <v>1360</v>
      </c>
      <c r="C338" s="980">
        <v>880</v>
      </c>
      <c r="D338" s="980">
        <v>850</v>
      </c>
      <c r="E338" s="980">
        <v>830</v>
      </c>
      <c r="F338" s="1002"/>
      <c r="H338" s="964"/>
    </row>
    <row r="339" spans="1:8" s="967" customFormat="1" ht="14.25" customHeight="1" thickBot="1">
      <c r="A339" s="979" t="s">
        <v>850</v>
      </c>
      <c r="B339" s="973" t="s">
        <v>1361</v>
      </c>
      <c r="C339" s="973">
        <v>830</v>
      </c>
      <c r="D339" s="973">
        <v>800</v>
      </c>
      <c r="E339" s="973">
        <v>780</v>
      </c>
      <c r="F339" s="1000"/>
      <c r="H339" s="964"/>
    </row>
    <row r="340" spans="1:8" s="967" customFormat="1" ht="14.25" customHeight="1" thickBot="1">
      <c r="A340" s="979" t="s">
        <v>850</v>
      </c>
      <c r="B340" s="973" t="s">
        <v>1362</v>
      </c>
      <c r="C340" s="973">
        <v>980</v>
      </c>
      <c r="D340" s="973">
        <v>950</v>
      </c>
      <c r="E340" s="973">
        <v>920</v>
      </c>
      <c r="F340" s="1000"/>
      <c r="H340" s="964"/>
    </row>
    <row r="341" spans="1:8" s="967" customFormat="1" ht="14.25" customHeight="1" thickBot="1">
      <c r="A341" s="979" t="s">
        <v>850</v>
      </c>
      <c r="B341" s="973" t="s">
        <v>1363</v>
      </c>
      <c r="C341" s="973">
        <v>760</v>
      </c>
      <c r="D341" s="973">
        <v>720</v>
      </c>
      <c r="E341" s="973">
        <v>690</v>
      </c>
      <c r="F341" s="991">
        <v>350</v>
      </c>
      <c r="H341" s="964"/>
    </row>
    <row r="342" spans="1:8" s="967" customFormat="1" ht="14.25" customHeight="1" thickBot="1">
      <c r="A342" s="979" t="s">
        <v>850</v>
      </c>
      <c r="B342" s="973" t="s">
        <v>1055</v>
      </c>
      <c r="C342" s="973">
        <v>910</v>
      </c>
      <c r="D342" s="973">
        <v>870</v>
      </c>
      <c r="E342" s="973">
        <v>850</v>
      </c>
      <c r="F342" s="991">
        <v>370</v>
      </c>
      <c r="H342" s="964"/>
    </row>
    <row r="343" spans="1:8" s="967" customFormat="1" ht="14.25" customHeight="1" thickBot="1">
      <c r="A343" s="979" t="s">
        <v>850</v>
      </c>
      <c r="B343" s="973" t="s">
        <v>1066</v>
      </c>
      <c r="C343" s="973">
        <v>800</v>
      </c>
      <c r="D343" s="973">
        <v>760</v>
      </c>
      <c r="E343" s="973">
        <v>730</v>
      </c>
      <c r="F343" s="991">
        <v>340</v>
      </c>
      <c r="H343" s="964"/>
    </row>
    <row r="344" spans="1:8" s="967" customFormat="1" ht="14.25" customHeight="1" thickBot="1">
      <c r="A344" s="979" t="s">
        <v>850</v>
      </c>
      <c r="B344" s="989" t="s">
        <v>1077</v>
      </c>
      <c r="C344" s="989">
        <v>720</v>
      </c>
      <c r="D344" s="989">
        <v>690</v>
      </c>
      <c r="E344" s="989">
        <v>660</v>
      </c>
      <c r="F344" s="999">
        <v>300</v>
      </c>
      <c r="H344" s="9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35"/>
    <col min="2" max="16384" width="9" style="909"/>
  </cols>
  <sheetData>
    <row r="1" spans="1:14" ht="14.25">
      <c r="A1" s="907" t="s">
        <v>814</v>
      </c>
      <c r="B1" s="908"/>
      <c r="C1" s="908"/>
      <c r="D1" s="908"/>
      <c r="E1" s="908"/>
      <c r="F1" s="908"/>
      <c r="G1" s="908"/>
      <c r="H1" s="908"/>
      <c r="I1" s="908"/>
      <c r="J1" s="908"/>
      <c r="K1" s="908"/>
      <c r="L1" s="908"/>
      <c r="M1" s="908"/>
      <c r="N1" s="908"/>
    </row>
    <row r="2" spans="1:14">
      <c r="A2" s="910" t="s">
        <v>815</v>
      </c>
      <c r="B2" s="911" t="s">
        <v>816</v>
      </c>
      <c r="C2" s="911" t="s">
        <v>817</v>
      </c>
      <c r="D2" s="911" t="s">
        <v>818</v>
      </c>
      <c r="E2" s="911" t="s">
        <v>819</v>
      </c>
      <c r="F2" s="911" t="s">
        <v>820</v>
      </c>
      <c r="G2" s="911" t="s">
        <v>821</v>
      </c>
      <c r="H2" s="912" t="s">
        <v>822</v>
      </c>
      <c r="I2" s="912" t="s">
        <v>823</v>
      </c>
      <c r="J2" s="913" t="s">
        <v>824</v>
      </c>
      <c r="K2" s="913" t="s">
        <v>825</v>
      </c>
      <c r="L2" s="913" t="s">
        <v>826</v>
      </c>
      <c r="M2" s="913" t="s">
        <v>827</v>
      </c>
    </row>
    <row r="3" spans="1:14">
      <c r="A3" s="910">
        <v>0.1</v>
      </c>
      <c r="B3" s="919">
        <v>15.052</v>
      </c>
      <c r="C3" s="919">
        <v>15.052</v>
      </c>
      <c r="D3" s="919">
        <v>14.263</v>
      </c>
      <c r="E3" s="919">
        <v>14.263</v>
      </c>
      <c r="F3" s="919">
        <v>14.263</v>
      </c>
      <c r="G3" s="919">
        <v>14.263</v>
      </c>
      <c r="H3" s="919">
        <v>14.263</v>
      </c>
      <c r="I3" s="919">
        <v>14.097</v>
      </c>
      <c r="J3" s="919">
        <v>14.097</v>
      </c>
      <c r="K3" s="919">
        <v>14.097</v>
      </c>
      <c r="L3" s="919">
        <v>14.097</v>
      </c>
      <c r="M3" s="919">
        <v>14.097</v>
      </c>
      <c r="N3" s="920"/>
    </row>
    <row r="4" spans="1:14">
      <c r="A4" s="910">
        <v>0.2</v>
      </c>
      <c r="B4" s="919">
        <v>7.5259999999999998</v>
      </c>
      <c r="C4" s="919">
        <v>7.5259999999999998</v>
      </c>
      <c r="D4" s="919">
        <v>7.1315</v>
      </c>
      <c r="E4" s="919">
        <v>7.1315</v>
      </c>
      <c r="F4" s="919">
        <v>7.1315</v>
      </c>
      <c r="G4" s="919">
        <v>7.1315</v>
      </c>
      <c r="H4" s="919">
        <v>7.1315</v>
      </c>
      <c r="I4" s="919">
        <v>7.0484999999999998</v>
      </c>
      <c r="J4" s="919">
        <v>7.0484999999999998</v>
      </c>
      <c r="K4" s="919">
        <v>7.0484999999999998</v>
      </c>
      <c r="L4" s="919">
        <v>7.0484999999999998</v>
      </c>
      <c r="M4" s="919">
        <v>7.0484999999999998</v>
      </c>
    </row>
    <row r="5" spans="1:14">
      <c r="A5" s="910">
        <v>0.3</v>
      </c>
      <c r="B5" s="919">
        <v>5.0172999999999996</v>
      </c>
      <c r="C5" s="919">
        <v>5.0172999999999996</v>
      </c>
      <c r="D5" s="919">
        <v>4.7542999999999997</v>
      </c>
      <c r="E5" s="919">
        <v>4.7542999999999997</v>
      </c>
      <c r="F5" s="919">
        <v>4.7542999999999997</v>
      </c>
      <c r="G5" s="919">
        <v>4.7542999999999997</v>
      </c>
      <c r="H5" s="919">
        <v>4.7542999999999997</v>
      </c>
      <c r="I5" s="919">
        <v>4.6989999999999998</v>
      </c>
      <c r="J5" s="919">
        <v>4.6989999999999998</v>
      </c>
      <c r="K5" s="919">
        <v>4.6989999999999998</v>
      </c>
      <c r="L5" s="919">
        <v>4.6989999999999998</v>
      </c>
      <c r="M5" s="919">
        <v>4.6989999999999998</v>
      </c>
    </row>
    <row r="6" spans="1:14">
      <c r="A6" s="910">
        <v>0.4</v>
      </c>
      <c r="B6" s="919">
        <v>3.7629999999999999</v>
      </c>
      <c r="C6" s="919">
        <v>3.7629999999999999</v>
      </c>
      <c r="D6" s="919">
        <v>3.5657999999999999</v>
      </c>
      <c r="E6" s="919">
        <v>3.5657999999999999</v>
      </c>
      <c r="F6" s="919">
        <v>3.5657999999999999</v>
      </c>
      <c r="G6" s="919">
        <v>3.5657999999999999</v>
      </c>
      <c r="H6" s="919">
        <v>3.5657999999999999</v>
      </c>
      <c r="I6" s="919">
        <v>3.5243000000000002</v>
      </c>
      <c r="J6" s="919">
        <v>3.5243000000000002</v>
      </c>
      <c r="K6" s="919">
        <v>3.5243000000000002</v>
      </c>
      <c r="L6" s="919">
        <v>3.5243000000000002</v>
      </c>
      <c r="M6" s="919">
        <v>3.5243000000000002</v>
      </c>
    </row>
    <row r="7" spans="1:14">
      <c r="A7" s="910">
        <v>0.5</v>
      </c>
      <c r="B7" s="919">
        <v>3.0104000000000002</v>
      </c>
      <c r="C7" s="919">
        <v>3.0104000000000002</v>
      </c>
      <c r="D7" s="919">
        <v>2.8525999999999998</v>
      </c>
      <c r="E7" s="919">
        <v>2.8525999999999998</v>
      </c>
      <c r="F7" s="919">
        <v>2.8525999999999998</v>
      </c>
      <c r="G7" s="919">
        <v>2.8525999999999998</v>
      </c>
      <c r="H7" s="919">
        <v>2.8525999999999998</v>
      </c>
      <c r="I7" s="919">
        <v>2.8193999999999999</v>
      </c>
      <c r="J7" s="919">
        <v>2.8193999999999999</v>
      </c>
      <c r="K7" s="919">
        <v>2.8193999999999999</v>
      </c>
      <c r="L7" s="919">
        <v>2.8193999999999999</v>
      </c>
      <c r="M7" s="919">
        <v>2.8193999999999999</v>
      </c>
    </row>
    <row r="8" spans="1:14">
      <c r="A8" s="910">
        <v>0.6</v>
      </c>
      <c r="B8" s="919">
        <v>2.5087000000000002</v>
      </c>
      <c r="C8" s="919">
        <v>2.5087000000000002</v>
      </c>
      <c r="D8" s="919">
        <v>2.3772000000000002</v>
      </c>
      <c r="E8" s="919">
        <v>2.3772000000000002</v>
      </c>
      <c r="F8" s="919">
        <v>2.3772000000000002</v>
      </c>
      <c r="G8" s="919">
        <v>2.3772000000000002</v>
      </c>
      <c r="H8" s="919">
        <v>2.3772000000000002</v>
      </c>
      <c r="I8" s="919">
        <v>2.3494999999999999</v>
      </c>
      <c r="J8" s="919">
        <v>2.3494999999999999</v>
      </c>
      <c r="K8" s="919">
        <v>2.3494999999999999</v>
      </c>
      <c r="L8" s="919">
        <v>2.3494999999999999</v>
      </c>
      <c r="M8" s="919">
        <v>2.3494999999999999</v>
      </c>
    </row>
    <row r="9" spans="1:14">
      <c r="A9" s="910">
        <v>0.7</v>
      </c>
      <c r="B9" s="919">
        <v>2.1503000000000001</v>
      </c>
      <c r="C9" s="919">
        <v>2.1503000000000001</v>
      </c>
      <c r="D9" s="919">
        <v>2.0375999999999999</v>
      </c>
      <c r="E9" s="919">
        <v>2.0375999999999999</v>
      </c>
      <c r="F9" s="919">
        <v>2.0375999999999999</v>
      </c>
      <c r="G9" s="919">
        <v>2.0375999999999999</v>
      </c>
      <c r="H9" s="919">
        <v>2.0375999999999999</v>
      </c>
      <c r="I9" s="919">
        <v>2.0139</v>
      </c>
      <c r="J9" s="919">
        <v>2.0139</v>
      </c>
      <c r="K9" s="919">
        <v>2.0139</v>
      </c>
      <c r="L9" s="919">
        <v>2.0139</v>
      </c>
      <c r="M9" s="919">
        <v>2.0139</v>
      </c>
    </row>
    <row r="10" spans="1:14">
      <c r="A10" s="910">
        <v>0.8</v>
      </c>
      <c r="B10" s="919">
        <v>1.8815</v>
      </c>
      <c r="C10" s="919">
        <v>1.8815</v>
      </c>
      <c r="D10" s="919">
        <v>1.7828999999999999</v>
      </c>
      <c r="E10" s="919">
        <v>1.7828999999999999</v>
      </c>
      <c r="F10" s="919">
        <v>1.7828999999999999</v>
      </c>
      <c r="G10" s="919">
        <v>1.7828999999999999</v>
      </c>
      <c r="H10" s="919">
        <v>1.7828999999999999</v>
      </c>
      <c r="I10" s="919">
        <v>1.7621</v>
      </c>
      <c r="J10" s="919">
        <v>1.7621</v>
      </c>
      <c r="K10" s="919">
        <v>1.7621</v>
      </c>
      <c r="L10" s="919">
        <v>1.7621</v>
      </c>
      <c r="M10" s="919">
        <v>1.7621</v>
      </c>
    </row>
    <row r="11" spans="1:14">
      <c r="A11" s="910">
        <v>0.9</v>
      </c>
      <c r="B11" s="919">
        <v>1.6724000000000001</v>
      </c>
      <c r="C11" s="919">
        <v>1.6724000000000001</v>
      </c>
      <c r="D11" s="919">
        <v>1.5848</v>
      </c>
      <c r="E11" s="919">
        <v>1.5848</v>
      </c>
      <c r="F11" s="919">
        <v>1.5848</v>
      </c>
      <c r="G11" s="919">
        <v>1.5848</v>
      </c>
      <c r="H11" s="919">
        <v>1.5848</v>
      </c>
      <c r="I11" s="919">
        <v>1.5663</v>
      </c>
      <c r="J11" s="919">
        <v>1.5663</v>
      </c>
      <c r="K11" s="919">
        <v>1.5663</v>
      </c>
      <c r="L11" s="919">
        <v>1.5663</v>
      </c>
      <c r="M11" s="919">
        <v>1.5663</v>
      </c>
    </row>
    <row r="12" spans="1:14">
      <c r="A12" s="910">
        <v>1</v>
      </c>
      <c r="B12" s="919">
        <v>1.5052000000000001</v>
      </c>
      <c r="C12" s="919">
        <v>1.5052000000000001</v>
      </c>
      <c r="D12" s="919">
        <v>1.4262999999999999</v>
      </c>
      <c r="E12" s="919">
        <v>1.4262999999999999</v>
      </c>
      <c r="F12" s="919">
        <v>1.4262999999999999</v>
      </c>
      <c r="G12" s="919">
        <v>1.4262999999999999</v>
      </c>
      <c r="H12" s="919">
        <v>1.4262999999999999</v>
      </c>
      <c r="I12" s="919">
        <v>1.4097</v>
      </c>
      <c r="J12" s="919">
        <v>1.4097</v>
      </c>
      <c r="K12" s="919">
        <v>1.4097</v>
      </c>
      <c r="L12" s="919">
        <v>1.4097</v>
      </c>
      <c r="M12" s="919">
        <v>1.4097</v>
      </c>
    </row>
    <row r="13" spans="1:14">
      <c r="A13" s="910">
        <v>1.1000000000000001</v>
      </c>
      <c r="B13" s="919">
        <v>1.4509000000000001</v>
      </c>
      <c r="C13" s="919">
        <v>1.4509000000000001</v>
      </c>
      <c r="D13" s="919">
        <v>1.3697999999999999</v>
      </c>
      <c r="E13" s="919">
        <v>1.3697999999999999</v>
      </c>
      <c r="F13" s="919">
        <v>1.3697999999999999</v>
      </c>
      <c r="G13" s="919">
        <v>1.3697999999999999</v>
      </c>
      <c r="H13" s="919">
        <v>1.3697999999999999</v>
      </c>
      <c r="I13" s="919">
        <v>1.343</v>
      </c>
      <c r="J13" s="919">
        <v>1.343</v>
      </c>
      <c r="K13" s="919">
        <v>1.343</v>
      </c>
      <c r="L13" s="919">
        <v>1.343</v>
      </c>
      <c r="M13" s="919">
        <v>1.343</v>
      </c>
    </row>
    <row r="14" spans="1:14">
      <c r="A14" s="910">
        <v>1.2</v>
      </c>
      <c r="B14" s="919">
        <v>1.4035</v>
      </c>
      <c r="C14" s="919">
        <v>1.4035</v>
      </c>
      <c r="D14" s="919">
        <v>1.3205</v>
      </c>
      <c r="E14" s="919">
        <v>1.3205</v>
      </c>
      <c r="F14" s="919">
        <v>1.3205</v>
      </c>
      <c r="G14" s="919">
        <v>1.3205</v>
      </c>
      <c r="H14" s="919">
        <v>1.3205</v>
      </c>
      <c r="I14" s="919">
        <v>1.2845</v>
      </c>
      <c r="J14" s="919">
        <v>1.2845</v>
      </c>
      <c r="K14" s="919">
        <v>1.2845</v>
      </c>
      <c r="L14" s="919">
        <v>1.2845</v>
      </c>
      <c r="M14" s="919">
        <v>1.2845</v>
      </c>
    </row>
    <row r="15" spans="1:14">
      <c r="A15" s="910">
        <v>1.3</v>
      </c>
      <c r="B15" s="919">
        <v>1.3622000000000001</v>
      </c>
      <c r="C15" s="919">
        <v>1.3622000000000001</v>
      </c>
      <c r="D15" s="919">
        <v>1.2775000000000001</v>
      </c>
      <c r="E15" s="919">
        <v>1.2775000000000001</v>
      </c>
      <c r="F15" s="919">
        <v>1.2775000000000001</v>
      </c>
      <c r="G15" s="919">
        <v>1.2775000000000001</v>
      </c>
      <c r="H15" s="919">
        <v>1.2775000000000001</v>
      </c>
      <c r="I15" s="919">
        <v>1.2332000000000001</v>
      </c>
      <c r="J15" s="919">
        <v>1.2332000000000001</v>
      </c>
      <c r="K15" s="919">
        <v>1.2332000000000001</v>
      </c>
      <c r="L15" s="919">
        <v>1.2332000000000001</v>
      </c>
      <c r="M15" s="919">
        <v>1.2332000000000001</v>
      </c>
    </row>
    <row r="16" spans="1:14">
      <c r="A16" s="910">
        <v>1.4</v>
      </c>
      <c r="B16" s="919">
        <v>1.3262</v>
      </c>
      <c r="C16" s="919">
        <v>1.3262</v>
      </c>
      <c r="D16" s="919">
        <v>1.2402</v>
      </c>
      <c r="E16" s="919">
        <v>1.2402</v>
      </c>
      <c r="F16" s="919">
        <v>1.2402</v>
      </c>
      <c r="G16" s="919">
        <v>1.2402</v>
      </c>
      <c r="H16" s="919">
        <v>1.2402</v>
      </c>
      <c r="I16" s="919">
        <v>1.1881999999999999</v>
      </c>
      <c r="J16" s="919">
        <v>1.1881999999999999</v>
      </c>
      <c r="K16" s="919">
        <v>1.1881999999999999</v>
      </c>
      <c r="L16" s="919">
        <v>1.1881999999999999</v>
      </c>
      <c r="M16" s="919">
        <v>1.1881999999999999</v>
      </c>
      <c r="N16" s="920"/>
    </row>
    <row r="17" spans="1:14">
      <c r="A17" s="910">
        <v>1.5</v>
      </c>
      <c r="B17" s="919">
        <v>1.2948</v>
      </c>
      <c r="C17" s="919">
        <v>1.2948</v>
      </c>
      <c r="D17" s="919">
        <v>1.2075</v>
      </c>
      <c r="E17" s="919">
        <v>1.2075</v>
      </c>
      <c r="F17" s="919">
        <v>1.2075</v>
      </c>
      <c r="G17" s="919">
        <v>1.2075</v>
      </c>
      <c r="H17" s="919">
        <v>1.2075</v>
      </c>
      <c r="I17" s="919">
        <v>1.1486000000000001</v>
      </c>
      <c r="J17" s="919">
        <v>1.1486000000000001</v>
      </c>
      <c r="K17" s="919">
        <v>1.1486000000000001</v>
      </c>
      <c r="L17" s="919">
        <v>1.1486000000000001</v>
      </c>
      <c r="M17" s="919">
        <v>1.1486000000000001</v>
      </c>
      <c r="N17" s="920"/>
    </row>
    <row r="18" spans="1:14">
      <c r="A18" s="910">
        <v>1.6</v>
      </c>
      <c r="B18" s="919">
        <v>1.2673000000000001</v>
      </c>
      <c r="C18" s="919">
        <v>1.2673000000000001</v>
      </c>
      <c r="D18" s="919">
        <v>1.1789000000000001</v>
      </c>
      <c r="E18" s="919">
        <v>1.1789000000000001</v>
      </c>
      <c r="F18" s="919">
        <v>1.1789000000000001</v>
      </c>
      <c r="G18" s="919">
        <v>1.1789000000000001</v>
      </c>
      <c r="H18" s="919">
        <v>1.1789000000000001</v>
      </c>
      <c r="I18" s="919">
        <v>1.1134999999999999</v>
      </c>
      <c r="J18" s="919">
        <v>1.1134999999999999</v>
      </c>
      <c r="K18" s="919">
        <v>1.1134999999999999</v>
      </c>
      <c r="L18" s="919">
        <v>1.1134999999999999</v>
      </c>
      <c r="M18" s="919">
        <v>1.1134999999999999</v>
      </c>
    </row>
    <row r="19" spans="1:14">
      <c r="A19" s="910">
        <v>1.7</v>
      </c>
      <c r="B19" s="919">
        <v>1.2428999999999999</v>
      </c>
      <c r="C19" s="919">
        <v>1.2428999999999999</v>
      </c>
      <c r="D19" s="919">
        <v>1.1534</v>
      </c>
      <c r="E19" s="919">
        <v>1.1534</v>
      </c>
      <c r="F19" s="919">
        <v>1.1534</v>
      </c>
      <c r="G19" s="919">
        <v>1.1534</v>
      </c>
      <c r="H19" s="919">
        <v>1.1534</v>
      </c>
      <c r="I19" s="919">
        <v>1.0820000000000001</v>
      </c>
      <c r="J19" s="919">
        <v>1.0820000000000001</v>
      </c>
      <c r="K19" s="919">
        <v>1.0820000000000001</v>
      </c>
      <c r="L19" s="919">
        <v>1.0820000000000001</v>
      </c>
      <c r="M19" s="919">
        <v>1.0820000000000001</v>
      </c>
    </row>
    <row r="20" spans="1:14">
      <c r="A20" s="910">
        <v>1.8</v>
      </c>
      <c r="B20" s="919">
        <v>1.2206999999999999</v>
      </c>
      <c r="C20" s="919">
        <v>1.2206999999999999</v>
      </c>
      <c r="D20" s="919">
        <v>1.1304000000000001</v>
      </c>
      <c r="E20" s="919">
        <v>1.1304000000000001</v>
      </c>
      <c r="F20" s="919">
        <v>1.1304000000000001</v>
      </c>
      <c r="G20" s="919">
        <v>1.1304000000000001</v>
      </c>
      <c r="H20" s="919">
        <v>1.1304000000000001</v>
      </c>
      <c r="I20" s="919">
        <v>1.0531999999999999</v>
      </c>
      <c r="J20" s="919">
        <v>1.0531999999999999</v>
      </c>
      <c r="K20" s="919">
        <v>1.0531999999999999</v>
      </c>
      <c r="L20" s="919">
        <v>1.0531999999999999</v>
      </c>
      <c r="M20" s="919">
        <v>1.0531999999999999</v>
      </c>
    </row>
    <row r="21" spans="1:14">
      <c r="A21" s="910">
        <v>1.9</v>
      </c>
      <c r="B21" s="919">
        <v>1.2</v>
      </c>
      <c r="C21" s="919">
        <v>1.2</v>
      </c>
      <c r="D21" s="919">
        <v>1.1089</v>
      </c>
      <c r="E21" s="919">
        <v>1.1089</v>
      </c>
      <c r="F21" s="919">
        <v>1.1089</v>
      </c>
      <c r="G21" s="919">
        <v>1.1089</v>
      </c>
      <c r="H21" s="919">
        <v>1.1089</v>
      </c>
      <c r="I21" s="919">
        <v>1.0261</v>
      </c>
      <c r="J21" s="919">
        <v>1.0261</v>
      </c>
      <c r="K21" s="919">
        <v>1.0261</v>
      </c>
      <c r="L21" s="919">
        <v>1.0261</v>
      </c>
      <c r="M21" s="919">
        <v>1.0261</v>
      </c>
    </row>
    <row r="22" spans="1:14">
      <c r="A22" s="910">
        <v>2</v>
      </c>
      <c r="B22" s="919">
        <v>1.1800999999999999</v>
      </c>
      <c r="C22" s="919">
        <v>1.1800999999999999</v>
      </c>
      <c r="D22" s="919">
        <v>1.0883</v>
      </c>
      <c r="E22" s="919">
        <v>1.0883</v>
      </c>
      <c r="F22" s="919">
        <v>1.0883</v>
      </c>
      <c r="G22" s="919">
        <v>1.0883</v>
      </c>
      <c r="H22" s="919">
        <v>1.0883</v>
      </c>
      <c r="I22" s="919">
        <v>1</v>
      </c>
      <c r="J22" s="919">
        <v>1</v>
      </c>
      <c r="K22" s="919">
        <v>1</v>
      </c>
      <c r="L22" s="919">
        <v>1</v>
      </c>
      <c r="M22" s="919">
        <v>1</v>
      </c>
    </row>
    <row r="23" spans="1:14">
      <c r="A23" s="934">
        <v>2.1</v>
      </c>
      <c r="B23" s="919">
        <v>1.1616</v>
      </c>
      <c r="C23" s="919">
        <v>1.1616</v>
      </c>
      <c r="D23" s="919">
        <v>1.0685</v>
      </c>
      <c r="E23" s="919">
        <v>1.0685</v>
      </c>
      <c r="F23" s="919">
        <v>1.0685</v>
      </c>
      <c r="G23" s="919">
        <v>1.0685</v>
      </c>
      <c r="H23" s="919">
        <v>1.0685</v>
      </c>
      <c r="I23" s="919">
        <v>0.97550000000000003</v>
      </c>
      <c r="J23" s="919">
        <v>0.97550000000000003</v>
      </c>
      <c r="K23" s="919">
        <v>0.97550000000000003</v>
      </c>
      <c r="L23" s="919">
        <v>0.97550000000000003</v>
      </c>
      <c r="M23" s="919">
        <v>0.97550000000000003</v>
      </c>
    </row>
    <row r="24" spans="1:14">
      <c r="A24" s="934">
        <v>2.2000000000000002</v>
      </c>
      <c r="B24" s="919">
        <v>1.1440999999999999</v>
      </c>
      <c r="C24" s="919">
        <v>1.1440999999999999</v>
      </c>
      <c r="D24" s="919">
        <v>1.0497000000000001</v>
      </c>
      <c r="E24" s="919">
        <v>1.0497000000000001</v>
      </c>
      <c r="F24" s="919">
        <v>1.0497000000000001</v>
      </c>
      <c r="G24" s="919">
        <v>1.0497000000000001</v>
      </c>
      <c r="H24" s="919">
        <v>1.0497000000000001</v>
      </c>
      <c r="I24" s="919">
        <v>0.95230000000000004</v>
      </c>
      <c r="J24" s="919">
        <v>0.95230000000000004</v>
      </c>
      <c r="K24" s="919">
        <v>0.95230000000000004</v>
      </c>
      <c r="L24" s="919">
        <v>0.95230000000000004</v>
      </c>
      <c r="M24" s="919">
        <v>0.95230000000000004</v>
      </c>
    </row>
    <row r="25" spans="1:14">
      <c r="A25" s="934">
        <v>2.2999999999999998</v>
      </c>
      <c r="B25" s="919">
        <v>1.1275999999999999</v>
      </c>
      <c r="C25" s="919">
        <v>1.1275999999999999</v>
      </c>
      <c r="D25" s="919">
        <v>1.032</v>
      </c>
      <c r="E25" s="919">
        <v>1.032</v>
      </c>
      <c r="F25" s="919">
        <v>1.032</v>
      </c>
      <c r="G25" s="919">
        <v>1.032</v>
      </c>
      <c r="H25" s="919">
        <v>1.032</v>
      </c>
      <c r="I25" s="919">
        <v>0.9304</v>
      </c>
      <c r="J25" s="919">
        <v>0.9304</v>
      </c>
      <c r="K25" s="919">
        <v>0.9304</v>
      </c>
      <c r="L25" s="919">
        <v>0.9304</v>
      </c>
      <c r="M25" s="919">
        <v>0.9304</v>
      </c>
    </row>
    <row r="26" spans="1:14">
      <c r="A26" s="934">
        <v>2.4</v>
      </c>
      <c r="B26" s="919">
        <v>1.1121000000000001</v>
      </c>
      <c r="C26" s="919">
        <v>1.1121000000000001</v>
      </c>
      <c r="D26" s="919">
        <v>1.0155000000000001</v>
      </c>
      <c r="E26" s="919">
        <v>1.0155000000000001</v>
      </c>
      <c r="F26" s="919">
        <v>1.0155000000000001</v>
      </c>
      <c r="G26" s="919">
        <v>1.0155000000000001</v>
      </c>
      <c r="H26" s="919">
        <v>1.0155000000000001</v>
      </c>
      <c r="I26" s="919">
        <v>0.91</v>
      </c>
      <c r="J26" s="919">
        <v>0.91</v>
      </c>
      <c r="K26" s="919">
        <v>0.91</v>
      </c>
      <c r="L26" s="919">
        <v>0.91</v>
      </c>
      <c r="M26" s="919">
        <v>0.91</v>
      </c>
    </row>
    <row r="27" spans="1:14">
      <c r="A27" s="934">
        <v>2.5</v>
      </c>
      <c r="B27" s="919">
        <v>1.0975999999999999</v>
      </c>
      <c r="C27" s="919">
        <v>1.0975999999999999</v>
      </c>
      <c r="D27" s="919">
        <v>1</v>
      </c>
      <c r="E27" s="919">
        <v>1</v>
      </c>
      <c r="F27" s="919">
        <v>1</v>
      </c>
      <c r="G27" s="919">
        <v>1</v>
      </c>
      <c r="H27" s="919">
        <v>1</v>
      </c>
      <c r="I27" s="919">
        <v>0.89080000000000004</v>
      </c>
      <c r="J27" s="919">
        <v>0.89080000000000004</v>
      </c>
      <c r="K27" s="919">
        <v>0.89080000000000004</v>
      </c>
      <c r="L27" s="919">
        <v>0.89080000000000004</v>
      </c>
      <c r="M27" s="919">
        <v>0.89080000000000004</v>
      </c>
    </row>
    <row r="28" spans="1:14">
      <c r="A28" s="934">
        <v>2.6</v>
      </c>
      <c r="B28" s="919">
        <v>1.0841000000000001</v>
      </c>
      <c r="C28" s="919">
        <v>1.0841000000000001</v>
      </c>
      <c r="D28" s="919">
        <v>0.98619999999999997</v>
      </c>
      <c r="E28" s="919">
        <v>0.98619999999999997</v>
      </c>
      <c r="F28" s="919">
        <v>0.98619999999999997</v>
      </c>
      <c r="G28" s="919">
        <v>0.98619999999999997</v>
      </c>
      <c r="H28" s="919">
        <v>0.98619999999999997</v>
      </c>
      <c r="I28" s="919">
        <v>0.873</v>
      </c>
      <c r="J28" s="919">
        <v>0.873</v>
      </c>
      <c r="K28" s="919">
        <v>0.873</v>
      </c>
      <c r="L28" s="919">
        <v>0.873</v>
      </c>
      <c r="M28" s="919">
        <v>0.873</v>
      </c>
    </row>
    <row r="29" spans="1:14">
      <c r="A29" s="934">
        <v>2.7</v>
      </c>
      <c r="B29" s="919">
        <v>1.0716000000000001</v>
      </c>
      <c r="C29" s="919">
        <v>1.0716000000000001</v>
      </c>
      <c r="D29" s="919">
        <v>0.97330000000000005</v>
      </c>
      <c r="E29" s="919">
        <v>0.97330000000000005</v>
      </c>
      <c r="F29" s="919">
        <v>0.97330000000000005</v>
      </c>
      <c r="G29" s="919">
        <v>0.97330000000000005</v>
      </c>
      <c r="H29" s="919">
        <v>0.97330000000000005</v>
      </c>
      <c r="I29" s="919">
        <v>0.85670000000000002</v>
      </c>
      <c r="J29" s="919">
        <v>0.85670000000000002</v>
      </c>
      <c r="K29" s="919">
        <v>0.85670000000000002</v>
      </c>
      <c r="L29" s="919">
        <v>0.85670000000000002</v>
      </c>
      <c r="M29" s="919">
        <v>0.85670000000000002</v>
      </c>
    </row>
    <row r="30" spans="1:14">
      <c r="A30" s="934">
        <v>2.8</v>
      </c>
      <c r="B30" s="919">
        <v>1.0602</v>
      </c>
      <c r="C30" s="919">
        <v>1.0602</v>
      </c>
      <c r="D30" s="919">
        <v>0.96160000000000001</v>
      </c>
      <c r="E30" s="919">
        <v>0.96160000000000001</v>
      </c>
      <c r="F30" s="919">
        <v>0.96160000000000001</v>
      </c>
      <c r="G30" s="919">
        <v>0.96160000000000001</v>
      </c>
      <c r="H30" s="919">
        <v>0.96160000000000001</v>
      </c>
      <c r="I30" s="919">
        <v>0.8417</v>
      </c>
      <c r="J30" s="919">
        <v>0.8417</v>
      </c>
      <c r="K30" s="919">
        <v>0.8417</v>
      </c>
      <c r="L30" s="919">
        <v>0.8417</v>
      </c>
      <c r="M30" s="919">
        <v>0.8417</v>
      </c>
    </row>
    <row r="31" spans="1:14">
      <c r="A31" s="934">
        <v>2.9</v>
      </c>
      <c r="B31" s="919">
        <v>1.0497000000000001</v>
      </c>
      <c r="C31" s="919">
        <v>1.0497000000000001</v>
      </c>
      <c r="D31" s="919">
        <v>0.95089999999999997</v>
      </c>
      <c r="E31" s="919">
        <v>0.95089999999999997</v>
      </c>
      <c r="F31" s="919">
        <v>0.95089999999999997</v>
      </c>
      <c r="G31" s="919">
        <v>0.95089999999999997</v>
      </c>
      <c r="H31" s="919">
        <v>0.95089999999999997</v>
      </c>
      <c r="I31" s="919">
        <v>0.82809999999999995</v>
      </c>
      <c r="J31" s="919">
        <v>0.82809999999999995</v>
      </c>
      <c r="K31" s="919">
        <v>0.82809999999999995</v>
      </c>
      <c r="L31" s="919">
        <v>0.82809999999999995</v>
      </c>
      <c r="M31" s="919">
        <v>0.82809999999999995</v>
      </c>
    </row>
    <row r="32" spans="1:14">
      <c r="A32" s="934">
        <v>3</v>
      </c>
      <c r="B32" s="919">
        <v>1.0401</v>
      </c>
      <c r="C32" s="919">
        <v>1.0401</v>
      </c>
      <c r="D32" s="919">
        <v>0.94089999999999996</v>
      </c>
      <c r="E32" s="919">
        <v>0.94089999999999996</v>
      </c>
      <c r="F32" s="919">
        <v>0.94089999999999996</v>
      </c>
      <c r="G32" s="919">
        <v>0.94089999999999996</v>
      </c>
      <c r="H32" s="919">
        <v>0.94089999999999996</v>
      </c>
      <c r="I32" s="919">
        <v>0.81579999999999997</v>
      </c>
      <c r="J32" s="919">
        <v>0.81579999999999997</v>
      </c>
      <c r="K32" s="919">
        <v>0.81579999999999997</v>
      </c>
      <c r="L32" s="919">
        <v>0.81579999999999997</v>
      </c>
      <c r="M32" s="919">
        <v>0.81579999999999997</v>
      </c>
    </row>
    <row r="33" spans="1:13">
      <c r="A33" s="934">
        <v>3.1</v>
      </c>
      <c r="B33" s="919">
        <v>1.0314000000000001</v>
      </c>
      <c r="C33" s="919">
        <v>1.0314000000000001</v>
      </c>
      <c r="D33" s="919">
        <v>0.93169999999999997</v>
      </c>
      <c r="E33" s="919">
        <v>0.93169999999999997</v>
      </c>
      <c r="F33" s="919">
        <v>0.93169999999999997</v>
      </c>
      <c r="G33" s="919">
        <v>0.93169999999999997</v>
      </c>
      <c r="H33" s="919">
        <v>0.93169999999999997</v>
      </c>
      <c r="I33" s="919">
        <v>0.80410000000000004</v>
      </c>
      <c r="J33" s="919">
        <v>0.80410000000000004</v>
      </c>
      <c r="K33" s="919">
        <v>0.80410000000000004</v>
      </c>
      <c r="L33" s="919">
        <v>0.80410000000000004</v>
      </c>
      <c r="M33" s="919">
        <v>0.80410000000000004</v>
      </c>
    </row>
    <row r="34" spans="1:13">
      <c r="A34" s="934">
        <v>3.2</v>
      </c>
      <c r="B34" s="919">
        <v>1.0229999999999999</v>
      </c>
      <c r="C34" s="919">
        <v>1.0229999999999999</v>
      </c>
      <c r="D34" s="919">
        <v>0.92279999999999995</v>
      </c>
      <c r="E34" s="919">
        <v>0.92279999999999995</v>
      </c>
      <c r="F34" s="919">
        <v>0.92279999999999995</v>
      </c>
      <c r="G34" s="919">
        <v>0.92279999999999995</v>
      </c>
      <c r="H34" s="919">
        <v>0.92279999999999995</v>
      </c>
      <c r="I34" s="919">
        <v>0.79300000000000004</v>
      </c>
      <c r="J34" s="919">
        <v>0.79300000000000004</v>
      </c>
      <c r="K34" s="919">
        <v>0.79300000000000004</v>
      </c>
      <c r="L34" s="919">
        <v>0.79300000000000004</v>
      </c>
      <c r="M34" s="919">
        <v>0.79300000000000004</v>
      </c>
    </row>
    <row r="35" spans="1:13">
      <c r="A35" s="934">
        <v>3.3</v>
      </c>
      <c r="B35" s="919">
        <v>1.0149999999999999</v>
      </c>
      <c r="C35" s="919">
        <v>1.0149999999999999</v>
      </c>
      <c r="D35" s="919">
        <v>0.91439999999999999</v>
      </c>
      <c r="E35" s="919">
        <v>0.91439999999999999</v>
      </c>
      <c r="F35" s="919">
        <v>0.91439999999999999</v>
      </c>
      <c r="G35" s="919">
        <v>0.91439999999999999</v>
      </c>
      <c r="H35" s="919">
        <v>0.91439999999999999</v>
      </c>
      <c r="I35" s="919">
        <v>0.78220000000000001</v>
      </c>
      <c r="J35" s="919">
        <v>0.78220000000000001</v>
      </c>
      <c r="K35" s="919">
        <v>0.78220000000000001</v>
      </c>
      <c r="L35" s="919">
        <v>0.78220000000000001</v>
      </c>
      <c r="M35" s="919">
        <v>0.78220000000000001</v>
      </c>
    </row>
    <row r="36" spans="1:13">
      <c r="A36" s="934">
        <v>3.4</v>
      </c>
      <c r="B36" s="919">
        <v>1.0073000000000001</v>
      </c>
      <c r="C36" s="919">
        <v>1.0073000000000001</v>
      </c>
      <c r="D36" s="919">
        <v>0.90629999999999999</v>
      </c>
      <c r="E36" s="919">
        <v>0.90629999999999999</v>
      </c>
      <c r="F36" s="919">
        <v>0.90629999999999999</v>
      </c>
      <c r="G36" s="919">
        <v>0.90629999999999999</v>
      </c>
      <c r="H36" s="919">
        <v>0.90629999999999999</v>
      </c>
      <c r="I36" s="919">
        <v>0.77210000000000001</v>
      </c>
      <c r="J36" s="919">
        <v>0.77210000000000001</v>
      </c>
      <c r="K36" s="919">
        <v>0.77210000000000001</v>
      </c>
      <c r="L36" s="919">
        <v>0.77210000000000001</v>
      </c>
      <c r="M36" s="919">
        <v>0.77210000000000001</v>
      </c>
    </row>
    <row r="37" spans="1:13">
      <c r="A37" s="934">
        <v>3.5</v>
      </c>
      <c r="B37" s="919">
        <v>1</v>
      </c>
      <c r="C37" s="919">
        <v>1</v>
      </c>
      <c r="D37" s="919">
        <v>0.89870000000000005</v>
      </c>
      <c r="E37" s="919">
        <v>0.89870000000000005</v>
      </c>
      <c r="F37" s="919">
        <v>0.89870000000000005</v>
      </c>
      <c r="G37" s="919">
        <v>0.89870000000000005</v>
      </c>
      <c r="H37" s="919">
        <v>0.89870000000000005</v>
      </c>
      <c r="I37" s="919">
        <v>0.76239999999999997</v>
      </c>
      <c r="J37" s="919">
        <v>0.76239999999999997</v>
      </c>
      <c r="K37" s="919">
        <v>0.76239999999999997</v>
      </c>
      <c r="L37" s="919">
        <v>0.76239999999999997</v>
      </c>
      <c r="M37" s="919">
        <v>0.76239999999999997</v>
      </c>
    </row>
    <row r="38" spans="1:13">
      <c r="A38" s="934">
        <v>3.6</v>
      </c>
      <c r="B38" s="919">
        <v>0.99329999999999996</v>
      </c>
      <c r="C38" s="919">
        <v>0.99329999999999996</v>
      </c>
      <c r="D38" s="919">
        <v>0.89139999999999997</v>
      </c>
      <c r="E38" s="919">
        <v>0.89139999999999997</v>
      </c>
      <c r="F38" s="919">
        <v>0.89139999999999997</v>
      </c>
      <c r="G38" s="919">
        <v>0.89139999999999997</v>
      </c>
      <c r="H38" s="919">
        <v>0.89139999999999997</v>
      </c>
      <c r="I38" s="919">
        <v>0.75319999999999998</v>
      </c>
      <c r="J38" s="919">
        <v>0.75319999999999998</v>
      </c>
      <c r="K38" s="919">
        <v>0.75319999999999998</v>
      </c>
      <c r="L38" s="919">
        <v>0.75319999999999998</v>
      </c>
      <c r="M38" s="919">
        <v>0.75319999999999998</v>
      </c>
    </row>
    <row r="39" spans="1:13">
      <c r="A39" s="934">
        <v>3.7</v>
      </c>
      <c r="B39" s="919">
        <v>0.9869</v>
      </c>
      <c r="C39" s="919">
        <v>0.9869</v>
      </c>
      <c r="D39" s="919">
        <v>0.88449999999999995</v>
      </c>
      <c r="E39" s="919">
        <v>0.88449999999999995</v>
      </c>
      <c r="F39" s="919">
        <v>0.88449999999999995</v>
      </c>
      <c r="G39" s="919">
        <v>0.88449999999999995</v>
      </c>
      <c r="H39" s="919">
        <v>0.88449999999999995</v>
      </c>
      <c r="I39" s="919">
        <v>0.74460000000000004</v>
      </c>
      <c r="J39" s="919">
        <v>0.74460000000000004</v>
      </c>
      <c r="K39" s="919">
        <v>0.74460000000000004</v>
      </c>
      <c r="L39" s="919">
        <v>0.74460000000000004</v>
      </c>
      <c r="M39" s="919">
        <v>0.74460000000000004</v>
      </c>
    </row>
    <row r="40" spans="1:13">
      <c r="A40" s="934">
        <v>3.8</v>
      </c>
      <c r="B40" s="919">
        <v>0.98080000000000001</v>
      </c>
      <c r="C40" s="919">
        <v>0.98080000000000001</v>
      </c>
      <c r="D40" s="919">
        <v>0.87809999999999999</v>
      </c>
      <c r="E40" s="919">
        <v>0.87809999999999999</v>
      </c>
      <c r="F40" s="919">
        <v>0.87809999999999999</v>
      </c>
      <c r="G40" s="919">
        <v>0.87809999999999999</v>
      </c>
      <c r="H40" s="919">
        <v>0.87809999999999999</v>
      </c>
      <c r="I40" s="919">
        <v>0.73640000000000005</v>
      </c>
      <c r="J40" s="919">
        <v>0.73640000000000005</v>
      </c>
      <c r="K40" s="919">
        <v>0.73640000000000005</v>
      </c>
      <c r="L40" s="919">
        <v>0.73640000000000005</v>
      </c>
      <c r="M40" s="919">
        <v>0.73640000000000005</v>
      </c>
    </row>
    <row r="41" spans="1:13">
      <c r="A41" s="934">
        <v>3.9</v>
      </c>
      <c r="B41" s="919">
        <v>0.97509999999999997</v>
      </c>
      <c r="C41" s="919">
        <v>0.97509999999999997</v>
      </c>
      <c r="D41" s="919">
        <v>0.87209999999999999</v>
      </c>
      <c r="E41" s="919">
        <v>0.87209999999999999</v>
      </c>
      <c r="F41" s="919">
        <v>0.87209999999999999</v>
      </c>
      <c r="G41" s="919">
        <v>0.87209999999999999</v>
      </c>
      <c r="H41" s="919">
        <v>0.87209999999999999</v>
      </c>
      <c r="I41" s="919">
        <v>0.7288</v>
      </c>
      <c r="J41" s="919">
        <v>0.7288</v>
      </c>
      <c r="K41" s="919">
        <v>0.7288</v>
      </c>
      <c r="L41" s="919">
        <v>0.7288</v>
      </c>
      <c r="M41" s="919">
        <v>0.7288</v>
      </c>
    </row>
    <row r="42" spans="1:13">
      <c r="A42" s="934">
        <v>4</v>
      </c>
      <c r="B42" s="919">
        <v>0.96989999999999998</v>
      </c>
      <c r="C42" s="919">
        <v>0.96989999999999998</v>
      </c>
      <c r="D42" s="919">
        <v>0.86650000000000005</v>
      </c>
      <c r="E42" s="919">
        <v>0.86650000000000005</v>
      </c>
      <c r="F42" s="919">
        <v>0.86650000000000005</v>
      </c>
      <c r="G42" s="919">
        <v>0.86650000000000005</v>
      </c>
      <c r="H42" s="919">
        <v>0.86650000000000005</v>
      </c>
      <c r="I42" s="919">
        <v>0.7218</v>
      </c>
      <c r="J42" s="919">
        <v>0.7218</v>
      </c>
      <c r="K42" s="919">
        <v>0.7218</v>
      </c>
      <c r="L42" s="919">
        <v>0.7218</v>
      </c>
      <c r="M42" s="919">
        <v>0.7218</v>
      </c>
    </row>
    <row r="43" spans="1:13">
      <c r="A43" s="934">
        <v>4.0999999999999996</v>
      </c>
      <c r="B43" s="919">
        <v>0.96479999999999999</v>
      </c>
      <c r="C43" s="919">
        <v>0.96479999999999999</v>
      </c>
      <c r="D43" s="919">
        <v>0.86109999999999998</v>
      </c>
      <c r="E43" s="919">
        <v>0.86109999999999998</v>
      </c>
      <c r="F43" s="919">
        <v>0.86109999999999998</v>
      </c>
      <c r="G43" s="919">
        <v>0.86109999999999998</v>
      </c>
      <c r="H43" s="919">
        <v>0.86109999999999998</v>
      </c>
      <c r="I43" s="919">
        <v>0.71499999999999997</v>
      </c>
      <c r="J43" s="919">
        <v>0.71499999999999997</v>
      </c>
      <c r="K43" s="919">
        <v>0.71499999999999997</v>
      </c>
      <c r="L43" s="919">
        <v>0.71499999999999997</v>
      </c>
      <c r="M43" s="919">
        <v>0.71499999999999997</v>
      </c>
    </row>
    <row r="44" spans="1:13">
      <c r="A44" s="934">
        <v>4.2</v>
      </c>
      <c r="B44" s="919">
        <v>0.96</v>
      </c>
      <c r="C44" s="919">
        <v>0.96</v>
      </c>
      <c r="D44" s="919">
        <v>0.85599999999999998</v>
      </c>
      <c r="E44" s="919">
        <v>0.85599999999999998</v>
      </c>
      <c r="F44" s="919">
        <v>0.85599999999999998</v>
      </c>
      <c r="G44" s="919">
        <v>0.85599999999999998</v>
      </c>
      <c r="H44" s="919">
        <v>0.85599999999999998</v>
      </c>
      <c r="I44" s="919">
        <v>0.70840000000000003</v>
      </c>
      <c r="J44" s="919">
        <v>0.70840000000000003</v>
      </c>
      <c r="K44" s="919">
        <v>0.70840000000000003</v>
      </c>
      <c r="L44" s="919">
        <v>0.70840000000000003</v>
      </c>
      <c r="M44" s="919">
        <v>0.70840000000000003</v>
      </c>
    </row>
    <row r="45" spans="1:13">
      <c r="A45" s="934">
        <v>4.3</v>
      </c>
      <c r="B45" s="919">
        <v>0.95530000000000004</v>
      </c>
      <c r="C45" s="919">
        <v>0.95530000000000004</v>
      </c>
      <c r="D45" s="919">
        <v>0.85099999999999998</v>
      </c>
      <c r="E45" s="919">
        <v>0.85099999999999998</v>
      </c>
      <c r="F45" s="919">
        <v>0.85099999999999998</v>
      </c>
      <c r="G45" s="919">
        <v>0.85099999999999998</v>
      </c>
      <c r="H45" s="919">
        <v>0.85099999999999998</v>
      </c>
      <c r="I45" s="919">
        <v>0.70199999999999996</v>
      </c>
      <c r="J45" s="919">
        <v>0.70199999999999996</v>
      </c>
      <c r="K45" s="919">
        <v>0.70199999999999996</v>
      </c>
      <c r="L45" s="919">
        <v>0.70199999999999996</v>
      </c>
      <c r="M45" s="919">
        <v>0.70199999999999996</v>
      </c>
    </row>
    <row r="46" spans="1:13">
      <c r="A46" s="934">
        <v>4.4000000000000004</v>
      </c>
      <c r="B46" s="919">
        <v>0.95079999999999998</v>
      </c>
      <c r="C46" s="919">
        <v>0.95079999999999998</v>
      </c>
      <c r="D46" s="919">
        <v>0.84619999999999995</v>
      </c>
      <c r="E46" s="919">
        <v>0.84619999999999995</v>
      </c>
      <c r="F46" s="919">
        <v>0.84619999999999995</v>
      </c>
      <c r="G46" s="919">
        <v>0.84619999999999995</v>
      </c>
      <c r="H46" s="919">
        <v>0.84619999999999995</v>
      </c>
      <c r="I46" s="919">
        <v>0.69579999999999997</v>
      </c>
      <c r="J46" s="919">
        <v>0.69579999999999997</v>
      </c>
      <c r="K46" s="919">
        <v>0.69579999999999997</v>
      </c>
      <c r="L46" s="919">
        <v>0.69579999999999997</v>
      </c>
      <c r="M46" s="919">
        <v>0.69579999999999997</v>
      </c>
    </row>
    <row r="47" spans="1:13">
      <c r="A47" s="934">
        <v>4.5</v>
      </c>
      <c r="B47" s="919">
        <v>0.94640000000000002</v>
      </c>
      <c r="C47" s="919">
        <v>0.94640000000000002</v>
      </c>
      <c r="D47" s="919">
        <v>0.84150000000000003</v>
      </c>
      <c r="E47" s="919">
        <v>0.84150000000000003</v>
      </c>
      <c r="F47" s="919">
        <v>0.84150000000000003</v>
      </c>
      <c r="G47" s="919">
        <v>0.84150000000000003</v>
      </c>
      <c r="H47" s="919">
        <v>0.84150000000000003</v>
      </c>
      <c r="I47" s="919">
        <v>0.68989999999999996</v>
      </c>
      <c r="J47" s="919">
        <v>0.68989999999999996</v>
      </c>
      <c r="K47" s="919">
        <v>0.68989999999999996</v>
      </c>
      <c r="L47" s="919">
        <v>0.68989999999999996</v>
      </c>
      <c r="M47" s="919">
        <v>0.68989999999999996</v>
      </c>
    </row>
    <row r="48" spans="1:13">
      <c r="A48" s="934">
        <v>4.5999999999999996</v>
      </c>
      <c r="B48" s="919">
        <v>0.94230000000000003</v>
      </c>
      <c r="C48" s="919">
        <v>0.94230000000000003</v>
      </c>
      <c r="D48" s="919">
        <v>0.83709999999999996</v>
      </c>
      <c r="E48" s="919">
        <v>0.83709999999999996</v>
      </c>
      <c r="F48" s="919">
        <v>0.83709999999999996</v>
      </c>
      <c r="G48" s="919">
        <v>0.83709999999999996</v>
      </c>
      <c r="H48" s="919">
        <v>0.83709999999999996</v>
      </c>
      <c r="I48" s="919">
        <v>0.68430000000000002</v>
      </c>
      <c r="J48" s="919">
        <v>0.68430000000000002</v>
      </c>
      <c r="K48" s="919">
        <v>0.68430000000000002</v>
      </c>
      <c r="L48" s="919">
        <v>0.68430000000000002</v>
      </c>
      <c r="M48" s="919">
        <v>0.68430000000000002</v>
      </c>
    </row>
    <row r="49" spans="1:13">
      <c r="A49" s="934">
        <v>4.7</v>
      </c>
      <c r="B49" s="919">
        <v>0.93830000000000002</v>
      </c>
      <c r="C49" s="919">
        <v>0.93830000000000002</v>
      </c>
      <c r="D49" s="919">
        <v>0.83279999999999998</v>
      </c>
      <c r="E49" s="919">
        <v>0.83279999999999998</v>
      </c>
      <c r="F49" s="919">
        <v>0.83279999999999998</v>
      </c>
      <c r="G49" s="919">
        <v>0.83279999999999998</v>
      </c>
      <c r="H49" s="919">
        <v>0.83279999999999998</v>
      </c>
      <c r="I49" s="919">
        <v>0.67879999999999996</v>
      </c>
      <c r="J49" s="919">
        <v>0.67879999999999996</v>
      </c>
      <c r="K49" s="919">
        <v>0.67879999999999996</v>
      </c>
      <c r="L49" s="919">
        <v>0.67879999999999996</v>
      </c>
      <c r="M49" s="919">
        <v>0.67879999999999996</v>
      </c>
    </row>
    <row r="50" spans="1:13">
      <c r="A50" s="934">
        <v>4.8</v>
      </c>
      <c r="B50" s="919">
        <v>0.9345</v>
      </c>
      <c r="C50" s="919">
        <v>0.9345</v>
      </c>
      <c r="D50" s="919">
        <v>0.82869999999999999</v>
      </c>
      <c r="E50" s="919">
        <v>0.82869999999999999</v>
      </c>
      <c r="F50" s="919">
        <v>0.82869999999999999</v>
      </c>
      <c r="G50" s="919">
        <v>0.82869999999999999</v>
      </c>
      <c r="H50" s="919">
        <v>0.82869999999999999</v>
      </c>
      <c r="I50" s="919">
        <v>0.67359999999999998</v>
      </c>
      <c r="J50" s="919">
        <v>0.67359999999999998</v>
      </c>
      <c r="K50" s="919">
        <v>0.67359999999999998</v>
      </c>
      <c r="L50" s="919">
        <v>0.67359999999999998</v>
      </c>
      <c r="M50" s="919">
        <v>0.67359999999999998</v>
      </c>
    </row>
    <row r="51" spans="1:13">
      <c r="A51" s="934">
        <v>4.9000000000000004</v>
      </c>
      <c r="B51" s="919">
        <v>0.93079999999999996</v>
      </c>
      <c r="C51" s="919">
        <v>0.93079999999999996</v>
      </c>
      <c r="D51" s="919">
        <v>0.82479999999999998</v>
      </c>
      <c r="E51" s="919">
        <v>0.82479999999999998</v>
      </c>
      <c r="F51" s="919">
        <v>0.82479999999999998</v>
      </c>
      <c r="G51" s="919">
        <v>0.82479999999999998</v>
      </c>
      <c r="H51" s="919">
        <v>0.82479999999999998</v>
      </c>
      <c r="I51" s="919">
        <v>0.66849999999999998</v>
      </c>
      <c r="J51" s="919">
        <v>0.66849999999999998</v>
      </c>
      <c r="K51" s="919">
        <v>0.66849999999999998</v>
      </c>
      <c r="L51" s="919">
        <v>0.66849999999999998</v>
      </c>
      <c r="M51" s="919">
        <v>0.66849999999999998</v>
      </c>
    </row>
    <row r="52" spans="1:13">
      <c r="A52" s="934">
        <v>5</v>
      </c>
      <c r="B52" s="919">
        <v>0.9274</v>
      </c>
      <c r="C52" s="919">
        <v>0.9274</v>
      </c>
      <c r="D52" s="919">
        <v>0.82110000000000005</v>
      </c>
      <c r="E52" s="919">
        <v>0.82110000000000005</v>
      </c>
      <c r="F52" s="919">
        <v>0.82110000000000005</v>
      </c>
      <c r="G52" s="919">
        <v>0.82110000000000005</v>
      </c>
      <c r="H52" s="919">
        <v>0.82110000000000005</v>
      </c>
      <c r="I52" s="919">
        <v>0.66369999999999996</v>
      </c>
      <c r="J52" s="919">
        <v>0.66369999999999996</v>
      </c>
      <c r="K52" s="919">
        <v>0.66369999999999996</v>
      </c>
      <c r="L52" s="919">
        <v>0.66369999999999996</v>
      </c>
      <c r="M52" s="919">
        <v>0.66369999999999996</v>
      </c>
    </row>
    <row r="53" spans="1:13">
      <c r="A53" s="910">
        <v>5.0999999999999996</v>
      </c>
      <c r="B53" s="919">
        <v>0.92410000000000003</v>
      </c>
      <c r="C53" s="919">
        <v>0.92410000000000003</v>
      </c>
      <c r="D53" s="919">
        <v>0.8175</v>
      </c>
      <c r="E53" s="919">
        <v>0.8175</v>
      </c>
      <c r="F53" s="919">
        <v>0.8175</v>
      </c>
      <c r="G53" s="919">
        <v>0.8175</v>
      </c>
      <c r="H53" s="919">
        <v>0.8175</v>
      </c>
      <c r="I53" s="919">
        <v>0.65900000000000003</v>
      </c>
      <c r="J53" s="919">
        <v>0.65900000000000003</v>
      </c>
      <c r="K53" s="919">
        <v>0.65900000000000003</v>
      </c>
      <c r="L53" s="919">
        <v>0.65900000000000003</v>
      </c>
      <c r="M53" s="919">
        <v>0.65900000000000003</v>
      </c>
    </row>
    <row r="54" spans="1:13">
      <c r="A54" s="910">
        <v>5.2</v>
      </c>
      <c r="B54" s="919">
        <v>0.92090000000000005</v>
      </c>
      <c r="C54" s="919">
        <v>0.92090000000000005</v>
      </c>
      <c r="D54" s="919">
        <v>0.81399999999999995</v>
      </c>
      <c r="E54" s="919">
        <v>0.81399999999999995</v>
      </c>
      <c r="F54" s="919">
        <v>0.81399999999999995</v>
      </c>
      <c r="G54" s="919">
        <v>0.81399999999999995</v>
      </c>
      <c r="H54" s="919">
        <v>0.81399999999999995</v>
      </c>
      <c r="I54" s="919">
        <v>0.65449999999999997</v>
      </c>
      <c r="J54" s="919">
        <v>0.65449999999999997</v>
      </c>
      <c r="K54" s="919">
        <v>0.65449999999999997</v>
      </c>
      <c r="L54" s="919">
        <v>0.65449999999999997</v>
      </c>
      <c r="M54" s="919">
        <v>0.65449999999999997</v>
      </c>
    </row>
    <row r="55" spans="1:13">
      <c r="A55" s="910">
        <v>5.3</v>
      </c>
      <c r="B55" s="919">
        <v>0.91790000000000005</v>
      </c>
      <c r="C55" s="919">
        <v>0.91790000000000005</v>
      </c>
      <c r="D55" s="919">
        <v>0.81059999999999999</v>
      </c>
      <c r="E55" s="919">
        <v>0.81059999999999999</v>
      </c>
      <c r="F55" s="919">
        <v>0.81059999999999999</v>
      </c>
      <c r="G55" s="919">
        <v>0.81059999999999999</v>
      </c>
      <c r="H55" s="919">
        <v>0.81059999999999999</v>
      </c>
      <c r="I55" s="919">
        <v>0.6502</v>
      </c>
      <c r="J55" s="919">
        <v>0.6502</v>
      </c>
      <c r="K55" s="919">
        <v>0.6502</v>
      </c>
      <c r="L55" s="919">
        <v>0.6502</v>
      </c>
      <c r="M55" s="919">
        <v>0.6502</v>
      </c>
    </row>
    <row r="56" spans="1:13">
      <c r="A56" s="910">
        <v>5.4</v>
      </c>
      <c r="B56" s="919">
        <v>0.91490000000000005</v>
      </c>
      <c r="C56" s="919">
        <v>0.91490000000000005</v>
      </c>
      <c r="D56" s="919">
        <v>0.80740000000000001</v>
      </c>
      <c r="E56" s="919">
        <v>0.80740000000000001</v>
      </c>
      <c r="F56" s="919">
        <v>0.80740000000000001</v>
      </c>
      <c r="G56" s="919">
        <v>0.80740000000000001</v>
      </c>
      <c r="H56" s="919">
        <v>0.80740000000000001</v>
      </c>
      <c r="I56" s="919">
        <v>0.64590000000000003</v>
      </c>
      <c r="J56" s="919">
        <v>0.64590000000000003</v>
      </c>
      <c r="K56" s="919">
        <v>0.64590000000000003</v>
      </c>
      <c r="L56" s="919">
        <v>0.64590000000000003</v>
      </c>
      <c r="M56" s="919">
        <v>0.64590000000000003</v>
      </c>
    </row>
    <row r="57" spans="1:13">
      <c r="A57" s="910">
        <v>5.5</v>
      </c>
      <c r="B57" s="919">
        <v>0.91200000000000003</v>
      </c>
      <c r="C57" s="919">
        <v>0.91200000000000003</v>
      </c>
      <c r="D57" s="919">
        <v>0.80420000000000003</v>
      </c>
      <c r="E57" s="919">
        <v>0.80420000000000003</v>
      </c>
      <c r="F57" s="919">
        <v>0.80420000000000003</v>
      </c>
      <c r="G57" s="919">
        <v>0.80420000000000003</v>
      </c>
      <c r="H57" s="919">
        <v>0.80420000000000003</v>
      </c>
      <c r="I57" s="919">
        <v>0.64180000000000004</v>
      </c>
      <c r="J57" s="919">
        <v>0.64180000000000004</v>
      </c>
      <c r="K57" s="919">
        <v>0.64180000000000004</v>
      </c>
      <c r="L57" s="919">
        <v>0.64180000000000004</v>
      </c>
      <c r="M57" s="919">
        <v>0.64180000000000004</v>
      </c>
    </row>
    <row r="58" spans="1:13">
      <c r="A58" s="910">
        <v>5.6</v>
      </c>
      <c r="B58" s="919">
        <v>0.90910000000000002</v>
      </c>
      <c r="C58" s="919">
        <v>0.90910000000000002</v>
      </c>
      <c r="D58" s="919">
        <v>0.80120000000000002</v>
      </c>
      <c r="E58" s="919">
        <v>0.80120000000000002</v>
      </c>
      <c r="F58" s="919">
        <v>0.80120000000000002</v>
      </c>
      <c r="G58" s="919">
        <v>0.80120000000000002</v>
      </c>
      <c r="H58" s="919">
        <v>0.80120000000000002</v>
      </c>
      <c r="I58" s="919">
        <v>0.63790000000000002</v>
      </c>
      <c r="J58" s="919">
        <v>0.63790000000000002</v>
      </c>
      <c r="K58" s="919">
        <v>0.63790000000000002</v>
      </c>
      <c r="L58" s="919">
        <v>0.63790000000000002</v>
      </c>
      <c r="M58" s="919">
        <v>0.63790000000000002</v>
      </c>
    </row>
    <row r="59" spans="1:13">
      <c r="A59" s="934">
        <v>5.7</v>
      </c>
      <c r="B59" s="919">
        <v>0.90639999999999998</v>
      </c>
      <c r="C59" s="919">
        <v>0.90639999999999998</v>
      </c>
      <c r="D59" s="919">
        <v>0.79820000000000002</v>
      </c>
      <c r="E59" s="919">
        <v>0.79820000000000002</v>
      </c>
      <c r="F59" s="919">
        <v>0.79820000000000002</v>
      </c>
      <c r="G59" s="919">
        <v>0.79820000000000002</v>
      </c>
      <c r="H59" s="919">
        <v>0.79820000000000002</v>
      </c>
      <c r="I59" s="919">
        <v>0.6341</v>
      </c>
      <c r="J59" s="919">
        <v>0.6341</v>
      </c>
      <c r="K59" s="919">
        <v>0.6341</v>
      </c>
      <c r="L59" s="919">
        <v>0.6341</v>
      </c>
      <c r="M59" s="919">
        <v>0.6341</v>
      </c>
    </row>
    <row r="60" spans="1:13">
      <c r="A60" s="910">
        <v>5.8</v>
      </c>
      <c r="B60" s="919">
        <v>0.90380000000000005</v>
      </c>
      <c r="C60" s="919">
        <v>0.90380000000000005</v>
      </c>
      <c r="D60" s="919">
        <v>0.7954</v>
      </c>
      <c r="E60" s="919">
        <v>0.7954</v>
      </c>
      <c r="F60" s="919">
        <v>0.7954</v>
      </c>
      <c r="G60" s="919">
        <v>0.7954</v>
      </c>
      <c r="H60" s="919">
        <v>0.7954</v>
      </c>
      <c r="I60" s="919">
        <v>0.63039999999999996</v>
      </c>
      <c r="J60" s="919">
        <v>0.63039999999999996</v>
      </c>
      <c r="K60" s="919">
        <v>0.63039999999999996</v>
      </c>
      <c r="L60" s="919">
        <v>0.63039999999999996</v>
      </c>
      <c r="M60" s="919">
        <v>0.63039999999999996</v>
      </c>
    </row>
    <row r="61" spans="1:13">
      <c r="A61" s="910">
        <v>5.9</v>
      </c>
      <c r="B61" s="919">
        <v>0.90129999999999999</v>
      </c>
      <c r="C61" s="919">
        <v>0.90129999999999999</v>
      </c>
      <c r="D61" s="919">
        <v>0.79269999999999996</v>
      </c>
      <c r="E61" s="919">
        <v>0.79269999999999996</v>
      </c>
      <c r="F61" s="919">
        <v>0.79269999999999996</v>
      </c>
      <c r="G61" s="919">
        <v>0.79269999999999996</v>
      </c>
      <c r="H61" s="919">
        <v>0.79269999999999996</v>
      </c>
      <c r="I61" s="919">
        <v>0.62690000000000001</v>
      </c>
      <c r="J61" s="919">
        <v>0.62690000000000001</v>
      </c>
      <c r="K61" s="919">
        <v>0.62690000000000001</v>
      </c>
      <c r="L61" s="919">
        <v>0.62690000000000001</v>
      </c>
      <c r="M61" s="919">
        <v>0.62690000000000001</v>
      </c>
    </row>
    <row r="62" spans="1:13">
      <c r="A62" s="910">
        <v>6</v>
      </c>
      <c r="B62" s="919">
        <v>0.89890000000000003</v>
      </c>
      <c r="C62" s="919">
        <v>0.89890000000000003</v>
      </c>
      <c r="D62" s="919">
        <v>0.79020000000000001</v>
      </c>
      <c r="E62" s="919">
        <v>0.79020000000000001</v>
      </c>
      <c r="F62" s="919">
        <v>0.79020000000000001</v>
      </c>
      <c r="G62" s="919">
        <v>0.79020000000000001</v>
      </c>
      <c r="H62" s="919">
        <v>0.79020000000000001</v>
      </c>
      <c r="I62" s="919">
        <v>0.62350000000000005</v>
      </c>
      <c r="J62" s="919">
        <v>0.62350000000000005</v>
      </c>
      <c r="K62" s="919">
        <v>0.62350000000000005</v>
      </c>
      <c r="L62" s="919">
        <v>0.62350000000000005</v>
      </c>
      <c r="M62" s="919">
        <v>0.62350000000000005</v>
      </c>
    </row>
    <row r="63" spans="1:13">
      <c r="A63" s="910">
        <v>6.1</v>
      </c>
      <c r="B63" s="919">
        <v>0.89649999999999996</v>
      </c>
      <c r="C63" s="919">
        <v>0.89649999999999996</v>
      </c>
      <c r="D63" s="919">
        <v>0.78769999999999996</v>
      </c>
      <c r="E63" s="919">
        <v>0.78769999999999996</v>
      </c>
      <c r="F63" s="919">
        <v>0.78769999999999996</v>
      </c>
      <c r="G63" s="919">
        <v>0.78769999999999996</v>
      </c>
      <c r="H63" s="919">
        <v>0.78769999999999996</v>
      </c>
      <c r="I63" s="919">
        <v>0.62029999999999996</v>
      </c>
      <c r="J63" s="919">
        <v>0.62029999999999996</v>
      </c>
      <c r="K63" s="919">
        <v>0.62029999999999996</v>
      </c>
      <c r="L63" s="919">
        <v>0.62029999999999996</v>
      </c>
      <c r="M63" s="919">
        <v>0.62029999999999996</v>
      </c>
    </row>
    <row r="64" spans="1:13">
      <c r="A64" s="910">
        <v>6.2</v>
      </c>
      <c r="B64" s="919">
        <v>0.89429999999999998</v>
      </c>
      <c r="C64" s="919">
        <v>0.89429999999999998</v>
      </c>
      <c r="D64" s="919">
        <v>0.78520000000000001</v>
      </c>
      <c r="E64" s="919">
        <v>0.78520000000000001</v>
      </c>
      <c r="F64" s="919">
        <v>0.78520000000000001</v>
      </c>
      <c r="G64" s="919">
        <v>0.78520000000000001</v>
      </c>
      <c r="H64" s="919">
        <v>0.78520000000000001</v>
      </c>
      <c r="I64" s="919">
        <v>0.61719999999999997</v>
      </c>
      <c r="J64" s="919">
        <v>0.61719999999999997</v>
      </c>
      <c r="K64" s="919">
        <v>0.61719999999999997</v>
      </c>
      <c r="L64" s="919">
        <v>0.61719999999999997</v>
      </c>
      <c r="M64" s="919">
        <v>0.61719999999999997</v>
      </c>
    </row>
    <row r="65" spans="1:13">
      <c r="A65" s="910">
        <v>6.3</v>
      </c>
      <c r="B65" s="919">
        <v>0.89200000000000002</v>
      </c>
      <c r="C65" s="919">
        <v>0.89200000000000002</v>
      </c>
      <c r="D65" s="919">
        <v>0.78280000000000005</v>
      </c>
      <c r="E65" s="919">
        <v>0.78280000000000005</v>
      </c>
      <c r="F65" s="919">
        <v>0.78280000000000005</v>
      </c>
      <c r="G65" s="919">
        <v>0.78280000000000005</v>
      </c>
      <c r="H65" s="919">
        <v>0.78280000000000005</v>
      </c>
      <c r="I65" s="919">
        <v>0.61409999999999998</v>
      </c>
      <c r="J65" s="919">
        <v>0.61409999999999998</v>
      </c>
      <c r="K65" s="919">
        <v>0.61409999999999998</v>
      </c>
      <c r="L65" s="919">
        <v>0.61409999999999998</v>
      </c>
      <c r="M65" s="919">
        <v>0.61409999999999998</v>
      </c>
    </row>
    <row r="66" spans="1:13">
      <c r="A66" s="910">
        <v>6.4</v>
      </c>
      <c r="B66" s="919">
        <v>0.88990000000000002</v>
      </c>
      <c r="C66" s="919">
        <v>0.88990000000000002</v>
      </c>
      <c r="D66" s="919">
        <v>0.78039999999999998</v>
      </c>
      <c r="E66" s="919">
        <v>0.78039999999999998</v>
      </c>
      <c r="F66" s="919">
        <v>0.78039999999999998</v>
      </c>
      <c r="G66" s="919">
        <v>0.78039999999999998</v>
      </c>
      <c r="H66" s="919">
        <v>0.78039999999999998</v>
      </c>
      <c r="I66" s="919">
        <v>0.61099999999999999</v>
      </c>
      <c r="J66" s="919">
        <v>0.61099999999999999</v>
      </c>
      <c r="K66" s="919">
        <v>0.61099999999999999</v>
      </c>
      <c r="L66" s="919">
        <v>0.61099999999999999</v>
      </c>
      <c r="M66" s="919">
        <v>0.61099999999999999</v>
      </c>
    </row>
    <row r="67" spans="1:13">
      <c r="A67" s="910">
        <v>6.5</v>
      </c>
      <c r="B67" s="919">
        <v>0.88780000000000003</v>
      </c>
      <c r="C67" s="919">
        <v>0.88780000000000003</v>
      </c>
      <c r="D67" s="919">
        <v>0.77810000000000001</v>
      </c>
      <c r="E67" s="919">
        <v>0.77810000000000001</v>
      </c>
      <c r="F67" s="919">
        <v>0.77810000000000001</v>
      </c>
      <c r="G67" s="919">
        <v>0.77810000000000001</v>
      </c>
      <c r="H67" s="919">
        <v>0.77810000000000001</v>
      </c>
      <c r="I67" s="919">
        <v>0.60799999999999998</v>
      </c>
      <c r="J67" s="919">
        <v>0.60799999999999998</v>
      </c>
      <c r="K67" s="919">
        <v>0.60799999999999998</v>
      </c>
      <c r="L67" s="919">
        <v>0.60799999999999998</v>
      </c>
      <c r="M67" s="919">
        <v>0.60799999999999998</v>
      </c>
    </row>
    <row r="68" spans="1:13">
      <c r="A68" s="910">
        <v>6.6</v>
      </c>
      <c r="B68" s="919">
        <v>0.88580000000000003</v>
      </c>
      <c r="C68" s="919">
        <v>0.88580000000000003</v>
      </c>
      <c r="D68" s="919">
        <v>0.77580000000000005</v>
      </c>
      <c r="E68" s="919">
        <v>0.77580000000000005</v>
      </c>
      <c r="F68" s="919">
        <v>0.77580000000000005</v>
      </c>
      <c r="G68" s="919">
        <v>0.77580000000000005</v>
      </c>
      <c r="H68" s="919">
        <v>0.77580000000000005</v>
      </c>
      <c r="I68" s="919">
        <v>0.60499999999999998</v>
      </c>
      <c r="J68" s="919">
        <v>0.60499999999999998</v>
      </c>
      <c r="K68" s="919">
        <v>0.60499999999999998</v>
      </c>
      <c r="L68" s="919">
        <v>0.60499999999999998</v>
      </c>
      <c r="M68" s="919">
        <v>0.60499999999999998</v>
      </c>
    </row>
    <row r="69" spans="1:13">
      <c r="A69" s="910">
        <v>6.7</v>
      </c>
      <c r="B69" s="919">
        <v>0.88380000000000003</v>
      </c>
      <c r="C69" s="919">
        <v>0.88380000000000003</v>
      </c>
      <c r="D69" s="919">
        <v>0.77359999999999995</v>
      </c>
      <c r="E69" s="919">
        <v>0.77359999999999995</v>
      </c>
      <c r="F69" s="919">
        <v>0.77359999999999995</v>
      </c>
      <c r="G69" s="919">
        <v>0.77359999999999995</v>
      </c>
      <c r="H69" s="919">
        <v>0.77359999999999995</v>
      </c>
      <c r="I69" s="919">
        <v>0.60209999999999997</v>
      </c>
      <c r="J69" s="919">
        <v>0.60209999999999997</v>
      </c>
      <c r="K69" s="919">
        <v>0.60209999999999997</v>
      </c>
      <c r="L69" s="919">
        <v>0.60209999999999997</v>
      </c>
      <c r="M69" s="919">
        <v>0.60209999999999997</v>
      </c>
    </row>
    <row r="70" spans="1:13">
      <c r="A70" s="910">
        <v>6.8</v>
      </c>
      <c r="B70" s="919">
        <v>0.88190000000000002</v>
      </c>
      <c r="C70" s="919">
        <v>0.88190000000000002</v>
      </c>
      <c r="D70" s="919">
        <v>0.77159999999999995</v>
      </c>
      <c r="E70" s="919">
        <v>0.77159999999999995</v>
      </c>
      <c r="F70" s="919">
        <v>0.77159999999999995</v>
      </c>
      <c r="G70" s="919">
        <v>0.77159999999999995</v>
      </c>
      <c r="H70" s="919">
        <v>0.77159999999999995</v>
      </c>
      <c r="I70" s="919">
        <v>0.59930000000000005</v>
      </c>
      <c r="J70" s="919">
        <v>0.59930000000000005</v>
      </c>
      <c r="K70" s="919">
        <v>0.59930000000000005</v>
      </c>
      <c r="L70" s="919">
        <v>0.59930000000000005</v>
      </c>
      <c r="M70" s="919">
        <v>0.59930000000000005</v>
      </c>
    </row>
    <row r="71" spans="1:13">
      <c r="A71" s="910">
        <v>6.9</v>
      </c>
      <c r="B71" s="919">
        <v>0.88</v>
      </c>
      <c r="C71" s="919">
        <v>0.88</v>
      </c>
      <c r="D71" s="919">
        <v>0.76949999999999996</v>
      </c>
      <c r="E71" s="919">
        <v>0.76949999999999996</v>
      </c>
      <c r="F71" s="919">
        <v>0.76949999999999996</v>
      </c>
      <c r="G71" s="919">
        <v>0.76949999999999996</v>
      </c>
      <c r="H71" s="919">
        <v>0.76949999999999996</v>
      </c>
      <c r="I71" s="919">
        <v>0.59640000000000004</v>
      </c>
      <c r="J71" s="919">
        <v>0.59640000000000004</v>
      </c>
      <c r="K71" s="919">
        <v>0.59640000000000004</v>
      </c>
      <c r="L71" s="919">
        <v>0.59640000000000004</v>
      </c>
      <c r="M71" s="919">
        <v>0.59640000000000004</v>
      </c>
    </row>
    <row r="72" spans="1:13">
      <c r="A72" s="910">
        <v>7</v>
      </c>
      <c r="B72" s="919">
        <v>0.87819999999999998</v>
      </c>
      <c r="C72" s="919">
        <v>0.87819999999999998</v>
      </c>
      <c r="D72" s="919">
        <v>0.76749999999999996</v>
      </c>
      <c r="E72" s="919">
        <v>0.76749999999999996</v>
      </c>
      <c r="F72" s="919">
        <v>0.76749999999999996</v>
      </c>
      <c r="G72" s="919">
        <v>0.76749999999999996</v>
      </c>
      <c r="H72" s="919">
        <v>0.76749999999999996</v>
      </c>
      <c r="I72" s="919">
        <v>0.59360000000000002</v>
      </c>
      <c r="J72" s="919">
        <v>0.59360000000000002</v>
      </c>
      <c r="K72" s="919">
        <v>0.59360000000000002</v>
      </c>
      <c r="L72" s="919">
        <v>0.59360000000000002</v>
      </c>
      <c r="M72" s="919">
        <v>0.59360000000000002</v>
      </c>
    </row>
    <row r="73" spans="1:13">
      <c r="A73" s="910">
        <v>7.1</v>
      </c>
      <c r="B73" s="919">
        <v>0.87660000000000005</v>
      </c>
      <c r="C73" s="919">
        <v>0.87660000000000005</v>
      </c>
      <c r="D73" s="919">
        <v>0.76570000000000005</v>
      </c>
      <c r="E73" s="919">
        <v>0.76570000000000005</v>
      </c>
      <c r="F73" s="919">
        <v>0.76570000000000005</v>
      </c>
      <c r="G73" s="919">
        <v>0.76570000000000005</v>
      </c>
      <c r="H73" s="919">
        <v>0.76570000000000005</v>
      </c>
      <c r="I73" s="919">
        <v>0.59109999999999996</v>
      </c>
      <c r="J73" s="919">
        <v>0.59109999999999996</v>
      </c>
      <c r="K73" s="919">
        <v>0.59109999999999996</v>
      </c>
      <c r="L73" s="919">
        <v>0.59109999999999996</v>
      </c>
      <c r="M73" s="919">
        <v>0.59109999999999996</v>
      </c>
    </row>
    <row r="74" spans="1:13">
      <c r="A74" s="910">
        <v>7.2</v>
      </c>
      <c r="B74" s="919">
        <v>0.87490000000000001</v>
      </c>
      <c r="C74" s="919">
        <v>0.87490000000000001</v>
      </c>
      <c r="D74" s="919">
        <v>0.76380000000000003</v>
      </c>
      <c r="E74" s="919">
        <v>0.76380000000000003</v>
      </c>
      <c r="F74" s="919">
        <v>0.76380000000000003</v>
      </c>
      <c r="G74" s="919">
        <v>0.76380000000000003</v>
      </c>
      <c r="H74" s="919">
        <v>0.76380000000000003</v>
      </c>
      <c r="I74" s="919">
        <v>0.58860000000000001</v>
      </c>
      <c r="J74" s="919">
        <v>0.58860000000000001</v>
      </c>
      <c r="K74" s="919">
        <v>0.58860000000000001</v>
      </c>
      <c r="L74" s="919">
        <v>0.58860000000000001</v>
      </c>
      <c r="M74" s="919">
        <v>0.58860000000000001</v>
      </c>
    </row>
    <row r="75" spans="1:13">
      <c r="A75" s="910">
        <v>7.3</v>
      </c>
      <c r="B75" s="919">
        <v>0.87329999999999997</v>
      </c>
      <c r="C75" s="919">
        <v>0.87329999999999997</v>
      </c>
      <c r="D75" s="919">
        <v>0.76200000000000001</v>
      </c>
      <c r="E75" s="919">
        <v>0.76200000000000001</v>
      </c>
      <c r="F75" s="919">
        <v>0.76200000000000001</v>
      </c>
      <c r="G75" s="919">
        <v>0.76200000000000001</v>
      </c>
      <c r="H75" s="919">
        <v>0.76200000000000001</v>
      </c>
      <c r="I75" s="919">
        <v>0.58620000000000005</v>
      </c>
      <c r="J75" s="919">
        <v>0.58620000000000005</v>
      </c>
      <c r="K75" s="919">
        <v>0.58620000000000005</v>
      </c>
      <c r="L75" s="919">
        <v>0.58620000000000005</v>
      </c>
      <c r="M75" s="919">
        <v>0.58620000000000005</v>
      </c>
    </row>
    <row r="76" spans="1:13">
      <c r="A76" s="910">
        <v>7.4</v>
      </c>
      <c r="B76" s="919">
        <v>0.87160000000000004</v>
      </c>
      <c r="C76" s="919">
        <v>0.87160000000000004</v>
      </c>
      <c r="D76" s="919">
        <v>0.76029999999999998</v>
      </c>
      <c r="E76" s="919">
        <v>0.76029999999999998</v>
      </c>
      <c r="F76" s="919">
        <v>0.76029999999999998</v>
      </c>
      <c r="G76" s="919">
        <v>0.76029999999999998</v>
      </c>
      <c r="H76" s="919">
        <v>0.76029999999999998</v>
      </c>
      <c r="I76" s="919">
        <v>0.58379999999999999</v>
      </c>
      <c r="J76" s="919">
        <v>0.58379999999999999</v>
      </c>
      <c r="K76" s="919">
        <v>0.58379999999999999</v>
      </c>
      <c r="L76" s="919">
        <v>0.58379999999999999</v>
      </c>
      <c r="M76" s="919">
        <v>0.58379999999999999</v>
      </c>
    </row>
    <row r="77" spans="1:13">
      <c r="A77" s="910">
        <v>7.5</v>
      </c>
      <c r="B77" s="919">
        <v>0.87</v>
      </c>
      <c r="C77" s="919">
        <v>0.87</v>
      </c>
      <c r="D77" s="919">
        <v>0.75849999999999995</v>
      </c>
      <c r="E77" s="919">
        <v>0.75849999999999995</v>
      </c>
      <c r="F77" s="919">
        <v>0.75849999999999995</v>
      </c>
      <c r="G77" s="919">
        <v>0.75849999999999995</v>
      </c>
      <c r="H77" s="919">
        <v>0.75849999999999995</v>
      </c>
      <c r="I77" s="919">
        <v>0.58140000000000003</v>
      </c>
      <c r="J77" s="919">
        <v>0.58140000000000003</v>
      </c>
      <c r="K77" s="919">
        <v>0.58140000000000003</v>
      </c>
      <c r="L77" s="919">
        <v>0.58140000000000003</v>
      </c>
      <c r="M77" s="919">
        <v>0.58140000000000003</v>
      </c>
    </row>
    <row r="78" spans="1:13">
      <c r="A78" s="910">
        <v>7.6</v>
      </c>
      <c r="B78" s="919">
        <v>0.86839999999999995</v>
      </c>
      <c r="C78" s="919">
        <v>0.86839999999999995</v>
      </c>
      <c r="D78" s="919">
        <v>0.75680000000000003</v>
      </c>
      <c r="E78" s="919">
        <v>0.75680000000000003</v>
      </c>
      <c r="F78" s="919">
        <v>0.75680000000000003</v>
      </c>
      <c r="G78" s="919">
        <v>0.75680000000000003</v>
      </c>
      <c r="H78" s="919">
        <v>0.75680000000000003</v>
      </c>
      <c r="I78" s="919">
        <v>0.57899999999999996</v>
      </c>
      <c r="J78" s="919">
        <v>0.57899999999999996</v>
      </c>
      <c r="K78" s="919">
        <v>0.57899999999999996</v>
      </c>
      <c r="L78" s="919">
        <v>0.57899999999999996</v>
      </c>
      <c r="M78" s="919">
        <v>0.57899999999999996</v>
      </c>
    </row>
    <row r="79" spans="1:13">
      <c r="A79" s="910">
        <v>7.7</v>
      </c>
      <c r="B79" s="919">
        <v>0.8669</v>
      </c>
      <c r="C79" s="919">
        <v>0.8669</v>
      </c>
      <c r="D79" s="919">
        <v>0.755</v>
      </c>
      <c r="E79" s="919">
        <v>0.755</v>
      </c>
      <c r="F79" s="919">
        <v>0.755</v>
      </c>
      <c r="G79" s="919">
        <v>0.755</v>
      </c>
      <c r="H79" s="919">
        <v>0.755</v>
      </c>
      <c r="I79" s="919">
        <v>0.57669999999999999</v>
      </c>
      <c r="J79" s="919">
        <v>0.57669999999999999</v>
      </c>
      <c r="K79" s="919">
        <v>0.57669999999999999</v>
      </c>
      <c r="L79" s="919">
        <v>0.57669999999999999</v>
      </c>
      <c r="M79" s="919">
        <v>0.57669999999999999</v>
      </c>
    </row>
    <row r="80" spans="1:13">
      <c r="A80" s="910">
        <v>7.8</v>
      </c>
      <c r="B80" s="919">
        <v>0.86539999999999995</v>
      </c>
      <c r="C80" s="919">
        <v>0.86539999999999995</v>
      </c>
      <c r="D80" s="919">
        <v>0.75329999999999997</v>
      </c>
      <c r="E80" s="919">
        <v>0.75329999999999997</v>
      </c>
      <c r="F80" s="919">
        <v>0.75329999999999997</v>
      </c>
      <c r="G80" s="919">
        <v>0.75329999999999997</v>
      </c>
      <c r="H80" s="919">
        <v>0.75329999999999997</v>
      </c>
      <c r="I80" s="919">
        <v>0.57450000000000001</v>
      </c>
      <c r="J80" s="919">
        <v>0.57450000000000001</v>
      </c>
      <c r="K80" s="919">
        <v>0.57450000000000001</v>
      </c>
      <c r="L80" s="919">
        <v>0.57450000000000001</v>
      </c>
      <c r="M80" s="919">
        <v>0.57450000000000001</v>
      </c>
    </row>
    <row r="81" spans="1:13">
      <c r="A81" s="910">
        <v>7.9</v>
      </c>
      <c r="B81" s="919">
        <v>0.86380000000000001</v>
      </c>
      <c r="C81" s="919">
        <v>0.86380000000000001</v>
      </c>
      <c r="D81" s="919">
        <v>0.75170000000000003</v>
      </c>
      <c r="E81" s="919">
        <v>0.75170000000000003</v>
      </c>
      <c r="F81" s="919">
        <v>0.75170000000000003</v>
      </c>
      <c r="G81" s="919">
        <v>0.75170000000000003</v>
      </c>
      <c r="H81" s="919">
        <v>0.75170000000000003</v>
      </c>
      <c r="I81" s="919">
        <v>0.57220000000000004</v>
      </c>
      <c r="J81" s="919">
        <v>0.57220000000000004</v>
      </c>
      <c r="K81" s="919">
        <v>0.57220000000000004</v>
      </c>
      <c r="L81" s="919">
        <v>0.57220000000000004</v>
      </c>
      <c r="M81" s="919">
        <v>0.57220000000000004</v>
      </c>
    </row>
    <row r="82" spans="1:13">
      <c r="A82" s="910">
        <v>8</v>
      </c>
      <c r="B82" s="919">
        <v>0.86240000000000006</v>
      </c>
      <c r="C82" s="919">
        <v>0.86240000000000006</v>
      </c>
      <c r="D82" s="919">
        <v>0.75</v>
      </c>
      <c r="E82" s="919">
        <v>0.75</v>
      </c>
      <c r="F82" s="919">
        <v>0.75</v>
      </c>
      <c r="G82" s="919">
        <v>0.75</v>
      </c>
      <c r="H82" s="919">
        <v>0.75</v>
      </c>
      <c r="I82" s="919">
        <v>0.56989999999999996</v>
      </c>
      <c r="J82" s="919">
        <v>0.56989999999999996</v>
      </c>
      <c r="K82" s="919">
        <v>0.56989999999999996</v>
      </c>
      <c r="L82" s="919">
        <v>0.56989999999999996</v>
      </c>
      <c r="M82" s="919">
        <v>0.56989999999999996</v>
      </c>
    </row>
    <row r="83" spans="1:13">
      <c r="A83" s="910">
        <v>8.1</v>
      </c>
      <c r="B83" s="919">
        <v>0.86099999999999999</v>
      </c>
      <c r="C83" s="919">
        <v>0.86099999999999999</v>
      </c>
      <c r="D83" s="919">
        <v>0.74850000000000005</v>
      </c>
      <c r="E83" s="919">
        <v>0.74850000000000005</v>
      </c>
      <c r="F83" s="919">
        <v>0.74850000000000005</v>
      </c>
      <c r="G83" s="919">
        <v>0.74850000000000005</v>
      </c>
      <c r="H83" s="919">
        <v>0.74850000000000005</v>
      </c>
      <c r="I83" s="919">
        <v>0.56779999999999997</v>
      </c>
      <c r="J83" s="919">
        <v>0.56779999999999997</v>
      </c>
      <c r="K83" s="919">
        <v>0.56779999999999997</v>
      </c>
      <c r="L83" s="919">
        <v>0.56779999999999997</v>
      </c>
      <c r="M83" s="919">
        <v>0.56779999999999997</v>
      </c>
    </row>
    <row r="84" spans="1:13">
      <c r="A84" s="910">
        <v>8.1999999999999993</v>
      </c>
      <c r="B84" s="919">
        <v>0.85970000000000002</v>
      </c>
      <c r="C84" s="919">
        <v>0.85970000000000002</v>
      </c>
      <c r="D84" s="919">
        <v>0.747</v>
      </c>
      <c r="E84" s="919">
        <v>0.747</v>
      </c>
      <c r="F84" s="919">
        <v>0.747</v>
      </c>
      <c r="G84" s="919">
        <v>0.747</v>
      </c>
      <c r="H84" s="919">
        <v>0.747</v>
      </c>
      <c r="I84" s="919">
        <v>0.56589999999999996</v>
      </c>
      <c r="J84" s="919">
        <v>0.56589999999999996</v>
      </c>
      <c r="K84" s="919">
        <v>0.56589999999999996</v>
      </c>
      <c r="L84" s="919">
        <v>0.56589999999999996</v>
      </c>
      <c r="M84" s="919">
        <v>0.56589999999999996</v>
      </c>
    </row>
    <row r="85" spans="1:13">
      <c r="A85" s="910">
        <v>8.3000000000000007</v>
      </c>
      <c r="B85" s="919">
        <v>0.85840000000000005</v>
      </c>
      <c r="C85" s="919">
        <v>0.85840000000000005</v>
      </c>
      <c r="D85" s="919">
        <v>0.74560000000000004</v>
      </c>
      <c r="E85" s="919">
        <v>0.74560000000000004</v>
      </c>
      <c r="F85" s="919">
        <v>0.74560000000000004</v>
      </c>
      <c r="G85" s="919">
        <v>0.74560000000000004</v>
      </c>
      <c r="H85" s="919">
        <v>0.74560000000000004</v>
      </c>
      <c r="I85" s="919">
        <v>0.56389999999999996</v>
      </c>
      <c r="J85" s="919">
        <v>0.56389999999999996</v>
      </c>
      <c r="K85" s="919">
        <v>0.56389999999999996</v>
      </c>
      <c r="L85" s="919">
        <v>0.56389999999999996</v>
      </c>
      <c r="M85" s="919">
        <v>0.56389999999999996</v>
      </c>
    </row>
    <row r="86" spans="1:13">
      <c r="A86" s="910">
        <v>8.4</v>
      </c>
      <c r="B86" s="919">
        <v>0.85709999999999997</v>
      </c>
      <c r="C86" s="919">
        <v>0.85709999999999997</v>
      </c>
      <c r="D86" s="919">
        <v>0.74419999999999997</v>
      </c>
      <c r="E86" s="919">
        <v>0.74419999999999997</v>
      </c>
      <c r="F86" s="919">
        <v>0.74419999999999997</v>
      </c>
      <c r="G86" s="919">
        <v>0.74419999999999997</v>
      </c>
      <c r="H86" s="919">
        <v>0.74419999999999997</v>
      </c>
      <c r="I86" s="919">
        <v>0.56189999999999996</v>
      </c>
      <c r="J86" s="919">
        <v>0.56189999999999996</v>
      </c>
      <c r="K86" s="919">
        <v>0.56189999999999996</v>
      </c>
      <c r="L86" s="919">
        <v>0.56189999999999996</v>
      </c>
      <c r="M86" s="919">
        <v>0.56189999999999996</v>
      </c>
    </row>
    <row r="87" spans="1:13">
      <c r="A87" s="910">
        <v>8.5</v>
      </c>
      <c r="B87" s="919">
        <v>0.85580000000000001</v>
      </c>
      <c r="C87" s="919">
        <v>0.85580000000000001</v>
      </c>
      <c r="D87" s="919">
        <v>0.74270000000000003</v>
      </c>
      <c r="E87" s="919">
        <v>0.74270000000000003</v>
      </c>
      <c r="F87" s="919">
        <v>0.74270000000000003</v>
      </c>
      <c r="G87" s="919">
        <v>0.74270000000000003</v>
      </c>
      <c r="H87" s="919">
        <v>0.74270000000000003</v>
      </c>
      <c r="I87" s="919">
        <v>0.55989999999999995</v>
      </c>
      <c r="J87" s="919">
        <v>0.55989999999999995</v>
      </c>
      <c r="K87" s="919">
        <v>0.55989999999999995</v>
      </c>
      <c r="L87" s="919">
        <v>0.55989999999999995</v>
      </c>
      <c r="M87" s="919">
        <v>0.55989999999999995</v>
      </c>
    </row>
    <row r="88" spans="1:13">
      <c r="A88" s="910">
        <v>8.6</v>
      </c>
      <c r="B88" s="919">
        <v>0.85450000000000004</v>
      </c>
      <c r="C88" s="919">
        <v>0.85450000000000004</v>
      </c>
      <c r="D88" s="919">
        <v>0.74129999999999996</v>
      </c>
      <c r="E88" s="919">
        <v>0.74129999999999996</v>
      </c>
      <c r="F88" s="919">
        <v>0.74129999999999996</v>
      </c>
      <c r="G88" s="919">
        <v>0.74129999999999996</v>
      </c>
      <c r="H88" s="919">
        <v>0.74129999999999996</v>
      </c>
      <c r="I88" s="919">
        <v>0.55800000000000005</v>
      </c>
      <c r="J88" s="919">
        <v>0.55800000000000005</v>
      </c>
      <c r="K88" s="919">
        <v>0.55800000000000005</v>
      </c>
      <c r="L88" s="919">
        <v>0.55800000000000005</v>
      </c>
      <c r="M88" s="919">
        <v>0.55800000000000005</v>
      </c>
    </row>
    <row r="89" spans="1:13">
      <c r="A89" s="910">
        <v>8.6999999999999993</v>
      </c>
      <c r="B89" s="919">
        <v>0.85329999999999995</v>
      </c>
      <c r="C89" s="919">
        <v>0.85329999999999995</v>
      </c>
      <c r="D89" s="919">
        <v>0.7399</v>
      </c>
      <c r="E89" s="919">
        <v>0.7399</v>
      </c>
      <c r="F89" s="919">
        <v>0.7399</v>
      </c>
      <c r="G89" s="919">
        <v>0.7399</v>
      </c>
      <c r="H89" s="919">
        <v>0.7399</v>
      </c>
      <c r="I89" s="919">
        <v>0.55600000000000005</v>
      </c>
      <c r="J89" s="919">
        <v>0.55600000000000005</v>
      </c>
      <c r="K89" s="919">
        <v>0.55600000000000005</v>
      </c>
      <c r="L89" s="919">
        <v>0.55600000000000005</v>
      </c>
      <c r="M89" s="919">
        <v>0.55600000000000005</v>
      </c>
    </row>
    <row r="90" spans="1:13">
      <c r="A90" s="910">
        <v>8.8000000000000007</v>
      </c>
      <c r="B90" s="919">
        <v>0.85209999999999997</v>
      </c>
      <c r="C90" s="919">
        <v>0.85209999999999997</v>
      </c>
      <c r="D90" s="919">
        <v>0.73850000000000005</v>
      </c>
      <c r="E90" s="919">
        <v>0.73850000000000005</v>
      </c>
      <c r="F90" s="919">
        <v>0.73850000000000005</v>
      </c>
      <c r="G90" s="919">
        <v>0.73850000000000005</v>
      </c>
      <c r="H90" s="919">
        <v>0.73850000000000005</v>
      </c>
      <c r="I90" s="919">
        <v>0.55420000000000003</v>
      </c>
      <c r="J90" s="919">
        <v>0.55420000000000003</v>
      </c>
      <c r="K90" s="919">
        <v>0.55420000000000003</v>
      </c>
      <c r="L90" s="919">
        <v>0.55420000000000003</v>
      </c>
      <c r="M90" s="919">
        <v>0.55420000000000003</v>
      </c>
    </row>
    <row r="91" spans="1:13">
      <c r="A91" s="910">
        <v>8.9</v>
      </c>
      <c r="B91" s="919">
        <v>0.85099999999999998</v>
      </c>
      <c r="C91" s="919">
        <v>0.85099999999999998</v>
      </c>
      <c r="D91" s="919">
        <v>0.73719999999999997</v>
      </c>
      <c r="E91" s="919">
        <v>0.73719999999999997</v>
      </c>
      <c r="F91" s="919">
        <v>0.73719999999999997</v>
      </c>
      <c r="G91" s="919">
        <v>0.73719999999999997</v>
      </c>
      <c r="H91" s="919">
        <v>0.73719999999999997</v>
      </c>
      <c r="I91" s="919">
        <v>0.55230000000000001</v>
      </c>
      <c r="J91" s="919">
        <v>0.55230000000000001</v>
      </c>
      <c r="K91" s="919">
        <v>0.55230000000000001</v>
      </c>
      <c r="L91" s="919">
        <v>0.55230000000000001</v>
      </c>
      <c r="M91" s="919">
        <v>0.55230000000000001</v>
      </c>
    </row>
    <row r="92" spans="1:13">
      <c r="A92" s="934">
        <v>9</v>
      </c>
      <c r="B92" s="919">
        <v>0.8498</v>
      </c>
      <c r="C92" s="919">
        <v>0.8498</v>
      </c>
      <c r="D92" s="919">
        <v>0.7359</v>
      </c>
      <c r="E92" s="919">
        <v>0.7359</v>
      </c>
      <c r="F92" s="919">
        <v>0.7359</v>
      </c>
      <c r="G92" s="919">
        <v>0.7359</v>
      </c>
      <c r="H92" s="919">
        <v>0.7359</v>
      </c>
      <c r="I92" s="919">
        <v>0.55049999999999999</v>
      </c>
      <c r="J92" s="919">
        <v>0.55049999999999999</v>
      </c>
      <c r="K92" s="919">
        <v>0.55049999999999999</v>
      </c>
      <c r="L92" s="919">
        <v>0.55049999999999999</v>
      </c>
      <c r="M92" s="919">
        <v>0.55049999999999999</v>
      </c>
    </row>
    <row r="93" spans="1:13">
      <c r="A93" s="934">
        <v>9.1</v>
      </c>
      <c r="B93" s="919">
        <v>0.84870000000000001</v>
      </c>
      <c r="C93" s="919">
        <v>0.84870000000000001</v>
      </c>
      <c r="D93" s="919">
        <v>0.73470000000000002</v>
      </c>
      <c r="E93" s="919">
        <v>0.73470000000000002</v>
      </c>
      <c r="F93" s="919">
        <v>0.73470000000000002</v>
      </c>
      <c r="G93" s="919">
        <v>0.73470000000000002</v>
      </c>
      <c r="H93" s="919">
        <v>0.73470000000000002</v>
      </c>
      <c r="I93" s="919">
        <v>0.54879999999999995</v>
      </c>
      <c r="J93" s="919">
        <v>0.54879999999999995</v>
      </c>
      <c r="K93" s="919">
        <v>0.54879999999999995</v>
      </c>
      <c r="L93" s="919">
        <v>0.54879999999999995</v>
      </c>
      <c r="M93" s="919">
        <v>0.54879999999999995</v>
      </c>
    </row>
    <row r="94" spans="1:13">
      <c r="A94" s="934">
        <v>9.1999999999999993</v>
      </c>
      <c r="B94" s="919">
        <v>0.84770000000000001</v>
      </c>
      <c r="C94" s="919">
        <v>0.84770000000000001</v>
      </c>
      <c r="D94" s="919">
        <v>0.73350000000000004</v>
      </c>
      <c r="E94" s="919">
        <v>0.73350000000000004</v>
      </c>
      <c r="F94" s="919">
        <v>0.73350000000000004</v>
      </c>
      <c r="G94" s="919">
        <v>0.73350000000000004</v>
      </c>
      <c r="H94" s="919">
        <v>0.73350000000000004</v>
      </c>
      <c r="I94" s="919">
        <v>0.54710000000000003</v>
      </c>
      <c r="J94" s="919">
        <v>0.54710000000000003</v>
      </c>
      <c r="K94" s="919">
        <v>0.54710000000000003</v>
      </c>
      <c r="L94" s="919">
        <v>0.54710000000000003</v>
      </c>
      <c r="M94" s="919">
        <v>0.54710000000000003</v>
      </c>
    </row>
    <row r="95" spans="1:13">
      <c r="A95" s="934">
        <v>9.3000000000000007</v>
      </c>
      <c r="B95" s="919">
        <v>0.84660000000000002</v>
      </c>
      <c r="C95" s="919">
        <v>0.84660000000000002</v>
      </c>
      <c r="D95" s="919">
        <v>0.73229999999999995</v>
      </c>
      <c r="E95" s="919">
        <v>0.73229999999999995</v>
      </c>
      <c r="F95" s="919">
        <v>0.73229999999999995</v>
      </c>
      <c r="G95" s="919">
        <v>0.73229999999999995</v>
      </c>
      <c r="H95" s="919">
        <v>0.73229999999999995</v>
      </c>
      <c r="I95" s="919">
        <v>0.5454</v>
      </c>
      <c r="J95" s="919">
        <v>0.5454</v>
      </c>
      <c r="K95" s="919">
        <v>0.5454</v>
      </c>
      <c r="L95" s="919">
        <v>0.5454</v>
      </c>
      <c r="M95" s="919">
        <v>0.5454</v>
      </c>
    </row>
    <row r="96" spans="1:13">
      <c r="A96" s="934">
        <v>9.4</v>
      </c>
      <c r="B96" s="919">
        <v>0.84550000000000003</v>
      </c>
      <c r="C96" s="919">
        <v>0.84550000000000003</v>
      </c>
      <c r="D96" s="919">
        <v>0.73109999999999997</v>
      </c>
      <c r="E96" s="919">
        <v>0.73109999999999997</v>
      </c>
      <c r="F96" s="919">
        <v>0.73109999999999997</v>
      </c>
      <c r="G96" s="919">
        <v>0.73109999999999997</v>
      </c>
      <c r="H96" s="919">
        <v>0.73109999999999997</v>
      </c>
      <c r="I96" s="919">
        <v>0.54369999999999996</v>
      </c>
      <c r="J96" s="919">
        <v>0.54369999999999996</v>
      </c>
      <c r="K96" s="919">
        <v>0.54369999999999996</v>
      </c>
      <c r="L96" s="919">
        <v>0.54369999999999996</v>
      </c>
      <c r="M96" s="919">
        <v>0.54369999999999996</v>
      </c>
    </row>
    <row r="97" spans="1:14">
      <c r="A97" s="934">
        <v>9.5</v>
      </c>
      <c r="B97" s="919">
        <v>0.84450000000000003</v>
      </c>
      <c r="C97" s="919">
        <v>0.84450000000000003</v>
      </c>
      <c r="D97" s="919">
        <v>0.72989999999999999</v>
      </c>
      <c r="E97" s="919">
        <v>0.72989999999999999</v>
      </c>
      <c r="F97" s="919">
        <v>0.72989999999999999</v>
      </c>
      <c r="G97" s="919">
        <v>0.72989999999999999</v>
      </c>
      <c r="H97" s="919">
        <v>0.72989999999999999</v>
      </c>
      <c r="I97" s="919">
        <v>0.54200000000000004</v>
      </c>
      <c r="J97" s="919">
        <v>0.54200000000000004</v>
      </c>
      <c r="K97" s="919">
        <v>0.54200000000000004</v>
      </c>
      <c r="L97" s="919">
        <v>0.54200000000000004</v>
      </c>
      <c r="M97" s="919">
        <v>0.54200000000000004</v>
      </c>
    </row>
    <row r="98" spans="1:14">
      <c r="A98" s="934">
        <v>9.6</v>
      </c>
      <c r="B98" s="919">
        <v>0.84340000000000004</v>
      </c>
      <c r="C98" s="919">
        <v>0.84340000000000004</v>
      </c>
      <c r="D98" s="919">
        <v>0.72870000000000001</v>
      </c>
      <c r="E98" s="919">
        <v>0.72870000000000001</v>
      </c>
      <c r="F98" s="919">
        <v>0.72870000000000001</v>
      </c>
      <c r="G98" s="919">
        <v>0.72870000000000001</v>
      </c>
      <c r="H98" s="919">
        <v>0.72870000000000001</v>
      </c>
      <c r="I98" s="919">
        <v>0.5403</v>
      </c>
      <c r="J98" s="919">
        <v>0.5403</v>
      </c>
      <c r="K98" s="919">
        <v>0.5403</v>
      </c>
      <c r="L98" s="919">
        <v>0.5403</v>
      </c>
      <c r="M98" s="919">
        <v>0.5403</v>
      </c>
    </row>
    <row r="99" spans="1:14">
      <c r="A99" s="934">
        <v>9.6999999999999993</v>
      </c>
      <c r="B99" s="919">
        <v>0.84230000000000005</v>
      </c>
      <c r="C99" s="919">
        <v>0.84230000000000005</v>
      </c>
      <c r="D99" s="919">
        <v>0.72750000000000004</v>
      </c>
      <c r="E99" s="919">
        <v>0.72750000000000004</v>
      </c>
      <c r="F99" s="919">
        <v>0.72750000000000004</v>
      </c>
      <c r="G99" s="919">
        <v>0.72750000000000004</v>
      </c>
      <c r="H99" s="919">
        <v>0.72750000000000004</v>
      </c>
      <c r="I99" s="919">
        <v>0.53859999999999997</v>
      </c>
      <c r="J99" s="919">
        <v>0.53859999999999997</v>
      </c>
      <c r="K99" s="919">
        <v>0.53859999999999997</v>
      </c>
      <c r="L99" s="919">
        <v>0.53859999999999997</v>
      </c>
      <c r="M99" s="919">
        <v>0.53859999999999997</v>
      </c>
    </row>
    <row r="100" spans="1:14">
      <c r="A100" s="934">
        <v>9.8000000000000007</v>
      </c>
      <c r="B100" s="919">
        <v>0.84140000000000004</v>
      </c>
      <c r="C100" s="919">
        <v>0.84140000000000004</v>
      </c>
      <c r="D100" s="919">
        <v>0.72629999999999995</v>
      </c>
      <c r="E100" s="919">
        <v>0.72629999999999995</v>
      </c>
      <c r="F100" s="919">
        <v>0.72629999999999995</v>
      </c>
      <c r="G100" s="919">
        <v>0.72629999999999995</v>
      </c>
      <c r="H100" s="919">
        <v>0.72629999999999995</v>
      </c>
      <c r="I100" s="919">
        <v>0.53710000000000002</v>
      </c>
      <c r="J100" s="919">
        <v>0.53710000000000002</v>
      </c>
      <c r="K100" s="919">
        <v>0.53710000000000002</v>
      </c>
      <c r="L100" s="919">
        <v>0.53710000000000002</v>
      </c>
      <c r="M100" s="919">
        <v>0.53710000000000002</v>
      </c>
    </row>
    <row r="101" spans="1:14">
      <c r="A101" s="934">
        <v>9.9</v>
      </c>
      <c r="B101" s="919">
        <v>0.84050000000000002</v>
      </c>
      <c r="C101" s="919">
        <v>0.84050000000000002</v>
      </c>
      <c r="D101" s="919">
        <v>0.72519999999999996</v>
      </c>
      <c r="E101" s="919">
        <v>0.72519999999999996</v>
      </c>
      <c r="F101" s="919">
        <v>0.72519999999999996</v>
      </c>
      <c r="G101" s="919">
        <v>0.72519999999999996</v>
      </c>
      <c r="H101" s="919">
        <v>0.72519999999999996</v>
      </c>
      <c r="I101" s="919">
        <v>0.53549999999999998</v>
      </c>
      <c r="J101" s="919">
        <v>0.53549999999999998</v>
      </c>
      <c r="K101" s="919">
        <v>0.53549999999999998</v>
      </c>
      <c r="L101" s="919">
        <v>0.53549999999999998</v>
      </c>
      <c r="M101" s="919">
        <v>0.53549999999999998</v>
      </c>
    </row>
    <row r="102" spans="1:14">
      <c r="A102" s="934">
        <v>10</v>
      </c>
      <c r="B102" s="919">
        <v>0.83950000000000002</v>
      </c>
      <c r="C102" s="919">
        <v>0.83950000000000002</v>
      </c>
      <c r="D102" s="919">
        <v>0.72409999999999997</v>
      </c>
      <c r="E102" s="919">
        <v>0.72409999999999997</v>
      </c>
      <c r="F102" s="919">
        <v>0.72409999999999997</v>
      </c>
      <c r="G102" s="919">
        <v>0.72409999999999997</v>
      </c>
      <c r="H102" s="919">
        <v>0.72409999999999997</v>
      </c>
      <c r="I102" s="919">
        <v>0.53400000000000003</v>
      </c>
      <c r="J102" s="919">
        <v>0.53400000000000003</v>
      </c>
      <c r="K102" s="919">
        <v>0.53400000000000003</v>
      </c>
      <c r="L102" s="919">
        <v>0.53400000000000003</v>
      </c>
      <c r="M102" s="919">
        <v>0.53400000000000003</v>
      </c>
    </row>
    <row r="103" spans="1:14" ht="14.25">
      <c r="A103" s="907" t="s">
        <v>836</v>
      </c>
      <c r="B103" s="908"/>
      <c r="C103" s="908"/>
      <c r="D103" s="908"/>
      <c r="E103" s="908"/>
      <c r="F103" s="908"/>
      <c r="G103" s="908"/>
      <c r="H103" s="908"/>
      <c r="I103" s="908"/>
      <c r="J103" s="908"/>
      <c r="K103" s="908"/>
      <c r="L103" s="908"/>
      <c r="M103" s="908"/>
      <c r="N103" s="908"/>
    </row>
    <row r="104" spans="1:14" ht="14.25">
      <c r="A104" s="910" t="s">
        <v>815</v>
      </c>
      <c r="B104" s="911" t="s">
        <v>816</v>
      </c>
      <c r="C104" s="911" t="s">
        <v>817</v>
      </c>
      <c r="D104" s="911" t="s">
        <v>818</v>
      </c>
      <c r="E104" s="911" t="s">
        <v>819</v>
      </c>
      <c r="F104" s="911" t="s">
        <v>820</v>
      </c>
      <c r="G104" s="911" t="s">
        <v>821</v>
      </c>
      <c r="H104" s="912" t="s">
        <v>822</v>
      </c>
      <c r="I104" s="912" t="s">
        <v>823</v>
      </c>
      <c r="J104" s="913" t="s">
        <v>824</v>
      </c>
      <c r="K104" s="913" t="s">
        <v>825</v>
      </c>
      <c r="L104" s="913" t="s">
        <v>826</v>
      </c>
      <c r="M104" s="913" t="s">
        <v>827</v>
      </c>
      <c r="N104" s="908">
        <f>SUMPRODUCT((A105:A204=ROUNDDOWN(基准地价!G3,1))*(B104:M104=基准地价!G2)*(B105:M204))</f>
        <v>0</v>
      </c>
    </row>
    <row r="105" spans="1:14">
      <c r="A105" s="910">
        <v>0.1</v>
      </c>
      <c r="B105" s="919">
        <v>13.733000000000001</v>
      </c>
      <c r="C105" s="919">
        <v>13.733000000000001</v>
      </c>
      <c r="D105" s="919">
        <v>12.787000000000001</v>
      </c>
      <c r="E105" s="919">
        <v>12.787000000000001</v>
      </c>
      <c r="F105" s="919">
        <v>12.787000000000001</v>
      </c>
      <c r="G105" s="919">
        <v>12.787000000000001</v>
      </c>
      <c r="H105" s="919">
        <v>12.787000000000001</v>
      </c>
      <c r="I105" s="919">
        <v>12.384</v>
      </c>
      <c r="J105" s="919">
        <v>12.384</v>
      </c>
      <c r="K105" s="919">
        <v>12.384</v>
      </c>
      <c r="L105" s="919">
        <v>12.384</v>
      </c>
      <c r="M105" s="919">
        <v>12.384</v>
      </c>
    </row>
    <row r="106" spans="1:14">
      <c r="A106" s="910">
        <v>0.2</v>
      </c>
      <c r="B106" s="919">
        <v>6.8665000000000003</v>
      </c>
      <c r="C106" s="919">
        <v>6.8665000000000003</v>
      </c>
      <c r="D106" s="919">
        <v>6.3935000000000004</v>
      </c>
      <c r="E106" s="919">
        <v>6.3935000000000004</v>
      </c>
      <c r="F106" s="919">
        <v>6.3935000000000004</v>
      </c>
      <c r="G106" s="919">
        <v>6.3935000000000004</v>
      </c>
      <c r="H106" s="919">
        <v>6.3935000000000004</v>
      </c>
      <c r="I106" s="919">
        <v>6.1920000000000002</v>
      </c>
      <c r="J106" s="919">
        <v>6.1920000000000002</v>
      </c>
      <c r="K106" s="919">
        <v>6.1920000000000002</v>
      </c>
      <c r="L106" s="919">
        <v>6.1920000000000002</v>
      </c>
      <c r="M106" s="919">
        <v>6.1920000000000002</v>
      </c>
    </row>
    <row r="107" spans="1:14">
      <c r="A107" s="910">
        <v>0.3</v>
      </c>
      <c r="B107" s="919">
        <v>4.5777000000000001</v>
      </c>
      <c r="C107" s="919">
        <v>4.5777000000000001</v>
      </c>
      <c r="D107" s="919">
        <v>4.2622999999999998</v>
      </c>
      <c r="E107" s="919">
        <v>4.2622999999999998</v>
      </c>
      <c r="F107" s="919">
        <v>4.2622999999999998</v>
      </c>
      <c r="G107" s="919">
        <v>4.2622999999999998</v>
      </c>
      <c r="H107" s="919">
        <v>4.2622999999999998</v>
      </c>
      <c r="I107" s="919">
        <v>4.1280000000000001</v>
      </c>
      <c r="J107" s="919">
        <v>4.1280000000000001</v>
      </c>
      <c r="K107" s="919">
        <v>4.1280000000000001</v>
      </c>
      <c r="L107" s="919">
        <v>4.1280000000000001</v>
      </c>
      <c r="M107" s="919">
        <v>4.1280000000000001</v>
      </c>
    </row>
    <row r="108" spans="1:14">
      <c r="A108" s="910">
        <v>0.4</v>
      </c>
      <c r="B108" s="919">
        <v>3.4333</v>
      </c>
      <c r="C108" s="919">
        <v>3.4333</v>
      </c>
      <c r="D108" s="919">
        <v>3.1968000000000001</v>
      </c>
      <c r="E108" s="919">
        <v>3.1968000000000001</v>
      </c>
      <c r="F108" s="919">
        <v>3.1968000000000001</v>
      </c>
      <c r="G108" s="919">
        <v>3.1968000000000001</v>
      </c>
      <c r="H108" s="919">
        <v>3.1968000000000001</v>
      </c>
      <c r="I108" s="919">
        <v>3.0960000000000001</v>
      </c>
      <c r="J108" s="919">
        <v>3.0960000000000001</v>
      </c>
      <c r="K108" s="919">
        <v>3.0960000000000001</v>
      </c>
      <c r="L108" s="919">
        <v>3.0960000000000001</v>
      </c>
      <c r="M108" s="919">
        <v>3.0960000000000001</v>
      </c>
    </row>
    <row r="109" spans="1:14">
      <c r="A109" s="910">
        <v>0.5</v>
      </c>
      <c r="B109" s="919">
        <v>2.7465999999999999</v>
      </c>
      <c r="C109" s="919">
        <v>2.7465999999999999</v>
      </c>
      <c r="D109" s="919">
        <v>2.5573999999999999</v>
      </c>
      <c r="E109" s="919">
        <v>2.5573999999999999</v>
      </c>
      <c r="F109" s="919">
        <v>2.5573999999999999</v>
      </c>
      <c r="G109" s="919">
        <v>2.5573999999999999</v>
      </c>
      <c r="H109" s="919">
        <v>2.5573999999999999</v>
      </c>
      <c r="I109" s="919">
        <v>2.4767999999999999</v>
      </c>
      <c r="J109" s="919">
        <v>2.4767999999999999</v>
      </c>
      <c r="K109" s="919">
        <v>2.4767999999999999</v>
      </c>
      <c r="L109" s="919">
        <v>2.4767999999999999</v>
      </c>
      <c r="M109" s="919">
        <v>2.4767999999999999</v>
      </c>
    </row>
    <row r="110" spans="1:14">
      <c r="A110" s="910">
        <v>0.6</v>
      </c>
      <c r="B110" s="919">
        <v>2.2888000000000002</v>
      </c>
      <c r="C110" s="919">
        <v>2.2888000000000002</v>
      </c>
      <c r="D110" s="919">
        <v>2.1312000000000002</v>
      </c>
      <c r="E110" s="919">
        <v>2.1312000000000002</v>
      </c>
      <c r="F110" s="919">
        <v>2.1312000000000002</v>
      </c>
      <c r="G110" s="919">
        <v>2.1312000000000002</v>
      </c>
      <c r="H110" s="919">
        <v>2.1312000000000002</v>
      </c>
      <c r="I110" s="919">
        <v>2.0640000000000001</v>
      </c>
      <c r="J110" s="919">
        <v>2.0640000000000001</v>
      </c>
      <c r="K110" s="919">
        <v>2.0640000000000001</v>
      </c>
      <c r="L110" s="919">
        <v>2.0640000000000001</v>
      </c>
      <c r="M110" s="919">
        <v>2.0640000000000001</v>
      </c>
    </row>
    <row r="111" spans="1:14">
      <c r="A111" s="910">
        <v>0.7</v>
      </c>
      <c r="B111" s="919">
        <v>1.9619</v>
      </c>
      <c r="C111" s="919">
        <v>1.9619</v>
      </c>
      <c r="D111" s="919">
        <v>1.8267</v>
      </c>
      <c r="E111" s="919">
        <v>1.8267</v>
      </c>
      <c r="F111" s="919">
        <v>1.8267</v>
      </c>
      <c r="G111" s="919">
        <v>1.8267</v>
      </c>
      <c r="H111" s="919">
        <v>1.8267</v>
      </c>
      <c r="I111" s="919">
        <v>1.7690999999999999</v>
      </c>
      <c r="J111" s="919">
        <v>1.7690999999999999</v>
      </c>
      <c r="K111" s="919">
        <v>1.7690999999999999</v>
      </c>
      <c r="L111" s="919">
        <v>1.7690999999999999</v>
      </c>
      <c r="M111" s="919">
        <v>1.7690999999999999</v>
      </c>
    </row>
    <row r="112" spans="1:14">
      <c r="A112" s="910">
        <v>0.8</v>
      </c>
      <c r="B112" s="919">
        <v>1.7165999999999999</v>
      </c>
      <c r="C112" s="919">
        <v>1.7165999999999999</v>
      </c>
      <c r="D112" s="919">
        <v>1.5984</v>
      </c>
      <c r="E112" s="919">
        <v>1.5984</v>
      </c>
      <c r="F112" s="919">
        <v>1.5984</v>
      </c>
      <c r="G112" s="919">
        <v>1.5984</v>
      </c>
      <c r="H112" s="919">
        <v>1.5984</v>
      </c>
      <c r="I112" s="919">
        <v>1.548</v>
      </c>
      <c r="J112" s="919">
        <v>1.548</v>
      </c>
      <c r="K112" s="919">
        <v>1.548</v>
      </c>
      <c r="L112" s="919">
        <v>1.548</v>
      </c>
      <c r="M112" s="919">
        <v>1.548</v>
      </c>
    </row>
    <row r="113" spans="1:13">
      <c r="A113" s="910">
        <v>0.9</v>
      </c>
      <c r="B113" s="919">
        <v>1.5259</v>
      </c>
      <c r="C113" s="919">
        <v>1.5259</v>
      </c>
      <c r="D113" s="919">
        <v>1.4208000000000001</v>
      </c>
      <c r="E113" s="919">
        <v>1.4208000000000001</v>
      </c>
      <c r="F113" s="919">
        <v>1.4208000000000001</v>
      </c>
      <c r="G113" s="919">
        <v>1.4208000000000001</v>
      </c>
      <c r="H113" s="919">
        <v>1.4208000000000001</v>
      </c>
      <c r="I113" s="919">
        <v>1.3759999999999999</v>
      </c>
      <c r="J113" s="919">
        <v>1.3759999999999999</v>
      </c>
      <c r="K113" s="919">
        <v>1.3759999999999999</v>
      </c>
      <c r="L113" s="919">
        <v>1.3759999999999999</v>
      </c>
      <c r="M113" s="919">
        <v>1.3759999999999999</v>
      </c>
    </row>
    <row r="114" spans="1:13">
      <c r="A114" s="910">
        <v>1</v>
      </c>
      <c r="B114" s="919">
        <v>1.3733</v>
      </c>
      <c r="C114" s="919">
        <v>1.3733</v>
      </c>
      <c r="D114" s="919">
        <v>1.2786999999999999</v>
      </c>
      <c r="E114" s="919">
        <v>1.2786999999999999</v>
      </c>
      <c r="F114" s="919">
        <v>1.2786999999999999</v>
      </c>
      <c r="G114" s="919">
        <v>1.2786999999999999</v>
      </c>
      <c r="H114" s="919">
        <v>1.2786999999999999</v>
      </c>
      <c r="I114" s="919">
        <v>1.2383999999999999</v>
      </c>
      <c r="J114" s="919">
        <v>1.2383999999999999</v>
      </c>
      <c r="K114" s="919">
        <v>1.2383999999999999</v>
      </c>
      <c r="L114" s="919">
        <v>1.2383999999999999</v>
      </c>
      <c r="M114" s="919">
        <v>1.2383999999999999</v>
      </c>
    </row>
    <row r="115" spans="1:13">
      <c r="A115" s="910">
        <v>1.1000000000000001</v>
      </c>
      <c r="B115" s="919">
        <v>1.3489</v>
      </c>
      <c r="C115" s="919">
        <v>1.3489</v>
      </c>
      <c r="D115" s="919">
        <v>1.2542</v>
      </c>
      <c r="E115" s="919">
        <v>1.2542</v>
      </c>
      <c r="F115" s="919">
        <v>1.2542</v>
      </c>
      <c r="G115" s="919">
        <v>1.2542</v>
      </c>
      <c r="H115" s="919">
        <v>1.2542</v>
      </c>
      <c r="I115" s="919">
        <v>1.2050000000000001</v>
      </c>
      <c r="J115" s="919">
        <v>1.2050000000000001</v>
      </c>
      <c r="K115" s="919">
        <v>1.2050000000000001</v>
      </c>
      <c r="L115" s="919">
        <v>1.2050000000000001</v>
      </c>
      <c r="M115" s="919">
        <v>1.2050000000000001</v>
      </c>
    </row>
    <row r="116" spans="1:13">
      <c r="A116" s="910">
        <v>1.2</v>
      </c>
      <c r="B116" s="919">
        <v>1.3255999999999999</v>
      </c>
      <c r="C116" s="919">
        <v>1.3255999999999999</v>
      </c>
      <c r="D116" s="919">
        <v>1.2305999999999999</v>
      </c>
      <c r="E116" s="919">
        <v>1.2305999999999999</v>
      </c>
      <c r="F116" s="919">
        <v>1.2305999999999999</v>
      </c>
      <c r="G116" s="919">
        <v>1.2305999999999999</v>
      </c>
      <c r="H116" s="919">
        <v>1.2305999999999999</v>
      </c>
      <c r="I116" s="919">
        <v>1.1741999999999999</v>
      </c>
      <c r="J116" s="919">
        <v>1.1741999999999999</v>
      </c>
      <c r="K116" s="919">
        <v>1.1741999999999999</v>
      </c>
      <c r="L116" s="919">
        <v>1.1741999999999999</v>
      </c>
      <c r="M116" s="919">
        <v>1.1741999999999999</v>
      </c>
    </row>
    <row r="117" spans="1:13">
      <c r="A117" s="910">
        <v>1.3</v>
      </c>
      <c r="B117" s="919">
        <v>1.3032999999999999</v>
      </c>
      <c r="C117" s="919">
        <v>1.3032999999999999</v>
      </c>
      <c r="D117" s="919">
        <v>1.2079</v>
      </c>
      <c r="E117" s="919">
        <v>1.2079</v>
      </c>
      <c r="F117" s="919">
        <v>1.2079</v>
      </c>
      <c r="G117" s="919">
        <v>1.2079</v>
      </c>
      <c r="H117" s="919">
        <v>1.2079</v>
      </c>
      <c r="I117" s="919">
        <v>1.1459999999999999</v>
      </c>
      <c r="J117" s="919">
        <v>1.1459999999999999</v>
      </c>
      <c r="K117" s="919">
        <v>1.1459999999999999</v>
      </c>
      <c r="L117" s="919">
        <v>1.1459999999999999</v>
      </c>
      <c r="M117" s="919">
        <v>1.1459999999999999</v>
      </c>
    </row>
    <row r="118" spans="1:13">
      <c r="A118" s="910">
        <v>1.4</v>
      </c>
      <c r="B118" s="919">
        <v>1.282</v>
      </c>
      <c r="C118" s="919">
        <v>1.282</v>
      </c>
      <c r="D118" s="919">
        <v>1.1861999999999999</v>
      </c>
      <c r="E118" s="919">
        <v>1.1861999999999999</v>
      </c>
      <c r="F118" s="919">
        <v>1.1861999999999999</v>
      </c>
      <c r="G118" s="919">
        <v>1.1861999999999999</v>
      </c>
      <c r="H118" s="919">
        <v>1.1861999999999999</v>
      </c>
      <c r="I118" s="919">
        <v>1.1200000000000001</v>
      </c>
      <c r="J118" s="919">
        <v>1.1200000000000001</v>
      </c>
      <c r="K118" s="919">
        <v>1.1200000000000001</v>
      </c>
      <c r="L118" s="919">
        <v>1.1200000000000001</v>
      </c>
      <c r="M118" s="919">
        <v>1.1200000000000001</v>
      </c>
    </row>
    <row r="119" spans="1:13">
      <c r="A119" s="910">
        <v>1.5</v>
      </c>
      <c r="B119" s="919">
        <v>1.2617</v>
      </c>
      <c r="C119" s="919">
        <v>1.2617</v>
      </c>
      <c r="D119" s="919">
        <v>1.1653</v>
      </c>
      <c r="E119" s="919">
        <v>1.1653</v>
      </c>
      <c r="F119" s="919">
        <v>1.1653</v>
      </c>
      <c r="G119" s="919">
        <v>1.1653</v>
      </c>
      <c r="H119" s="919">
        <v>1.1653</v>
      </c>
      <c r="I119" s="919">
        <v>1.0961000000000001</v>
      </c>
      <c r="J119" s="919">
        <v>1.0961000000000001</v>
      </c>
      <c r="K119" s="919">
        <v>1.0961000000000001</v>
      </c>
      <c r="L119" s="919">
        <v>1.0961000000000001</v>
      </c>
      <c r="M119" s="919">
        <v>1.0961000000000001</v>
      </c>
    </row>
    <row r="120" spans="1:13">
      <c r="A120" s="910">
        <v>1.6</v>
      </c>
      <c r="B120" s="919">
        <v>1.2423</v>
      </c>
      <c r="C120" s="919">
        <v>1.2423</v>
      </c>
      <c r="D120" s="919">
        <v>1.1453</v>
      </c>
      <c r="E120" s="919">
        <v>1.1453</v>
      </c>
      <c r="F120" s="919">
        <v>1.1453</v>
      </c>
      <c r="G120" s="919">
        <v>1.1453</v>
      </c>
      <c r="H120" s="919">
        <v>1.1453</v>
      </c>
      <c r="I120" s="919">
        <v>1.0740000000000001</v>
      </c>
      <c r="J120" s="919">
        <v>1.0740000000000001</v>
      </c>
      <c r="K120" s="919">
        <v>1.0740000000000001</v>
      </c>
      <c r="L120" s="919">
        <v>1.0740000000000001</v>
      </c>
      <c r="M120" s="919">
        <v>1.0740000000000001</v>
      </c>
    </row>
    <row r="121" spans="1:13">
      <c r="A121" s="910">
        <v>1.7</v>
      </c>
      <c r="B121" s="919">
        <v>1.2237</v>
      </c>
      <c r="C121" s="919">
        <v>1.2237</v>
      </c>
      <c r="D121" s="919">
        <v>1.1261000000000001</v>
      </c>
      <c r="E121" s="919">
        <v>1.1261000000000001</v>
      </c>
      <c r="F121" s="919">
        <v>1.1261000000000001</v>
      </c>
      <c r="G121" s="919">
        <v>1.1261000000000001</v>
      </c>
      <c r="H121" s="919">
        <v>1.1261000000000001</v>
      </c>
      <c r="I121" s="919">
        <v>1.0535000000000001</v>
      </c>
      <c r="J121" s="919">
        <v>1.0535000000000001</v>
      </c>
      <c r="K121" s="919">
        <v>1.0535000000000001</v>
      </c>
      <c r="L121" s="919">
        <v>1.0535000000000001</v>
      </c>
      <c r="M121" s="919">
        <v>1.0535000000000001</v>
      </c>
    </row>
    <row r="122" spans="1:13">
      <c r="A122" s="910">
        <v>1.8</v>
      </c>
      <c r="B122" s="919">
        <v>1.206</v>
      </c>
      <c r="C122" s="919">
        <v>1.206</v>
      </c>
      <c r="D122" s="919">
        <v>1.1076999999999999</v>
      </c>
      <c r="E122" s="919">
        <v>1.1076999999999999</v>
      </c>
      <c r="F122" s="919">
        <v>1.1076999999999999</v>
      </c>
      <c r="G122" s="919">
        <v>1.1076999999999999</v>
      </c>
      <c r="H122" s="919">
        <v>1.1076999999999999</v>
      </c>
      <c r="I122" s="919">
        <v>1.0345</v>
      </c>
      <c r="J122" s="919">
        <v>1.0345</v>
      </c>
      <c r="K122" s="919">
        <v>1.0345</v>
      </c>
      <c r="L122" s="919">
        <v>1.0345</v>
      </c>
      <c r="M122" s="919">
        <v>1.0345</v>
      </c>
    </row>
    <row r="123" spans="1:13">
      <c r="A123" s="910">
        <v>1.9</v>
      </c>
      <c r="B123" s="919">
        <v>1.1891</v>
      </c>
      <c r="C123" s="919">
        <v>1.1891</v>
      </c>
      <c r="D123" s="919">
        <v>1.0901000000000001</v>
      </c>
      <c r="E123" s="919">
        <v>1.0901000000000001</v>
      </c>
      <c r="F123" s="919">
        <v>1.0901000000000001</v>
      </c>
      <c r="G123" s="919">
        <v>1.0901000000000001</v>
      </c>
      <c r="H123" s="919">
        <v>1.0901000000000001</v>
      </c>
      <c r="I123" s="919">
        <v>1.0166999999999999</v>
      </c>
      <c r="J123" s="919">
        <v>1.0166999999999999</v>
      </c>
      <c r="K123" s="919">
        <v>1.0166999999999999</v>
      </c>
      <c r="L123" s="919">
        <v>1.0166999999999999</v>
      </c>
      <c r="M123" s="919">
        <v>1.0166999999999999</v>
      </c>
    </row>
    <row r="124" spans="1:13">
      <c r="A124" s="910">
        <v>2</v>
      </c>
      <c r="B124" s="919">
        <v>1.1729000000000001</v>
      </c>
      <c r="C124" s="919">
        <v>1.1729000000000001</v>
      </c>
      <c r="D124" s="919">
        <v>1.0732999999999999</v>
      </c>
      <c r="E124" s="919">
        <v>1.0732999999999999</v>
      </c>
      <c r="F124" s="919">
        <v>1.0732999999999999</v>
      </c>
      <c r="G124" s="919">
        <v>1.0732999999999999</v>
      </c>
      <c r="H124" s="919">
        <v>1.0732999999999999</v>
      </c>
      <c r="I124" s="919">
        <v>1</v>
      </c>
      <c r="J124" s="919">
        <v>1</v>
      </c>
      <c r="K124" s="919">
        <v>1</v>
      </c>
      <c r="L124" s="919">
        <v>1</v>
      </c>
      <c r="M124" s="919">
        <v>1</v>
      </c>
    </row>
    <row r="125" spans="1:13">
      <c r="A125" s="934">
        <v>2.1</v>
      </c>
      <c r="B125" s="919">
        <v>1.1574</v>
      </c>
      <c r="C125" s="919">
        <v>1.1574</v>
      </c>
      <c r="D125" s="919">
        <v>1.0571999999999999</v>
      </c>
      <c r="E125" s="919">
        <v>1.0571999999999999</v>
      </c>
      <c r="F125" s="919">
        <v>1.0571999999999999</v>
      </c>
      <c r="G125" s="919">
        <v>1.0571999999999999</v>
      </c>
      <c r="H125" s="919">
        <v>1.0571999999999999</v>
      </c>
      <c r="I125" s="919">
        <v>0.98409999999999997</v>
      </c>
      <c r="J125" s="919">
        <v>0.98409999999999997</v>
      </c>
      <c r="K125" s="919">
        <v>0.98409999999999997</v>
      </c>
      <c r="L125" s="919">
        <v>0.98409999999999997</v>
      </c>
      <c r="M125" s="919">
        <v>0.98409999999999997</v>
      </c>
    </row>
    <row r="126" spans="1:13">
      <c r="A126" s="934">
        <v>2.2000000000000002</v>
      </c>
      <c r="B126" s="919">
        <v>1.1426000000000001</v>
      </c>
      <c r="C126" s="919">
        <v>1.1426000000000001</v>
      </c>
      <c r="D126" s="919">
        <v>1.0419</v>
      </c>
      <c r="E126" s="919">
        <v>1.0419</v>
      </c>
      <c r="F126" s="919">
        <v>1.0419</v>
      </c>
      <c r="G126" s="919">
        <v>1.0419</v>
      </c>
      <c r="H126" s="919">
        <v>1.0419</v>
      </c>
      <c r="I126" s="919">
        <v>0.96889999999999998</v>
      </c>
      <c r="J126" s="919">
        <v>0.96889999999999998</v>
      </c>
      <c r="K126" s="919">
        <v>0.96889999999999998</v>
      </c>
      <c r="L126" s="919">
        <v>0.96889999999999998</v>
      </c>
      <c r="M126" s="919">
        <v>0.96889999999999998</v>
      </c>
    </row>
    <row r="127" spans="1:13">
      <c r="A127" s="934">
        <v>2.2999999999999998</v>
      </c>
      <c r="B127" s="919">
        <v>1.1285000000000001</v>
      </c>
      <c r="C127" s="919">
        <v>1.1285000000000001</v>
      </c>
      <c r="D127" s="919">
        <v>1.0271999999999999</v>
      </c>
      <c r="E127" s="919">
        <v>1.0271999999999999</v>
      </c>
      <c r="F127" s="919">
        <v>1.0271999999999999</v>
      </c>
      <c r="G127" s="919">
        <v>1.0271999999999999</v>
      </c>
      <c r="H127" s="919">
        <v>1.0271999999999999</v>
      </c>
      <c r="I127" s="919">
        <v>0.95440000000000003</v>
      </c>
      <c r="J127" s="919">
        <v>0.95440000000000003</v>
      </c>
      <c r="K127" s="919">
        <v>0.95440000000000003</v>
      </c>
      <c r="L127" s="919">
        <v>0.95440000000000003</v>
      </c>
      <c r="M127" s="919">
        <v>0.95440000000000003</v>
      </c>
    </row>
    <row r="128" spans="1:13">
      <c r="A128" s="934">
        <v>2.4</v>
      </c>
      <c r="B128" s="919">
        <v>1.1149</v>
      </c>
      <c r="C128" s="919">
        <v>1.1149</v>
      </c>
      <c r="D128" s="919">
        <v>1.0133000000000001</v>
      </c>
      <c r="E128" s="919">
        <v>1.0133000000000001</v>
      </c>
      <c r="F128" s="919">
        <v>1.0133000000000001</v>
      </c>
      <c r="G128" s="919">
        <v>1.0133000000000001</v>
      </c>
      <c r="H128" s="919">
        <v>1.0133000000000001</v>
      </c>
      <c r="I128" s="919">
        <v>0.9405</v>
      </c>
      <c r="J128" s="919">
        <v>0.9405</v>
      </c>
      <c r="K128" s="919">
        <v>0.9405</v>
      </c>
      <c r="L128" s="919">
        <v>0.9405</v>
      </c>
      <c r="M128" s="919">
        <v>0.9405</v>
      </c>
    </row>
    <row r="129" spans="1:13">
      <c r="A129" s="934">
        <v>2.5</v>
      </c>
      <c r="B129" s="919">
        <v>1.1020000000000001</v>
      </c>
      <c r="C129" s="919">
        <v>1.1020000000000001</v>
      </c>
      <c r="D129" s="919">
        <v>1</v>
      </c>
      <c r="E129" s="919">
        <v>1</v>
      </c>
      <c r="F129" s="919">
        <v>1</v>
      </c>
      <c r="G129" s="919">
        <v>1</v>
      </c>
      <c r="H129" s="919">
        <v>1</v>
      </c>
      <c r="I129" s="919">
        <v>0.92730000000000001</v>
      </c>
      <c r="J129" s="919">
        <v>0.92730000000000001</v>
      </c>
      <c r="K129" s="919">
        <v>0.92730000000000001</v>
      </c>
      <c r="L129" s="919">
        <v>0.92730000000000001</v>
      </c>
      <c r="M129" s="919">
        <v>0.92730000000000001</v>
      </c>
    </row>
    <row r="130" spans="1:13">
      <c r="A130" s="934">
        <v>2.6</v>
      </c>
      <c r="B130" s="919">
        <v>1.0895999999999999</v>
      </c>
      <c r="C130" s="919">
        <v>1.0895999999999999</v>
      </c>
      <c r="D130" s="919">
        <v>0.98740000000000006</v>
      </c>
      <c r="E130" s="919">
        <v>0.98740000000000006</v>
      </c>
      <c r="F130" s="919">
        <v>0.98740000000000006</v>
      </c>
      <c r="G130" s="919">
        <v>0.98740000000000006</v>
      </c>
      <c r="H130" s="919">
        <v>0.98740000000000006</v>
      </c>
      <c r="I130" s="919">
        <v>0.91469999999999996</v>
      </c>
      <c r="J130" s="919">
        <v>0.91469999999999996</v>
      </c>
      <c r="K130" s="919">
        <v>0.91469999999999996</v>
      </c>
      <c r="L130" s="919">
        <v>0.91469999999999996</v>
      </c>
      <c r="M130" s="919">
        <v>0.91469999999999996</v>
      </c>
    </row>
    <row r="131" spans="1:13">
      <c r="A131" s="934">
        <v>2.7</v>
      </c>
      <c r="B131" s="919">
        <v>1.0778000000000001</v>
      </c>
      <c r="C131" s="919">
        <v>1.0778000000000001</v>
      </c>
      <c r="D131" s="919">
        <v>0.97540000000000004</v>
      </c>
      <c r="E131" s="919">
        <v>0.97540000000000004</v>
      </c>
      <c r="F131" s="919">
        <v>0.97540000000000004</v>
      </c>
      <c r="G131" s="919">
        <v>0.97540000000000004</v>
      </c>
      <c r="H131" s="919">
        <v>0.97540000000000004</v>
      </c>
      <c r="I131" s="919">
        <v>0.90269999999999995</v>
      </c>
      <c r="J131" s="919">
        <v>0.90269999999999995</v>
      </c>
      <c r="K131" s="919">
        <v>0.90269999999999995</v>
      </c>
      <c r="L131" s="919">
        <v>0.90269999999999995</v>
      </c>
      <c r="M131" s="919">
        <v>0.90269999999999995</v>
      </c>
    </row>
    <row r="132" spans="1:13">
      <c r="A132" s="934">
        <v>2.8</v>
      </c>
      <c r="B132" s="919">
        <v>1.0665</v>
      </c>
      <c r="C132" s="919">
        <v>1.0665</v>
      </c>
      <c r="D132" s="919">
        <v>0.96399999999999997</v>
      </c>
      <c r="E132" s="919">
        <v>0.96399999999999997</v>
      </c>
      <c r="F132" s="919">
        <v>0.96399999999999997</v>
      </c>
      <c r="G132" s="919">
        <v>0.96399999999999997</v>
      </c>
      <c r="H132" s="919">
        <v>0.96399999999999997</v>
      </c>
      <c r="I132" s="919">
        <v>0.89119999999999999</v>
      </c>
      <c r="J132" s="919">
        <v>0.89119999999999999</v>
      </c>
      <c r="K132" s="919">
        <v>0.89119999999999999</v>
      </c>
      <c r="L132" s="919">
        <v>0.89119999999999999</v>
      </c>
      <c r="M132" s="919">
        <v>0.89119999999999999</v>
      </c>
    </row>
    <row r="133" spans="1:13">
      <c r="A133" s="934">
        <v>2.9</v>
      </c>
      <c r="B133" s="919">
        <v>1.0556000000000001</v>
      </c>
      <c r="C133" s="919">
        <v>1.0556000000000001</v>
      </c>
      <c r="D133" s="919">
        <v>0.95330000000000004</v>
      </c>
      <c r="E133" s="919">
        <v>0.95330000000000004</v>
      </c>
      <c r="F133" s="919">
        <v>0.95330000000000004</v>
      </c>
      <c r="G133" s="919">
        <v>0.95330000000000004</v>
      </c>
      <c r="H133" s="919">
        <v>0.95330000000000004</v>
      </c>
      <c r="I133" s="919">
        <v>0.88019999999999998</v>
      </c>
      <c r="J133" s="919">
        <v>0.88019999999999998</v>
      </c>
      <c r="K133" s="919">
        <v>0.88019999999999998</v>
      </c>
      <c r="L133" s="919">
        <v>0.88019999999999998</v>
      </c>
      <c r="M133" s="919">
        <v>0.88019999999999998</v>
      </c>
    </row>
    <row r="134" spans="1:13">
      <c r="A134" s="934">
        <v>3</v>
      </c>
      <c r="B134" s="919">
        <v>1.0452999999999999</v>
      </c>
      <c r="C134" s="919">
        <v>1.0452999999999999</v>
      </c>
      <c r="D134" s="919">
        <v>0.94299999999999995</v>
      </c>
      <c r="E134" s="919">
        <v>0.94299999999999995</v>
      </c>
      <c r="F134" s="919">
        <v>0.94299999999999995</v>
      </c>
      <c r="G134" s="919">
        <v>0.94299999999999995</v>
      </c>
      <c r="H134" s="919">
        <v>0.94299999999999995</v>
      </c>
      <c r="I134" s="919">
        <v>0.86970000000000003</v>
      </c>
      <c r="J134" s="919">
        <v>0.86970000000000003</v>
      </c>
      <c r="K134" s="919">
        <v>0.86970000000000003</v>
      </c>
      <c r="L134" s="919">
        <v>0.86970000000000003</v>
      </c>
      <c r="M134" s="919">
        <v>0.86970000000000003</v>
      </c>
    </row>
    <row r="135" spans="1:13">
      <c r="A135" s="934">
        <v>3.1</v>
      </c>
      <c r="B135" s="919">
        <v>1.0354000000000001</v>
      </c>
      <c r="C135" s="919">
        <v>1.0354000000000001</v>
      </c>
      <c r="D135" s="919">
        <v>0.93330000000000002</v>
      </c>
      <c r="E135" s="919">
        <v>0.93330000000000002</v>
      </c>
      <c r="F135" s="919">
        <v>0.93330000000000002</v>
      </c>
      <c r="G135" s="919">
        <v>0.93330000000000002</v>
      </c>
      <c r="H135" s="919">
        <v>0.93330000000000002</v>
      </c>
      <c r="I135" s="919">
        <v>0.85970000000000002</v>
      </c>
      <c r="J135" s="919">
        <v>0.85970000000000002</v>
      </c>
      <c r="K135" s="919">
        <v>0.85970000000000002</v>
      </c>
      <c r="L135" s="919">
        <v>0.85970000000000002</v>
      </c>
      <c r="M135" s="919">
        <v>0.85970000000000002</v>
      </c>
    </row>
    <row r="136" spans="1:13">
      <c r="A136" s="934">
        <v>3.2</v>
      </c>
      <c r="B136" s="919">
        <v>1.0259</v>
      </c>
      <c r="C136" s="919">
        <v>1.0259</v>
      </c>
      <c r="D136" s="919">
        <v>0.92410000000000003</v>
      </c>
      <c r="E136" s="919">
        <v>0.92410000000000003</v>
      </c>
      <c r="F136" s="919">
        <v>0.92410000000000003</v>
      </c>
      <c r="G136" s="919">
        <v>0.92410000000000003</v>
      </c>
      <c r="H136" s="919">
        <v>0.92410000000000003</v>
      </c>
      <c r="I136" s="919">
        <v>0.85019999999999996</v>
      </c>
      <c r="J136" s="919">
        <v>0.85019999999999996</v>
      </c>
      <c r="K136" s="919">
        <v>0.85019999999999996</v>
      </c>
      <c r="L136" s="919">
        <v>0.85019999999999996</v>
      </c>
      <c r="M136" s="919">
        <v>0.85019999999999996</v>
      </c>
    </row>
    <row r="137" spans="1:13">
      <c r="A137" s="934">
        <v>3.3</v>
      </c>
      <c r="B137" s="919">
        <v>1.0168999999999999</v>
      </c>
      <c r="C137" s="919">
        <v>1.0168999999999999</v>
      </c>
      <c r="D137" s="919">
        <v>0.91539999999999999</v>
      </c>
      <c r="E137" s="919">
        <v>0.91539999999999999</v>
      </c>
      <c r="F137" s="919">
        <v>0.91539999999999999</v>
      </c>
      <c r="G137" s="919">
        <v>0.91539999999999999</v>
      </c>
      <c r="H137" s="919">
        <v>0.91539999999999999</v>
      </c>
      <c r="I137" s="919">
        <v>0.84109999999999996</v>
      </c>
      <c r="J137" s="919">
        <v>0.84109999999999996</v>
      </c>
      <c r="K137" s="919">
        <v>0.84109999999999996</v>
      </c>
      <c r="L137" s="919">
        <v>0.84109999999999996</v>
      </c>
      <c r="M137" s="919">
        <v>0.84109999999999996</v>
      </c>
    </row>
    <row r="138" spans="1:13">
      <c r="A138" s="934">
        <v>3.4</v>
      </c>
      <c r="B138" s="919">
        <v>1.0082</v>
      </c>
      <c r="C138" s="919">
        <v>1.0082</v>
      </c>
      <c r="D138" s="919">
        <v>0.90710000000000002</v>
      </c>
      <c r="E138" s="919">
        <v>0.90710000000000002</v>
      </c>
      <c r="F138" s="919">
        <v>0.90710000000000002</v>
      </c>
      <c r="G138" s="919">
        <v>0.90710000000000002</v>
      </c>
      <c r="H138" s="919">
        <v>0.90710000000000002</v>
      </c>
      <c r="I138" s="919">
        <v>0.83240000000000003</v>
      </c>
      <c r="J138" s="919">
        <v>0.83240000000000003</v>
      </c>
      <c r="K138" s="919">
        <v>0.83240000000000003</v>
      </c>
      <c r="L138" s="919">
        <v>0.83240000000000003</v>
      </c>
      <c r="M138" s="919">
        <v>0.83240000000000003</v>
      </c>
    </row>
    <row r="139" spans="1:13">
      <c r="A139" s="934">
        <v>3.5</v>
      </c>
      <c r="B139" s="919">
        <v>1</v>
      </c>
      <c r="C139" s="919">
        <v>1</v>
      </c>
      <c r="D139" s="919">
        <v>0.89929999999999999</v>
      </c>
      <c r="E139" s="919">
        <v>0.89929999999999999</v>
      </c>
      <c r="F139" s="919">
        <v>0.89929999999999999</v>
      </c>
      <c r="G139" s="919">
        <v>0.89929999999999999</v>
      </c>
      <c r="H139" s="919">
        <v>0.89929999999999999</v>
      </c>
      <c r="I139" s="919">
        <v>0.82410000000000005</v>
      </c>
      <c r="J139" s="919">
        <v>0.82410000000000005</v>
      </c>
      <c r="K139" s="919">
        <v>0.82410000000000005</v>
      </c>
      <c r="L139" s="919">
        <v>0.82410000000000005</v>
      </c>
      <c r="M139" s="919">
        <v>0.82410000000000005</v>
      </c>
    </row>
    <row r="140" spans="1:13">
      <c r="A140" s="934">
        <v>3.6</v>
      </c>
      <c r="B140" s="919">
        <v>0.99219999999999997</v>
      </c>
      <c r="C140" s="919">
        <v>0.99219999999999997</v>
      </c>
      <c r="D140" s="919">
        <v>0.89190000000000003</v>
      </c>
      <c r="E140" s="919">
        <v>0.89190000000000003</v>
      </c>
      <c r="F140" s="919">
        <v>0.89190000000000003</v>
      </c>
      <c r="G140" s="919">
        <v>0.89190000000000003</v>
      </c>
      <c r="H140" s="919">
        <v>0.89190000000000003</v>
      </c>
      <c r="I140" s="919">
        <v>0.81620000000000004</v>
      </c>
      <c r="J140" s="919">
        <v>0.81620000000000004</v>
      </c>
      <c r="K140" s="919">
        <v>0.81620000000000004</v>
      </c>
      <c r="L140" s="919">
        <v>0.81620000000000004</v>
      </c>
      <c r="M140" s="919">
        <v>0.81620000000000004</v>
      </c>
    </row>
    <row r="141" spans="1:13">
      <c r="A141" s="934">
        <v>3.7</v>
      </c>
      <c r="B141" s="919">
        <v>0.98480000000000001</v>
      </c>
      <c r="C141" s="919">
        <v>0.98480000000000001</v>
      </c>
      <c r="D141" s="919">
        <v>0.88480000000000003</v>
      </c>
      <c r="E141" s="919">
        <v>0.88480000000000003</v>
      </c>
      <c r="F141" s="919">
        <v>0.88480000000000003</v>
      </c>
      <c r="G141" s="919">
        <v>0.88480000000000003</v>
      </c>
      <c r="H141" s="919">
        <v>0.88480000000000003</v>
      </c>
      <c r="I141" s="919">
        <v>0.80869999999999997</v>
      </c>
      <c r="J141" s="919">
        <v>0.80869999999999997</v>
      </c>
      <c r="K141" s="919">
        <v>0.80869999999999997</v>
      </c>
      <c r="L141" s="919">
        <v>0.80869999999999997</v>
      </c>
      <c r="M141" s="919">
        <v>0.80869999999999997</v>
      </c>
    </row>
    <row r="142" spans="1:13">
      <c r="A142" s="934">
        <v>3.8</v>
      </c>
      <c r="B142" s="919">
        <v>0.9778</v>
      </c>
      <c r="C142" s="919">
        <v>0.9778</v>
      </c>
      <c r="D142" s="919">
        <v>0.87809999999999999</v>
      </c>
      <c r="E142" s="919">
        <v>0.87809999999999999</v>
      </c>
      <c r="F142" s="919">
        <v>0.87809999999999999</v>
      </c>
      <c r="G142" s="919">
        <v>0.87809999999999999</v>
      </c>
      <c r="H142" s="919">
        <v>0.87809999999999999</v>
      </c>
      <c r="I142" s="919">
        <v>0.80159999999999998</v>
      </c>
      <c r="J142" s="919">
        <v>0.80159999999999998</v>
      </c>
      <c r="K142" s="919">
        <v>0.80159999999999998</v>
      </c>
      <c r="L142" s="919">
        <v>0.80159999999999998</v>
      </c>
      <c r="M142" s="919">
        <v>0.80159999999999998</v>
      </c>
    </row>
    <row r="143" spans="1:13">
      <c r="A143" s="934">
        <v>3.9</v>
      </c>
      <c r="B143" s="919">
        <v>0.97119999999999995</v>
      </c>
      <c r="C143" s="919">
        <v>0.97119999999999995</v>
      </c>
      <c r="D143" s="919">
        <v>0.87180000000000002</v>
      </c>
      <c r="E143" s="919">
        <v>0.87180000000000002</v>
      </c>
      <c r="F143" s="919">
        <v>0.87180000000000002</v>
      </c>
      <c r="G143" s="919">
        <v>0.87180000000000002</v>
      </c>
      <c r="H143" s="919">
        <v>0.87180000000000002</v>
      </c>
      <c r="I143" s="919">
        <v>0.79479999999999995</v>
      </c>
      <c r="J143" s="919">
        <v>0.79479999999999995</v>
      </c>
      <c r="K143" s="919">
        <v>0.79479999999999995</v>
      </c>
      <c r="L143" s="919">
        <v>0.79479999999999995</v>
      </c>
      <c r="M143" s="919">
        <v>0.79479999999999995</v>
      </c>
    </row>
    <row r="144" spans="1:13">
      <c r="A144" s="934">
        <v>4</v>
      </c>
      <c r="B144" s="919">
        <v>0.96499999999999997</v>
      </c>
      <c r="C144" s="919">
        <v>0.96499999999999997</v>
      </c>
      <c r="D144" s="919">
        <v>0.86580000000000001</v>
      </c>
      <c r="E144" s="919">
        <v>0.86580000000000001</v>
      </c>
      <c r="F144" s="919">
        <v>0.86580000000000001</v>
      </c>
      <c r="G144" s="919">
        <v>0.86580000000000001</v>
      </c>
      <c r="H144" s="919">
        <v>0.86580000000000001</v>
      </c>
      <c r="I144" s="919">
        <v>0.7883</v>
      </c>
      <c r="J144" s="919">
        <v>0.7883</v>
      </c>
      <c r="K144" s="919">
        <v>0.7883</v>
      </c>
      <c r="L144" s="919">
        <v>0.7883</v>
      </c>
      <c r="M144" s="919">
        <v>0.7883</v>
      </c>
    </row>
    <row r="145" spans="1:13">
      <c r="A145" s="934">
        <v>4.0999999999999996</v>
      </c>
      <c r="B145" s="919">
        <v>0.95909999999999995</v>
      </c>
      <c r="C145" s="919">
        <v>0.95909999999999995</v>
      </c>
      <c r="D145" s="919">
        <v>0.86009999999999998</v>
      </c>
      <c r="E145" s="919">
        <v>0.86009999999999998</v>
      </c>
      <c r="F145" s="919">
        <v>0.86009999999999998</v>
      </c>
      <c r="G145" s="919">
        <v>0.86009999999999998</v>
      </c>
      <c r="H145" s="919">
        <v>0.86009999999999998</v>
      </c>
      <c r="I145" s="919">
        <v>0.78200000000000003</v>
      </c>
      <c r="J145" s="919">
        <v>0.78200000000000003</v>
      </c>
      <c r="K145" s="919">
        <v>0.78200000000000003</v>
      </c>
      <c r="L145" s="919">
        <v>0.78200000000000003</v>
      </c>
      <c r="M145" s="919">
        <v>0.78200000000000003</v>
      </c>
    </row>
    <row r="146" spans="1:13">
      <c r="A146" s="934">
        <v>4.2</v>
      </c>
      <c r="B146" s="919">
        <v>0.95350000000000001</v>
      </c>
      <c r="C146" s="919">
        <v>0.95350000000000001</v>
      </c>
      <c r="D146" s="919">
        <v>0.85470000000000002</v>
      </c>
      <c r="E146" s="919">
        <v>0.85470000000000002</v>
      </c>
      <c r="F146" s="919">
        <v>0.85470000000000002</v>
      </c>
      <c r="G146" s="919">
        <v>0.85470000000000002</v>
      </c>
      <c r="H146" s="919">
        <v>0.85470000000000002</v>
      </c>
      <c r="I146" s="919">
        <v>0.77600000000000002</v>
      </c>
      <c r="J146" s="919">
        <v>0.77600000000000002</v>
      </c>
      <c r="K146" s="919">
        <v>0.77600000000000002</v>
      </c>
      <c r="L146" s="919">
        <v>0.77600000000000002</v>
      </c>
      <c r="M146" s="919">
        <v>0.77600000000000002</v>
      </c>
    </row>
    <row r="147" spans="1:13">
      <c r="A147" s="934">
        <v>4.3</v>
      </c>
      <c r="B147" s="919">
        <v>0.94820000000000004</v>
      </c>
      <c r="C147" s="919">
        <v>0.94820000000000004</v>
      </c>
      <c r="D147" s="919">
        <v>0.84960000000000002</v>
      </c>
      <c r="E147" s="919">
        <v>0.84960000000000002</v>
      </c>
      <c r="F147" s="919">
        <v>0.84960000000000002</v>
      </c>
      <c r="G147" s="919">
        <v>0.84960000000000002</v>
      </c>
      <c r="H147" s="919">
        <v>0.84960000000000002</v>
      </c>
      <c r="I147" s="919">
        <v>0.77029999999999998</v>
      </c>
      <c r="J147" s="919">
        <v>0.77029999999999998</v>
      </c>
      <c r="K147" s="919">
        <v>0.77029999999999998</v>
      </c>
      <c r="L147" s="919">
        <v>0.77029999999999998</v>
      </c>
      <c r="M147" s="919">
        <v>0.77029999999999998</v>
      </c>
    </row>
    <row r="148" spans="1:13">
      <c r="A148" s="934">
        <v>4.4000000000000004</v>
      </c>
      <c r="B148" s="919">
        <v>0.94320000000000004</v>
      </c>
      <c r="C148" s="919">
        <v>0.94320000000000004</v>
      </c>
      <c r="D148" s="919">
        <v>0.8448</v>
      </c>
      <c r="E148" s="919">
        <v>0.8448</v>
      </c>
      <c r="F148" s="919">
        <v>0.8448</v>
      </c>
      <c r="G148" s="919">
        <v>0.8448</v>
      </c>
      <c r="H148" s="919">
        <v>0.8448</v>
      </c>
      <c r="I148" s="919">
        <v>0.76490000000000002</v>
      </c>
      <c r="J148" s="919">
        <v>0.76490000000000002</v>
      </c>
      <c r="K148" s="919">
        <v>0.76490000000000002</v>
      </c>
      <c r="L148" s="919">
        <v>0.76490000000000002</v>
      </c>
      <c r="M148" s="919">
        <v>0.76490000000000002</v>
      </c>
    </row>
    <row r="149" spans="1:13">
      <c r="A149" s="934">
        <v>4.5</v>
      </c>
      <c r="B149" s="919">
        <v>0.9385</v>
      </c>
      <c r="C149" s="919">
        <v>0.9385</v>
      </c>
      <c r="D149" s="919">
        <v>0.84019999999999995</v>
      </c>
      <c r="E149" s="919">
        <v>0.84019999999999995</v>
      </c>
      <c r="F149" s="919">
        <v>0.84019999999999995</v>
      </c>
      <c r="G149" s="919">
        <v>0.84019999999999995</v>
      </c>
      <c r="H149" s="919">
        <v>0.84019999999999995</v>
      </c>
      <c r="I149" s="919">
        <v>0.75970000000000004</v>
      </c>
      <c r="J149" s="919">
        <v>0.75970000000000004</v>
      </c>
      <c r="K149" s="919">
        <v>0.75970000000000004</v>
      </c>
      <c r="L149" s="919">
        <v>0.75970000000000004</v>
      </c>
      <c r="M149" s="919">
        <v>0.75970000000000004</v>
      </c>
    </row>
    <row r="150" spans="1:13">
      <c r="A150" s="934">
        <v>4.5999999999999996</v>
      </c>
      <c r="B150" s="919">
        <v>0.93410000000000004</v>
      </c>
      <c r="C150" s="919">
        <v>0.93410000000000004</v>
      </c>
      <c r="D150" s="919">
        <v>0.83579999999999999</v>
      </c>
      <c r="E150" s="919">
        <v>0.83579999999999999</v>
      </c>
      <c r="F150" s="919">
        <v>0.83579999999999999</v>
      </c>
      <c r="G150" s="919">
        <v>0.83579999999999999</v>
      </c>
      <c r="H150" s="919">
        <v>0.83579999999999999</v>
      </c>
      <c r="I150" s="919">
        <v>0.75470000000000004</v>
      </c>
      <c r="J150" s="919">
        <v>0.75470000000000004</v>
      </c>
      <c r="K150" s="919">
        <v>0.75470000000000004</v>
      </c>
      <c r="L150" s="919">
        <v>0.75470000000000004</v>
      </c>
      <c r="M150" s="919">
        <v>0.75470000000000004</v>
      </c>
    </row>
    <row r="151" spans="1:13">
      <c r="A151" s="934">
        <v>4.7</v>
      </c>
      <c r="B151" s="919">
        <v>0.92989999999999995</v>
      </c>
      <c r="C151" s="919">
        <v>0.92989999999999995</v>
      </c>
      <c r="D151" s="919">
        <v>0.83160000000000001</v>
      </c>
      <c r="E151" s="919">
        <v>0.83160000000000001</v>
      </c>
      <c r="F151" s="919">
        <v>0.83160000000000001</v>
      </c>
      <c r="G151" s="919">
        <v>0.83160000000000001</v>
      </c>
      <c r="H151" s="919">
        <v>0.83160000000000001</v>
      </c>
      <c r="I151" s="919">
        <v>0.74990000000000001</v>
      </c>
      <c r="J151" s="919">
        <v>0.74990000000000001</v>
      </c>
      <c r="K151" s="919">
        <v>0.74990000000000001</v>
      </c>
      <c r="L151" s="919">
        <v>0.74990000000000001</v>
      </c>
      <c r="M151" s="919">
        <v>0.74990000000000001</v>
      </c>
    </row>
    <row r="152" spans="1:13">
      <c r="A152" s="934">
        <v>4.8</v>
      </c>
      <c r="B152" s="919">
        <v>0.92589999999999995</v>
      </c>
      <c r="C152" s="919">
        <v>0.92589999999999995</v>
      </c>
      <c r="D152" s="919">
        <v>0.82769999999999999</v>
      </c>
      <c r="E152" s="919">
        <v>0.82769999999999999</v>
      </c>
      <c r="F152" s="919">
        <v>0.82769999999999999</v>
      </c>
      <c r="G152" s="919">
        <v>0.82769999999999999</v>
      </c>
      <c r="H152" s="919">
        <v>0.82769999999999999</v>
      </c>
      <c r="I152" s="919">
        <v>0.74529999999999996</v>
      </c>
      <c r="J152" s="919">
        <v>0.74529999999999996</v>
      </c>
      <c r="K152" s="919">
        <v>0.74529999999999996</v>
      </c>
      <c r="L152" s="919">
        <v>0.74529999999999996</v>
      </c>
      <c r="M152" s="919">
        <v>0.74529999999999996</v>
      </c>
    </row>
    <row r="153" spans="1:13">
      <c r="A153" s="934">
        <v>4.9000000000000004</v>
      </c>
      <c r="B153" s="919">
        <v>0.92210000000000003</v>
      </c>
      <c r="C153" s="919">
        <v>0.92210000000000003</v>
      </c>
      <c r="D153" s="919">
        <v>0.82389999999999997</v>
      </c>
      <c r="E153" s="919">
        <v>0.82389999999999997</v>
      </c>
      <c r="F153" s="919">
        <v>0.82389999999999997</v>
      </c>
      <c r="G153" s="919">
        <v>0.82389999999999997</v>
      </c>
      <c r="H153" s="919">
        <v>0.82389999999999997</v>
      </c>
      <c r="I153" s="919">
        <v>0.7409</v>
      </c>
      <c r="J153" s="919">
        <v>0.7409</v>
      </c>
      <c r="K153" s="919">
        <v>0.7409</v>
      </c>
      <c r="L153" s="919">
        <v>0.7409</v>
      </c>
      <c r="M153" s="919">
        <v>0.7409</v>
      </c>
    </row>
    <row r="154" spans="1:13">
      <c r="A154" s="934">
        <v>5</v>
      </c>
      <c r="B154" s="919">
        <v>0.91849999999999998</v>
      </c>
      <c r="C154" s="919">
        <v>0.91849999999999998</v>
      </c>
      <c r="D154" s="919">
        <v>0.82030000000000003</v>
      </c>
      <c r="E154" s="919">
        <v>0.82030000000000003</v>
      </c>
      <c r="F154" s="919">
        <v>0.82030000000000003</v>
      </c>
      <c r="G154" s="919">
        <v>0.82030000000000003</v>
      </c>
      <c r="H154" s="919">
        <v>0.82030000000000003</v>
      </c>
      <c r="I154" s="919">
        <v>0.73670000000000002</v>
      </c>
      <c r="J154" s="919">
        <v>0.73670000000000002</v>
      </c>
      <c r="K154" s="919">
        <v>0.73670000000000002</v>
      </c>
      <c r="L154" s="919">
        <v>0.73670000000000002</v>
      </c>
      <c r="M154" s="919">
        <v>0.73670000000000002</v>
      </c>
    </row>
    <row r="155" spans="1:13">
      <c r="A155" s="910">
        <v>5.0999999999999996</v>
      </c>
      <c r="B155" s="919">
        <v>0.91510000000000002</v>
      </c>
      <c r="C155" s="919">
        <v>0.91510000000000002</v>
      </c>
      <c r="D155" s="919">
        <v>0.81689999999999996</v>
      </c>
      <c r="E155" s="919">
        <v>0.81689999999999996</v>
      </c>
      <c r="F155" s="919">
        <v>0.81689999999999996</v>
      </c>
      <c r="G155" s="919">
        <v>0.81689999999999996</v>
      </c>
      <c r="H155" s="919">
        <v>0.81689999999999996</v>
      </c>
      <c r="I155" s="919">
        <v>0.73270000000000002</v>
      </c>
      <c r="J155" s="919">
        <v>0.73270000000000002</v>
      </c>
      <c r="K155" s="919">
        <v>0.73270000000000002</v>
      </c>
      <c r="L155" s="919">
        <v>0.73270000000000002</v>
      </c>
      <c r="M155" s="919">
        <v>0.73270000000000002</v>
      </c>
    </row>
    <row r="156" spans="1:13">
      <c r="A156" s="910">
        <v>5.2</v>
      </c>
      <c r="B156" s="919">
        <v>0.91190000000000004</v>
      </c>
      <c r="C156" s="919">
        <v>0.91190000000000004</v>
      </c>
      <c r="D156" s="919">
        <v>0.81359999999999999</v>
      </c>
      <c r="E156" s="919">
        <v>0.81359999999999999</v>
      </c>
      <c r="F156" s="919">
        <v>0.81359999999999999</v>
      </c>
      <c r="G156" s="919">
        <v>0.81359999999999999</v>
      </c>
      <c r="H156" s="919">
        <v>0.81359999999999999</v>
      </c>
      <c r="I156" s="919">
        <v>0.72889999999999999</v>
      </c>
      <c r="J156" s="919">
        <v>0.72889999999999999</v>
      </c>
      <c r="K156" s="919">
        <v>0.72889999999999999</v>
      </c>
      <c r="L156" s="919">
        <v>0.72889999999999999</v>
      </c>
      <c r="M156" s="919">
        <v>0.72889999999999999</v>
      </c>
    </row>
    <row r="157" spans="1:13">
      <c r="A157" s="910">
        <v>5.3</v>
      </c>
      <c r="B157" s="919">
        <v>0.90880000000000005</v>
      </c>
      <c r="C157" s="919">
        <v>0.90880000000000005</v>
      </c>
      <c r="D157" s="919">
        <v>0.8105</v>
      </c>
      <c r="E157" s="919">
        <v>0.8105</v>
      </c>
      <c r="F157" s="919">
        <v>0.8105</v>
      </c>
      <c r="G157" s="919">
        <v>0.8105</v>
      </c>
      <c r="H157" s="919">
        <v>0.8105</v>
      </c>
      <c r="I157" s="919">
        <v>0.72529999999999994</v>
      </c>
      <c r="J157" s="919">
        <v>0.72529999999999994</v>
      </c>
      <c r="K157" s="919">
        <v>0.72529999999999994</v>
      </c>
      <c r="L157" s="919">
        <v>0.72529999999999994</v>
      </c>
      <c r="M157" s="919">
        <v>0.72529999999999994</v>
      </c>
    </row>
    <row r="158" spans="1:13">
      <c r="A158" s="910">
        <v>5.4</v>
      </c>
      <c r="B158" s="919">
        <v>0.90580000000000005</v>
      </c>
      <c r="C158" s="919">
        <v>0.90580000000000005</v>
      </c>
      <c r="D158" s="919">
        <v>0.8075</v>
      </c>
      <c r="E158" s="919">
        <v>0.8075</v>
      </c>
      <c r="F158" s="919">
        <v>0.8075</v>
      </c>
      <c r="G158" s="919">
        <v>0.8075</v>
      </c>
      <c r="H158" s="919">
        <v>0.8075</v>
      </c>
      <c r="I158" s="919">
        <v>0.7218</v>
      </c>
      <c r="J158" s="919">
        <v>0.7218</v>
      </c>
      <c r="K158" s="919">
        <v>0.7218</v>
      </c>
      <c r="L158" s="919">
        <v>0.7218</v>
      </c>
      <c r="M158" s="919">
        <v>0.7218</v>
      </c>
    </row>
    <row r="159" spans="1:13">
      <c r="A159" s="910">
        <v>5.5</v>
      </c>
      <c r="B159" s="919">
        <v>0.90290000000000004</v>
      </c>
      <c r="C159" s="919">
        <v>0.90290000000000004</v>
      </c>
      <c r="D159" s="919">
        <v>0.80469999999999997</v>
      </c>
      <c r="E159" s="919">
        <v>0.80469999999999997</v>
      </c>
      <c r="F159" s="919">
        <v>0.80469999999999997</v>
      </c>
      <c r="G159" s="919">
        <v>0.80469999999999997</v>
      </c>
      <c r="H159" s="919">
        <v>0.80469999999999997</v>
      </c>
      <c r="I159" s="919">
        <v>0.71840000000000004</v>
      </c>
      <c r="J159" s="919">
        <v>0.71840000000000004</v>
      </c>
      <c r="K159" s="919">
        <v>0.71840000000000004</v>
      </c>
      <c r="L159" s="919">
        <v>0.71840000000000004</v>
      </c>
      <c r="M159" s="919">
        <v>0.71840000000000004</v>
      </c>
    </row>
    <row r="160" spans="1:13">
      <c r="A160" s="910">
        <v>5.6</v>
      </c>
      <c r="B160" s="919">
        <v>0.90010000000000001</v>
      </c>
      <c r="C160" s="919">
        <v>0.90010000000000001</v>
      </c>
      <c r="D160" s="919">
        <v>0.80200000000000005</v>
      </c>
      <c r="E160" s="919">
        <v>0.80200000000000005</v>
      </c>
      <c r="F160" s="919">
        <v>0.80200000000000005</v>
      </c>
      <c r="G160" s="919">
        <v>0.80200000000000005</v>
      </c>
      <c r="H160" s="919">
        <v>0.80200000000000005</v>
      </c>
      <c r="I160" s="919">
        <v>0.71509999999999996</v>
      </c>
      <c r="J160" s="919">
        <v>0.71509999999999996</v>
      </c>
      <c r="K160" s="919">
        <v>0.71509999999999996</v>
      </c>
      <c r="L160" s="919">
        <v>0.71509999999999996</v>
      </c>
      <c r="M160" s="919">
        <v>0.71509999999999996</v>
      </c>
    </row>
    <row r="161" spans="1:13">
      <c r="A161" s="934">
        <v>5.7</v>
      </c>
      <c r="B161" s="919">
        <v>0.89749999999999996</v>
      </c>
      <c r="C161" s="919">
        <v>0.89749999999999996</v>
      </c>
      <c r="D161" s="919">
        <v>0.79930000000000001</v>
      </c>
      <c r="E161" s="919">
        <v>0.79930000000000001</v>
      </c>
      <c r="F161" s="919">
        <v>0.79930000000000001</v>
      </c>
      <c r="G161" s="919">
        <v>0.79930000000000001</v>
      </c>
      <c r="H161" s="919">
        <v>0.79930000000000001</v>
      </c>
      <c r="I161" s="919">
        <v>0.71189999999999998</v>
      </c>
      <c r="J161" s="919">
        <v>0.71189999999999998</v>
      </c>
      <c r="K161" s="919">
        <v>0.71189999999999998</v>
      </c>
      <c r="L161" s="919">
        <v>0.71189999999999998</v>
      </c>
      <c r="M161" s="919">
        <v>0.71189999999999998</v>
      </c>
    </row>
    <row r="162" spans="1:13">
      <c r="A162" s="910">
        <v>5.8</v>
      </c>
      <c r="B162" s="919">
        <v>0.89500000000000002</v>
      </c>
      <c r="C162" s="919">
        <v>0.89500000000000002</v>
      </c>
      <c r="D162" s="919">
        <v>0.79679999999999995</v>
      </c>
      <c r="E162" s="919">
        <v>0.79679999999999995</v>
      </c>
      <c r="F162" s="919">
        <v>0.79679999999999995</v>
      </c>
      <c r="G162" s="919">
        <v>0.79679999999999995</v>
      </c>
      <c r="H162" s="919">
        <v>0.79679999999999995</v>
      </c>
      <c r="I162" s="919">
        <v>0.70879999999999999</v>
      </c>
      <c r="J162" s="919">
        <v>0.70879999999999999</v>
      </c>
      <c r="K162" s="919">
        <v>0.70879999999999999</v>
      </c>
      <c r="L162" s="919">
        <v>0.70879999999999999</v>
      </c>
      <c r="M162" s="919">
        <v>0.70879999999999999</v>
      </c>
    </row>
    <row r="163" spans="1:13">
      <c r="A163" s="910">
        <v>5.9</v>
      </c>
      <c r="B163" s="919">
        <v>0.89259999999999995</v>
      </c>
      <c r="C163" s="919">
        <v>0.89259999999999995</v>
      </c>
      <c r="D163" s="919">
        <v>0.7944</v>
      </c>
      <c r="E163" s="919">
        <v>0.7944</v>
      </c>
      <c r="F163" s="919">
        <v>0.7944</v>
      </c>
      <c r="G163" s="919">
        <v>0.7944</v>
      </c>
      <c r="H163" s="919">
        <v>0.7944</v>
      </c>
      <c r="I163" s="919">
        <v>0.70579999999999998</v>
      </c>
      <c r="J163" s="919">
        <v>0.70579999999999998</v>
      </c>
      <c r="K163" s="919">
        <v>0.70579999999999998</v>
      </c>
      <c r="L163" s="919">
        <v>0.70579999999999998</v>
      </c>
      <c r="M163" s="919">
        <v>0.70579999999999998</v>
      </c>
    </row>
    <row r="164" spans="1:13">
      <c r="A164" s="910">
        <v>6</v>
      </c>
      <c r="B164" s="919">
        <v>0.89029999999999998</v>
      </c>
      <c r="C164" s="919">
        <v>0.89029999999999998</v>
      </c>
      <c r="D164" s="919">
        <v>0.79200000000000004</v>
      </c>
      <c r="E164" s="919">
        <v>0.79200000000000004</v>
      </c>
      <c r="F164" s="919">
        <v>0.79200000000000004</v>
      </c>
      <c r="G164" s="919">
        <v>0.79200000000000004</v>
      </c>
      <c r="H164" s="919">
        <v>0.79200000000000004</v>
      </c>
      <c r="I164" s="919">
        <v>0.70289999999999997</v>
      </c>
      <c r="J164" s="919">
        <v>0.70289999999999997</v>
      </c>
      <c r="K164" s="919">
        <v>0.70289999999999997</v>
      </c>
      <c r="L164" s="919">
        <v>0.70289999999999997</v>
      </c>
      <c r="M164" s="919">
        <v>0.70289999999999997</v>
      </c>
    </row>
    <row r="165" spans="1:13">
      <c r="A165" s="910">
        <v>6.1</v>
      </c>
      <c r="B165" s="919">
        <v>0.8881</v>
      </c>
      <c r="C165" s="919">
        <v>0.8881</v>
      </c>
      <c r="D165" s="919">
        <v>0.78979999999999995</v>
      </c>
      <c r="E165" s="919">
        <v>0.78979999999999995</v>
      </c>
      <c r="F165" s="919">
        <v>0.78979999999999995</v>
      </c>
      <c r="G165" s="919">
        <v>0.78979999999999995</v>
      </c>
      <c r="H165" s="919">
        <v>0.78979999999999995</v>
      </c>
      <c r="I165" s="919">
        <v>0.70009999999999994</v>
      </c>
      <c r="J165" s="919">
        <v>0.70009999999999994</v>
      </c>
      <c r="K165" s="919">
        <v>0.70009999999999994</v>
      </c>
      <c r="L165" s="919">
        <v>0.70009999999999994</v>
      </c>
      <c r="M165" s="919">
        <v>0.70009999999999994</v>
      </c>
    </row>
    <row r="166" spans="1:13">
      <c r="A166" s="910">
        <v>6.2</v>
      </c>
      <c r="B166" s="919">
        <v>0.88600000000000001</v>
      </c>
      <c r="C166" s="919">
        <v>0.88600000000000001</v>
      </c>
      <c r="D166" s="919">
        <v>0.78759999999999997</v>
      </c>
      <c r="E166" s="919">
        <v>0.78759999999999997</v>
      </c>
      <c r="F166" s="919">
        <v>0.78759999999999997</v>
      </c>
      <c r="G166" s="919">
        <v>0.78759999999999997</v>
      </c>
      <c r="H166" s="919">
        <v>0.78759999999999997</v>
      </c>
      <c r="I166" s="919">
        <v>0.69740000000000002</v>
      </c>
      <c r="J166" s="919">
        <v>0.69740000000000002</v>
      </c>
      <c r="K166" s="919">
        <v>0.69740000000000002</v>
      </c>
      <c r="L166" s="919">
        <v>0.69740000000000002</v>
      </c>
      <c r="M166" s="919">
        <v>0.69740000000000002</v>
      </c>
    </row>
    <row r="167" spans="1:13">
      <c r="A167" s="910">
        <v>6.3</v>
      </c>
      <c r="B167" s="919">
        <v>0.88390000000000002</v>
      </c>
      <c r="C167" s="919">
        <v>0.88390000000000002</v>
      </c>
      <c r="D167" s="919">
        <v>0.78549999999999998</v>
      </c>
      <c r="E167" s="919">
        <v>0.78549999999999998</v>
      </c>
      <c r="F167" s="919">
        <v>0.78549999999999998</v>
      </c>
      <c r="G167" s="919">
        <v>0.78549999999999998</v>
      </c>
      <c r="H167" s="919">
        <v>0.78549999999999998</v>
      </c>
      <c r="I167" s="919">
        <v>0.69479999999999997</v>
      </c>
      <c r="J167" s="919">
        <v>0.69479999999999997</v>
      </c>
      <c r="K167" s="919">
        <v>0.69479999999999997</v>
      </c>
      <c r="L167" s="919">
        <v>0.69479999999999997</v>
      </c>
      <c r="M167" s="919">
        <v>0.69479999999999997</v>
      </c>
    </row>
    <row r="168" spans="1:13">
      <c r="A168" s="910">
        <v>6.4</v>
      </c>
      <c r="B168" s="919">
        <v>0.88190000000000002</v>
      </c>
      <c r="C168" s="919">
        <v>0.88190000000000002</v>
      </c>
      <c r="D168" s="919">
        <v>0.78339999999999999</v>
      </c>
      <c r="E168" s="919">
        <v>0.78339999999999999</v>
      </c>
      <c r="F168" s="919">
        <v>0.78339999999999999</v>
      </c>
      <c r="G168" s="919">
        <v>0.78339999999999999</v>
      </c>
      <c r="H168" s="919">
        <v>0.78339999999999999</v>
      </c>
      <c r="I168" s="919">
        <v>0.69230000000000003</v>
      </c>
      <c r="J168" s="919">
        <v>0.69230000000000003</v>
      </c>
      <c r="K168" s="919">
        <v>0.69230000000000003</v>
      </c>
      <c r="L168" s="919">
        <v>0.69230000000000003</v>
      </c>
      <c r="M168" s="919">
        <v>0.69230000000000003</v>
      </c>
    </row>
    <row r="169" spans="1:13">
      <c r="A169" s="910">
        <v>6.5</v>
      </c>
      <c r="B169" s="919">
        <v>0.88</v>
      </c>
      <c r="C169" s="919">
        <v>0.88</v>
      </c>
      <c r="D169" s="919">
        <v>0.78139999999999998</v>
      </c>
      <c r="E169" s="919">
        <v>0.78139999999999998</v>
      </c>
      <c r="F169" s="919">
        <v>0.78139999999999998</v>
      </c>
      <c r="G169" s="919">
        <v>0.78139999999999998</v>
      </c>
      <c r="H169" s="919">
        <v>0.78139999999999998</v>
      </c>
      <c r="I169" s="919">
        <v>0.68989999999999996</v>
      </c>
      <c r="J169" s="919">
        <v>0.68989999999999996</v>
      </c>
      <c r="K169" s="919">
        <v>0.68989999999999996</v>
      </c>
      <c r="L169" s="919">
        <v>0.68989999999999996</v>
      </c>
      <c r="M169" s="919">
        <v>0.68989999999999996</v>
      </c>
    </row>
    <row r="170" spans="1:13">
      <c r="A170" s="910">
        <v>6.6</v>
      </c>
      <c r="B170" s="919">
        <v>0.87809999999999999</v>
      </c>
      <c r="C170" s="919">
        <v>0.87809999999999999</v>
      </c>
      <c r="D170" s="919">
        <v>0.77949999999999997</v>
      </c>
      <c r="E170" s="919">
        <v>0.77949999999999997</v>
      </c>
      <c r="F170" s="919">
        <v>0.77949999999999997</v>
      </c>
      <c r="G170" s="919">
        <v>0.77949999999999997</v>
      </c>
      <c r="H170" s="919">
        <v>0.77949999999999997</v>
      </c>
      <c r="I170" s="919">
        <v>0.68759999999999999</v>
      </c>
      <c r="J170" s="919">
        <v>0.68759999999999999</v>
      </c>
      <c r="K170" s="919">
        <v>0.68759999999999999</v>
      </c>
      <c r="L170" s="919">
        <v>0.68759999999999999</v>
      </c>
      <c r="M170" s="919">
        <v>0.68759999999999999</v>
      </c>
    </row>
    <row r="171" spans="1:13">
      <c r="A171" s="910">
        <v>6.7</v>
      </c>
      <c r="B171" s="919">
        <v>0.87629999999999997</v>
      </c>
      <c r="C171" s="919">
        <v>0.87629999999999997</v>
      </c>
      <c r="D171" s="919">
        <v>0.77759999999999996</v>
      </c>
      <c r="E171" s="919">
        <v>0.77759999999999996</v>
      </c>
      <c r="F171" s="919">
        <v>0.77759999999999996</v>
      </c>
      <c r="G171" s="919">
        <v>0.77759999999999996</v>
      </c>
      <c r="H171" s="919">
        <v>0.77759999999999996</v>
      </c>
      <c r="I171" s="919">
        <v>0.68530000000000002</v>
      </c>
      <c r="J171" s="919">
        <v>0.68530000000000002</v>
      </c>
      <c r="K171" s="919">
        <v>0.68530000000000002</v>
      </c>
      <c r="L171" s="919">
        <v>0.68530000000000002</v>
      </c>
      <c r="M171" s="919">
        <v>0.68530000000000002</v>
      </c>
    </row>
    <row r="172" spans="1:13">
      <c r="A172" s="910">
        <v>6.8</v>
      </c>
      <c r="B172" s="919">
        <v>0.87450000000000006</v>
      </c>
      <c r="C172" s="919">
        <v>0.87450000000000006</v>
      </c>
      <c r="D172" s="919">
        <v>0.77569999999999995</v>
      </c>
      <c r="E172" s="919">
        <v>0.77569999999999995</v>
      </c>
      <c r="F172" s="919">
        <v>0.77569999999999995</v>
      </c>
      <c r="G172" s="919">
        <v>0.77569999999999995</v>
      </c>
      <c r="H172" s="919">
        <v>0.77569999999999995</v>
      </c>
      <c r="I172" s="919">
        <v>0.68310000000000004</v>
      </c>
      <c r="J172" s="919">
        <v>0.68310000000000004</v>
      </c>
      <c r="K172" s="919">
        <v>0.68310000000000004</v>
      </c>
      <c r="L172" s="919">
        <v>0.68310000000000004</v>
      </c>
      <c r="M172" s="919">
        <v>0.68310000000000004</v>
      </c>
    </row>
    <row r="173" spans="1:13">
      <c r="A173" s="910">
        <v>6.9</v>
      </c>
      <c r="B173" s="919">
        <v>0.87280000000000002</v>
      </c>
      <c r="C173" s="919">
        <v>0.87280000000000002</v>
      </c>
      <c r="D173" s="919">
        <v>0.77390000000000003</v>
      </c>
      <c r="E173" s="919">
        <v>0.77390000000000003</v>
      </c>
      <c r="F173" s="919">
        <v>0.77390000000000003</v>
      </c>
      <c r="G173" s="919">
        <v>0.77390000000000003</v>
      </c>
      <c r="H173" s="919">
        <v>0.77390000000000003</v>
      </c>
      <c r="I173" s="919">
        <v>0.68089999999999995</v>
      </c>
      <c r="J173" s="919">
        <v>0.68089999999999995</v>
      </c>
      <c r="K173" s="919">
        <v>0.68089999999999995</v>
      </c>
      <c r="L173" s="919">
        <v>0.68089999999999995</v>
      </c>
      <c r="M173" s="919">
        <v>0.68089999999999995</v>
      </c>
    </row>
    <row r="174" spans="1:13">
      <c r="A174" s="910">
        <v>7</v>
      </c>
      <c r="B174" s="919">
        <v>0.87109999999999999</v>
      </c>
      <c r="C174" s="919">
        <v>0.87109999999999999</v>
      </c>
      <c r="D174" s="919">
        <v>0.77210000000000001</v>
      </c>
      <c r="E174" s="919">
        <v>0.77210000000000001</v>
      </c>
      <c r="F174" s="919">
        <v>0.77210000000000001</v>
      </c>
      <c r="G174" s="919">
        <v>0.77210000000000001</v>
      </c>
      <c r="H174" s="919">
        <v>0.77210000000000001</v>
      </c>
      <c r="I174" s="919">
        <v>0.67879999999999996</v>
      </c>
      <c r="J174" s="919">
        <v>0.67879999999999996</v>
      </c>
      <c r="K174" s="919">
        <v>0.67879999999999996</v>
      </c>
      <c r="L174" s="919">
        <v>0.67879999999999996</v>
      </c>
      <c r="M174" s="919">
        <v>0.67879999999999996</v>
      </c>
    </row>
    <row r="175" spans="1:13">
      <c r="A175" s="910">
        <v>7.1</v>
      </c>
      <c r="B175" s="919">
        <v>0.86939999999999995</v>
      </c>
      <c r="C175" s="919">
        <v>0.86939999999999995</v>
      </c>
      <c r="D175" s="919">
        <v>0.77039999999999997</v>
      </c>
      <c r="E175" s="919">
        <v>0.77039999999999997</v>
      </c>
      <c r="F175" s="919">
        <v>0.77039999999999997</v>
      </c>
      <c r="G175" s="919">
        <v>0.77039999999999997</v>
      </c>
      <c r="H175" s="919">
        <v>0.77039999999999997</v>
      </c>
      <c r="I175" s="919">
        <v>0.67669999999999997</v>
      </c>
      <c r="J175" s="919">
        <v>0.67669999999999997</v>
      </c>
      <c r="K175" s="919">
        <v>0.67669999999999997</v>
      </c>
      <c r="L175" s="919">
        <v>0.67669999999999997</v>
      </c>
      <c r="M175" s="919">
        <v>0.67669999999999997</v>
      </c>
    </row>
    <row r="176" spans="1:13">
      <c r="A176" s="910">
        <v>7.2</v>
      </c>
      <c r="B176" s="919">
        <v>0.86770000000000003</v>
      </c>
      <c r="C176" s="919">
        <v>0.86770000000000003</v>
      </c>
      <c r="D176" s="919">
        <v>0.76870000000000005</v>
      </c>
      <c r="E176" s="919">
        <v>0.76870000000000005</v>
      </c>
      <c r="F176" s="919">
        <v>0.76870000000000005</v>
      </c>
      <c r="G176" s="919">
        <v>0.76870000000000005</v>
      </c>
      <c r="H176" s="919">
        <v>0.76870000000000005</v>
      </c>
      <c r="I176" s="919">
        <v>0.67469999999999997</v>
      </c>
      <c r="J176" s="919">
        <v>0.67469999999999997</v>
      </c>
      <c r="K176" s="919">
        <v>0.67469999999999997</v>
      </c>
      <c r="L176" s="919">
        <v>0.67469999999999997</v>
      </c>
      <c r="M176" s="919">
        <v>0.67469999999999997</v>
      </c>
    </row>
    <row r="177" spans="1:13">
      <c r="A177" s="910">
        <v>7.3</v>
      </c>
      <c r="B177" s="919">
        <v>0.86609999999999998</v>
      </c>
      <c r="C177" s="919">
        <v>0.86609999999999998</v>
      </c>
      <c r="D177" s="919">
        <v>0.76700000000000002</v>
      </c>
      <c r="E177" s="919">
        <v>0.76700000000000002</v>
      </c>
      <c r="F177" s="919">
        <v>0.76700000000000002</v>
      </c>
      <c r="G177" s="919">
        <v>0.76700000000000002</v>
      </c>
      <c r="H177" s="919">
        <v>0.76700000000000002</v>
      </c>
      <c r="I177" s="919">
        <v>0.67269999999999996</v>
      </c>
      <c r="J177" s="919">
        <v>0.67269999999999996</v>
      </c>
      <c r="K177" s="919">
        <v>0.67269999999999996</v>
      </c>
      <c r="L177" s="919">
        <v>0.67269999999999996</v>
      </c>
      <c r="M177" s="919">
        <v>0.67269999999999996</v>
      </c>
    </row>
    <row r="178" spans="1:13">
      <c r="A178" s="910">
        <v>7.4</v>
      </c>
      <c r="B178" s="919">
        <v>0.86450000000000005</v>
      </c>
      <c r="C178" s="919">
        <v>0.86450000000000005</v>
      </c>
      <c r="D178" s="919">
        <v>0.76529999999999998</v>
      </c>
      <c r="E178" s="919">
        <v>0.76529999999999998</v>
      </c>
      <c r="F178" s="919">
        <v>0.76529999999999998</v>
      </c>
      <c r="G178" s="919">
        <v>0.76529999999999998</v>
      </c>
      <c r="H178" s="919">
        <v>0.76529999999999998</v>
      </c>
      <c r="I178" s="919">
        <v>0.67079999999999995</v>
      </c>
      <c r="J178" s="919">
        <v>0.67079999999999995</v>
      </c>
      <c r="K178" s="919">
        <v>0.67079999999999995</v>
      </c>
      <c r="L178" s="919">
        <v>0.67079999999999995</v>
      </c>
      <c r="M178" s="919">
        <v>0.67079999999999995</v>
      </c>
    </row>
    <row r="179" spans="1:13">
      <c r="A179" s="910">
        <v>7.5</v>
      </c>
      <c r="B179" s="919">
        <v>0.86299999999999999</v>
      </c>
      <c r="C179" s="919">
        <v>0.86299999999999999</v>
      </c>
      <c r="D179" s="919">
        <v>0.76359999999999995</v>
      </c>
      <c r="E179" s="919">
        <v>0.76359999999999995</v>
      </c>
      <c r="F179" s="919">
        <v>0.76359999999999995</v>
      </c>
      <c r="G179" s="919">
        <v>0.76359999999999995</v>
      </c>
      <c r="H179" s="919">
        <v>0.76359999999999995</v>
      </c>
      <c r="I179" s="919">
        <v>0.66890000000000005</v>
      </c>
      <c r="J179" s="919">
        <v>0.66890000000000005</v>
      </c>
      <c r="K179" s="919">
        <v>0.66890000000000005</v>
      </c>
      <c r="L179" s="919">
        <v>0.66890000000000005</v>
      </c>
      <c r="M179" s="919">
        <v>0.66890000000000005</v>
      </c>
    </row>
    <row r="180" spans="1:13">
      <c r="A180" s="910">
        <v>7.6</v>
      </c>
      <c r="B180" s="919">
        <v>0.86150000000000004</v>
      </c>
      <c r="C180" s="919">
        <v>0.86150000000000004</v>
      </c>
      <c r="D180" s="919">
        <v>0.76200000000000001</v>
      </c>
      <c r="E180" s="919">
        <v>0.76200000000000001</v>
      </c>
      <c r="F180" s="919">
        <v>0.76200000000000001</v>
      </c>
      <c r="G180" s="919">
        <v>0.76200000000000001</v>
      </c>
      <c r="H180" s="919">
        <v>0.76200000000000001</v>
      </c>
      <c r="I180" s="919">
        <v>0.66700000000000004</v>
      </c>
      <c r="J180" s="919">
        <v>0.66700000000000004</v>
      </c>
      <c r="K180" s="919">
        <v>0.66700000000000004</v>
      </c>
      <c r="L180" s="919">
        <v>0.66700000000000004</v>
      </c>
      <c r="M180" s="919">
        <v>0.66700000000000004</v>
      </c>
    </row>
    <row r="181" spans="1:13">
      <c r="A181" s="910">
        <v>7.7</v>
      </c>
      <c r="B181" s="919">
        <v>0.86</v>
      </c>
      <c r="C181" s="919">
        <v>0.86</v>
      </c>
      <c r="D181" s="919">
        <v>0.76039999999999996</v>
      </c>
      <c r="E181" s="919">
        <v>0.76039999999999996</v>
      </c>
      <c r="F181" s="919">
        <v>0.76039999999999996</v>
      </c>
      <c r="G181" s="919">
        <v>0.76039999999999996</v>
      </c>
      <c r="H181" s="919">
        <v>0.76039999999999996</v>
      </c>
      <c r="I181" s="919">
        <v>0.66510000000000002</v>
      </c>
      <c r="J181" s="919">
        <v>0.66510000000000002</v>
      </c>
      <c r="K181" s="919">
        <v>0.66510000000000002</v>
      </c>
      <c r="L181" s="919">
        <v>0.66510000000000002</v>
      </c>
      <c r="M181" s="919">
        <v>0.66510000000000002</v>
      </c>
    </row>
    <row r="182" spans="1:13">
      <c r="A182" s="910">
        <v>7.8</v>
      </c>
      <c r="B182" s="919">
        <v>0.85850000000000004</v>
      </c>
      <c r="C182" s="919">
        <v>0.85850000000000004</v>
      </c>
      <c r="D182" s="919">
        <v>0.75880000000000003</v>
      </c>
      <c r="E182" s="919">
        <v>0.75880000000000003</v>
      </c>
      <c r="F182" s="919">
        <v>0.75880000000000003</v>
      </c>
      <c r="G182" s="919">
        <v>0.75880000000000003</v>
      </c>
      <c r="H182" s="919">
        <v>0.75880000000000003</v>
      </c>
      <c r="I182" s="919">
        <v>0.6633</v>
      </c>
      <c r="J182" s="919">
        <v>0.6633</v>
      </c>
      <c r="K182" s="919">
        <v>0.6633</v>
      </c>
      <c r="L182" s="919">
        <v>0.6633</v>
      </c>
      <c r="M182" s="919">
        <v>0.6633</v>
      </c>
    </row>
    <row r="183" spans="1:13">
      <c r="A183" s="910">
        <v>7.9</v>
      </c>
      <c r="B183" s="919">
        <v>0.85699999999999998</v>
      </c>
      <c r="C183" s="919">
        <v>0.85699999999999998</v>
      </c>
      <c r="D183" s="919">
        <v>0.75719999999999998</v>
      </c>
      <c r="E183" s="919">
        <v>0.75719999999999998</v>
      </c>
      <c r="F183" s="919">
        <v>0.75719999999999998</v>
      </c>
      <c r="G183" s="919">
        <v>0.75719999999999998</v>
      </c>
      <c r="H183" s="919">
        <v>0.75719999999999998</v>
      </c>
      <c r="I183" s="919">
        <v>0.66149999999999998</v>
      </c>
      <c r="J183" s="919">
        <v>0.66149999999999998</v>
      </c>
      <c r="K183" s="919">
        <v>0.66149999999999998</v>
      </c>
      <c r="L183" s="919">
        <v>0.66149999999999998</v>
      </c>
      <c r="M183" s="919">
        <v>0.66149999999999998</v>
      </c>
    </row>
    <row r="184" spans="1:13">
      <c r="A184" s="910">
        <v>8</v>
      </c>
      <c r="B184" s="919">
        <v>0.85550000000000004</v>
      </c>
      <c r="C184" s="919">
        <v>0.85550000000000004</v>
      </c>
      <c r="D184" s="919">
        <v>0.75570000000000004</v>
      </c>
      <c r="E184" s="919">
        <v>0.75570000000000004</v>
      </c>
      <c r="F184" s="919">
        <v>0.75570000000000004</v>
      </c>
      <c r="G184" s="919">
        <v>0.75570000000000004</v>
      </c>
      <c r="H184" s="919">
        <v>0.75570000000000004</v>
      </c>
      <c r="I184" s="919">
        <v>0.65969999999999995</v>
      </c>
      <c r="J184" s="919">
        <v>0.65969999999999995</v>
      </c>
      <c r="K184" s="919">
        <v>0.65969999999999995</v>
      </c>
      <c r="L184" s="919">
        <v>0.65969999999999995</v>
      </c>
      <c r="M184" s="919">
        <v>0.65969999999999995</v>
      </c>
    </row>
    <row r="185" spans="1:13">
      <c r="A185" s="910">
        <v>8.1</v>
      </c>
      <c r="B185" s="919">
        <v>0.85399999999999998</v>
      </c>
      <c r="C185" s="919">
        <v>0.85399999999999998</v>
      </c>
      <c r="D185" s="919">
        <v>0.75419999999999998</v>
      </c>
      <c r="E185" s="919">
        <v>0.75419999999999998</v>
      </c>
      <c r="F185" s="919">
        <v>0.75419999999999998</v>
      </c>
      <c r="G185" s="919">
        <v>0.75419999999999998</v>
      </c>
      <c r="H185" s="919">
        <v>0.75419999999999998</v>
      </c>
      <c r="I185" s="919">
        <v>0.65800000000000003</v>
      </c>
      <c r="J185" s="919">
        <v>0.65800000000000003</v>
      </c>
      <c r="K185" s="919">
        <v>0.65800000000000003</v>
      </c>
      <c r="L185" s="919">
        <v>0.65800000000000003</v>
      </c>
      <c r="M185" s="919">
        <v>0.65800000000000003</v>
      </c>
    </row>
    <row r="186" spans="1:13">
      <c r="A186" s="910">
        <v>8.1999999999999993</v>
      </c>
      <c r="B186" s="919">
        <v>0.85250000000000004</v>
      </c>
      <c r="C186" s="919">
        <v>0.85250000000000004</v>
      </c>
      <c r="D186" s="919">
        <v>0.75270000000000004</v>
      </c>
      <c r="E186" s="919">
        <v>0.75270000000000004</v>
      </c>
      <c r="F186" s="919">
        <v>0.75270000000000004</v>
      </c>
      <c r="G186" s="919">
        <v>0.75270000000000004</v>
      </c>
      <c r="H186" s="919">
        <v>0.75270000000000004</v>
      </c>
      <c r="I186" s="919">
        <v>0.65629999999999999</v>
      </c>
      <c r="J186" s="919">
        <v>0.65629999999999999</v>
      </c>
      <c r="K186" s="919">
        <v>0.65629999999999999</v>
      </c>
      <c r="L186" s="919">
        <v>0.65629999999999999</v>
      </c>
      <c r="M186" s="919">
        <v>0.65629999999999999</v>
      </c>
    </row>
    <row r="187" spans="1:13">
      <c r="A187" s="910">
        <v>8.3000000000000007</v>
      </c>
      <c r="B187" s="919">
        <v>0.85109999999999997</v>
      </c>
      <c r="C187" s="919">
        <v>0.85109999999999997</v>
      </c>
      <c r="D187" s="919">
        <v>0.75119999999999998</v>
      </c>
      <c r="E187" s="919">
        <v>0.75119999999999998</v>
      </c>
      <c r="F187" s="919">
        <v>0.75119999999999998</v>
      </c>
      <c r="G187" s="919">
        <v>0.75119999999999998</v>
      </c>
      <c r="H187" s="919">
        <v>0.75119999999999998</v>
      </c>
      <c r="I187" s="919">
        <v>0.65459999999999996</v>
      </c>
      <c r="J187" s="919">
        <v>0.65459999999999996</v>
      </c>
      <c r="K187" s="919">
        <v>0.65459999999999996</v>
      </c>
      <c r="L187" s="919">
        <v>0.65459999999999996</v>
      </c>
      <c r="M187" s="919">
        <v>0.65459999999999996</v>
      </c>
    </row>
    <row r="188" spans="1:13">
      <c r="A188" s="910">
        <v>8.4</v>
      </c>
      <c r="B188" s="919">
        <v>0.84970000000000001</v>
      </c>
      <c r="C188" s="919">
        <v>0.84970000000000001</v>
      </c>
      <c r="D188" s="919">
        <v>0.74970000000000003</v>
      </c>
      <c r="E188" s="919">
        <v>0.74970000000000003</v>
      </c>
      <c r="F188" s="919">
        <v>0.74970000000000003</v>
      </c>
      <c r="G188" s="919">
        <v>0.74970000000000003</v>
      </c>
      <c r="H188" s="919">
        <v>0.74970000000000003</v>
      </c>
      <c r="I188" s="919">
        <v>0.65300000000000002</v>
      </c>
      <c r="J188" s="919">
        <v>0.65300000000000002</v>
      </c>
      <c r="K188" s="919">
        <v>0.65300000000000002</v>
      </c>
      <c r="L188" s="919">
        <v>0.65300000000000002</v>
      </c>
      <c r="M188" s="919">
        <v>0.65300000000000002</v>
      </c>
    </row>
    <row r="189" spans="1:13">
      <c r="A189" s="910">
        <v>8.5</v>
      </c>
      <c r="B189" s="919">
        <v>0.84830000000000005</v>
      </c>
      <c r="C189" s="919">
        <v>0.84830000000000005</v>
      </c>
      <c r="D189" s="919">
        <v>0.74819999999999998</v>
      </c>
      <c r="E189" s="919">
        <v>0.74819999999999998</v>
      </c>
      <c r="F189" s="919">
        <v>0.74819999999999998</v>
      </c>
      <c r="G189" s="919">
        <v>0.74819999999999998</v>
      </c>
      <c r="H189" s="919">
        <v>0.74819999999999998</v>
      </c>
      <c r="I189" s="919">
        <v>0.65139999999999998</v>
      </c>
      <c r="J189" s="919">
        <v>0.65139999999999998</v>
      </c>
      <c r="K189" s="919">
        <v>0.65139999999999998</v>
      </c>
      <c r="L189" s="919">
        <v>0.65139999999999998</v>
      </c>
      <c r="M189" s="919">
        <v>0.65139999999999998</v>
      </c>
    </row>
    <row r="190" spans="1:13">
      <c r="A190" s="910">
        <v>8.6</v>
      </c>
      <c r="B190" s="919">
        <v>0.84689999999999999</v>
      </c>
      <c r="C190" s="919">
        <v>0.84689999999999999</v>
      </c>
      <c r="D190" s="919">
        <v>0.74670000000000003</v>
      </c>
      <c r="E190" s="919">
        <v>0.74670000000000003</v>
      </c>
      <c r="F190" s="919">
        <v>0.74670000000000003</v>
      </c>
      <c r="G190" s="919">
        <v>0.74670000000000003</v>
      </c>
      <c r="H190" s="919">
        <v>0.74670000000000003</v>
      </c>
      <c r="I190" s="919">
        <v>0.64980000000000004</v>
      </c>
      <c r="J190" s="919">
        <v>0.64980000000000004</v>
      </c>
      <c r="K190" s="919">
        <v>0.64980000000000004</v>
      </c>
      <c r="L190" s="919">
        <v>0.64980000000000004</v>
      </c>
      <c r="M190" s="919">
        <v>0.64980000000000004</v>
      </c>
    </row>
    <row r="191" spans="1:13">
      <c r="A191" s="910">
        <v>8.6999999999999993</v>
      </c>
      <c r="B191" s="919">
        <v>0.84550000000000003</v>
      </c>
      <c r="C191" s="919">
        <v>0.84550000000000003</v>
      </c>
      <c r="D191" s="919">
        <v>0.74519999999999997</v>
      </c>
      <c r="E191" s="919">
        <v>0.74519999999999997</v>
      </c>
      <c r="F191" s="919">
        <v>0.74519999999999997</v>
      </c>
      <c r="G191" s="919">
        <v>0.74519999999999997</v>
      </c>
      <c r="H191" s="919">
        <v>0.74519999999999997</v>
      </c>
      <c r="I191" s="919">
        <v>0.6482</v>
      </c>
      <c r="J191" s="919">
        <v>0.6482</v>
      </c>
      <c r="K191" s="919">
        <v>0.6482</v>
      </c>
      <c r="L191" s="919">
        <v>0.6482</v>
      </c>
      <c r="M191" s="919">
        <v>0.6482</v>
      </c>
    </row>
    <row r="192" spans="1:13">
      <c r="A192" s="910">
        <v>8.8000000000000007</v>
      </c>
      <c r="B192" s="919">
        <v>0.84409999999999996</v>
      </c>
      <c r="C192" s="919">
        <v>0.84409999999999996</v>
      </c>
      <c r="D192" s="919">
        <v>0.74370000000000003</v>
      </c>
      <c r="E192" s="919">
        <v>0.74370000000000003</v>
      </c>
      <c r="F192" s="919">
        <v>0.74370000000000003</v>
      </c>
      <c r="G192" s="919">
        <v>0.74370000000000003</v>
      </c>
      <c r="H192" s="919">
        <v>0.74370000000000003</v>
      </c>
      <c r="I192" s="919">
        <v>0.64659999999999995</v>
      </c>
      <c r="J192" s="919">
        <v>0.64659999999999995</v>
      </c>
      <c r="K192" s="919">
        <v>0.64659999999999995</v>
      </c>
      <c r="L192" s="919">
        <v>0.64659999999999995</v>
      </c>
      <c r="M192" s="919">
        <v>0.64659999999999995</v>
      </c>
    </row>
    <row r="193" spans="1:13">
      <c r="A193" s="910">
        <v>8.9</v>
      </c>
      <c r="B193" s="919">
        <v>0.84279999999999999</v>
      </c>
      <c r="C193" s="919">
        <v>0.84279999999999999</v>
      </c>
      <c r="D193" s="919">
        <v>0.74219999999999997</v>
      </c>
      <c r="E193" s="919">
        <v>0.74219999999999997</v>
      </c>
      <c r="F193" s="919">
        <v>0.74219999999999997</v>
      </c>
      <c r="G193" s="919">
        <v>0.74219999999999997</v>
      </c>
      <c r="H193" s="919">
        <v>0.74219999999999997</v>
      </c>
      <c r="I193" s="919">
        <v>0.64500000000000002</v>
      </c>
      <c r="J193" s="919">
        <v>0.64500000000000002</v>
      </c>
      <c r="K193" s="919">
        <v>0.64500000000000002</v>
      </c>
      <c r="L193" s="919">
        <v>0.64500000000000002</v>
      </c>
      <c r="M193" s="919">
        <v>0.64500000000000002</v>
      </c>
    </row>
    <row r="194" spans="1:13">
      <c r="A194" s="934">
        <v>9</v>
      </c>
      <c r="B194" s="919">
        <v>0.84150000000000003</v>
      </c>
      <c r="C194" s="919">
        <v>0.84150000000000003</v>
      </c>
      <c r="D194" s="919">
        <v>0.74070000000000003</v>
      </c>
      <c r="E194" s="919">
        <v>0.74070000000000003</v>
      </c>
      <c r="F194" s="919">
        <v>0.74070000000000003</v>
      </c>
      <c r="G194" s="919">
        <v>0.74070000000000003</v>
      </c>
      <c r="H194" s="919">
        <v>0.74070000000000003</v>
      </c>
      <c r="I194" s="919">
        <v>0.64349999999999996</v>
      </c>
      <c r="J194" s="919">
        <v>0.64349999999999996</v>
      </c>
      <c r="K194" s="919">
        <v>0.64349999999999996</v>
      </c>
      <c r="L194" s="919">
        <v>0.64349999999999996</v>
      </c>
      <c r="M194" s="919">
        <v>0.64349999999999996</v>
      </c>
    </row>
    <row r="195" spans="1:13">
      <c r="A195" s="934">
        <v>9.1</v>
      </c>
      <c r="B195" s="919">
        <v>0.84019999999999995</v>
      </c>
      <c r="C195" s="919">
        <v>0.84019999999999995</v>
      </c>
      <c r="D195" s="919">
        <v>0.73919999999999997</v>
      </c>
      <c r="E195" s="919">
        <v>0.73919999999999997</v>
      </c>
      <c r="F195" s="919">
        <v>0.73919999999999997</v>
      </c>
      <c r="G195" s="919">
        <v>0.73919999999999997</v>
      </c>
      <c r="H195" s="919">
        <v>0.73919999999999997</v>
      </c>
      <c r="I195" s="919">
        <v>0.64200000000000002</v>
      </c>
      <c r="J195" s="919">
        <v>0.64200000000000002</v>
      </c>
      <c r="K195" s="919">
        <v>0.64200000000000002</v>
      </c>
      <c r="L195" s="919">
        <v>0.64200000000000002</v>
      </c>
      <c r="M195" s="919">
        <v>0.64200000000000002</v>
      </c>
    </row>
    <row r="196" spans="1:13">
      <c r="A196" s="934">
        <v>9.1999999999999993</v>
      </c>
      <c r="B196" s="919">
        <v>0.83889999999999998</v>
      </c>
      <c r="C196" s="919">
        <v>0.83889999999999998</v>
      </c>
      <c r="D196" s="919">
        <v>0.73770000000000002</v>
      </c>
      <c r="E196" s="919">
        <v>0.73770000000000002</v>
      </c>
      <c r="F196" s="919">
        <v>0.73770000000000002</v>
      </c>
      <c r="G196" s="919">
        <v>0.73770000000000002</v>
      </c>
      <c r="H196" s="919">
        <v>0.73770000000000002</v>
      </c>
      <c r="I196" s="919">
        <v>0.64059999999999995</v>
      </c>
      <c r="J196" s="919">
        <v>0.64059999999999995</v>
      </c>
      <c r="K196" s="919">
        <v>0.64059999999999995</v>
      </c>
      <c r="L196" s="919">
        <v>0.64059999999999995</v>
      </c>
      <c r="M196" s="919">
        <v>0.64059999999999995</v>
      </c>
    </row>
    <row r="197" spans="1:13">
      <c r="A197" s="934">
        <v>9.3000000000000007</v>
      </c>
      <c r="B197" s="919">
        <v>0.83760000000000001</v>
      </c>
      <c r="C197" s="919">
        <v>0.83760000000000001</v>
      </c>
      <c r="D197" s="919">
        <v>0.73629999999999995</v>
      </c>
      <c r="E197" s="919">
        <v>0.73629999999999995</v>
      </c>
      <c r="F197" s="919">
        <v>0.73629999999999995</v>
      </c>
      <c r="G197" s="919">
        <v>0.73629999999999995</v>
      </c>
      <c r="H197" s="919">
        <v>0.73629999999999995</v>
      </c>
      <c r="I197" s="919">
        <v>0.63919999999999999</v>
      </c>
      <c r="J197" s="919">
        <v>0.63919999999999999</v>
      </c>
      <c r="K197" s="919">
        <v>0.63919999999999999</v>
      </c>
      <c r="L197" s="919">
        <v>0.63919999999999999</v>
      </c>
      <c r="M197" s="919">
        <v>0.63919999999999999</v>
      </c>
    </row>
    <row r="198" spans="1:13">
      <c r="A198" s="934">
        <v>9.4</v>
      </c>
      <c r="B198" s="919">
        <v>0.83630000000000004</v>
      </c>
      <c r="C198" s="919">
        <v>0.83630000000000004</v>
      </c>
      <c r="D198" s="919">
        <v>0.7349</v>
      </c>
      <c r="E198" s="919">
        <v>0.7349</v>
      </c>
      <c r="F198" s="919">
        <v>0.7349</v>
      </c>
      <c r="G198" s="919">
        <v>0.7349</v>
      </c>
      <c r="H198" s="919">
        <v>0.7349</v>
      </c>
      <c r="I198" s="919">
        <v>0.63780000000000003</v>
      </c>
      <c r="J198" s="919">
        <v>0.63780000000000003</v>
      </c>
      <c r="K198" s="919">
        <v>0.63780000000000003</v>
      </c>
      <c r="L198" s="919">
        <v>0.63780000000000003</v>
      </c>
      <c r="M198" s="919">
        <v>0.63780000000000003</v>
      </c>
    </row>
    <row r="199" spans="1:13">
      <c r="A199" s="934">
        <v>9.5</v>
      </c>
      <c r="B199" s="919">
        <v>0.83499999999999996</v>
      </c>
      <c r="C199" s="919">
        <v>0.83499999999999996</v>
      </c>
      <c r="D199" s="919">
        <v>0.73350000000000004</v>
      </c>
      <c r="E199" s="919">
        <v>0.73350000000000004</v>
      </c>
      <c r="F199" s="919">
        <v>0.73350000000000004</v>
      </c>
      <c r="G199" s="919">
        <v>0.73350000000000004</v>
      </c>
      <c r="H199" s="919">
        <v>0.73350000000000004</v>
      </c>
      <c r="I199" s="919">
        <v>0.63639999999999997</v>
      </c>
      <c r="J199" s="919">
        <v>0.63639999999999997</v>
      </c>
      <c r="K199" s="919">
        <v>0.63639999999999997</v>
      </c>
      <c r="L199" s="919">
        <v>0.63639999999999997</v>
      </c>
      <c r="M199" s="919">
        <v>0.63639999999999997</v>
      </c>
    </row>
    <row r="200" spans="1:13">
      <c r="A200" s="934">
        <v>9.6</v>
      </c>
      <c r="B200" s="919">
        <v>0.83379999999999999</v>
      </c>
      <c r="C200" s="919">
        <v>0.83379999999999999</v>
      </c>
      <c r="D200" s="919">
        <v>0.73209999999999997</v>
      </c>
      <c r="E200" s="919">
        <v>0.73209999999999997</v>
      </c>
      <c r="F200" s="919">
        <v>0.73209999999999997</v>
      </c>
      <c r="G200" s="919">
        <v>0.73209999999999997</v>
      </c>
      <c r="H200" s="919">
        <v>0.73209999999999997</v>
      </c>
      <c r="I200" s="919">
        <v>0.63500000000000001</v>
      </c>
      <c r="J200" s="919">
        <v>0.63500000000000001</v>
      </c>
      <c r="K200" s="919">
        <v>0.63500000000000001</v>
      </c>
      <c r="L200" s="919">
        <v>0.63500000000000001</v>
      </c>
      <c r="M200" s="919">
        <v>0.63500000000000001</v>
      </c>
    </row>
    <row r="201" spans="1:13">
      <c r="A201" s="934">
        <v>9.6999999999999993</v>
      </c>
      <c r="B201" s="919">
        <v>0.83260000000000001</v>
      </c>
      <c r="C201" s="919">
        <v>0.83260000000000001</v>
      </c>
      <c r="D201" s="919">
        <v>0.73070000000000002</v>
      </c>
      <c r="E201" s="919">
        <v>0.73070000000000002</v>
      </c>
      <c r="F201" s="919">
        <v>0.73070000000000002</v>
      </c>
      <c r="G201" s="919">
        <v>0.73070000000000002</v>
      </c>
      <c r="H201" s="919">
        <v>0.73070000000000002</v>
      </c>
      <c r="I201" s="919">
        <v>0.63360000000000005</v>
      </c>
      <c r="J201" s="919">
        <v>0.63360000000000005</v>
      </c>
      <c r="K201" s="919">
        <v>0.63360000000000005</v>
      </c>
      <c r="L201" s="919">
        <v>0.63360000000000005</v>
      </c>
      <c r="M201" s="919">
        <v>0.63360000000000005</v>
      </c>
    </row>
    <row r="202" spans="1:13">
      <c r="A202" s="934">
        <v>9.8000000000000007</v>
      </c>
      <c r="B202" s="919">
        <v>0.83140000000000003</v>
      </c>
      <c r="C202" s="919">
        <v>0.83140000000000003</v>
      </c>
      <c r="D202" s="919">
        <v>0.72929999999999995</v>
      </c>
      <c r="E202" s="919">
        <v>0.72929999999999995</v>
      </c>
      <c r="F202" s="919">
        <v>0.72929999999999995</v>
      </c>
      <c r="G202" s="919">
        <v>0.72929999999999995</v>
      </c>
      <c r="H202" s="919">
        <v>0.72929999999999995</v>
      </c>
      <c r="I202" s="919">
        <v>0.63219999999999998</v>
      </c>
      <c r="J202" s="919">
        <v>0.63219999999999998</v>
      </c>
      <c r="K202" s="919">
        <v>0.63219999999999998</v>
      </c>
      <c r="L202" s="919">
        <v>0.63219999999999998</v>
      </c>
      <c r="M202" s="919">
        <v>0.63219999999999998</v>
      </c>
    </row>
    <row r="203" spans="1:13">
      <c r="A203" s="934">
        <v>9.9</v>
      </c>
      <c r="B203" s="919">
        <v>0.83020000000000005</v>
      </c>
      <c r="C203" s="919">
        <v>0.83020000000000005</v>
      </c>
      <c r="D203" s="919">
        <v>0.72799999999999998</v>
      </c>
      <c r="E203" s="919">
        <v>0.72799999999999998</v>
      </c>
      <c r="F203" s="919">
        <v>0.72799999999999998</v>
      </c>
      <c r="G203" s="919">
        <v>0.72799999999999998</v>
      </c>
      <c r="H203" s="919">
        <v>0.72799999999999998</v>
      </c>
      <c r="I203" s="919">
        <v>0.63080000000000003</v>
      </c>
      <c r="J203" s="919">
        <v>0.63080000000000003</v>
      </c>
      <c r="K203" s="919">
        <v>0.63080000000000003</v>
      </c>
      <c r="L203" s="919">
        <v>0.63080000000000003</v>
      </c>
      <c r="M203" s="919">
        <v>0.63080000000000003</v>
      </c>
    </row>
    <row r="204" spans="1:13">
      <c r="A204" s="934">
        <v>10</v>
      </c>
      <c r="B204" s="919">
        <v>0.82899999999999996</v>
      </c>
      <c r="C204" s="919">
        <v>0.82899999999999996</v>
      </c>
      <c r="D204" s="919">
        <v>0.72670000000000001</v>
      </c>
      <c r="E204" s="919">
        <v>0.72670000000000001</v>
      </c>
      <c r="F204" s="919">
        <v>0.72670000000000001</v>
      </c>
      <c r="G204" s="919">
        <v>0.72670000000000001</v>
      </c>
      <c r="H204" s="919">
        <v>0.72670000000000001</v>
      </c>
      <c r="I204" s="919">
        <v>0.62939999999999996</v>
      </c>
      <c r="J204" s="919">
        <v>0.62939999999999996</v>
      </c>
      <c r="K204" s="919">
        <v>0.62939999999999996</v>
      </c>
      <c r="L204" s="919">
        <v>0.62939999999999996</v>
      </c>
      <c r="M204" s="919">
        <v>0.62939999999999996</v>
      </c>
    </row>
    <row r="205" spans="1:13" ht="14.25">
      <c r="A205" s="907" t="s">
        <v>837</v>
      </c>
      <c r="B205" s="908"/>
      <c r="C205" s="908"/>
      <c r="D205" s="908"/>
      <c r="E205" s="908"/>
      <c r="F205" s="908"/>
      <c r="G205" s="908"/>
      <c r="H205" s="908"/>
      <c r="I205" s="908"/>
      <c r="J205" s="908"/>
      <c r="K205" s="908"/>
      <c r="L205" s="908"/>
      <c r="M205" s="908"/>
    </row>
    <row r="206" spans="1:13">
      <c r="A206" s="910" t="s">
        <v>838</v>
      </c>
      <c r="B206" s="911" t="s">
        <v>839</v>
      </c>
      <c r="C206" s="911" t="s">
        <v>840</v>
      </c>
      <c r="D206" s="911" t="s">
        <v>841</v>
      </c>
      <c r="E206" s="911" t="s">
        <v>842</v>
      </c>
      <c r="F206" s="911" t="s">
        <v>843</v>
      </c>
      <c r="G206" s="911" t="s">
        <v>844</v>
      </c>
      <c r="H206" s="912" t="s">
        <v>845</v>
      </c>
      <c r="I206" s="912" t="s">
        <v>846</v>
      </c>
      <c r="J206" s="913" t="s">
        <v>847</v>
      </c>
      <c r="K206" s="913" t="s">
        <v>848</v>
      </c>
      <c r="L206" s="913" t="s">
        <v>849</v>
      </c>
      <c r="M206" s="913" t="s">
        <v>850</v>
      </c>
    </row>
    <row r="207" spans="1:13">
      <c r="A207" s="910">
        <v>0.1</v>
      </c>
      <c r="B207" s="919">
        <v>12.172000000000001</v>
      </c>
      <c r="C207" s="919">
        <v>12.172000000000001</v>
      </c>
      <c r="D207" s="919">
        <v>12.375999999999999</v>
      </c>
      <c r="E207" s="919">
        <v>12.375999999999999</v>
      </c>
      <c r="F207" s="919">
        <v>12.375999999999999</v>
      </c>
      <c r="G207" s="919">
        <v>12.375999999999999</v>
      </c>
      <c r="H207" s="919">
        <v>12.375999999999999</v>
      </c>
      <c r="I207" s="919">
        <v>11.071999999999999</v>
      </c>
      <c r="J207" s="919">
        <v>11.071999999999999</v>
      </c>
      <c r="K207" s="919">
        <v>11.071999999999999</v>
      </c>
      <c r="L207" s="919">
        <v>11.071999999999999</v>
      </c>
      <c r="M207" s="919">
        <v>11.071999999999999</v>
      </c>
    </row>
    <row r="208" spans="1:13">
      <c r="A208" s="910">
        <v>0.2</v>
      </c>
      <c r="B208" s="919">
        <v>6.0860000000000003</v>
      </c>
      <c r="C208" s="919">
        <v>6.0860000000000003</v>
      </c>
      <c r="D208" s="919">
        <v>6.1879999999999997</v>
      </c>
      <c r="E208" s="919">
        <v>6.1879999999999997</v>
      </c>
      <c r="F208" s="919">
        <v>6.1879999999999997</v>
      </c>
      <c r="G208" s="919">
        <v>6.1879999999999997</v>
      </c>
      <c r="H208" s="919">
        <v>6.1879999999999997</v>
      </c>
      <c r="I208" s="919">
        <v>5.5359999999999996</v>
      </c>
      <c r="J208" s="919">
        <v>5.5359999999999996</v>
      </c>
      <c r="K208" s="919">
        <v>5.5359999999999996</v>
      </c>
      <c r="L208" s="919">
        <v>5.5359999999999996</v>
      </c>
      <c r="M208" s="919">
        <v>5.5359999999999996</v>
      </c>
    </row>
    <row r="209" spans="1:13">
      <c r="A209" s="910">
        <v>0.3</v>
      </c>
      <c r="B209" s="919">
        <v>4.0572999999999997</v>
      </c>
      <c r="C209" s="919">
        <v>4.0572999999999997</v>
      </c>
      <c r="D209" s="919">
        <v>4.1253000000000002</v>
      </c>
      <c r="E209" s="919">
        <v>4.1253000000000002</v>
      </c>
      <c r="F209" s="919">
        <v>4.1253000000000002</v>
      </c>
      <c r="G209" s="919">
        <v>4.1253000000000002</v>
      </c>
      <c r="H209" s="919">
        <v>4.1253000000000002</v>
      </c>
      <c r="I209" s="919">
        <v>3.6907000000000001</v>
      </c>
      <c r="J209" s="919">
        <v>3.6907000000000001</v>
      </c>
      <c r="K209" s="919">
        <v>3.6907000000000001</v>
      </c>
      <c r="L209" s="919">
        <v>3.6907000000000001</v>
      </c>
      <c r="M209" s="919">
        <v>3.6907000000000001</v>
      </c>
    </row>
    <row r="210" spans="1:13">
      <c r="A210" s="910">
        <v>0.4</v>
      </c>
      <c r="B210" s="919">
        <v>3.0430000000000001</v>
      </c>
      <c r="C210" s="919">
        <v>3.0430000000000001</v>
      </c>
      <c r="D210" s="919">
        <v>3.0939999999999999</v>
      </c>
      <c r="E210" s="919">
        <v>3.0939999999999999</v>
      </c>
      <c r="F210" s="919">
        <v>3.0939999999999999</v>
      </c>
      <c r="G210" s="919">
        <v>3.0939999999999999</v>
      </c>
      <c r="H210" s="919">
        <v>3.0939999999999999</v>
      </c>
      <c r="I210" s="919">
        <v>2.7679999999999998</v>
      </c>
      <c r="J210" s="919">
        <v>2.7679999999999998</v>
      </c>
      <c r="K210" s="919">
        <v>2.7679999999999998</v>
      </c>
      <c r="L210" s="919">
        <v>2.7679999999999998</v>
      </c>
      <c r="M210" s="919">
        <v>2.7679999999999998</v>
      </c>
    </row>
    <row r="211" spans="1:13">
      <c r="A211" s="910">
        <v>0.5</v>
      </c>
      <c r="B211" s="919">
        <v>2.4344000000000001</v>
      </c>
      <c r="C211" s="919">
        <v>2.4344000000000001</v>
      </c>
      <c r="D211" s="919">
        <v>2.4752000000000001</v>
      </c>
      <c r="E211" s="919">
        <v>2.4752000000000001</v>
      </c>
      <c r="F211" s="919">
        <v>2.4752000000000001</v>
      </c>
      <c r="G211" s="919">
        <v>2.4752000000000001</v>
      </c>
      <c r="H211" s="919">
        <v>2.4752000000000001</v>
      </c>
      <c r="I211" s="919">
        <v>2.2143999999999999</v>
      </c>
      <c r="J211" s="919">
        <v>2.2143999999999999</v>
      </c>
      <c r="K211" s="919">
        <v>2.2143999999999999</v>
      </c>
      <c r="L211" s="919">
        <v>2.2143999999999999</v>
      </c>
      <c r="M211" s="919">
        <v>2.2143999999999999</v>
      </c>
    </row>
    <row r="212" spans="1:13">
      <c r="A212" s="910">
        <v>0.6</v>
      </c>
      <c r="B212" s="919">
        <v>2.0287000000000002</v>
      </c>
      <c r="C212" s="919">
        <v>2.0287000000000002</v>
      </c>
      <c r="D212" s="919">
        <v>2.0627</v>
      </c>
      <c r="E212" s="919">
        <v>2.0627</v>
      </c>
      <c r="F212" s="919">
        <v>2.0627</v>
      </c>
      <c r="G212" s="919">
        <v>2.0627</v>
      </c>
      <c r="H212" s="919">
        <v>2.0627</v>
      </c>
      <c r="I212" s="919">
        <v>1.8452999999999999</v>
      </c>
      <c r="J212" s="919">
        <v>1.8452999999999999</v>
      </c>
      <c r="K212" s="919">
        <v>1.8452999999999999</v>
      </c>
      <c r="L212" s="919">
        <v>1.8452999999999999</v>
      </c>
      <c r="M212" s="919">
        <v>1.8452999999999999</v>
      </c>
    </row>
    <row r="213" spans="1:13">
      <c r="A213" s="910">
        <v>0.7</v>
      </c>
      <c r="B213" s="919">
        <v>1.7388999999999999</v>
      </c>
      <c r="C213" s="919">
        <v>1.7388999999999999</v>
      </c>
      <c r="D213" s="919">
        <v>1.768</v>
      </c>
      <c r="E213" s="919">
        <v>1.768</v>
      </c>
      <c r="F213" s="919">
        <v>1.768</v>
      </c>
      <c r="G213" s="919">
        <v>1.768</v>
      </c>
      <c r="H213" s="919">
        <v>1.768</v>
      </c>
      <c r="I213" s="919">
        <v>1.5817000000000001</v>
      </c>
      <c r="J213" s="919">
        <v>1.5817000000000001</v>
      </c>
      <c r="K213" s="919">
        <v>1.5817000000000001</v>
      </c>
      <c r="L213" s="919">
        <v>1.5817000000000001</v>
      </c>
      <c r="M213" s="919">
        <v>1.5817000000000001</v>
      </c>
    </row>
    <row r="214" spans="1:13">
      <c r="A214" s="910">
        <v>0.8</v>
      </c>
      <c r="B214" s="919">
        <v>1.5215000000000001</v>
      </c>
      <c r="C214" s="919">
        <v>1.5215000000000001</v>
      </c>
      <c r="D214" s="919">
        <v>1.5469999999999999</v>
      </c>
      <c r="E214" s="919">
        <v>1.5469999999999999</v>
      </c>
      <c r="F214" s="919">
        <v>1.5469999999999999</v>
      </c>
      <c r="G214" s="919">
        <v>1.5469999999999999</v>
      </c>
      <c r="H214" s="919">
        <v>1.5469999999999999</v>
      </c>
      <c r="I214" s="919">
        <v>1.3839999999999999</v>
      </c>
      <c r="J214" s="919">
        <v>1.3839999999999999</v>
      </c>
      <c r="K214" s="919">
        <v>1.3839999999999999</v>
      </c>
      <c r="L214" s="919">
        <v>1.3839999999999999</v>
      </c>
      <c r="M214" s="919">
        <v>1.3839999999999999</v>
      </c>
    </row>
    <row r="215" spans="1:13">
      <c r="A215" s="910">
        <v>0.9</v>
      </c>
      <c r="B215" s="919">
        <v>1.3524</v>
      </c>
      <c r="C215" s="919">
        <v>1.3524</v>
      </c>
      <c r="D215" s="919">
        <v>1.3751</v>
      </c>
      <c r="E215" s="919">
        <v>1.3751</v>
      </c>
      <c r="F215" s="919">
        <v>1.3751</v>
      </c>
      <c r="G215" s="919">
        <v>1.3751</v>
      </c>
      <c r="H215" s="919">
        <v>1.3751</v>
      </c>
      <c r="I215" s="919">
        <v>1.2302</v>
      </c>
      <c r="J215" s="919">
        <v>1.2302</v>
      </c>
      <c r="K215" s="919">
        <v>1.2302</v>
      </c>
      <c r="L215" s="919">
        <v>1.2302</v>
      </c>
      <c r="M215" s="919">
        <v>1.2302</v>
      </c>
    </row>
    <row r="216" spans="1:13">
      <c r="A216" s="910">
        <v>1</v>
      </c>
      <c r="B216" s="919">
        <v>1.2172000000000001</v>
      </c>
      <c r="C216" s="919">
        <v>1.2172000000000001</v>
      </c>
      <c r="D216" s="919">
        <v>1.2376</v>
      </c>
      <c r="E216" s="919">
        <v>1.2376</v>
      </c>
      <c r="F216" s="919">
        <v>1.2376</v>
      </c>
      <c r="G216" s="919">
        <v>1.2376</v>
      </c>
      <c r="H216" s="919">
        <v>1.2376</v>
      </c>
      <c r="I216" s="919">
        <v>1.1072</v>
      </c>
      <c r="J216" s="919">
        <v>1.1072</v>
      </c>
      <c r="K216" s="919">
        <v>1.1072</v>
      </c>
      <c r="L216" s="919">
        <v>1.1072</v>
      </c>
      <c r="M216" s="919">
        <v>1.1072</v>
      </c>
    </row>
    <row r="217" spans="1:13">
      <c r="A217" s="910">
        <v>1.1000000000000001</v>
      </c>
      <c r="B217" s="919">
        <v>1.198</v>
      </c>
      <c r="C217" s="919">
        <v>1.198</v>
      </c>
      <c r="D217" s="919">
        <v>1.2156</v>
      </c>
      <c r="E217" s="919">
        <v>1.2156</v>
      </c>
      <c r="F217" s="919">
        <v>1.2156</v>
      </c>
      <c r="G217" s="919">
        <v>1.2156</v>
      </c>
      <c r="H217" s="919">
        <v>1.2156</v>
      </c>
      <c r="I217" s="919">
        <v>1.0829</v>
      </c>
      <c r="J217" s="919">
        <v>1.0829</v>
      </c>
      <c r="K217" s="919">
        <v>1.0829</v>
      </c>
      <c r="L217" s="919">
        <v>1.0829</v>
      </c>
      <c r="M217" s="919">
        <v>1.0829</v>
      </c>
    </row>
    <row r="218" spans="1:13">
      <c r="A218" s="910">
        <v>1.2</v>
      </c>
      <c r="B218" s="919">
        <v>1.1795</v>
      </c>
      <c r="C218" s="919">
        <v>1.1795</v>
      </c>
      <c r="D218" s="919">
        <v>1.1947000000000001</v>
      </c>
      <c r="E218" s="919">
        <v>1.1947000000000001</v>
      </c>
      <c r="F218" s="919">
        <v>1.1947000000000001</v>
      </c>
      <c r="G218" s="919">
        <v>1.1947000000000001</v>
      </c>
      <c r="H218" s="919">
        <v>1.1947000000000001</v>
      </c>
      <c r="I218" s="919">
        <v>1.0601</v>
      </c>
      <c r="J218" s="919">
        <v>1.0601</v>
      </c>
      <c r="K218" s="919">
        <v>1.0601</v>
      </c>
      <c r="L218" s="919">
        <v>1.0601</v>
      </c>
      <c r="M218" s="919">
        <v>1.0601</v>
      </c>
    </row>
    <row r="219" spans="1:13">
      <c r="A219" s="910">
        <v>1.3</v>
      </c>
      <c r="B219" s="919">
        <v>1.1617999999999999</v>
      </c>
      <c r="C219" s="919">
        <v>1.1617999999999999</v>
      </c>
      <c r="D219" s="919">
        <v>1.1748000000000001</v>
      </c>
      <c r="E219" s="919">
        <v>1.1748000000000001</v>
      </c>
      <c r="F219" s="919">
        <v>1.1748000000000001</v>
      </c>
      <c r="G219" s="919">
        <v>1.1748000000000001</v>
      </c>
      <c r="H219" s="919">
        <v>1.1748000000000001</v>
      </c>
      <c r="I219" s="919">
        <v>1.0387999999999999</v>
      </c>
      <c r="J219" s="919">
        <v>1.0387999999999999</v>
      </c>
      <c r="K219" s="919">
        <v>1.0387999999999999</v>
      </c>
      <c r="L219" s="919">
        <v>1.0387999999999999</v>
      </c>
      <c r="M219" s="919">
        <v>1.0387999999999999</v>
      </c>
    </row>
    <row r="220" spans="1:13">
      <c r="A220" s="910">
        <v>1.4</v>
      </c>
      <c r="B220" s="919">
        <v>1.1448</v>
      </c>
      <c r="C220" s="919">
        <v>1.1448</v>
      </c>
      <c r="D220" s="919">
        <v>1.1557999999999999</v>
      </c>
      <c r="E220" s="919">
        <v>1.1557999999999999</v>
      </c>
      <c r="F220" s="919">
        <v>1.1557999999999999</v>
      </c>
      <c r="G220" s="919">
        <v>1.1557999999999999</v>
      </c>
      <c r="H220" s="919">
        <v>1.1557999999999999</v>
      </c>
      <c r="I220" s="919">
        <v>1.0187999999999999</v>
      </c>
      <c r="J220" s="919">
        <v>1.0187999999999999</v>
      </c>
      <c r="K220" s="919">
        <v>1.0187999999999999</v>
      </c>
      <c r="L220" s="919">
        <v>1.0187999999999999</v>
      </c>
      <c r="M220" s="919">
        <v>1.0187999999999999</v>
      </c>
    </row>
    <row r="221" spans="1:13">
      <c r="A221" s="910">
        <v>1.5</v>
      </c>
      <c r="B221" s="919">
        <v>1.1285000000000001</v>
      </c>
      <c r="C221" s="919">
        <v>1.1285000000000001</v>
      </c>
      <c r="D221" s="919">
        <v>1.1377999999999999</v>
      </c>
      <c r="E221" s="919">
        <v>1.1377999999999999</v>
      </c>
      <c r="F221" s="919">
        <v>1.1377999999999999</v>
      </c>
      <c r="G221" s="919">
        <v>1.1377999999999999</v>
      </c>
      <c r="H221" s="919">
        <v>1.1377999999999999</v>
      </c>
      <c r="I221" s="919">
        <v>1</v>
      </c>
      <c r="J221" s="919">
        <v>1</v>
      </c>
      <c r="K221" s="919">
        <v>1</v>
      </c>
      <c r="L221" s="919">
        <v>1</v>
      </c>
      <c r="M221" s="919">
        <v>1</v>
      </c>
    </row>
    <row r="222" spans="1:13">
      <c r="A222" s="910">
        <v>1.6</v>
      </c>
      <c r="B222" s="919">
        <v>1.1129</v>
      </c>
      <c r="C222" s="919">
        <v>1.1129</v>
      </c>
      <c r="D222" s="919">
        <v>1.1206</v>
      </c>
      <c r="E222" s="919">
        <v>1.1206</v>
      </c>
      <c r="F222" s="919">
        <v>1.1206</v>
      </c>
      <c r="G222" s="919">
        <v>1.1206</v>
      </c>
      <c r="H222" s="919">
        <v>1.1206</v>
      </c>
      <c r="I222" s="919">
        <v>0.98240000000000005</v>
      </c>
      <c r="J222" s="919">
        <v>0.98240000000000005</v>
      </c>
      <c r="K222" s="919">
        <v>0.98240000000000005</v>
      </c>
      <c r="L222" s="919">
        <v>0.98240000000000005</v>
      </c>
      <c r="M222" s="919">
        <v>0.98240000000000005</v>
      </c>
    </row>
    <row r="223" spans="1:13">
      <c r="A223" s="910">
        <v>1.7</v>
      </c>
      <c r="B223" s="919">
        <v>1.0980000000000001</v>
      </c>
      <c r="C223" s="919">
        <v>1.0980000000000001</v>
      </c>
      <c r="D223" s="919">
        <v>1.1043000000000001</v>
      </c>
      <c r="E223" s="919">
        <v>1.1043000000000001</v>
      </c>
      <c r="F223" s="919">
        <v>1.1043000000000001</v>
      </c>
      <c r="G223" s="919">
        <v>1.1043000000000001</v>
      </c>
      <c r="H223" s="919">
        <v>1.1043000000000001</v>
      </c>
      <c r="I223" s="919">
        <v>0.96579999999999999</v>
      </c>
      <c r="J223" s="919">
        <v>0.96579999999999999</v>
      </c>
      <c r="K223" s="919">
        <v>0.96579999999999999</v>
      </c>
      <c r="L223" s="919">
        <v>0.96579999999999999</v>
      </c>
      <c r="M223" s="919">
        <v>0.96579999999999999</v>
      </c>
    </row>
    <row r="224" spans="1:13">
      <c r="A224" s="910">
        <v>1.8</v>
      </c>
      <c r="B224" s="919">
        <v>1.0835999999999999</v>
      </c>
      <c r="C224" s="919">
        <v>1.0835999999999999</v>
      </c>
      <c r="D224" s="919">
        <v>1.0888</v>
      </c>
      <c r="E224" s="919">
        <v>1.0888</v>
      </c>
      <c r="F224" s="919">
        <v>1.0888</v>
      </c>
      <c r="G224" s="919">
        <v>1.0888</v>
      </c>
      <c r="H224" s="919">
        <v>1.0888</v>
      </c>
      <c r="I224" s="919">
        <v>0.95030000000000003</v>
      </c>
      <c r="J224" s="919">
        <v>0.95030000000000003</v>
      </c>
      <c r="K224" s="919">
        <v>0.95030000000000003</v>
      </c>
      <c r="L224" s="919">
        <v>0.95030000000000003</v>
      </c>
      <c r="M224" s="919">
        <v>0.95030000000000003</v>
      </c>
    </row>
    <row r="225" spans="1:13">
      <c r="A225" s="910">
        <v>1.9</v>
      </c>
      <c r="B225" s="919">
        <v>1.0698000000000001</v>
      </c>
      <c r="C225" s="919">
        <v>1.0698000000000001</v>
      </c>
      <c r="D225" s="919">
        <v>1.0741000000000001</v>
      </c>
      <c r="E225" s="919">
        <v>1.0741000000000001</v>
      </c>
      <c r="F225" s="919">
        <v>1.0741000000000001</v>
      </c>
      <c r="G225" s="919">
        <v>1.0741000000000001</v>
      </c>
      <c r="H225" s="919">
        <v>1.0741000000000001</v>
      </c>
      <c r="I225" s="919">
        <v>0.93610000000000004</v>
      </c>
      <c r="J225" s="919">
        <v>0.93610000000000004</v>
      </c>
      <c r="K225" s="919">
        <v>0.93610000000000004</v>
      </c>
      <c r="L225" s="919">
        <v>0.93610000000000004</v>
      </c>
      <c r="M225" s="919">
        <v>0.93610000000000004</v>
      </c>
    </row>
    <row r="226" spans="1:13">
      <c r="A226" s="910">
        <v>2</v>
      </c>
      <c r="B226" s="919">
        <v>1.0568</v>
      </c>
      <c r="C226" s="919">
        <v>1.0568</v>
      </c>
      <c r="D226" s="919">
        <v>1.0601</v>
      </c>
      <c r="E226" s="919">
        <v>1.0601</v>
      </c>
      <c r="F226" s="919">
        <v>1.0601</v>
      </c>
      <c r="G226" s="919">
        <v>1.0601</v>
      </c>
      <c r="H226" s="919">
        <v>1.0601</v>
      </c>
      <c r="I226" s="919">
        <v>0.9224</v>
      </c>
      <c r="J226" s="919">
        <v>0.9224</v>
      </c>
      <c r="K226" s="919">
        <v>0.9224</v>
      </c>
      <c r="L226" s="919">
        <v>0.9224</v>
      </c>
      <c r="M226" s="919">
        <v>0.9224</v>
      </c>
    </row>
    <row r="227" spans="1:13">
      <c r="A227" s="934">
        <v>2.1</v>
      </c>
      <c r="B227" s="919">
        <v>1.0443</v>
      </c>
      <c r="C227" s="919">
        <v>1.0443</v>
      </c>
      <c r="D227" s="919">
        <v>1.0468</v>
      </c>
      <c r="E227" s="919">
        <v>1.0468</v>
      </c>
      <c r="F227" s="919">
        <v>1.0468</v>
      </c>
      <c r="G227" s="919">
        <v>1.0468</v>
      </c>
      <c r="H227" s="919">
        <v>1.0468</v>
      </c>
      <c r="I227" s="919">
        <v>0.90959999999999996</v>
      </c>
      <c r="J227" s="919">
        <v>0.90959999999999996</v>
      </c>
      <c r="K227" s="919">
        <v>0.90959999999999996</v>
      </c>
      <c r="L227" s="919">
        <v>0.90959999999999996</v>
      </c>
      <c r="M227" s="919">
        <v>0.90959999999999996</v>
      </c>
    </row>
    <row r="228" spans="1:13">
      <c r="A228" s="934">
        <v>2.2000000000000002</v>
      </c>
      <c r="B228" s="919">
        <v>1.0325</v>
      </c>
      <c r="C228" s="919">
        <v>1.0325</v>
      </c>
      <c r="D228" s="919">
        <v>1.0342</v>
      </c>
      <c r="E228" s="919">
        <v>1.0342</v>
      </c>
      <c r="F228" s="919">
        <v>1.0342</v>
      </c>
      <c r="G228" s="919">
        <v>1.0342</v>
      </c>
      <c r="H228" s="919">
        <v>1.0342</v>
      </c>
      <c r="I228" s="919">
        <v>0.89749999999999996</v>
      </c>
      <c r="J228" s="919">
        <v>0.89749999999999996</v>
      </c>
      <c r="K228" s="919">
        <v>0.89749999999999996</v>
      </c>
      <c r="L228" s="919">
        <v>0.89749999999999996</v>
      </c>
      <c r="M228" s="919">
        <v>0.89749999999999996</v>
      </c>
    </row>
    <row r="229" spans="1:13">
      <c r="A229" s="934">
        <v>2.2999999999999998</v>
      </c>
      <c r="B229" s="919">
        <v>1.0209999999999999</v>
      </c>
      <c r="C229" s="919">
        <v>1.0209999999999999</v>
      </c>
      <c r="D229" s="919">
        <v>1.0222</v>
      </c>
      <c r="E229" s="919">
        <v>1.0222</v>
      </c>
      <c r="F229" s="919">
        <v>1.0222</v>
      </c>
      <c r="G229" s="919">
        <v>1.0222</v>
      </c>
      <c r="H229" s="919">
        <v>1.0222</v>
      </c>
      <c r="I229" s="919">
        <v>0.88619999999999999</v>
      </c>
      <c r="J229" s="919">
        <v>0.88619999999999999</v>
      </c>
      <c r="K229" s="919">
        <v>0.88619999999999999</v>
      </c>
      <c r="L229" s="919">
        <v>0.88619999999999999</v>
      </c>
      <c r="M229" s="919">
        <v>0.88619999999999999</v>
      </c>
    </row>
    <row r="230" spans="1:13">
      <c r="A230" s="934">
        <v>2.4</v>
      </c>
      <c r="B230" s="919">
        <v>1.0102</v>
      </c>
      <c r="C230" s="919">
        <v>1.0102</v>
      </c>
      <c r="D230" s="919">
        <v>1.0107999999999999</v>
      </c>
      <c r="E230" s="919">
        <v>1.0107999999999999</v>
      </c>
      <c r="F230" s="919">
        <v>1.0107999999999999</v>
      </c>
      <c r="G230" s="919">
        <v>1.0107999999999999</v>
      </c>
      <c r="H230" s="919">
        <v>1.0107999999999999</v>
      </c>
      <c r="I230" s="919">
        <v>0.87529999999999997</v>
      </c>
      <c r="J230" s="919">
        <v>0.87529999999999997</v>
      </c>
      <c r="K230" s="919">
        <v>0.87529999999999997</v>
      </c>
      <c r="L230" s="919">
        <v>0.87529999999999997</v>
      </c>
      <c r="M230" s="919">
        <v>0.87529999999999997</v>
      </c>
    </row>
    <row r="231" spans="1:13">
      <c r="A231" s="934">
        <v>2.5</v>
      </c>
      <c r="B231" s="919">
        <v>1</v>
      </c>
      <c r="C231" s="919">
        <v>1</v>
      </c>
      <c r="D231" s="919">
        <v>1</v>
      </c>
      <c r="E231" s="919">
        <v>1</v>
      </c>
      <c r="F231" s="919">
        <v>1</v>
      </c>
      <c r="G231" s="919">
        <v>1</v>
      </c>
      <c r="H231" s="919">
        <v>1</v>
      </c>
      <c r="I231" s="919">
        <v>0.86509999999999998</v>
      </c>
      <c r="J231" s="919">
        <v>0.86509999999999998</v>
      </c>
      <c r="K231" s="919">
        <v>0.86509999999999998</v>
      </c>
      <c r="L231" s="919">
        <v>0.86509999999999998</v>
      </c>
      <c r="M231" s="919">
        <v>0.86509999999999998</v>
      </c>
    </row>
    <row r="232" spans="1:13">
      <c r="A232" s="934">
        <v>2.6</v>
      </c>
      <c r="B232" s="919">
        <v>0.99029999999999996</v>
      </c>
      <c r="C232" s="919">
        <v>0.99029999999999996</v>
      </c>
      <c r="D232" s="919">
        <v>0.98970000000000002</v>
      </c>
      <c r="E232" s="919">
        <v>0.98970000000000002</v>
      </c>
      <c r="F232" s="919">
        <v>0.98970000000000002</v>
      </c>
      <c r="G232" s="919">
        <v>0.98970000000000002</v>
      </c>
      <c r="H232" s="919">
        <v>0.98970000000000002</v>
      </c>
      <c r="I232" s="919">
        <v>0.85529999999999995</v>
      </c>
      <c r="J232" s="919">
        <v>0.85529999999999995</v>
      </c>
      <c r="K232" s="919">
        <v>0.85529999999999995</v>
      </c>
      <c r="L232" s="919">
        <v>0.85529999999999995</v>
      </c>
      <c r="M232" s="919">
        <v>0.85529999999999995</v>
      </c>
    </row>
    <row r="233" spans="1:13">
      <c r="A233" s="934">
        <v>2.7</v>
      </c>
      <c r="B233" s="919">
        <v>0.98109999999999997</v>
      </c>
      <c r="C233" s="919">
        <v>0.98109999999999997</v>
      </c>
      <c r="D233" s="919">
        <v>0.97989999999999999</v>
      </c>
      <c r="E233" s="919">
        <v>0.97989999999999999</v>
      </c>
      <c r="F233" s="919">
        <v>0.97989999999999999</v>
      </c>
      <c r="G233" s="919">
        <v>0.97989999999999999</v>
      </c>
      <c r="H233" s="919">
        <v>0.97989999999999999</v>
      </c>
      <c r="I233" s="919">
        <v>0.84599999999999997</v>
      </c>
      <c r="J233" s="919">
        <v>0.84599999999999997</v>
      </c>
      <c r="K233" s="919">
        <v>0.84599999999999997</v>
      </c>
      <c r="L233" s="919">
        <v>0.84599999999999997</v>
      </c>
      <c r="M233" s="919">
        <v>0.84599999999999997</v>
      </c>
    </row>
    <row r="234" spans="1:13">
      <c r="A234" s="934">
        <v>2.8</v>
      </c>
      <c r="B234" s="919">
        <v>0.97240000000000004</v>
      </c>
      <c r="C234" s="919">
        <v>0.97240000000000004</v>
      </c>
      <c r="D234" s="919">
        <v>0.97060000000000002</v>
      </c>
      <c r="E234" s="919">
        <v>0.97060000000000002</v>
      </c>
      <c r="F234" s="919">
        <v>0.97060000000000002</v>
      </c>
      <c r="G234" s="919">
        <v>0.97060000000000002</v>
      </c>
      <c r="H234" s="919">
        <v>0.97060000000000002</v>
      </c>
      <c r="I234" s="919">
        <v>0.83709999999999996</v>
      </c>
      <c r="J234" s="919">
        <v>0.83709999999999996</v>
      </c>
      <c r="K234" s="919">
        <v>0.83709999999999996</v>
      </c>
      <c r="L234" s="919">
        <v>0.83709999999999996</v>
      </c>
      <c r="M234" s="919">
        <v>0.83709999999999996</v>
      </c>
    </row>
    <row r="235" spans="1:13">
      <c r="A235" s="934">
        <v>2.9</v>
      </c>
      <c r="B235" s="919">
        <v>0.96419999999999995</v>
      </c>
      <c r="C235" s="919">
        <v>0.96419999999999995</v>
      </c>
      <c r="D235" s="919">
        <v>0.96179999999999999</v>
      </c>
      <c r="E235" s="919">
        <v>0.96179999999999999</v>
      </c>
      <c r="F235" s="919">
        <v>0.96179999999999999</v>
      </c>
      <c r="G235" s="919">
        <v>0.96179999999999999</v>
      </c>
      <c r="H235" s="919">
        <v>0.96179999999999999</v>
      </c>
      <c r="I235" s="919">
        <v>0.82850000000000001</v>
      </c>
      <c r="J235" s="919">
        <v>0.82850000000000001</v>
      </c>
      <c r="K235" s="919">
        <v>0.82850000000000001</v>
      </c>
      <c r="L235" s="919">
        <v>0.82850000000000001</v>
      </c>
      <c r="M235" s="919">
        <v>0.82850000000000001</v>
      </c>
    </row>
    <row r="236" spans="1:13">
      <c r="A236" s="934">
        <v>3</v>
      </c>
      <c r="B236" s="919">
        <v>0.95640000000000003</v>
      </c>
      <c r="C236" s="919">
        <v>0.95640000000000003</v>
      </c>
      <c r="D236" s="919">
        <v>0.95340000000000003</v>
      </c>
      <c r="E236" s="919">
        <v>0.95340000000000003</v>
      </c>
      <c r="F236" s="919">
        <v>0.95340000000000003</v>
      </c>
      <c r="G236" s="919">
        <v>0.95340000000000003</v>
      </c>
      <c r="H236" s="919">
        <v>0.95340000000000003</v>
      </c>
      <c r="I236" s="919">
        <v>0.82040000000000002</v>
      </c>
      <c r="J236" s="919">
        <v>0.82040000000000002</v>
      </c>
      <c r="K236" s="919">
        <v>0.82040000000000002</v>
      </c>
      <c r="L236" s="919">
        <v>0.82040000000000002</v>
      </c>
      <c r="M236" s="919">
        <v>0.82040000000000002</v>
      </c>
    </row>
    <row r="237" spans="1:13">
      <c r="A237" s="934">
        <v>3.1</v>
      </c>
      <c r="B237" s="919">
        <v>0.94899999999999995</v>
      </c>
      <c r="C237" s="919">
        <v>0.94899999999999995</v>
      </c>
      <c r="D237" s="919">
        <v>0.94550000000000001</v>
      </c>
      <c r="E237" s="919">
        <v>0.94550000000000001</v>
      </c>
      <c r="F237" s="919">
        <v>0.94550000000000001</v>
      </c>
      <c r="G237" s="919">
        <v>0.94550000000000001</v>
      </c>
      <c r="H237" s="919">
        <v>0.94550000000000001</v>
      </c>
      <c r="I237" s="919">
        <v>0.81259999999999999</v>
      </c>
      <c r="J237" s="919">
        <v>0.81259999999999999</v>
      </c>
      <c r="K237" s="919">
        <v>0.81259999999999999</v>
      </c>
      <c r="L237" s="919">
        <v>0.81259999999999999</v>
      </c>
      <c r="M237" s="919">
        <v>0.81259999999999999</v>
      </c>
    </row>
    <row r="238" spans="1:13">
      <c r="A238" s="934">
        <v>3.2</v>
      </c>
      <c r="B238" s="919">
        <v>0.94199999999999995</v>
      </c>
      <c r="C238" s="919">
        <v>0.94199999999999995</v>
      </c>
      <c r="D238" s="919">
        <v>0.93789999999999996</v>
      </c>
      <c r="E238" s="919">
        <v>0.93789999999999996</v>
      </c>
      <c r="F238" s="919">
        <v>0.93789999999999996</v>
      </c>
      <c r="G238" s="919">
        <v>0.93789999999999996</v>
      </c>
      <c r="H238" s="919">
        <v>0.93789999999999996</v>
      </c>
      <c r="I238" s="919">
        <v>0.80530000000000002</v>
      </c>
      <c r="J238" s="919">
        <v>0.80530000000000002</v>
      </c>
      <c r="K238" s="919">
        <v>0.80530000000000002</v>
      </c>
      <c r="L238" s="919">
        <v>0.80530000000000002</v>
      </c>
      <c r="M238" s="919">
        <v>0.80530000000000002</v>
      </c>
    </row>
    <row r="239" spans="1:13">
      <c r="A239" s="934">
        <v>3.3</v>
      </c>
      <c r="B239" s="919">
        <v>0.93540000000000001</v>
      </c>
      <c r="C239" s="919">
        <v>0.93540000000000001</v>
      </c>
      <c r="D239" s="919">
        <v>0.93069999999999997</v>
      </c>
      <c r="E239" s="919">
        <v>0.93069999999999997</v>
      </c>
      <c r="F239" s="919">
        <v>0.93069999999999997</v>
      </c>
      <c r="G239" s="919">
        <v>0.93069999999999997</v>
      </c>
      <c r="H239" s="919">
        <v>0.93069999999999997</v>
      </c>
      <c r="I239" s="919">
        <v>0.79820000000000002</v>
      </c>
      <c r="J239" s="919">
        <v>0.79820000000000002</v>
      </c>
      <c r="K239" s="919">
        <v>0.79820000000000002</v>
      </c>
      <c r="L239" s="919">
        <v>0.79820000000000002</v>
      </c>
      <c r="M239" s="919">
        <v>0.79820000000000002</v>
      </c>
    </row>
    <row r="240" spans="1:13">
      <c r="A240" s="934">
        <v>3.4</v>
      </c>
      <c r="B240" s="919">
        <v>0.92920000000000003</v>
      </c>
      <c r="C240" s="919">
        <v>0.92920000000000003</v>
      </c>
      <c r="D240" s="919">
        <v>0.92390000000000005</v>
      </c>
      <c r="E240" s="919">
        <v>0.92390000000000005</v>
      </c>
      <c r="F240" s="919">
        <v>0.92390000000000005</v>
      </c>
      <c r="G240" s="919">
        <v>0.92390000000000005</v>
      </c>
      <c r="H240" s="919">
        <v>0.92390000000000005</v>
      </c>
      <c r="I240" s="919">
        <v>0.79139999999999999</v>
      </c>
      <c r="J240" s="919">
        <v>0.79139999999999999</v>
      </c>
      <c r="K240" s="919">
        <v>0.79139999999999999</v>
      </c>
      <c r="L240" s="919">
        <v>0.79139999999999999</v>
      </c>
      <c r="M240" s="919">
        <v>0.79139999999999999</v>
      </c>
    </row>
    <row r="241" spans="1:13">
      <c r="A241" s="934">
        <v>3.5</v>
      </c>
      <c r="B241" s="919">
        <v>0.9234</v>
      </c>
      <c r="C241" s="919">
        <v>0.9234</v>
      </c>
      <c r="D241" s="919">
        <v>0.91749999999999998</v>
      </c>
      <c r="E241" s="919">
        <v>0.91749999999999998</v>
      </c>
      <c r="F241" s="919">
        <v>0.91749999999999998</v>
      </c>
      <c r="G241" s="919">
        <v>0.91749999999999998</v>
      </c>
      <c r="H241" s="919">
        <v>0.91749999999999998</v>
      </c>
      <c r="I241" s="919">
        <v>0.78490000000000004</v>
      </c>
      <c r="J241" s="919">
        <v>0.78490000000000004</v>
      </c>
      <c r="K241" s="919">
        <v>0.78490000000000004</v>
      </c>
      <c r="L241" s="919">
        <v>0.78490000000000004</v>
      </c>
      <c r="M241" s="919">
        <v>0.78490000000000004</v>
      </c>
    </row>
    <row r="242" spans="1:13">
      <c r="A242" s="934">
        <v>3.6</v>
      </c>
      <c r="B242" s="919">
        <v>0.91790000000000005</v>
      </c>
      <c r="C242" s="919">
        <v>0.91790000000000005</v>
      </c>
      <c r="D242" s="919">
        <v>0.91139999999999999</v>
      </c>
      <c r="E242" s="919">
        <v>0.91139999999999999</v>
      </c>
      <c r="F242" s="919">
        <v>0.91139999999999999</v>
      </c>
      <c r="G242" s="919">
        <v>0.91139999999999999</v>
      </c>
      <c r="H242" s="919">
        <v>0.91139999999999999</v>
      </c>
      <c r="I242" s="919">
        <v>0.77880000000000005</v>
      </c>
      <c r="J242" s="919">
        <v>0.77880000000000005</v>
      </c>
      <c r="K242" s="919">
        <v>0.77880000000000005</v>
      </c>
      <c r="L242" s="919">
        <v>0.77880000000000005</v>
      </c>
      <c r="M242" s="919">
        <v>0.77880000000000005</v>
      </c>
    </row>
    <row r="243" spans="1:13">
      <c r="A243" s="934">
        <v>3.7</v>
      </c>
      <c r="B243" s="919">
        <v>0.91269999999999996</v>
      </c>
      <c r="C243" s="919">
        <v>0.91269999999999996</v>
      </c>
      <c r="D243" s="919">
        <v>0.90559999999999996</v>
      </c>
      <c r="E243" s="919">
        <v>0.90559999999999996</v>
      </c>
      <c r="F243" s="919">
        <v>0.90559999999999996</v>
      </c>
      <c r="G243" s="919">
        <v>0.90559999999999996</v>
      </c>
      <c r="H243" s="919">
        <v>0.90559999999999996</v>
      </c>
      <c r="I243" s="919">
        <v>0.77300000000000002</v>
      </c>
      <c r="J243" s="919">
        <v>0.77300000000000002</v>
      </c>
      <c r="K243" s="919">
        <v>0.77300000000000002</v>
      </c>
      <c r="L243" s="919">
        <v>0.77300000000000002</v>
      </c>
      <c r="M243" s="919">
        <v>0.77300000000000002</v>
      </c>
    </row>
    <row r="244" spans="1:13">
      <c r="A244" s="934">
        <v>3.8</v>
      </c>
      <c r="B244" s="919">
        <v>0.90780000000000005</v>
      </c>
      <c r="C244" s="919">
        <v>0.90780000000000005</v>
      </c>
      <c r="D244" s="919">
        <v>0.90010000000000001</v>
      </c>
      <c r="E244" s="919">
        <v>0.90010000000000001</v>
      </c>
      <c r="F244" s="919">
        <v>0.90010000000000001</v>
      </c>
      <c r="G244" s="919">
        <v>0.90010000000000001</v>
      </c>
      <c r="H244" s="919">
        <v>0.90010000000000001</v>
      </c>
      <c r="I244" s="919">
        <v>0.76739999999999997</v>
      </c>
      <c r="J244" s="919">
        <v>0.76739999999999997</v>
      </c>
      <c r="K244" s="919">
        <v>0.76739999999999997</v>
      </c>
      <c r="L244" s="919">
        <v>0.76739999999999997</v>
      </c>
      <c r="M244" s="919">
        <v>0.76739999999999997</v>
      </c>
    </row>
    <row r="245" spans="1:13">
      <c r="A245" s="934">
        <v>3.9</v>
      </c>
      <c r="B245" s="919">
        <v>0.9032</v>
      </c>
      <c r="C245" s="919">
        <v>0.9032</v>
      </c>
      <c r="D245" s="919">
        <v>0.89490000000000003</v>
      </c>
      <c r="E245" s="919">
        <v>0.89490000000000003</v>
      </c>
      <c r="F245" s="919">
        <v>0.89490000000000003</v>
      </c>
      <c r="G245" s="919">
        <v>0.89490000000000003</v>
      </c>
      <c r="H245" s="919">
        <v>0.89490000000000003</v>
      </c>
      <c r="I245" s="919">
        <v>0.7621</v>
      </c>
      <c r="J245" s="919">
        <v>0.7621</v>
      </c>
      <c r="K245" s="919">
        <v>0.7621</v>
      </c>
      <c r="L245" s="919">
        <v>0.7621</v>
      </c>
      <c r="M245" s="919">
        <v>0.7621</v>
      </c>
    </row>
    <row r="246" spans="1:13">
      <c r="A246" s="934">
        <v>4</v>
      </c>
      <c r="B246" s="919">
        <v>0.89890000000000003</v>
      </c>
      <c r="C246" s="919">
        <v>0.89890000000000003</v>
      </c>
      <c r="D246" s="919">
        <v>0.89</v>
      </c>
      <c r="E246" s="919">
        <v>0.89</v>
      </c>
      <c r="F246" s="919">
        <v>0.89</v>
      </c>
      <c r="G246" s="919">
        <v>0.89</v>
      </c>
      <c r="H246" s="919">
        <v>0.89</v>
      </c>
      <c r="I246" s="919">
        <v>0.7571</v>
      </c>
      <c r="J246" s="919">
        <v>0.7571</v>
      </c>
      <c r="K246" s="919">
        <v>0.7571</v>
      </c>
      <c r="L246" s="919">
        <v>0.7571</v>
      </c>
      <c r="M246" s="919">
        <v>0.7571</v>
      </c>
    </row>
    <row r="247" spans="1:13">
      <c r="A247" s="934">
        <v>4.0999999999999996</v>
      </c>
      <c r="B247" s="919">
        <v>0.89480000000000004</v>
      </c>
      <c r="C247" s="919">
        <v>0.89480000000000004</v>
      </c>
      <c r="D247" s="919">
        <v>0.88539999999999996</v>
      </c>
      <c r="E247" s="919">
        <v>0.88539999999999996</v>
      </c>
      <c r="F247" s="919">
        <v>0.88539999999999996</v>
      </c>
      <c r="G247" s="919">
        <v>0.88539999999999996</v>
      </c>
      <c r="H247" s="919">
        <v>0.88539999999999996</v>
      </c>
      <c r="I247" s="919">
        <v>0.75229999999999997</v>
      </c>
      <c r="J247" s="919">
        <v>0.75229999999999997</v>
      </c>
      <c r="K247" s="919">
        <v>0.75229999999999997</v>
      </c>
      <c r="L247" s="919">
        <v>0.75229999999999997</v>
      </c>
      <c r="M247" s="919">
        <v>0.75229999999999997</v>
      </c>
    </row>
    <row r="248" spans="1:13">
      <c r="A248" s="934">
        <v>4.2</v>
      </c>
      <c r="B248" s="919">
        <v>0.89100000000000001</v>
      </c>
      <c r="C248" s="919">
        <v>0.89100000000000001</v>
      </c>
      <c r="D248" s="919">
        <v>0.88109999999999999</v>
      </c>
      <c r="E248" s="919">
        <v>0.88109999999999999</v>
      </c>
      <c r="F248" s="919">
        <v>0.88109999999999999</v>
      </c>
      <c r="G248" s="919">
        <v>0.88109999999999999</v>
      </c>
      <c r="H248" s="919">
        <v>0.88109999999999999</v>
      </c>
      <c r="I248" s="919">
        <v>0.74780000000000002</v>
      </c>
      <c r="J248" s="919">
        <v>0.74780000000000002</v>
      </c>
      <c r="K248" s="919">
        <v>0.74780000000000002</v>
      </c>
      <c r="L248" s="919">
        <v>0.74780000000000002</v>
      </c>
      <c r="M248" s="919">
        <v>0.74780000000000002</v>
      </c>
    </row>
    <row r="249" spans="1:13">
      <c r="A249" s="934">
        <v>4.3</v>
      </c>
      <c r="B249" s="919">
        <v>0.88739999999999997</v>
      </c>
      <c r="C249" s="919">
        <v>0.88739999999999997</v>
      </c>
      <c r="D249" s="919">
        <v>0.877</v>
      </c>
      <c r="E249" s="919">
        <v>0.877</v>
      </c>
      <c r="F249" s="919">
        <v>0.877</v>
      </c>
      <c r="G249" s="919">
        <v>0.877</v>
      </c>
      <c r="H249" s="919">
        <v>0.877</v>
      </c>
      <c r="I249" s="919">
        <v>0.74329999999999996</v>
      </c>
      <c r="J249" s="919">
        <v>0.74329999999999996</v>
      </c>
      <c r="K249" s="919">
        <v>0.74329999999999996</v>
      </c>
      <c r="L249" s="919">
        <v>0.74329999999999996</v>
      </c>
      <c r="M249" s="919">
        <v>0.74329999999999996</v>
      </c>
    </row>
    <row r="250" spans="1:13">
      <c r="A250" s="934">
        <v>4.4000000000000004</v>
      </c>
      <c r="B250" s="919">
        <v>0.88400000000000001</v>
      </c>
      <c r="C250" s="919">
        <v>0.88400000000000001</v>
      </c>
      <c r="D250" s="919">
        <v>0.87309999999999999</v>
      </c>
      <c r="E250" s="919">
        <v>0.87309999999999999</v>
      </c>
      <c r="F250" s="919">
        <v>0.87309999999999999</v>
      </c>
      <c r="G250" s="919">
        <v>0.87309999999999999</v>
      </c>
      <c r="H250" s="919">
        <v>0.87309999999999999</v>
      </c>
      <c r="I250" s="919">
        <v>0.73909999999999998</v>
      </c>
      <c r="J250" s="919">
        <v>0.73909999999999998</v>
      </c>
      <c r="K250" s="919">
        <v>0.73909999999999998</v>
      </c>
      <c r="L250" s="919">
        <v>0.73909999999999998</v>
      </c>
      <c r="M250" s="919">
        <v>0.73909999999999998</v>
      </c>
    </row>
    <row r="251" spans="1:13">
      <c r="A251" s="934">
        <v>4.5</v>
      </c>
      <c r="B251" s="919">
        <v>0.88080000000000003</v>
      </c>
      <c r="C251" s="919">
        <v>0.88080000000000003</v>
      </c>
      <c r="D251" s="919">
        <v>0.86939999999999995</v>
      </c>
      <c r="E251" s="919">
        <v>0.86939999999999995</v>
      </c>
      <c r="F251" s="919">
        <v>0.86939999999999995</v>
      </c>
      <c r="G251" s="919">
        <v>0.86939999999999995</v>
      </c>
      <c r="H251" s="919">
        <v>0.86939999999999995</v>
      </c>
      <c r="I251" s="919">
        <v>0.73499999999999999</v>
      </c>
      <c r="J251" s="919">
        <v>0.73499999999999999</v>
      </c>
      <c r="K251" s="919">
        <v>0.73499999999999999</v>
      </c>
      <c r="L251" s="919">
        <v>0.73499999999999999</v>
      </c>
      <c r="M251" s="919">
        <v>0.73499999999999999</v>
      </c>
    </row>
    <row r="252" spans="1:13">
      <c r="A252" s="934">
        <v>4.5999999999999996</v>
      </c>
      <c r="B252" s="919">
        <v>0.87780000000000002</v>
      </c>
      <c r="C252" s="919">
        <v>0.87780000000000002</v>
      </c>
      <c r="D252" s="919">
        <v>0.8659</v>
      </c>
      <c r="E252" s="919">
        <v>0.8659</v>
      </c>
      <c r="F252" s="919">
        <v>0.8659</v>
      </c>
      <c r="G252" s="919">
        <v>0.8659</v>
      </c>
      <c r="H252" s="919">
        <v>0.8659</v>
      </c>
      <c r="I252" s="919">
        <v>0.73109999999999997</v>
      </c>
      <c r="J252" s="919">
        <v>0.73109999999999997</v>
      </c>
      <c r="K252" s="919">
        <v>0.73109999999999997</v>
      </c>
      <c r="L252" s="919">
        <v>0.73109999999999997</v>
      </c>
      <c r="M252" s="919">
        <v>0.73109999999999997</v>
      </c>
    </row>
    <row r="253" spans="1:13">
      <c r="A253" s="934">
        <v>4.7</v>
      </c>
      <c r="B253" s="919">
        <v>0.875</v>
      </c>
      <c r="C253" s="919">
        <v>0.875</v>
      </c>
      <c r="D253" s="919">
        <v>0.86260000000000003</v>
      </c>
      <c r="E253" s="919">
        <v>0.86260000000000003</v>
      </c>
      <c r="F253" s="919">
        <v>0.86260000000000003</v>
      </c>
      <c r="G253" s="919">
        <v>0.86260000000000003</v>
      </c>
      <c r="H253" s="919">
        <v>0.86260000000000003</v>
      </c>
      <c r="I253" s="919">
        <v>0.72750000000000004</v>
      </c>
      <c r="J253" s="919">
        <v>0.72750000000000004</v>
      </c>
      <c r="K253" s="919">
        <v>0.72750000000000004</v>
      </c>
      <c r="L253" s="919">
        <v>0.72750000000000004</v>
      </c>
      <c r="M253" s="919">
        <v>0.72750000000000004</v>
      </c>
    </row>
    <row r="254" spans="1:13">
      <c r="A254" s="934">
        <v>4.8</v>
      </c>
      <c r="B254" s="919">
        <v>0.87229999999999996</v>
      </c>
      <c r="C254" s="919">
        <v>0.87229999999999996</v>
      </c>
      <c r="D254" s="919">
        <v>0.85950000000000004</v>
      </c>
      <c r="E254" s="919">
        <v>0.85950000000000004</v>
      </c>
      <c r="F254" s="919">
        <v>0.85950000000000004</v>
      </c>
      <c r="G254" s="919">
        <v>0.85950000000000004</v>
      </c>
      <c r="H254" s="919">
        <v>0.85950000000000004</v>
      </c>
      <c r="I254" s="919">
        <v>0.72399999999999998</v>
      </c>
      <c r="J254" s="919">
        <v>0.72399999999999998</v>
      </c>
      <c r="K254" s="919">
        <v>0.72399999999999998</v>
      </c>
      <c r="L254" s="919">
        <v>0.72399999999999998</v>
      </c>
      <c r="M254" s="919">
        <v>0.72399999999999998</v>
      </c>
    </row>
    <row r="255" spans="1:13">
      <c r="A255" s="934">
        <v>4.9000000000000004</v>
      </c>
      <c r="B255" s="919">
        <v>0.86980000000000002</v>
      </c>
      <c r="C255" s="919">
        <v>0.86980000000000002</v>
      </c>
      <c r="D255" s="919">
        <v>0.85660000000000003</v>
      </c>
      <c r="E255" s="919">
        <v>0.85660000000000003</v>
      </c>
      <c r="F255" s="919">
        <v>0.85660000000000003</v>
      </c>
      <c r="G255" s="919">
        <v>0.85660000000000003</v>
      </c>
      <c r="H255" s="919">
        <v>0.85660000000000003</v>
      </c>
      <c r="I255" s="919">
        <v>0.7208</v>
      </c>
      <c r="J255" s="919">
        <v>0.7208</v>
      </c>
      <c r="K255" s="919">
        <v>0.7208</v>
      </c>
      <c r="L255" s="919">
        <v>0.7208</v>
      </c>
      <c r="M255" s="919">
        <v>0.7208</v>
      </c>
    </row>
    <row r="256" spans="1:13">
      <c r="A256" s="934">
        <v>5</v>
      </c>
      <c r="B256" s="919">
        <v>0.86739999999999995</v>
      </c>
      <c r="C256" s="919">
        <v>0.86739999999999995</v>
      </c>
      <c r="D256" s="919">
        <v>0.8538</v>
      </c>
      <c r="E256" s="919">
        <v>0.8538</v>
      </c>
      <c r="F256" s="919">
        <v>0.8538</v>
      </c>
      <c r="G256" s="919">
        <v>0.8538</v>
      </c>
      <c r="H256" s="919">
        <v>0.8538</v>
      </c>
      <c r="I256" s="919">
        <v>0.71760000000000002</v>
      </c>
      <c r="J256" s="919">
        <v>0.71760000000000002</v>
      </c>
      <c r="K256" s="919">
        <v>0.71760000000000002</v>
      </c>
      <c r="L256" s="919">
        <v>0.71760000000000002</v>
      </c>
      <c r="M256" s="919">
        <v>0.71760000000000002</v>
      </c>
    </row>
    <row r="257" spans="1:13">
      <c r="A257" s="910">
        <v>5.0999999999999996</v>
      </c>
      <c r="B257" s="919">
        <v>0.86519999999999997</v>
      </c>
      <c r="C257" s="919">
        <v>0.86519999999999997</v>
      </c>
      <c r="D257" s="919">
        <v>0.85109999999999997</v>
      </c>
      <c r="E257" s="919">
        <v>0.85109999999999997</v>
      </c>
      <c r="F257" s="919">
        <v>0.85109999999999997</v>
      </c>
      <c r="G257" s="919">
        <v>0.85109999999999997</v>
      </c>
      <c r="H257" s="919">
        <v>0.85109999999999997</v>
      </c>
      <c r="I257" s="919">
        <v>0.7147</v>
      </c>
      <c r="J257" s="919">
        <v>0.7147</v>
      </c>
      <c r="K257" s="919">
        <v>0.7147</v>
      </c>
      <c r="L257" s="919">
        <v>0.7147</v>
      </c>
      <c r="M257" s="919">
        <v>0.7147</v>
      </c>
    </row>
    <row r="258" spans="1:13">
      <c r="A258" s="910">
        <v>5.2</v>
      </c>
      <c r="B258" s="919">
        <v>0.86309999999999998</v>
      </c>
      <c r="C258" s="919">
        <v>0.86309999999999998</v>
      </c>
      <c r="D258" s="919">
        <v>0.84860000000000002</v>
      </c>
      <c r="E258" s="919">
        <v>0.84860000000000002</v>
      </c>
      <c r="F258" s="919">
        <v>0.84860000000000002</v>
      </c>
      <c r="G258" s="919">
        <v>0.84860000000000002</v>
      </c>
      <c r="H258" s="919">
        <v>0.84860000000000002</v>
      </c>
      <c r="I258" s="919">
        <v>0.71189999999999998</v>
      </c>
      <c r="J258" s="919">
        <v>0.71189999999999998</v>
      </c>
      <c r="K258" s="919">
        <v>0.71189999999999998</v>
      </c>
      <c r="L258" s="919">
        <v>0.71189999999999998</v>
      </c>
      <c r="M258" s="919">
        <v>0.71189999999999998</v>
      </c>
    </row>
    <row r="259" spans="1:13">
      <c r="A259" s="910">
        <v>5.3</v>
      </c>
      <c r="B259" s="919">
        <v>0.86119999999999997</v>
      </c>
      <c r="C259" s="919">
        <v>0.86119999999999997</v>
      </c>
      <c r="D259" s="919">
        <v>0.84619999999999995</v>
      </c>
      <c r="E259" s="919">
        <v>0.84619999999999995</v>
      </c>
      <c r="F259" s="919">
        <v>0.84619999999999995</v>
      </c>
      <c r="G259" s="919">
        <v>0.84619999999999995</v>
      </c>
      <c r="H259" s="919">
        <v>0.84619999999999995</v>
      </c>
      <c r="I259" s="919">
        <v>0.70909999999999995</v>
      </c>
      <c r="J259" s="919">
        <v>0.70909999999999995</v>
      </c>
      <c r="K259" s="919">
        <v>0.70909999999999995</v>
      </c>
      <c r="L259" s="919">
        <v>0.70909999999999995</v>
      </c>
      <c r="M259" s="919">
        <v>0.70909999999999995</v>
      </c>
    </row>
    <row r="260" spans="1:13">
      <c r="A260" s="910">
        <v>5.4</v>
      </c>
      <c r="B260" s="919">
        <v>0.85940000000000005</v>
      </c>
      <c r="C260" s="919">
        <v>0.85940000000000005</v>
      </c>
      <c r="D260" s="919">
        <v>0.84389999999999998</v>
      </c>
      <c r="E260" s="919">
        <v>0.84389999999999998</v>
      </c>
      <c r="F260" s="919">
        <v>0.84389999999999998</v>
      </c>
      <c r="G260" s="919">
        <v>0.84389999999999998</v>
      </c>
      <c r="H260" s="919">
        <v>0.84389999999999998</v>
      </c>
      <c r="I260" s="919">
        <v>0.70650000000000002</v>
      </c>
      <c r="J260" s="919">
        <v>0.70650000000000002</v>
      </c>
      <c r="K260" s="919">
        <v>0.70650000000000002</v>
      </c>
      <c r="L260" s="919">
        <v>0.70650000000000002</v>
      </c>
      <c r="M260" s="919">
        <v>0.70650000000000002</v>
      </c>
    </row>
    <row r="261" spans="1:13">
      <c r="A261" s="910">
        <v>5.5</v>
      </c>
      <c r="B261" s="919">
        <v>0.85770000000000002</v>
      </c>
      <c r="C261" s="919">
        <v>0.85770000000000002</v>
      </c>
      <c r="D261" s="919">
        <v>0.84179999999999999</v>
      </c>
      <c r="E261" s="919">
        <v>0.84179999999999999</v>
      </c>
      <c r="F261" s="919">
        <v>0.84179999999999999</v>
      </c>
      <c r="G261" s="919">
        <v>0.84179999999999999</v>
      </c>
      <c r="H261" s="919">
        <v>0.84179999999999999</v>
      </c>
      <c r="I261" s="919">
        <v>0.70399999999999996</v>
      </c>
      <c r="J261" s="919">
        <v>0.70399999999999996</v>
      </c>
      <c r="K261" s="919">
        <v>0.70399999999999996</v>
      </c>
      <c r="L261" s="919">
        <v>0.70399999999999996</v>
      </c>
      <c r="M261" s="919">
        <v>0.70399999999999996</v>
      </c>
    </row>
    <row r="262" spans="1:13">
      <c r="A262" s="910">
        <v>5.6</v>
      </c>
      <c r="B262" s="919">
        <v>0.85599999999999998</v>
      </c>
      <c r="C262" s="919">
        <v>0.85599999999999998</v>
      </c>
      <c r="D262" s="919">
        <v>0.83979999999999999</v>
      </c>
      <c r="E262" s="919">
        <v>0.83979999999999999</v>
      </c>
      <c r="F262" s="919">
        <v>0.83979999999999999</v>
      </c>
      <c r="G262" s="919">
        <v>0.83979999999999999</v>
      </c>
      <c r="H262" s="919">
        <v>0.83979999999999999</v>
      </c>
      <c r="I262" s="919">
        <v>0.7016</v>
      </c>
      <c r="J262" s="919">
        <v>0.7016</v>
      </c>
      <c r="K262" s="919">
        <v>0.7016</v>
      </c>
      <c r="L262" s="919">
        <v>0.7016</v>
      </c>
      <c r="M262" s="919">
        <v>0.7016</v>
      </c>
    </row>
    <row r="263" spans="1:13">
      <c r="A263" s="934">
        <v>5.7</v>
      </c>
      <c r="B263" s="919">
        <v>0.85440000000000005</v>
      </c>
      <c r="C263" s="919">
        <v>0.85440000000000005</v>
      </c>
      <c r="D263" s="919">
        <v>0.83789999999999998</v>
      </c>
      <c r="E263" s="919">
        <v>0.83789999999999998</v>
      </c>
      <c r="F263" s="919">
        <v>0.83789999999999998</v>
      </c>
      <c r="G263" s="919">
        <v>0.83789999999999998</v>
      </c>
      <c r="H263" s="919">
        <v>0.83789999999999998</v>
      </c>
      <c r="I263" s="919">
        <v>0.69940000000000002</v>
      </c>
      <c r="J263" s="919">
        <v>0.69940000000000002</v>
      </c>
      <c r="K263" s="919">
        <v>0.69940000000000002</v>
      </c>
      <c r="L263" s="919">
        <v>0.69940000000000002</v>
      </c>
      <c r="M263" s="919">
        <v>0.69940000000000002</v>
      </c>
    </row>
    <row r="264" spans="1:13">
      <c r="A264" s="910">
        <v>5.8</v>
      </c>
      <c r="B264" s="919">
        <v>0.85289999999999999</v>
      </c>
      <c r="C264" s="919">
        <v>0.85289999999999999</v>
      </c>
      <c r="D264" s="919">
        <v>0.83599999999999997</v>
      </c>
      <c r="E264" s="919">
        <v>0.83599999999999997</v>
      </c>
      <c r="F264" s="919">
        <v>0.83599999999999997</v>
      </c>
      <c r="G264" s="919">
        <v>0.83599999999999997</v>
      </c>
      <c r="H264" s="919">
        <v>0.83599999999999997</v>
      </c>
      <c r="I264" s="919">
        <v>0.69720000000000004</v>
      </c>
      <c r="J264" s="919">
        <v>0.69720000000000004</v>
      </c>
      <c r="K264" s="919">
        <v>0.69720000000000004</v>
      </c>
      <c r="L264" s="919">
        <v>0.69720000000000004</v>
      </c>
      <c r="M264" s="919">
        <v>0.69720000000000004</v>
      </c>
    </row>
    <row r="265" spans="1:13">
      <c r="A265" s="910">
        <v>5.9</v>
      </c>
      <c r="B265" s="919">
        <v>0.85150000000000003</v>
      </c>
      <c r="C265" s="919">
        <v>0.85150000000000003</v>
      </c>
      <c r="D265" s="919">
        <v>0.83430000000000004</v>
      </c>
      <c r="E265" s="919">
        <v>0.83430000000000004</v>
      </c>
      <c r="F265" s="919">
        <v>0.83430000000000004</v>
      </c>
      <c r="G265" s="919">
        <v>0.83430000000000004</v>
      </c>
      <c r="H265" s="919">
        <v>0.83430000000000004</v>
      </c>
      <c r="I265" s="919">
        <v>0.69520000000000004</v>
      </c>
      <c r="J265" s="919">
        <v>0.69520000000000004</v>
      </c>
      <c r="K265" s="919">
        <v>0.69520000000000004</v>
      </c>
      <c r="L265" s="919">
        <v>0.69520000000000004</v>
      </c>
      <c r="M265" s="919">
        <v>0.69520000000000004</v>
      </c>
    </row>
    <row r="266" spans="1:13">
      <c r="A266" s="910">
        <v>6</v>
      </c>
      <c r="B266" s="919">
        <v>0.85019999999999996</v>
      </c>
      <c r="C266" s="919">
        <v>0.85019999999999996</v>
      </c>
      <c r="D266" s="919">
        <v>0.8327</v>
      </c>
      <c r="E266" s="919">
        <v>0.8327</v>
      </c>
      <c r="F266" s="919">
        <v>0.8327</v>
      </c>
      <c r="G266" s="919">
        <v>0.8327</v>
      </c>
      <c r="H266" s="919">
        <v>0.8327</v>
      </c>
      <c r="I266" s="919">
        <v>0.69320000000000004</v>
      </c>
      <c r="J266" s="919">
        <v>0.69320000000000004</v>
      </c>
      <c r="K266" s="919">
        <v>0.69320000000000004</v>
      </c>
      <c r="L266" s="919">
        <v>0.69320000000000004</v>
      </c>
      <c r="M266" s="919">
        <v>0.69320000000000004</v>
      </c>
    </row>
    <row r="267" spans="1:13">
      <c r="A267" s="910">
        <v>6.1</v>
      </c>
      <c r="B267" s="919">
        <v>0.84899999999999998</v>
      </c>
      <c r="C267" s="919">
        <v>0.84899999999999998</v>
      </c>
      <c r="D267" s="919">
        <v>0.83109999999999995</v>
      </c>
      <c r="E267" s="919">
        <v>0.83109999999999995</v>
      </c>
      <c r="F267" s="919">
        <v>0.83109999999999995</v>
      </c>
      <c r="G267" s="919">
        <v>0.83109999999999995</v>
      </c>
      <c r="H267" s="919">
        <v>0.83109999999999995</v>
      </c>
      <c r="I267" s="919">
        <v>0.69130000000000003</v>
      </c>
      <c r="J267" s="919">
        <v>0.69130000000000003</v>
      </c>
      <c r="K267" s="919">
        <v>0.69130000000000003</v>
      </c>
      <c r="L267" s="919">
        <v>0.69130000000000003</v>
      </c>
      <c r="M267" s="919">
        <v>0.69130000000000003</v>
      </c>
    </row>
    <row r="268" spans="1:13">
      <c r="A268" s="910">
        <v>6.2</v>
      </c>
      <c r="B268" s="919">
        <v>0.8478</v>
      </c>
      <c r="C268" s="919">
        <v>0.8478</v>
      </c>
      <c r="D268" s="919">
        <v>0.8296</v>
      </c>
      <c r="E268" s="919">
        <v>0.8296</v>
      </c>
      <c r="F268" s="919">
        <v>0.8296</v>
      </c>
      <c r="G268" s="919">
        <v>0.8296</v>
      </c>
      <c r="H268" s="919">
        <v>0.8296</v>
      </c>
      <c r="I268" s="919">
        <v>0.68940000000000001</v>
      </c>
      <c r="J268" s="919">
        <v>0.68940000000000001</v>
      </c>
      <c r="K268" s="919">
        <v>0.68940000000000001</v>
      </c>
      <c r="L268" s="919">
        <v>0.68940000000000001</v>
      </c>
      <c r="M268" s="919">
        <v>0.68940000000000001</v>
      </c>
    </row>
    <row r="269" spans="1:13">
      <c r="A269" s="910">
        <v>6.3</v>
      </c>
      <c r="B269" s="919">
        <v>0.84670000000000001</v>
      </c>
      <c r="C269" s="919">
        <v>0.84670000000000001</v>
      </c>
      <c r="D269" s="919">
        <v>0.82820000000000005</v>
      </c>
      <c r="E269" s="919">
        <v>0.82820000000000005</v>
      </c>
      <c r="F269" s="919">
        <v>0.82820000000000005</v>
      </c>
      <c r="G269" s="919">
        <v>0.82820000000000005</v>
      </c>
      <c r="H269" s="919">
        <v>0.82820000000000005</v>
      </c>
      <c r="I269" s="919">
        <v>0.68769999999999998</v>
      </c>
      <c r="J269" s="919">
        <v>0.68769999999999998</v>
      </c>
      <c r="K269" s="919">
        <v>0.68769999999999998</v>
      </c>
      <c r="L269" s="919">
        <v>0.68769999999999998</v>
      </c>
      <c r="M269" s="919">
        <v>0.68769999999999998</v>
      </c>
    </row>
    <row r="270" spans="1:13">
      <c r="A270" s="910">
        <v>6.4</v>
      </c>
      <c r="B270" s="919">
        <v>0.84570000000000001</v>
      </c>
      <c r="C270" s="919">
        <v>0.84570000000000001</v>
      </c>
      <c r="D270" s="919">
        <v>0.82689999999999997</v>
      </c>
      <c r="E270" s="919">
        <v>0.82689999999999997</v>
      </c>
      <c r="F270" s="919">
        <v>0.82689999999999997</v>
      </c>
      <c r="G270" s="919">
        <v>0.82689999999999997</v>
      </c>
      <c r="H270" s="919">
        <v>0.82689999999999997</v>
      </c>
      <c r="I270" s="919">
        <v>0.68610000000000004</v>
      </c>
      <c r="J270" s="919">
        <v>0.68610000000000004</v>
      </c>
      <c r="K270" s="919">
        <v>0.68610000000000004</v>
      </c>
      <c r="L270" s="919">
        <v>0.68610000000000004</v>
      </c>
      <c r="M270" s="919">
        <v>0.68610000000000004</v>
      </c>
    </row>
    <row r="271" spans="1:13">
      <c r="A271" s="910">
        <v>6.5</v>
      </c>
      <c r="B271" s="919">
        <v>0.84470000000000001</v>
      </c>
      <c r="C271" s="919">
        <v>0.84470000000000001</v>
      </c>
      <c r="D271" s="919">
        <v>0.82569999999999999</v>
      </c>
      <c r="E271" s="919">
        <v>0.82569999999999999</v>
      </c>
      <c r="F271" s="919">
        <v>0.82569999999999999</v>
      </c>
      <c r="G271" s="919">
        <v>0.82569999999999999</v>
      </c>
      <c r="H271" s="919">
        <v>0.82569999999999999</v>
      </c>
      <c r="I271" s="919">
        <v>0.68440000000000001</v>
      </c>
      <c r="J271" s="919">
        <v>0.68440000000000001</v>
      </c>
      <c r="K271" s="919">
        <v>0.68440000000000001</v>
      </c>
      <c r="L271" s="919">
        <v>0.68440000000000001</v>
      </c>
      <c r="M271" s="919">
        <v>0.68440000000000001</v>
      </c>
    </row>
    <row r="272" spans="1:13">
      <c r="A272" s="910">
        <v>6.6</v>
      </c>
      <c r="B272" s="919">
        <v>0.84370000000000001</v>
      </c>
      <c r="C272" s="919">
        <v>0.84370000000000001</v>
      </c>
      <c r="D272" s="919">
        <v>0.82450000000000001</v>
      </c>
      <c r="E272" s="919">
        <v>0.82450000000000001</v>
      </c>
      <c r="F272" s="919">
        <v>0.82450000000000001</v>
      </c>
      <c r="G272" s="919">
        <v>0.82450000000000001</v>
      </c>
      <c r="H272" s="919">
        <v>0.82450000000000001</v>
      </c>
      <c r="I272" s="919">
        <v>0.68289999999999995</v>
      </c>
      <c r="J272" s="919">
        <v>0.68289999999999995</v>
      </c>
      <c r="K272" s="919">
        <v>0.68289999999999995</v>
      </c>
      <c r="L272" s="919">
        <v>0.68289999999999995</v>
      </c>
      <c r="M272" s="919">
        <v>0.68289999999999995</v>
      </c>
    </row>
    <row r="273" spans="1:13">
      <c r="A273" s="910">
        <v>6.7</v>
      </c>
      <c r="B273" s="919">
        <v>0.8427</v>
      </c>
      <c r="C273" s="919">
        <v>0.8427</v>
      </c>
      <c r="D273" s="919">
        <v>0.82330000000000003</v>
      </c>
      <c r="E273" s="919">
        <v>0.82330000000000003</v>
      </c>
      <c r="F273" s="919">
        <v>0.82330000000000003</v>
      </c>
      <c r="G273" s="919">
        <v>0.82330000000000003</v>
      </c>
      <c r="H273" s="919">
        <v>0.82330000000000003</v>
      </c>
      <c r="I273" s="919">
        <v>0.68130000000000002</v>
      </c>
      <c r="J273" s="919">
        <v>0.68130000000000002</v>
      </c>
      <c r="K273" s="919">
        <v>0.68130000000000002</v>
      </c>
      <c r="L273" s="919">
        <v>0.68130000000000002</v>
      </c>
      <c r="M273" s="919">
        <v>0.68130000000000002</v>
      </c>
    </row>
    <row r="274" spans="1:13">
      <c r="A274" s="910">
        <v>6.8</v>
      </c>
      <c r="B274" s="919">
        <v>0.84179999999999999</v>
      </c>
      <c r="C274" s="919">
        <v>0.84179999999999999</v>
      </c>
      <c r="D274" s="919">
        <v>0.82210000000000005</v>
      </c>
      <c r="E274" s="919">
        <v>0.82210000000000005</v>
      </c>
      <c r="F274" s="919">
        <v>0.82210000000000005</v>
      </c>
      <c r="G274" s="919">
        <v>0.82210000000000005</v>
      </c>
      <c r="H274" s="919">
        <v>0.82210000000000005</v>
      </c>
      <c r="I274" s="919">
        <v>0.67979999999999996</v>
      </c>
      <c r="J274" s="919">
        <v>0.67979999999999996</v>
      </c>
      <c r="K274" s="919">
        <v>0.67979999999999996</v>
      </c>
      <c r="L274" s="919">
        <v>0.67979999999999996</v>
      </c>
      <c r="M274" s="919">
        <v>0.67979999999999996</v>
      </c>
    </row>
    <row r="275" spans="1:13">
      <c r="A275" s="910">
        <v>6.9</v>
      </c>
      <c r="B275" s="919">
        <v>0.84089999999999998</v>
      </c>
      <c r="C275" s="919">
        <v>0.84089999999999998</v>
      </c>
      <c r="D275" s="919">
        <v>0.82099999999999995</v>
      </c>
      <c r="E275" s="919">
        <v>0.82099999999999995</v>
      </c>
      <c r="F275" s="919">
        <v>0.82099999999999995</v>
      </c>
      <c r="G275" s="919">
        <v>0.82099999999999995</v>
      </c>
      <c r="H275" s="919">
        <v>0.82099999999999995</v>
      </c>
      <c r="I275" s="919">
        <v>0.67849999999999999</v>
      </c>
      <c r="J275" s="919">
        <v>0.67849999999999999</v>
      </c>
      <c r="K275" s="919">
        <v>0.67849999999999999</v>
      </c>
      <c r="L275" s="919">
        <v>0.67849999999999999</v>
      </c>
      <c r="M275" s="919">
        <v>0.67849999999999999</v>
      </c>
    </row>
    <row r="276" spans="1:13">
      <c r="A276" s="910">
        <v>7</v>
      </c>
      <c r="B276" s="919">
        <v>0.84009999999999996</v>
      </c>
      <c r="C276" s="919">
        <v>0.84009999999999996</v>
      </c>
      <c r="D276" s="919">
        <v>0.81989999999999996</v>
      </c>
      <c r="E276" s="919">
        <v>0.81989999999999996</v>
      </c>
      <c r="F276" s="919">
        <v>0.81989999999999996</v>
      </c>
      <c r="G276" s="919">
        <v>0.81989999999999996</v>
      </c>
      <c r="H276" s="919">
        <v>0.81989999999999996</v>
      </c>
      <c r="I276" s="919">
        <v>0.67720000000000002</v>
      </c>
      <c r="J276" s="919">
        <v>0.67720000000000002</v>
      </c>
      <c r="K276" s="919">
        <v>0.67720000000000002</v>
      </c>
      <c r="L276" s="919">
        <v>0.67720000000000002</v>
      </c>
      <c r="M276" s="919">
        <v>0.67720000000000002</v>
      </c>
    </row>
    <row r="277" spans="1:13">
      <c r="A277" s="910">
        <v>7.1</v>
      </c>
      <c r="B277" s="919">
        <v>0.83930000000000005</v>
      </c>
      <c r="C277" s="919">
        <v>0.83930000000000005</v>
      </c>
      <c r="D277" s="919">
        <v>0.81889999999999996</v>
      </c>
      <c r="E277" s="919">
        <v>0.81889999999999996</v>
      </c>
      <c r="F277" s="919">
        <v>0.81889999999999996</v>
      </c>
      <c r="G277" s="919">
        <v>0.81889999999999996</v>
      </c>
      <c r="H277" s="919">
        <v>0.81889999999999996</v>
      </c>
      <c r="I277" s="919">
        <v>0.67589999999999995</v>
      </c>
      <c r="J277" s="919">
        <v>0.67589999999999995</v>
      </c>
      <c r="K277" s="919">
        <v>0.67589999999999995</v>
      </c>
      <c r="L277" s="919">
        <v>0.67589999999999995</v>
      </c>
      <c r="M277" s="919">
        <v>0.67589999999999995</v>
      </c>
    </row>
    <row r="278" spans="1:13">
      <c r="A278" s="910">
        <v>7.2</v>
      </c>
      <c r="B278" s="919">
        <v>0.83850000000000002</v>
      </c>
      <c r="C278" s="919">
        <v>0.83850000000000002</v>
      </c>
      <c r="D278" s="919">
        <v>0.81789999999999996</v>
      </c>
      <c r="E278" s="919">
        <v>0.81789999999999996</v>
      </c>
      <c r="F278" s="919">
        <v>0.81789999999999996</v>
      </c>
      <c r="G278" s="919">
        <v>0.81789999999999996</v>
      </c>
      <c r="H278" s="919">
        <v>0.81789999999999996</v>
      </c>
      <c r="I278" s="919">
        <v>0.67459999999999998</v>
      </c>
      <c r="J278" s="919">
        <v>0.67459999999999998</v>
      </c>
      <c r="K278" s="919">
        <v>0.67459999999999998</v>
      </c>
      <c r="L278" s="919">
        <v>0.67459999999999998</v>
      </c>
      <c r="M278" s="919">
        <v>0.67459999999999998</v>
      </c>
    </row>
    <row r="279" spans="1:13">
      <c r="A279" s="910">
        <v>7.3</v>
      </c>
      <c r="B279" s="919">
        <v>0.8377</v>
      </c>
      <c r="C279" s="919">
        <v>0.8377</v>
      </c>
      <c r="D279" s="919">
        <v>0.81689999999999996</v>
      </c>
      <c r="E279" s="919">
        <v>0.81689999999999996</v>
      </c>
      <c r="F279" s="919">
        <v>0.81689999999999996</v>
      </c>
      <c r="G279" s="919">
        <v>0.81689999999999996</v>
      </c>
      <c r="H279" s="919">
        <v>0.81689999999999996</v>
      </c>
      <c r="I279" s="919">
        <v>0.6734</v>
      </c>
      <c r="J279" s="919">
        <v>0.6734</v>
      </c>
      <c r="K279" s="919">
        <v>0.6734</v>
      </c>
      <c r="L279" s="919">
        <v>0.6734</v>
      </c>
      <c r="M279" s="919">
        <v>0.6734</v>
      </c>
    </row>
    <row r="280" spans="1:13">
      <c r="A280" s="910">
        <v>7.4</v>
      </c>
      <c r="B280" s="919">
        <v>0.83699999999999997</v>
      </c>
      <c r="C280" s="919">
        <v>0.83699999999999997</v>
      </c>
      <c r="D280" s="919">
        <v>0.81599999999999995</v>
      </c>
      <c r="E280" s="919">
        <v>0.81599999999999995</v>
      </c>
      <c r="F280" s="919">
        <v>0.81599999999999995</v>
      </c>
      <c r="G280" s="919">
        <v>0.81599999999999995</v>
      </c>
      <c r="H280" s="919">
        <v>0.81599999999999995</v>
      </c>
      <c r="I280" s="919">
        <v>0.67210000000000003</v>
      </c>
      <c r="J280" s="919">
        <v>0.67210000000000003</v>
      </c>
      <c r="K280" s="919">
        <v>0.67210000000000003</v>
      </c>
      <c r="L280" s="919">
        <v>0.67210000000000003</v>
      </c>
      <c r="M280" s="919">
        <v>0.67210000000000003</v>
      </c>
    </row>
    <row r="281" spans="1:13">
      <c r="A281" s="910">
        <v>7.5</v>
      </c>
      <c r="B281" s="919">
        <v>0.83630000000000004</v>
      </c>
      <c r="C281" s="919">
        <v>0.83630000000000004</v>
      </c>
      <c r="D281" s="919">
        <v>0.81510000000000005</v>
      </c>
      <c r="E281" s="919">
        <v>0.81510000000000005</v>
      </c>
      <c r="F281" s="919">
        <v>0.81510000000000005</v>
      </c>
      <c r="G281" s="919">
        <v>0.81510000000000005</v>
      </c>
      <c r="H281" s="919">
        <v>0.81510000000000005</v>
      </c>
      <c r="I281" s="919">
        <v>0.67090000000000005</v>
      </c>
      <c r="J281" s="919">
        <v>0.67090000000000005</v>
      </c>
      <c r="K281" s="919">
        <v>0.67090000000000005</v>
      </c>
      <c r="L281" s="919">
        <v>0.67090000000000005</v>
      </c>
      <c r="M281" s="919">
        <v>0.67090000000000005</v>
      </c>
    </row>
    <row r="282" spans="1:13">
      <c r="A282" s="910">
        <v>7.6</v>
      </c>
      <c r="B282" s="919">
        <v>0.83560000000000001</v>
      </c>
      <c r="C282" s="919">
        <v>0.83560000000000001</v>
      </c>
      <c r="D282" s="919">
        <v>0.81420000000000003</v>
      </c>
      <c r="E282" s="919">
        <v>0.81420000000000003</v>
      </c>
      <c r="F282" s="919">
        <v>0.81420000000000003</v>
      </c>
      <c r="G282" s="919">
        <v>0.81420000000000003</v>
      </c>
      <c r="H282" s="919">
        <v>0.81420000000000003</v>
      </c>
      <c r="I282" s="919">
        <v>0.66979999999999995</v>
      </c>
      <c r="J282" s="919">
        <v>0.66979999999999995</v>
      </c>
      <c r="K282" s="919">
        <v>0.66979999999999995</v>
      </c>
      <c r="L282" s="919">
        <v>0.66979999999999995</v>
      </c>
      <c r="M282" s="919">
        <v>0.66979999999999995</v>
      </c>
    </row>
    <row r="283" spans="1:13">
      <c r="A283" s="910">
        <v>7.7</v>
      </c>
      <c r="B283" s="919">
        <v>0.83489999999999998</v>
      </c>
      <c r="C283" s="919">
        <v>0.83489999999999998</v>
      </c>
      <c r="D283" s="919">
        <v>0.81330000000000002</v>
      </c>
      <c r="E283" s="919">
        <v>0.81330000000000002</v>
      </c>
      <c r="F283" s="919">
        <v>0.81330000000000002</v>
      </c>
      <c r="G283" s="919">
        <v>0.81330000000000002</v>
      </c>
      <c r="H283" s="919">
        <v>0.81330000000000002</v>
      </c>
      <c r="I283" s="919">
        <v>0.66869999999999996</v>
      </c>
      <c r="J283" s="919">
        <v>0.66869999999999996</v>
      </c>
      <c r="K283" s="919">
        <v>0.66869999999999996</v>
      </c>
      <c r="L283" s="919">
        <v>0.66869999999999996</v>
      </c>
      <c r="M283" s="919">
        <v>0.66869999999999996</v>
      </c>
    </row>
    <row r="284" spans="1:13">
      <c r="A284" s="910">
        <v>7.8</v>
      </c>
      <c r="B284" s="919">
        <v>0.83420000000000005</v>
      </c>
      <c r="C284" s="919">
        <v>0.83420000000000005</v>
      </c>
      <c r="D284" s="919">
        <v>0.81240000000000001</v>
      </c>
      <c r="E284" s="919">
        <v>0.81240000000000001</v>
      </c>
      <c r="F284" s="919">
        <v>0.81240000000000001</v>
      </c>
      <c r="G284" s="919">
        <v>0.81240000000000001</v>
      </c>
      <c r="H284" s="919">
        <v>0.81240000000000001</v>
      </c>
      <c r="I284" s="919">
        <v>0.66759999999999997</v>
      </c>
      <c r="J284" s="919">
        <v>0.66759999999999997</v>
      </c>
      <c r="K284" s="919">
        <v>0.66759999999999997</v>
      </c>
      <c r="L284" s="919">
        <v>0.66759999999999997</v>
      </c>
      <c r="M284" s="919">
        <v>0.66759999999999997</v>
      </c>
    </row>
    <row r="285" spans="1:13">
      <c r="A285" s="910">
        <v>7.9</v>
      </c>
      <c r="B285" s="919">
        <v>0.83350000000000002</v>
      </c>
      <c r="C285" s="919">
        <v>0.83350000000000002</v>
      </c>
      <c r="D285" s="919">
        <v>0.81159999999999999</v>
      </c>
      <c r="E285" s="919">
        <v>0.81159999999999999</v>
      </c>
      <c r="F285" s="919">
        <v>0.81159999999999999</v>
      </c>
      <c r="G285" s="919">
        <v>0.81159999999999999</v>
      </c>
      <c r="H285" s="919">
        <v>0.81159999999999999</v>
      </c>
      <c r="I285" s="919">
        <v>0.66649999999999998</v>
      </c>
      <c r="J285" s="919">
        <v>0.66649999999999998</v>
      </c>
      <c r="K285" s="919">
        <v>0.66649999999999998</v>
      </c>
      <c r="L285" s="919">
        <v>0.66649999999999998</v>
      </c>
      <c r="M285" s="919">
        <v>0.66649999999999998</v>
      </c>
    </row>
    <row r="286" spans="1:13">
      <c r="A286" s="910">
        <v>8</v>
      </c>
      <c r="B286" s="919">
        <v>0.83279999999999998</v>
      </c>
      <c r="C286" s="919">
        <v>0.83279999999999998</v>
      </c>
      <c r="D286" s="919">
        <v>0.81079999999999997</v>
      </c>
      <c r="E286" s="919">
        <v>0.81079999999999997</v>
      </c>
      <c r="F286" s="919">
        <v>0.81079999999999997</v>
      </c>
      <c r="G286" s="919">
        <v>0.81079999999999997</v>
      </c>
      <c r="H286" s="919">
        <v>0.81079999999999997</v>
      </c>
      <c r="I286" s="919">
        <v>0.66549999999999998</v>
      </c>
      <c r="J286" s="919">
        <v>0.66549999999999998</v>
      </c>
      <c r="K286" s="919">
        <v>0.66549999999999998</v>
      </c>
      <c r="L286" s="919">
        <v>0.66549999999999998</v>
      </c>
      <c r="M286" s="919">
        <v>0.66549999999999998</v>
      </c>
    </row>
    <row r="287" spans="1:13">
      <c r="A287" s="910">
        <v>8.1</v>
      </c>
      <c r="B287" s="919">
        <v>0.83220000000000005</v>
      </c>
      <c r="C287" s="919">
        <v>0.83220000000000005</v>
      </c>
      <c r="D287" s="919">
        <v>0.81</v>
      </c>
      <c r="E287" s="919">
        <v>0.81</v>
      </c>
      <c r="F287" s="919">
        <v>0.81</v>
      </c>
      <c r="G287" s="919">
        <v>0.81</v>
      </c>
      <c r="H287" s="919">
        <v>0.81</v>
      </c>
      <c r="I287" s="919">
        <v>0.66439999999999999</v>
      </c>
      <c r="J287" s="919">
        <v>0.66439999999999999</v>
      </c>
      <c r="K287" s="919">
        <v>0.66439999999999999</v>
      </c>
      <c r="L287" s="919">
        <v>0.66439999999999999</v>
      </c>
      <c r="M287" s="919">
        <v>0.66439999999999999</v>
      </c>
    </row>
    <row r="288" spans="1:13">
      <c r="A288" s="910">
        <v>8.1999999999999993</v>
      </c>
      <c r="B288" s="919">
        <v>0.83160000000000001</v>
      </c>
      <c r="C288" s="919">
        <v>0.83160000000000001</v>
      </c>
      <c r="D288" s="919">
        <v>0.80920000000000003</v>
      </c>
      <c r="E288" s="919">
        <v>0.80920000000000003</v>
      </c>
      <c r="F288" s="919">
        <v>0.80920000000000003</v>
      </c>
      <c r="G288" s="919">
        <v>0.80920000000000003</v>
      </c>
      <c r="H288" s="919">
        <v>0.80920000000000003</v>
      </c>
      <c r="I288" s="919">
        <v>0.66339999999999999</v>
      </c>
      <c r="J288" s="919">
        <v>0.66339999999999999</v>
      </c>
      <c r="K288" s="919">
        <v>0.66339999999999999</v>
      </c>
      <c r="L288" s="919">
        <v>0.66339999999999999</v>
      </c>
      <c r="M288" s="919">
        <v>0.66339999999999999</v>
      </c>
    </row>
    <row r="289" spans="1:13">
      <c r="A289" s="910">
        <v>8.3000000000000007</v>
      </c>
      <c r="B289" s="919">
        <v>0.83099999999999996</v>
      </c>
      <c r="C289" s="919">
        <v>0.83099999999999996</v>
      </c>
      <c r="D289" s="919">
        <v>0.80840000000000001</v>
      </c>
      <c r="E289" s="919">
        <v>0.80840000000000001</v>
      </c>
      <c r="F289" s="919">
        <v>0.80840000000000001</v>
      </c>
      <c r="G289" s="919">
        <v>0.80840000000000001</v>
      </c>
      <c r="H289" s="919">
        <v>0.80840000000000001</v>
      </c>
      <c r="I289" s="919">
        <v>0.66239999999999999</v>
      </c>
      <c r="J289" s="919">
        <v>0.66239999999999999</v>
      </c>
      <c r="K289" s="919">
        <v>0.66239999999999999</v>
      </c>
      <c r="L289" s="919">
        <v>0.66239999999999999</v>
      </c>
      <c r="M289" s="919">
        <v>0.66239999999999999</v>
      </c>
    </row>
    <row r="290" spans="1:13">
      <c r="A290" s="910">
        <v>8.4</v>
      </c>
      <c r="B290" s="919">
        <v>0.83040000000000003</v>
      </c>
      <c r="C290" s="919">
        <v>0.83040000000000003</v>
      </c>
      <c r="D290" s="919">
        <v>0.80759999999999998</v>
      </c>
      <c r="E290" s="919">
        <v>0.80759999999999998</v>
      </c>
      <c r="F290" s="919">
        <v>0.80759999999999998</v>
      </c>
      <c r="G290" s="919">
        <v>0.80759999999999998</v>
      </c>
      <c r="H290" s="919">
        <v>0.80759999999999998</v>
      </c>
      <c r="I290" s="919">
        <v>0.66139999999999999</v>
      </c>
      <c r="J290" s="919">
        <v>0.66139999999999999</v>
      </c>
      <c r="K290" s="919">
        <v>0.66139999999999999</v>
      </c>
      <c r="L290" s="919">
        <v>0.66139999999999999</v>
      </c>
      <c r="M290" s="919">
        <v>0.66139999999999999</v>
      </c>
    </row>
    <row r="291" spans="1:13">
      <c r="A291" s="910">
        <v>8.5</v>
      </c>
      <c r="B291" s="919">
        <v>0.82979999999999998</v>
      </c>
      <c r="C291" s="919">
        <v>0.82979999999999998</v>
      </c>
      <c r="D291" s="919">
        <v>0.80679999999999996</v>
      </c>
      <c r="E291" s="919">
        <v>0.80679999999999996</v>
      </c>
      <c r="F291" s="919">
        <v>0.80679999999999996</v>
      </c>
      <c r="G291" s="919">
        <v>0.80679999999999996</v>
      </c>
      <c r="H291" s="919">
        <v>0.80679999999999996</v>
      </c>
      <c r="I291" s="919">
        <v>0.66049999999999998</v>
      </c>
      <c r="J291" s="919">
        <v>0.66049999999999998</v>
      </c>
      <c r="K291" s="919">
        <v>0.66049999999999998</v>
      </c>
      <c r="L291" s="919">
        <v>0.66049999999999998</v>
      </c>
      <c r="M291" s="919">
        <v>0.66049999999999998</v>
      </c>
    </row>
    <row r="292" spans="1:13">
      <c r="A292" s="910">
        <v>8.6</v>
      </c>
      <c r="B292" s="919">
        <v>0.82920000000000005</v>
      </c>
      <c r="C292" s="919">
        <v>0.82920000000000005</v>
      </c>
      <c r="D292" s="919">
        <v>0.80600000000000005</v>
      </c>
      <c r="E292" s="919">
        <v>0.80600000000000005</v>
      </c>
      <c r="F292" s="919">
        <v>0.80600000000000005</v>
      </c>
      <c r="G292" s="919">
        <v>0.80600000000000005</v>
      </c>
      <c r="H292" s="919">
        <v>0.80600000000000005</v>
      </c>
      <c r="I292" s="919">
        <v>0.65949999999999998</v>
      </c>
      <c r="J292" s="919">
        <v>0.65949999999999998</v>
      </c>
      <c r="K292" s="919">
        <v>0.65949999999999998</v>
      </c>
      <c r="L292" s="919">
        <v>0.65949999999999998</v>
      </c>
      <c r="M292" s="919">
        <v>0.65949999999999998</v>
      </c>
    </row>
    <row r="293" spans="1:13">
      <c r="A293" s="910">
        <v>8.6999999999999993</v>
      </c>
      <c r="B293" s="919">
        <v>0.8286</v>
      </c>
      <c r="C293" s="919">
        <v>0.8286</v>
      </c>
      <c r="D293" s="919">
        <v>0.80520000000000003</v>
      </c>
      <c r="E293" s="919">
        <v>0.80520000000000003</v>
      </c>
      <c r="F293" s="919">
        <v>0.80520000000000003</v>
      </c>
      <c r="G293" s="919">
        <v>0.80520000000000003</v>
      </c>
      <c r="H293" s="919">
        <v>0.80520000000000003</v>
      </c>
      <c r="I293" s="919">
        <v>0.65859999999999996</v>
      </c>
      <c r="J293" s="919">
        <v>0.65859999999999996</v>
      </c>
      <c r="K293" s="919">
        <v>0.65859999999999996</v>
      </c>
      <c r="L293" s="919">
        <v>0.65859999999999996</v>
      </c>
      <c r="M293" s="919">
        <v>0.65859999999999996</v>
      </c>
    </row>
    <row r="294" spans="1:13">
      <c r="A294" s="910">
        <v>8.8000000000000007</v>
      </c>
      <c r="B294" s="919">
        <v>0.82799999999999996</v>
      </c>
      <c r="C294" s="919">
        <v>0.82799999999999996</v>
      </c>
      <c r="D294" s="919">
        <v>0.8044</v>
      </c>
      <c r="E294" s="919">
        <v>0.8044</v>
      </c>
      <c r="F294" s="919">
        <v>0.8044</v>
      </c>
      <c r="G294" s="919">
        <v>0.8044</v>
      </c>
      <c r="H294" s="919">
        <v>0.8044</v>
      </c>
      <c r="I294" s="919">
        <v>0.65759999999999996</v>
      </c>
      <c r="J294" s="919">
        <v>0.65759999999999996</v>
      </c>
      <c r="K294" s="919">
        <v>0.65759999999999996</v>
      </c>
      <c r="L294" s="919">
        <v>0.65759999999999996</v>
      </c>
      <c r="M294" s="919">
        <v>0.65759999999999996</v>
      </c>
    </row>
    <row r="295" spans="1:13">
      <c r="A295" s="910">
        <v>8.9</v>
      </c>
      <c r="B295" s="919">
        <v>0.82740000000000002</v>
      </c>
      <c r="C295" s="919">
        <v>0.82740000000000002</v>
      </c>
      <c r="D295" s="919">
        <v>0.80359999999999998</v>
      </c>
      <c r="E295" s="919">
        <v>0.80359999999999998</v>
      </c>
      <c r="F295" s="919">
        <v>0.80359999999999998</v>
      </c>
      <c r="G295" s="919">
        <v>0.80359999999999998</v>
      </c>
      <c r="H295" s="919">
        <v>0.80359999999999998</v>
      </c>
      <c r="I295" s="919">
        <v>0.65669999999999995</v>
      </c>
      <c r="J295" s="919">
        <v>0.65669999999999995</v>
      </c>
      <c r="K295" s="919">
        <v>0.65669999999999995</v>
      </c>
      <c r="L295" s="919">
        <v>0.65669999999999995</v>
      </c>
      <c r="M295" s="919">
        <v>0.65669999999999995</v>
      </c>
    </row>
    <row r="296" spans="1:13">
      <c r="A296" s="934">
        <v>9</v>
      </c>
      <c r="B296" s="919">
        <v>0.82679999999999998</v>
      </c>
      <c r="C296" s="919">
        <v>0.82679999999999998</v>
      </c>
      <c r="D296" s="919">
        <v>0.80279999999999996</v>
      </c>
      <c r="E296" s="919">
        <v>0.80279999999999996</v>
      </c>
      <c r="F296" s="919">
        <v>0.80279999999999996</v>
      </c>
      <c r="G296" s="919">
        <v>0.80279999999999996</v>
      </c>
      <c r="H296" s="919">
        <v>0.80279999999999996</v>
      </c>
      <c r="I296" s="919">
        <v>0.65569999999999995</v>
      </c>
      <c r="J296" s="919">
        <v>0.65569999999999995</v>
      </c>
      <c r="K296" s="919">
        <v>0.65569999999999995</v>
      </c>
      <c r="L296" s="919">
        <v>0.65569999999999995</v>
      </c>
      <c r="M296" s="919">
        <v>0.65569999999999995</v>
      </c>
    </row>
    <row r="297" spans="1:13">
      <c r="A297" s="934">
        <v>9.1</v>
      </c>
      <c r="B297" s="919">
        <v>0.82620000000000005</v>
      </c>
      <c r="C297" s="919">
        <v>0.82620000000000005</v>
      </c>
      <c r="D297" s="919">
        <v>0.80200000000000005</v>
      </c>
      <c r="E297" s="919">
        <v>0.80200000000000005</v>
      </c>
      <c r="F297" s="919">
        <v>0.80200000000000005</v>
      </c>
      <c r="G297" s="919">
        <v>0.80200000000000005</v>
      </c>
      <c r="H297" s="919">
        <v>0.80200000000000005</v>
      </c>
      <c r="I297" s="919">
        <v>0.65480000000000005</v>
      </c>
      <c r="J297" s="919">
        <v>0.65480000000000005</v>
      </c>
      <c r="K297" s="919">
        <v>0.65480000000000005</v>
      </c>
      <c r="L297" s="919">
        <v>0.65480000000000005</v>
      </c>
      <c r="M297" s="919">
        <v>0.65480000000000005</v>
      </c>
    </row>
    <row r="298" spans="1:13">
      <c r="A298" s="934">
        <v>9.1999999999999993</v>
      </c>
      <c r="B298" s="919">
        <v>0.8256</v>
      </c>
      <c r="C298" s="919">
        <v>0.8256</v>
      </c>
      <c r="D298" s="919">
        <v>0.80120000000000002</v>
      </c>
      <c r="E298" s="919">
        <v>0.80120000000000002</v>
      </c>
      <c r="F298" s="919">
        <v>0.80120000000000002</v>
      </c>
      <c r="G298" s="919">
        <v>0.80120000000000002</v>
      </c>
      <c r="H298" s="919">
        <v>0.80120000000000002</v>
      </c>
      <c r="I298" s="919">
        <v>0.65380000000000005</v>
      </c>
      <c r="J298" s="919">
        <v>0.65380000000000005</v>
      </c>
      <c r="K298" s="919">
        <v>0.65380000000000005</v>
      </c>
      <c r="L298" s="919">
        <v>0.65380000000000005</v>
      </c>
      <c r="M298" s="919">
        <v>0.65380000000000005</v>
      </c>
    </row>
    <row r="299" spans="1:13">
      <c r="A299" s="934">
        <v>9.3000000000000007</v>
      </c>
      <c r="B299" s="919">
        <v>0.82499999999999996</v>
      </c>
      <c r="C299" s="919">
        <v>0.82499999999999996</v>
      </c>
      <c r="D299" s="919">
        <v>0.8004</v>
      </c>
      <c r="E299" s="919">
        <v>0.8004</v>
      </c>
      <c r="F299" s="919">
        <v>0.8004</v>
      </c>
      <c r="G299" s="919">
        <v>0.8004</v>
      </c>
      <c r="H299" s="919">
        <v>0.8004</v>
      </c>
      <c r="I299" s="919">
        <v>0.65290000000000004</v>
      </c>
      <c r="J299" s="919">
        <v>0.65290000000000004</v>
      </c>
      <c r="K299" s="919">
        <v>0.65290000000000004</v>
      </c>
      <c r="L299" s="919">
        <v>0.65290000000000004</v>
      </c>
      <c r="M299" s="919">
        <v>0.65290000000000004</v>
      </c>
    </row>
    <row r="300" spans="1:13">
      <c r="A300" s="934">
        <v>9.4</v>
      </c>
      <c r="B300" s="919">
        <v>0.82440000000000002</v>
      </c>
      <c r="C300" s="919">
        <v>0.82440000000000002</v>
      </c>
      <c r="D300" s="919">
        <v>0.79959999999999998</v>
      </c>
      <c r="E300" s="919">
        <v>0.79959999999999998</v>
      </c>
      <c r="F300" s="919">
        <v>0.79959999999999998</v>
      </c>
      <c r="G300" s="919">
        <v>0.79959999999999998</v>
      </c>
      <c r="H300" s="919">
        <v>0.79959999999999998</v>
      </c>
      <c r="I300" s="919">
        <v>0.65190000000000003</v>
      </c>
      <c r="J300" s="919">
        <v>0.65190000000000003</v>
      </c>
      <c r="K300" s="919">
        <v>0.65190000000000003</v>
      </c>
      <c r="L300" s="919">
        <v>0.65190000000000003</v>
      </c>
      <c r="M300" s="919">
        <v>0.65190000000000003</v>
      </c>
    </row>
    <row r="301" spans="1:13">
      <c r="A301" s="934">
        <v>9.5</v>
      </c>
      <c r="B301" s="919">
        <v>0.82379999999999998</v>
      </c>
      <c r="C301" s="919">
        <v>0.82379999999999998</v>
      </c>
      <c r="D301" s="919">
        <v>0.79879999999999995</v>
      </c>
      <c r="E301" s="919">
        <v>0.79879999999999995</v>
      </c>
      <c r="F301" s="919">
        <v>0.79879999999999995</v>
      </c>
      <c r="G301" s="919">
        <v>0.79879999999999995</v>
      </c>
      <c r="H301" s="919">
        <v>0.79879999999999995</v>
      </c>
      <c r="I301" s="919">
        <v>0.65100000000000002</v>
      </c>
      <c r="J301" s="919">
        <v>0.65100000000000002</v>
      </c>
      <c r="K301" s="919">
        <v>0.65100000000000002</v>
      </c>
      <c r="L301" s="919">
        <v>0.65100000000000002</v>
      </c>
      <c r="M301" s="919">
        <v>0.65100000000000002</v>
      </c>
    </row>
    <row r="302" spans="1:13">
      <c r="A302" s="934">
        <v>9.6</v>
      </c>
      <c r="B302" s="919">
        <v>0.82320000000000004</v>
      </c>
      <c r="C302" s="919">
        <v>0.82320000000000004</v>
      </c>
      <c r="D302" s="919">
        <v>0.79800000000000004</v>
      </c>
      <c r="E302" s="919">
        <v>0.79800000000000004</v>
      </c>
      <c r="F302" s="919">
        <v>0.79800000000000004</v>
      </c>
      <c r="G302" s="919">
        <v>0.79800000000000004</v>
      </c>
      <c r="H302" s="919">
        <v>0.79800000000000004</v>
      </c>
      <c r="I302" s="919">
        <v>0.65</v>
      </c>
      <c r="J302" s="919">
        <v>0.65</v>
      </c>
      <c r="K302" s="919">
        <v>0.65</v>
      </c>
      <c r="L302" s="919">
        <v>0.65</v>
      </c>
      <c r="M302" s="919">
        <v>0.65</v>
      </c>
    </row>
    <row r="303" spans="1:13">
      <c r="A303" s="934">
        <v>9.6999999999999993</v>
      </c>
      <c r="B303" s="919">
        <v>0.8226</v>
      </c>
      <c r="C303" s="919">
        <v>0.8226</v>
      </c>
      <c r="D303" s="919">
        <v>0.79720000000000002</v>
      </c>
      <c r="E303" s="919">
        <v>0.79720000000000002</v>
      </c>
      <c r="F303" s="919">
        <v>0.79720000000000002</v>
      </c>
      <c r="G303" s="919">
        <v>0.79720000000000002</v>
      </c>
      <c r="H303" s="919">
        <v>0.79720000000000002</v>
      </c>
      <c r="I303" s="919">
        <v>0.64900000000000002</v>
      </c>
      <c r="J303" s="919">
        <v>0.64900000000000002</v>
      </c>
      <c r="K303" s="919">
        <v>0.64900000000000002</v>
      </c>
      <c r="L303" s="919">
        <v>0.64900000000000002</v>
      </c>
      <c r="M303" s="919">
        <v>0.64900000000000002</v>
      </c>
    </row>
    <row r="304" spans="1:13">
      <c r="A304" s="934">
        <v>9.8000000000000007</v>
      </c>
      <c r="B304" s="919">
        <v>0.82199999999999995</v>
      </c>
      <c r="C304" s="919">
        <v>0.82199999999999995</v>
      </c>
      <c r="D304" s="919">
        <v>0.7964</v>
      </c>
      <c r="E304" s="919">
        <v>0.7964</v>
      </c>
      <c r="F304" s="919">
        <v>0.7964</v>
      </c>
      <c r="G304" s="919">
        <v>0.7964</v>
      </c>
      <c r="H304" s="919">
        <v>0.7964</v>
      </c>
      <c r="I304" s="919">
        <v>0.64810000000000001</v>
      </c>
      <c r="J304" s="919">
        <v>0.64810000000000001</v>
      </c>
      <c r="K304" s="919">
        <v>0.64810000000000001</v>
      </c>
      <c r="L304" s="919">
        <v>0.64810000000000001</v>
      </c>
      <c r="M304" s="919">
        <v>0.64810000000000001</v>
      </c>
    </row>
    <row r="305" spans="1:13">
      <c r="A305" s="934">
        <v>9.9</v>
      </c>
      <c r="B305" s="919">
        <v>0.82140000000000002</v>
      </c>
      <c r="C305" s="919">
        <v>0.82140000000000002</v>
      </c>
      <c r="D305" s="919">
        <v>0.79559999999999997</v>
      </c>
      <c r="E305" s="919">
        <v>0.79559999999999997</v>
      </c>
      <c r="F305" s="919">
        <v>0.79559999999999997</v>
      </c>
      <c r="G305" s="919">
        <v>0.79559999999999997</v>
      </c>
      <c r="H305" s="919">
        <v>0.79559999999999997</v>
      </c>
      <c r="I305" s="919">
        <v>0.64710000000000001</v>
      </c>
      <c r="J305" s="919">
        <v>0.64710000000000001</v>
      </c>
      <c r="K305" s="919">
        <v>0.64710000000000001</v>
      </c>
      <c r="L305" s="919">
        <v>0.64710000000000001</v>
      </c>
      <c r="M305" s="919">
        <v>0.64710000000000001</v>
      </c>
    </row>
    <row r="306" spans="1:13">
      <c r="A306" s="934">
        <v>10</v>
      </c>
      <c r="B306" s="919">
        <v>0.82079999999999997</v>
      </c>
      <c r="C306" s="919">
        <v>0.82079999999999997</v>
      </c>
      <c r="D306" s="919">
        <v>0.79479999999999995</v>
      </c>
      <c r="E306" s="919">
        <v>0.79479999999999995</v>
      </c>
      <c r="F306" s="919">
        <v>0.79479999999999995</v>
      </c>
      <c r="G306" s="919">
        <v>0.79479999999999995</v>
      </c>
      <c r="H306" s="919">
        <v>0.79479999999999995</v>
      </c>
      <c r="I306" s="919">
        <v>0.6462</v>
      </c>
      <c r="J306" s="919">
        <v>0.6462</v>
      </c>
      <c r="K306" s="919">
        <v>0.6462</v>
      </c>
      <c r="L306" s="919">
        <v>0.6462</v>
      </c>
      <c r="M306" s="919">
        <v>0.6462</v>
      </c>
    </row>
    <row r="307" spans="1:13" ht="14.25">
      <c r="A307" s="907" t="s">
        <v>851</v>
      </c>
      <c r="B307" s="908"/>
      <c r="C307" s="908"/>
      <c r="D307" s="908"/>
      <c r="E307" s="908"/>
      <c r="F307" s="908"/>
      <c r="G307" s="908"/>
      <c r="H307" s="908"/>
      <c r="I307" s="908"/>
      <c r="J307" s="908"/>
      <c r="K307" s="908"/>
      <c r="L307" s="908"/>
      <c r="M307" s="908"/>
    </row>
    <row r="308" spans="1:13">
      <c r="A308" s="910" t="s">
        <v>838</v>
      </c>
      <c r="B308" s="911" t="s">
        <v>839</v>
      </c>
      <c r="C308" s="911" t="s">
        <v>840</v>
      </c>
      <c r="D308" s="911" t="s">
        <v>841</v>
      </c>
      <c r="E308" s="911" t="s">
        <v>842</v>
      </c>
      <c r="F308" s="911" t="s">
        <v>843</v>
      </c>
      <c r="G308" s="911" t="s">
        <v>844</v>
      </c>
      <c r="H308" s="912" t="s">
        <v>845</v>
      </c>
      <c r="I308" s="912" t="s">
        <v>846</v>
      </c>
      <c r="J308" s="913" t="s">
        <v>847</v>
      </c>
      <c r="K308" s="913" t="s">
        <v>848</v>
      </c>
      <c r="L308" s="913" t="s">
        <v>849</v>
      </c>
      <c r="M308" s="913" t="s">
        <v>850</v>
      </c>
    </row>
    <row r="309" spans="1:13">
      <c r="A309" s="910">
        <v>0.1</v>
      </c>
      <c r="B309" s="919">
        <v>11.506</v>
      </c>
      <c r="C309" s="919">
        <v>11.506</v>
      </c>
      <c r="D309" s="919">
        <v>12.015000000000001</v>
      </c>
      <c r="E309" s="919">
        <v>12.015000000000001</v>
      </c>
      <c r="F309" s="919">
        <v>12.015000000000001</v>
      </c>
      <c r="G309" s="919">
        <v>11.118</v>
      </c>
      <c r="H309" s="919">
        <v>11.118</v>
      </c>
      <c r="I309" s="919">
        <v>10</v>
      </c>
      <c r="J309" s="919">
        <v>10</v>
      </c>
      <c r="K309" s="919">
        <v>10</v>
      </c>
      <c r="L309" s="919">
        <v>10</v>
      </c>
      <c r="M309" s="919">
        <v>10</v>
      </c>
    </row>
    <row r="310" spans="1:13">
      <c r="A310" s="910">
        <v>0.2</v>
      </c>
      <c r="B310" s="919">
        <v>5.7530000000000001</v>
      </c>
      <c r="C310" s="919">
        <v>5.7530000000000001</v>
      </c>
      <c r="D310" s="919">
        <v>6.0075000000000003</v>
      </c>
      <c r="E310" s="919">
        <v>6.0075000000000003</v>
      </c>
      <c r="F310" s="919">
        <v>6.0075000000000003</v>
      </c>
      <c r="G310" s="919">
        <v>5.5590000000000002</v>
      </c>
      <c r="H310" s="919">
        <v>5.5590000000000002</v>
      </c>
      <c r="I310" s="919">
        <v>5</v>
      </c>
      <c r="J310" s="919">
        <v>5</v>
      </c>
      <c r="K310" s="919">
        <v>5</v>
      </c>
      <c r="L310" s="919">
        <v>5</v>
      </c>
      <c r="M310" s="919">
        <v>5</v>
      </c>
    </row>
    <row r="311" spans="1:13">
      <c r="A311" s="910">
        <v>0.3</v>
      </c>
      <c r="B311" s="919">
        <v>3.8353000000000002</v>
      </c>
      <c r="C311" s="919">
        <v>3.8353000000000002</v>
      </c>
      <c r="D311" s="919">
        <v>4.0049999999999999</v>
      </c>
      <c r="E311" s="919">
        <v>4.0049999999999999</v>
      </c>
      <c r="F311" s="919">
        <v>4.0049999999999999</v>
      </c>
      <c r="G311" s="919">
        <v>3.706</v>
      </c>
      <c r="H311" s="919">
        <v>3.706</v>
      </c>
      <c r="I311" s="919">
        <v>3.3332999999999999</v>
      </c>
      <c r="J311" s="919">
        <v>3.3332999999999999</v>
      </c>
      <c r="K311" s="919">
        <v>3.3332999999999999</v>
      </c>
      <c r="L311" s="919">
        <v>3.3332999999999999</v>
      </c>
      <c r="M311" s="919">
        <v>3.3332999999999999</v>
      </c>
    </row>
    <row r="312" spans="1:13">
      <c r="A312" s="910">
        <v>0.4</v>
      </c>
      <c r="B312" s="919">
        <v>2.8765000000000001</v>
      </c>
      <c r="C312" s="919">
        <v>2.8765000000000001</v>
      </c>
      <c r="D312" s="919">
        <v>3.0038</v>
      </c>
      <c r="E312" s="919">
        <v>3.0038</v>
      </c>
      <c r="F312" s="919">
        <v>3.0038</v>
      </c>
      <c r="G312" s="919">
        <v>2.7795000000000001</v>
      </c>
      <c r="H312" s="919">
        <v>2.7795000000000001</v>
      </c>
      <c r="I312" s="919">
        <v>2.5</v>
      </c>
      <c r="J312" s="919">
        <v>2.5</v>
      </c>
      <c r="K312" s="919">
        <v>2.5</v>
      </c>
      <c r="L312" s="919">
        <v>2.5</v>
      </c>
      <c r="M312" s="919">
        <v>2.5</v>
      </c>
    </row>
    <row r="313" spans="1:13">
      <c r="A313" s="910">
        <v>0.5</v>
      </c>
      <c r="B313" s="919">
        <v>2.3012000000000001</v>
      </c>
      <c r="C313" s="919">
        <v>2.3012000000000001</v>
      </c>
      <c r="D313" s="919">
        <v>2.403</v>
      </c>
      <c r="E313" s="919">
        <v>2.403</v>
      </c>
      <c r="F313" s="919">
        <v>2.403</v>
      </c>
      <c r="G313" s="919">
        <v>2.2235999999999998</v>
      </c>
      <c r="H313" s="919">
        <v>2.2235999999999998</v>
      </c>
      <c r="I313" s="919">
        <v>2</v>
      </c>
      <c r="J313" s="919">
        <v>2</v>
      </c>
      <c r="K313" s="919">
        <v>2</v>
      </c>
      <c r="L313" s="919">
        <v>2</v>
      </c>
      <c r="M313" s="919">
        <v>2</v>
      </c>
    </row>
    <row r="314" spans="1:13">
      <c r="A314" s="910">
        <v>0.6</v>
      </c>
      <c r="B314" s="919">
        <v>1.9177</v>
      </c>
      <c r="C314" s="919">
        <v>1.9177</v>
      </c>
      <c r="D314" s="919">
        <v>2.0024999999999999</v>
      </c>
      <c r="E314" s="919">
        <v>2.0024999999999999</v>
      </c>
      <c r="F314" s="919">
        <v>2.0024999999999999</v>
      </c>
      <c r="G314" s="919">
        <v>1.853</v>
      </c>
      <c r="H314" s="919">
        <v>1.853</v>
      </c>
      <c r="I314" s="919">
        <v>1.6667000000000001</v>
      </c>
      <c r="J314" s="919">
        <v>1.6667000000000001</v>
      </c>
      <c r="K314" s="919">
        <v>1.6667000000000001</v>
      </c>
      <c r="L314" s="919">
        <v>1.6667000000000001</v>
      </c>
      <c r="M314" s="919">
        <v>1.6667000000000001</v>
      </c>
    </row>
    <row r="315" spans="1:13">
      <c r="A315" s="910">
        <v>0.7</v>
      </c>
      <c r="B315" s="919">
        <v>1.6436999999999999</v>
      </c>
      <c r="C315" s="919">
        <v>1.6436999999999999</v>
      </c>
      <c r="D315" s="919">
        <v>1.7163999999999999</v>
      </c>
      <c r="E315" s="919">
        <v>1.7163999999999999</v>
      </c>
      <c r="F315" s="919">
        <v>1.7163999999999999</v>
      </c>
      <c r="G315" s="919">
        <v>1.5883</v>
      </c>
      <c r="H315" s="919">
        <v>1.5883</v>
      </c>
      <c r="I315" s="919">
        <v>1.4286000000000001</v>
      </c>
      <c r="J315" s="919">
        <v>1.4286000000000001</v>
      </c>
      <c r="K315" s="919">
        <v>1.4286000000000001</v>
      </c>
      <c r="L315" s="919">
        <v>1.4286000000000001</v>
      </c>
      <c r="M315" s="919">
        <v>1.4286000000000001</v>
      </c>
    </row>
    <row r="316" spans="1:13">
      <c r="A316" s="910">
        <v>0.8</v>
      </c>
      <c r="B316" s="919">
        <v>1.4382999999999999</v>
      </c>
      <c r="C316" s="919">
        <v>1.4382999999999999</v>
      </c>
      <c r="D316" s="919">
        <v>1.5019</v>
      </c>
      <c r="E316" s="919">
        <v>1.5019</v>
      </c>
      <c r="F316" s="919">
        <v>1.5019</v>
      </c>
      <c r="G316" s="919">
        <v>1.3897999999999999</v>
      </c>
      <c r="H316" s="919">
        <v>1.3897999999999999</v>
      </c>
      <c r="I316" s="919">
        <v>1.25</v>
      </c>
      <c r="J316" s="919">
        <v>1.25</v>
      </c>
      <c r="K316" s="919">
        <v>1.25</v>
      </c>
      <c r="L316" s="919">
        <v>1.25</v>
      </c>
      <c r="M316" s="919">
        <v>1.25</v>
      </c>
    </row>
    <row r="317" spans="1:13">
      <c r="A317" s="910">
        <v>0.9</v>
      </c>
      <c r="B317" s="919">
        <v>1.2784</v>
      </c>
      <c r="C317" s="919">
        <v>1.2784</v>
      </c>
      <c r="D317" s="919">
        <v>1.335</v>
      </c>
      <c r="E317" s="919">
        <v>1.335</v>
      </c>
      <c r="F317" s="919">
        <v>1.335</v>
      </c>
      <c r="G317" s="919">
        <v>1.2353000000000001</v>
      </c>
      <c r="H317" s="919">
        <v>1.2353000000000001</v>
      </c>
      <c r="I317" s="919">
        <v>1.1111</v>
      </c>
      <c r="J317" s="919">
        <v>1.1111</v>
      </c>
      <c r="K317" s="919">
        <v>1.1111</v>
      </c>
      <c r="L317" s="919">
        <v>1.1111</v>
      </c>
      <c r="M317" s="919">
        <v>1.1111</v>
      </c>
    </row>
    <row r="318" spans="1:13">
      <c r="A318" s="910">
        <v>1</v>
      </c>
      <c r="B318" s="919">
        <v>1.1506000000000001</v>
      </c>
      <c r="C318" s="919">
        <v>1.1506000000000001</v>
      </c>
      <c r="D318" s="919">
        <v>1.2015</v>
      </c>
      <c r="E318" s="919">
        <v>1.2015</v>
      </c>
      <c r="F318" s="919">
        <v>1.2015</v>
      </c>
      <c r="G318" s="919">
        <v>1.1117999999999999</v>
      </c>
      <c r="H318" s="919">
        <v>1.1117999999999999</v>
      </c>
      <c r="I318" s="919">
        <v>1</v>
      </c>
      <c r="J318" s="919">
        <v>1</v>
      </c>
      <c r="K318" s="919">
        <v>1</v>
      </c>
      <c r="L318" s="919">
        <v>1</v>
      </c>
      <c r="M318" s="919">
        <v>1</v>
      </c>
    </row>
    <row r="319" spans="1:13">
      <c r="A319" s="910">
        <v>1.1000000000000001</v>
      </c>
      <c r="B319" s="919">
        <v>1.1158999999999999</v>
      </c>
      <c r="C319" s="919">
        <v>1.1158999999999999</v>
      </c>
      <c r="D319" s="919">
        <v>1.1440999999999999</v>
      </c>
      <c r="E319" s="919">
        <v>1.1440999999999999</v>
      </c>
      <c r="F319" s="919">
        <v>1.1440999999999999</v>
      </c>
      <c r="G319" s="919">
        <v>1.0492999999999999</v>
      </c>
      <c r="H319" s="919">
        <v>1.0492999999999999</v>
      </c>
      <c r="I319" s="919">
        <v>0.93730000000000002</v>
      </c>
      <c r="J319" s="919">
        <v>0.93730000000000002</v>
      </c>
      <c r="K319" s="919">
        <v>0.93730000000000002</v>
      </c>
      <c r="L319" s="919">
        <v>0.93730000000000002</v>
      </c>
      <c r="M319" s="919">
        <v>0.93730000000000002</v>
      </c>
    </row>
    <row r="320" spans="1:13">
      <c r="A320" s="910">
        <v>1.2</v>
      </c>
      <c r="B320" s="919">
        <v>1.0837000000000001</v>
      </c>
      <c r="C320" s="919">
        <v>1.0837000000000001</v>
      </c>
      <c r="D320" s="919">
        <v>1.0972999999999999</v>
      </c>
      <c r="E320" s="919">
        <v>1.0972999999999999</v>
      </c>
      <c r="F320" s="919">
        <v>1.0972999999999999</v>
      </c>
      <c r="G320" s="919">
        <v>1</v>
      </c>
      <c r="H320" s="919">
        <v>1</v>
      </c>
      <c r="I320" s="919">
        <v>0.88890000000000002</v>
      </c>
      <c r="J320" s="919">
        <v>0.88890000000000002</v>
      </c>
      <c r="K320" s="919">
        <v>0.88890000000000002</v>
      </c>
      <c r="L320" s="919">
        <v>0.88890000000000002</v>
      </c>
      <c r="M320" s="919">
        <v>0.88890000000000002</v>
      </c>
    </row>
    <row r="321" spans="1:13">
      <c r="A321" s="910">
        <v>1.3</v>
      </c>
      <c r="B321" s="919">
        <v>1.0538000000000001</v>
      </c>
      <c r="C321" s="919">
        <v>1.0538000000000001</v>
      </c>
      <c r="D321" s="919">
        <v>1.0589999999999999</v>
      </c>
      <c r="E321" s="919">
        <v>1.0589999999999999</v>
      </c>
      <c r="F321" s="919">
        <v>1.0589999999999999</v>
      </c>
      <c r="G321" s="919">
        <v>0.96140000000000003</v>
      </c>
      <c r="H321" s="919">
        <v>0.96140000000000003</v>
      </c>
      <c r="I321" s="919">
        <v>0.85209999999999997</v>
      </c>
      <c r="J321" s="919">
        <v>0.85209999999999997</v>
      </c>
      <c r="K321" s="919">
        <v>0.85209999999999997</v>
      </c>
      <c r="L321" s="919">
        <v>0.85209999999999997</v>
      </c>
      <c r="M321" s="919">
        <v>0.85209999999999997</v>
      </c>
    </row>
    <row r="322" spans="1:13">
      <c r="A322" s="910">
        <v>1.4</v>
      </c>
      <c r="B322" s="919">
        <v>1.026</v>
      </c>
      <c r="C322" s="919">
        <v>1.026</v>
      </c>
      <c r="D322" s="919">
        <v>1.0271999999999999</v>
      </c>
      <c r="E322" s="919">
        <v>1.0271999999999999</v>
      </c>
      <c r="F322" s="919">
        <v>1.0271999999999999</v>
      </c>
      <c r="G322" s="919">
        <v>0.93079999999999996</v>
      </c>
      <c r="H322" s="919">
        <v>0.93079999999999996</v>
      </c>
      <c r="I322" s="919">
        <v>0.82379999999999998</v>
      </c>
      <c r="J322" s="919">
        <v>0.82379999999999998</v>
      </c>
      <c r="K322" s="919">
        <v>0.82379999999999998</v>
      </c>
      <c r="L322" s="919">
        <v>0.82379999999999998</v>
      </c>
      <c r="M322" s="919">
        <v>0.82379999999999998</v>
      </c>
    </row>
    <row r="323" spans="1:13">
      <c r="A323" s="910">
        <v>1.5</v>
      </c>
      <c r="B323" s="919">
        <v>1</v>
      </c>
      <c r="C323" s="919">
        <v>1</v>
      </c>
      <c r="D323" s="919">
        <v>1</v>
      </c>
      <c r="E323" s="919">
        <v>1</v>
      </c>
      <c r="F323" s="919">
        <v>1</v>
      </c>
      <c r="G323" s="919">
        <v>0.90559999999999996</v>
      </c>
      <c r="H323" s="919">
        <v>0.90559999999999996</v>
      </c>
      <c r="I323" s="919">
        <v>0.80110000000000003</v>
      </c>
      <c r="J323" s="919">
        <v>0.80110000000000003</v>
      </c>
      <c r="K323" s="919">
        <v>0.80110000000000003</v>
      </c>
      <c r="L323" s="919">
        <v>0.80110000000000003</v>
      </c>
      <c r="M323" s="919">
        <v>0.80110000000000003</v>
      </c>
    </row>
    <row r="324" spans="1:13">
      <c r="A324" s="910">
        <v>1.6</v>
      </c>
      <c r="B324" s="919">
        <v>0.97570000000000001</v>
      </c>
      <c r="C324" s="919">
        <v>0.97570000000000001</v>
      </c>
      <c r="D324" s="919">
        <v>0.97519999999999996</v>
      </c>
      <c r="E324" s="919">
        <v>0.97519999999999996</v>
      </c>
      <c r="F324" s="919">
        <v>0.97519999999999996</v>
      </c>
      <c r="G324" s="919">
        <v>0.8831</v>
      </c>
      <c r="H324" s="919">
        <v>0.8831</v>
      </c>
      <c r="I324" s="919">
        <v>0.78100000000000003</v>
      </c>
      <c r="J324" s="919">
        <v>0.78100000000000003</v>
      </c>
      <c r="K324" s="919">
        <v>0.78100000000000003</v>
      </c>
      <c r="L324" s="919">
        <v>0.78100000000000003</v>
      </c>
      <c r="M324" s="919">
        <v>0.78100000000000003</v>
      </c>
    </row>
    <row r="325" spans="1:13">
      <c r="A325" s="910">
        <v>1.7</v>
      </c>
      <c r="B325" s="919">
        <v>0.95289999999999997</v>
      </c>
      <c r="C325" s="919">
        <v>0.95289999999999997</v>
      </c>
      <c r="D325" s="919">
        <v>0.95189999999999997</v>
      </c>
      <c r="E325" s="919">
        <v>0.95189999999999997</v>
      </c>
      <c r="F325" s="919">
        <v>0.95189999999999997</v>
      </c>
      <c r="G325" s="919">
        <v>0.86180000000000001</v>
      </c>
      <c r="H325" s="919">
        <v>0.86180000000000001</v>
      </c>
      <c r="I325" s="919">
        <v>0.7621</v>
      </c>
      <c r="J325" s="919">
        <v>0.7621</v>
      </c>
      <c r="K325" s="919">
        <v>0.7621</v>
      </c>
      <c r="L325" s="919">
        <v>0.7621</v>
      </c>
      <c r="M325" s="919">
        <v>0.7621</v>
      </c>
    </row>
    <row r="326" spans="1:13">
      <c r="A326" s="910">
        <v>1.8</v>
      </c>
      <c r="B326" s="919">
        <v>0.93149999999999999</v>
      </c>
      <c r="C326" s="919">
        <v>0.93149999999999999</v>
      </c>
      <c r="D326" s="919">
        <v>0.93</v>
      </c>
      <c r="E326" s="919">
        <v>0.93</v>
      </c>
      <c r="F326" s="919">
        <v>0.93</v>
      </c>
      <c r="G326" s="919">
        <v>0.84179999999999999</v>
      </c>
      <c r="H326" s="919">
        <v>0.84179999999999999</v>
      </c>
      <c r="I326" s="919">
        <v>0.74419999999999997</v>
      </c>
      <c r="J326" s="919">
        <v>0.74419999999999997</v>
      </c>
      <c r="K326" s="919">
        <v>0.74419999999999997</v>
      </c>
      <c r="L326" s="919">
        <v>0.74419999999999997</v>
      </c>
      <c r="M326" s="919">
        <v>0.74419999999999997</v>
      </c>
    </row>
    <row r="327" spans="1:13">
      <c r="A327" s="910">
        <v>1.9</v>
      </c>
      <c r="B327" s="919">
        <v>0.91139999999999999</v>
      </c>
      <c r="C327" s="919">
        <v>0.91139999999999999</v>
      </c>
      <c r="D327" s="919">
        <v>0.90939999999999999</v>
      </c>
      <c r="E327" s="919">
        <v>0.90939999999999999</v>
      </c>
      <c r="F327" s="919">
        <v>0.90939999999999999</v>
      </c>
      <c r="G327" s="919">
        <v>0.82289999999999996</v>
      </c>
      <c r="H327" s="919">
        <v>0.82289999999999996</v>
      </c>
      <c r="I327" s="919">
        <v>0.72740000000000005</v>
      </c>
      <c r="J327" s="919">
        <v>0.72740000000000005</v>
      </c>
      <c r="K327" s="919">
        <v>0.72740000000000005</v>
      </c>
      <c r="L327" s="919">
        <v>0.72740000000000005</v>
      </c>
      <c r="M327" s="919">
        <v>0.72740000000000005</v>
      </c>
    </row>
    <row r="328" spans="1:13">
      <c r="A328" s="910">
        <v>2</v>
      </c>
      <c r="B328" s="919">
        <v>0.89270000000000005</v>
      </c>
      <c r="C328" s="919">
        <v>0.89270000000000005</v>
      </c>
      <c r="D328" s="919">
        <v>0.8901</v>
      </c>
      <c r="E328" s="919">
        <v>0.8901</v>
      </c>
      <c r="F328" s="919">
        <v>0.8901</v>
      </c>
      <c r="G328" s="919">
        <v>0.80530000000000002</v>
      </c>
      <c r="H328" s="919">
        <v>0.80530000000000002</v>
      </c>
      <c r="I328" s="919">
        <v>0.71160000000000001</v>
      </c>
      <c r="J328" s="919">
        <v>0.71160000000000001</v>
      </c>
      <c r="K328" s="919">
        <v>0.71160000000000001</v>
      </c>
      <c r="L328" s="919">
        <v>0.71160000000000001</v>
      </c>
      <c r="M328" s="919">
        <v>0.71160000000000001</v>
      </c>
    </row>
    <row r="329" spans="1:13">
      <c r="A329" s="934">
        <v>2.1</v>
      </c>
      <c r="B329" s="919">
        <v>0.87519999999999998</v>
      </c>
      <c r="C329" s="919">
        <v>0.87519999999999998</v>
      </c>
      <c r="D329" s="919">
        <v>0.872</v>
      </c>
      <c r="E329" s="919">
        <v>0.872</v>
      </c>
      <c r="F329" s="919">
        <v>0.872</v>
      </c>
      <c r="G329" s="919">
        <v>0.78869999999999996</v>
      </c>
      <c r="H329" s="919">
        <v>0.78869999999999996</v>
      </c>
      <c r="I329" s="919">
        <v>0.69669999999999999</v>
      </c>
      <c r="J329" s="919">
        <v>0.69669999999999999</v>
      </c>
      <c r="K329" s="919">
        <v>0.69669999999999999</v>
      </c>
      <c r="L329" s="919">
        <v>0.69669999999999999</v>
      </c>
      <c r="M329" s="919">
        <v>0.69669999999999999</v>
      </c>
    </row>
    <row r="330" spans="1:13">
      <c r="A330" s="934">
        <v>2.2000000000000002</v>
      </c>
      <c r="B330" s="919">
        <v>0.85880000000000001</v>
      </c>
      <c r="C330" s="919">
        <v>0.85880000000000001</v>
      </c>
      <c r="D330" s="919">
        <v>0.85499999999999998</v>
      </c>
      <c r="E330" s="919">
        <v>0.85499999999999998</v>
      </c>
      <c r="F330" s="919">
        <v>0.85499999999999998</v>
      </c>
      <c r="G330" s="919">
        <v>0.77300000000000002</v>
      </c>
      <c r="H330" s="919">
        <v>0.77300000000000002</v>
      </c>
      <c r="I330" s="919">
        <v>0.68269999999999997</v>
      </c>
      <c r="J330" s="919">
        <v>0.68269999999999997</v>
      </c>
      <c r="K330" s="919">
        <v>0.68269999999999997</v>
      </c>
      <c r="L330" s="919">
        <v>0.68269999999999997</v>
      </c>
      <c r="M330" s="919">
        <v>0.68269999999999997</v>
      </c>
    </row>
    <row r="331" spans="1:13">
      <c r="A331" s="934">
        <v>2.2999999999999998</v>
      </c>
      <c r="B331" s="919">
        <v>0.84360000000000002</v>
      </c>
      <c r="C331" s="919">
        <v>0.84360000000000002</v>
      </c>
      <c r="D331" s="919">
        <v>0.83899999999999997</v>
      </c>
      <c r="E331" s="919">
        <v>0.83899999999999997</v>
      </c>
      <c r="F331" s="919">
        <v>0.83899999999999997</v>
      </c>
      <c r="G331" s="919">
        <v>0.75839999999999996</v>
      </c>
      <c r="H331" s="919">
        <v>0.75839999999999996</v>
      </c>
      <c r="I331" s="919">
        <v>0.66949999999999998</v>
      </c>
      <c r="J331" s="919">
        <v>0.66949999999999998</v>
      </c>
      <c r="K331" s="919">
        <v>0.66949999999999998</v>
      </c>
      <c r="L331" s="919">
        <v>0.66949999999999998</v>
      </c>
      <c r="M331" s="919">
        <v>0.66949999999999998</v>
      </c>
    </row>
    <row r="332" spans="1:13">
      <c r="A332" s="934">
        <v>2.4</v>
      </c>
      <c r="B332" s="919">
        <v>0.82940000000000003</v>
      </c>
      <c r="C332" s="919">
        <v>0.82940000000000003</v>
      </c>
      <c r="D332" s="919">
        <v>0.82410000000000005</v>
      </c>
      <c r="E332" s="919">
        <v>0.82410000000000005</v>
      </c>
      <c r="F332" s="919">
        <v>0.82410000000000005</v>
      </c>
      <c r="G332" s="919">
        <v>0.74460000000000004</v>
      </c>
      <c r="H332" s="919">
        <v>0.74460000000000004</v>
      </c>
      <c r="I332" s="919">
        <v>0.65710000000000002</v>
      </c>
      <c r="J332" s="919">
        <v>0.65710000000000002</v>
      </c>
      <c r="K332" s="919">
        <v>0.65710000000000002</v>
      </c>
      <c r="L332" s="919">
        <v>0.65710000000000002</v>
      </c>
      <c r="M332" s="919">
        <v>0.65710000000000002</v>
      </c>
    </row>
    <row r="333" spans="1:13">
      <c r="A333" s="934">
        <v>2.5</v>
      </c>
      <c r="B333" s="919">
        <v>0.81620000000000004</v>
      </c>
      <c r="C333" s="919">
        <v>0.81620000000000004</v>
      </c>
      <c r="D333" s="919">
        <v>0.81020000000000003</v>
      </c>
      <c r="E333" s="919">
        <v>0.81020000000000003</v>
      </c>
      <c r="F333" s="919">
        <v>0.81020000000000003</v>
      </c>
      <c r="G333" s="919">
        <v>0.73180000000000001</v>
      </c>
      <c r="H333" s="919">
        <v>0.73180000000000001</v>
      </c>
      <c r="I333" s="919">
        <v>0.64549999999999996</v>
      </c>
      <c r="J333" s="919">
        <v>0.64549999999999996</v>
      </c>
      <c r="K333" s="919">
        <v>0.64549999999999996</v>
      </c>
      <c r="L333" s="919">
        <v>0.64549999999999996</v>
      </c>
      <c r="M333" s="919">
        <v>0.64549999999999996</v>
      </c>
    </row>
    <row r="334" spans="1:13">
      <c r="A334" s="934">
        <v>2.6</v>
      </c>
      <c r="B334" s="919">
        <v>0.80389999999999995</v>
      </c>
      <c r="C334" s="919">
        <v>0.80389999999999995</v>
      </c>
      <c r="D334" s="919">
        <v>0.79710000000000003</v>
      </c>
      <c r="E334" s="919">
        <v>0.79710000000000003</v>
      </c>
      <c r="F334" s="919">
        <v>0.79710000000000003</v>
      </c>
      <c r="G334" s="919">
        <v>0.71970000000000001</v>
      </c>
      <c r="H334" s="919">
        <v>0.71970000000000001</v>
      </c>
      <c r="I334" s="919">
        <v>0.63460000000000005</v>
      </c>
      <c r="J334" s="919">
        <v>0.63460000000000005</v>
      </c>
      <c r="K334" s="919">
        <v>0.63460000000000005</v>
      </c>
      <c r="L334" s="919">
        <v>0.63460000000000005</v>
      </c>
      <c r="M334" s="919">
        <v>0.63460000000000005</v>
      </c>
    </row>
    <row r="335" spans="1:13">
      <c r="A335" s="934">
        <v>2.7</v>
      </c>
      <c r="B335" s="919">
        <v>0.79249999999999998</v>
      </c>
      <c r="C335" s="919">
        <v>0.79249999999999998</v>
      </c>
      <c r="D335" s="919">
        <v>0.78490000000000004</v>
      </c>
      <c r="E335" s="919">
        <v>0.78490000000000004</v>
      </c>
      <c r="F335" s="919">
        <v>0.78490000000000004</v>
      </c>
      <c r="G335" s="919">
        <v>0.70840000000000003</v>
      </c>
      <c r="H335" s="919">
        <v>0.70840000000000003</v>
      </c>
      <c r="I335" s="919">
        <v>0.62439999999999996</v>
      </c>
      <c r="J335" s="919">
        <v>0.62439999999999996</v>
      </c>
      <c r="K335" s="919">
        <v>0.62439999999999996</v>
      </c>
      <c r="L335" s="919">
        <v>0.62439999999999996</v>
      </c>
      <c r="M335" s="919">
        <v>0.62439999999999996</v>
      </c>
    </row>
    <row r="336" spans="1:13">
      <c r="A336" s="934">
        <v>2.8</v>
      </c>
      <c r="B336" s="919">
        <v>0.78190000000000004</v>
      </c>
      <c r="C336" s="919">
        <v>0.78190000000000004</v>
      </c>
      <c r="D336" s="919">
        <v>0.77359999999999995</v>
      </c>
      <c r="E336" s="919">
        <v>0.77359999999999995</v>
      </c>
      <c r="F336" s="919">
        <v>0.77359999999999995</v>
      </c>
      <c r="G336" s="919">
        <v>0.69789999999999996</v>
      </c>
      <c r="H336" s="919">
        <v>0.69789999999999996</v>
      </c>
      <c r="I336" s="919">
        <v>0.61480000000000001</v>
      </c>
      <c r="J336" s="919">
        <v>0.61480000000000001</v>
      </c>
      <c r="K336" s="919">
        <v>0.61480000000000001</v>
      </c>
      <c r="L336" s="919">
        <v>0.61480000000000001</v>
      </c>
      <c r="M336" s="919">
        <v>0.61480000000000001</v>
      </c>
    </row>
    <row r="337" spans="1:13">
      <c r="A337" s="934">
        <v>2.9</v>
      </c>
      <c r="B337" s="919">
        <v>0.77210000000000001</v>
      </c>
      <c r="C337" s="919">
        <v>0.77210000000000001</v>
      </c>
      <c r="D337" s="919">
        <v>0.76300000000000001</v>
      </c>
      <c r="E337" s="919">
        <v>0.76300000000000001</v>
      </c>
      <c r="F337" s="919">
        <v>0.76300000000000001</v>
      </c>
      <c r="G337" s="919">
        <v>0.68799999999999994</v>
      </c>
      <c r="H337" s="919">
        <v>0.68799999999999994</v>
      </c>
      <c r="I337" s="919">
        <v>0.60589999999999999</v>
      </c>
      <c r="J337" s="919">
        <v>0.60589999999999999</v>
      </c>
      <c r="K337" s="919">
        <v>0.60589999999999999</v>
      </c>
      <c r="L337" s="919">
        <v>0.60589999999999999</v>
      </c>
      <c r="M337" s="919">
        <v>0.60589999999999999</v>
      </c>
    </row>
    <row r="338" spans="1:13">
      <c r="A338" s="934">
        <v>3</v>
      </c>
      <c r="B338" s="919">
        <v>0.7631</v>
      </c>
      <c r="C338" s="919">
        <v>0.7631</v>
      </c>
      <c r="D338" s="919">
        <v>0.75309999999999999</v>
      </c>
      <c r="E338" s="919">
        <v>0.75309999999999999</v>
      </c>
      <c r="F338" s="919">
        <v>0.75309999999999999</v>
      </c>
      <c r="G338" s="919">
        <v>0.67879999999999996</v>
      </c>
      <c r="H338" s="919">
        <v>0.67879999999999996</v>
      </c>
      <c r="I338" s="919">
        <v>0.59750000000000003</v>
      </c>
      <c r="J338" s="919">
        <v>0.59750000000000003</v>
      </c>
      <c r="K338" s="919">
        <v>0.59750000000000003</v>
      </c>
      <c r="L338" s="919">
        <v>0.59750000000000003</v>
      </c>
      <c r="M338" s="919">
        <v>0.59750000000000003</v>
      </c>
    </row>
    <row r="339" spans="1:13">
      <c r="A339" s="934">
        <v>3.1</v>
      </c>
      <c r="B339" s="919">
        <v>0.75470000000000004</v>
      </c>
      <c r="C339" s="919">
        <v>0.75470000000000004</v>
      </c>
      <c r="D339" s="919">
        <v>0.74399999999999999</v>
      </c>
      <c r="E339" s="919">
        <v>0.74399999999999999</v>
      </c>
      <c r="F339" s="919">
        <v>0.74399999999999999</v>
      </c>
      <c r="G339" s="919">
        <v>0.67020000000000002</v>
      </c>
      <c r="H339" s="919">
        <v>0.67020000000000002</v>
      </c>
      <c r="I339" s="919">
        <v>0.5897</v>
      </c>
      <c r="J339" s="919">
        <v>0.5897</v>
      </c>
      <c r="K339" s="919">
        <v>0.5897</v>
      </c>
      <c r="L339" s="919">
        <v>0.5897</v>
      </c>
      <c r="M339" s="919">
        <v>0.5897</v>
      </c>
    </row>
    <row r="340" spans="1:13">
      <c r="A340" s="934">
        <v>3.2</v>
      </c>
      <c r="B340" s="919">
        <v>0.747</v>
      </c>
      <c r="C340" s="919">
        <v>0.747</v>
      </c>
      <c r="D340" s="919">
        <v>0.73540000000000005</v>
      </c>
      <c r="E340" s="919">
        <v>0.73540000000000005</v>
      </c>
      <c r="F340" s="919">
        <v>0.73540000000000005</v>
      </c>
      <c r="G340" s="919">
        <v>0.66220000000000001</v>
      </c>
      <c r="H340" s="919">
        <v>0.66220000000000001</v>
      </c>
      <c r="I340" s="919">
        <v>0.58230000000000004</v>
      </c>
      <c r="J340" s="919">
        <v>0.58230000000000004</v>
      </c>
      <c r="K340" s="919">
        <v>0.58230000000000004</v>
      </c>
      <c r="L340" s="919">
        <v>0.58230000000000004</v>
      </c>
      <c r="M340" s="919">
        <v>0.58230000000000004</v>
      </c>
    </row>
    <row r="341" spans="1:13">
      <c r="A341" s="934">
        <v>3.3</v>
      </c>
      <c r="B341" s="919">
        <v>0.7399</v>
      </c>
      <c r="C341" s="919">
        <v>0.7399</v>
      </c>
      <c r="D341" s="919">
        <v>0.72750000000000004</v>
      </c>
      <c r="E341" s="919">
        <v>0.72750000000000004</v>
      </c>
      <c r="F341" s="919">
        <v>0.72750000000000004</v>
      </c>
      <c r="G341" s="919">
        <v>0.65480000000000005</v>
      </c>
      <c r="H341" s="919">
        <v>0.65480000000000005</v>
      </c>
      <c r="I341" s="919">
        <v>0.57540000000000002</v>
      </c>
      <c r="J341" s="919">
        <v>0.57540000000000002</v>
      </c>
      <c r="K341" s="919">
        <v>0.57540000000000002</v>
      </c>
      <c r="L341" s="919">
        <v>0.57540000000000002</v>
      </c>
      <c r="M341" s="919">
        <v>0.57540000000000002</v>
      </c>
    </row>
    <row r="342" spans="1:13">
      <c r="A342" s="934">
        <v>3.4</v>
      </c>
      <c r="B342" s="919">
        <v>0.73340000000000005</v>
      </c>
      <c r="C342" s="919">
        <v>0.73340000000000005</v>
      </c>
      <c r="D342" s="919">
        <v>0.72009999999999996</v>
      </c>
      <c r="E342" s="919">
        <v>0.72009999999999996</v>
      </c>
      <c r="F342" s="919">
        <v>0.72009999999999996</v>
      </c>
      <c r="G342" s="919">
        <v>0.64780000000000004</v>
      </c>
      <c r="H342" s="919">
        <v>0.64780000000000004</v>
      </c>
      <c r="I342" s="919">
        <v>0.56899999999999995</v>
      </c>
      <c r="J342" s="919">
        <v>0.56899999999999995</v>
      </c>
      <c r="K342" s="919">
        <v>0.56899999999999995</v>
      </c>
      <c r="L342" s="919">
        <v>0.56899999999999995</v>
      </c>
      <c r="M342" s="919">
        <v>0.56899999999999995</v>
      </c>
    </row>
    <row r="343" spans="1:13">
      <c r="A343" s="934">
        <v>3.5</v>
      </c>
      <c r="B343" s="919">
        <v>0.72740000000000005</v>
      </c>
      <c r="C343" s="919">
        <v>0.72740000000000005</v>
      </c>
      <c r="D343" s="919">
        <v>0.71330000000000005</v>
      </c>
      <c r="E343" s="919">
        <v>0.71330000000000005</v>
      </c>
      <c r="F343" s="919">
        <v>0.71330000000000005</v>
      </c>
      <c r="G343" s="919">
        <v>0.64129999999999998</v>
      </c>
      <c r="H343" s="919">
        <v>0.64129999999999998</v>
      </c>
      <c r="I343" s="919">
        <v>0.56310000000000004</v>
      </c>
      <c r="J343" s="919">
        <v>0.56310000000000004</v>
      </c>
      <c r="K343" s="919">
        <v>0.56310000000000004</v>
      </c>
      <c r="L343" s="919">
        <v>0.56310000000000004</v>
      </c>
      <c r="M343" s="919">
        <v>0.56310000000000004</v>
      </c>
    </row>
    <row r="344" spans="1:13">
      <c r="A344" s="934">
        <v>3.6</v>
      </c>
      <c r="B344" s="919">
        <v>0.72189999999999999</v>
      </c>
      <c r="C344" s="919">
        <v>0.72189999999999999</v>
      </c>
      <c r="D344" s="919">
        <v>0.70699999999999996</v>
      </c>
      <c r="E344" s="919">
        <v>0.70699999999999996</v>
      </c>
      <c r="F344" s="919">
        <v>0.70699999999999996</v>
      </c>
      <c r="G344" s="919">
        <v>0.63529999999999998</v>
      </c>
      <c r="H344" s="919">
        <v>0.63529999999999998</v>
      </c>
      <c r="I344" s="919">
        <v>0.5575</v>
      </c>
      <c r="J344" s="919">
        <v>0.5575</v>
      </c>
      <c r="K344" s="919">
        <v>0.5575</v>
      </c>
      <c r="L344" s="919">
        <v>0.5575</v>
      </c>
      <c r="M344" s="919">
        <v>0.5575</v>
      </c>
    </row>
    <row r="345" spans="1:13">
      <c r="A345" s="934">
        <v>3.7</v>
      </c>
      <c r="B345" s="919">
        <v>0.71679999999999999</v>
      </c>
      <c r="C345" s="919">
        <v>0.71679999999999999</v>
      </c>
      <c r="D345" s="919">
        <v>0.70109999999999995</v>
      </c>
      <c r="E345" s="919">
        <v>0.70109999999999995</v>
      </c>
      <c r="F345" s="919">
        <v>0.70109999999999995</v>
      </c>
      <c r="G345" s="919">
        <v>0.62970000000000004</v>
      </c>
      <c r="H345" s="919">
        <v>0.62970000000000004</v>
      </c>
      <c r="I345" s="919">
        <v>0.55230000000000001</v>
      </c>
      <c r="J345" s="919">
        <v>0.55230000000000001</v>
      </c>
      <c r="K345" s="919">
        <v>0.55230000000000001</v>
      </c>
      <c r="L345" s="919">
        <v>0.55230000000000001</v>
      </c>
      <c r="M345" s="919">
        <v>0.55230000000000001</v>
      </c>
    </row>
    <row r="346" spans="1:13">
      <c r="A346" s="934">
        <v>3.8</v>
      </c>
      <c r="B346" s="919">
        <v>0.71220000000000006</v>
      </c>
      <c r="C346" s="919">
        <v>0.71220000000000006</v>
      </c>
      <c r="D346" s="919">
        <v>0.6956</v>
      </c>
      <c r="E346" s="919">
        <v>0.6956</v>
      </c>
      <c r="F346" s="919">
        <v>0.6956</v>
      </c>
      <c r="G346" s="919">
        <v>0.62439999999999996</v>
      </c>
      <c r="H346" s="919">
        <v>0.62439999999999996</v>
      </c>
      <c r="I346" s="919">
        <v>0.5474</v>
      </c>
      <c r="J346" s="919">
        <v>0.5474</v>
      </c>
      <c r="K346" s="919">
        <v>0.5474</v>
      </c>
      <c r="L346" s="919">
        <v>0.5474</v>
      </c>
      <c r="M346" s="919">
        <v>0.5474</v>
      </c>
    </row>
    <row r="347" spans="1:13">
      <c r="A347" s="934">
        <v>3.9</v>
      </c>
      <c r="B347" s="919">
        <v>0.70799999999999996</v>
      </c>
      <c r="C347" s="919">
        <v>0.70799999999999996</v>
      </c>
      <c r="D347" s="919">
        <v>0.69059999999999999</v>
      </c>
      <c r="E347" s="919">
        <v>0.69059999999999999</v>
      </c>
      <c r="F347" s="919">
        <v>0.69059999999999999</v>
      </c>
      <c r="G347" s="919">
        <v>0.61950000000000005</v>
      </c>
      <c r="H347" s="919">
        <v>0.61950000000000005</v>
      </c>
      <c r="I347" s="919">
        <v>0.54279999999999995</v>
      </c>
      <c r="J347" s="919">
        <v>0.54279999999999995</v>
      </c>
      <c r="K347" s="919">
        <v>0.54279999999999995</v>
      </c>
      <c r="L347" s="919">
        <v>0.54279999999999995</v>
      </c>
      <c r="M347" s="919">
        <v>0.54279999999999995</v>
      </c>
    </row>
    <row r="348" spans="1:13">
      <c r="A348" s="934">
        <v>4</v>
      </c>
      <c r="B348" s="919">
        <v>0.70409999999999995</v>
      </c>
      <c r="C348" s="919">
        <v>0.70409999999999995</v>
      </c>
      <c r="D348" s="919">
        <v>0.68589999999999995</v>
      </c>
      <c r="E348" s="919">
        <v>0.68589999999999995</v>
      </c>
      <c r="F348" s="919">
        <v>0.68589999999999995</v>
      </c>
      <c r="G348" s="919">
        <v>0.61499999999999999</v>
      </c>
      <c r="H348" s="919">
        <v>0.61499999999999999</v>
      </c>
      <c r="I348" s="919">
        <v>0.53859999999999997</v>
      </c>
      <c r="J348" s="919">
        <v>0.53859999999999997</v>
      </c>
      <c r="K348" s="919">
        <v>0.53859999999999997</v>
      </c>
      <c r="L348" s="919">
        <v>0.53859999999999997</v>
      </c>
      <c r="M348" s="919">
        <v>0.53859999999999997</v>
      </c>
    </row>
    <row r="349" spans="1:13">
      <c r="A349" s="934">
        <v>4.0999999999999996</v>
      </c>
      <c r="B349" s="919">
        <v>0.7006</v>
      </c>
      <c r="C349" s="919">
        <v>0.7006</v>
      </c>
      <c r="D349" s="919">
        <v>0.68159999999999998</v>
      </c>
      <c r="E349" s="919">
        <v>0.68159999999999998</v>
      </c>
      <c r="F349" s="919">
        <v>0.68159999999999998</v>
      </c>
      <c r="G349" s="919">
        <v>0.61080000000000001</v>
      </c>
      <c r="H349" s="919">
        <v>0.61080000000000001</v>
      </c>
      <c r="I349" s="919">
        <v>0.53459999999999996</v>
      </c>
      <c r="J349" s="919">
        <v>0.53459999999999996</v>
      </c>
      <c r="K349" s="919">
        <v>0.53459999999999996</v>
      </c>
      <c r="L349" s="919">
        <v>0.53459999999999996</v>
      </c>
      <c r="M349" s="919">
        <v>0.53459999999999996</v>
      </c>
    </row>
    <row r="350" spans="1:13">
      <c r="A350" s="934">
        <v>4.2</v>
      </c>
      <c r="B350" s="919">
        <v>0.69740000000000002</v>
      </c>
      <c r="C350" s="919">
        <v>0.69740000000000002</v>
      </c>
      <c r="D350" s="919">
        <v>0.67759999999999998</v>
      </c>
      <c r="E350" s="919">
        <v>0.67759999999999998</v>
      </c>
      <c r="F350" s="919">
        <v>0.67759999999999998</v>
      </c>
      <c r="G350" s="919">
        <v>0.60699999999999998</v>
      </c>
      <c r="H350" s="919">
        <v>0.60699999999999998</v>
      </c>
      <c r="I350" s="919">
        <v>0.53090000000000004</v>
      </c>
      <c r="J350" s="919">
        <v>0.53090000000000004</v>
      </c>
      <c r="K350" s="919">
        <v>0.53090000000000004</v>
      </c>
      <c r="L350" s="919">
        <v>0.53090000000000004</v>
      </c>
      <c r="M350" s="919">
        <v>0.53090000000000004</v>
      </c>
    </row>
    <row r="351" spans="1:13">
      <c r="A351" s="934">
        <v>4.3</v>
      </c>
      <c r="B351" s="919">
        <v>0.69450000000000001</v>
      </c>
      <c r="C351" s="919">
        <v>0.69450000000000001</v>
      </c>
      <c r="D351" s="919">
        <v>0.67390000000000005</v>
      </c>
      <c r="E351" s="919">
        <v>0.67390000000000005</v>
      </c>
      <c r="F351" s="919">
        <v>0.67390000000000005</v>
      </c>
      <c r="G351" s="919">
        <v>0.60329999999999995</v>
      </c>
      <c r="H351" s="919">
        <v>0.60329999999999995</v>
      </c>
      <c r="I351" s="919">
        <v>0.52739999999999998</v>
      </c>
      <c r="J351" s="919">
        <v>0.52739999999999998</v>
      </c>
      <c r="K351" s="919">
        <v>0.52739999999999998</v>
      </c>
      <c r="L351" s="919">
        <v>0.52739999999999998</v>
      </c>
      <c r="M351" s="919">
        <v>0.52739999999999998</v>
      </c>
    </row>
    <row r="352" spans="1:13">
      <c r="A352" s="934">
        <v>4.4000000000000004</v>
      </c>
      <c r="B352" s="919">
        <v>0.69179999999999997</v>
      </c>
      <c r="C352" s="919">
        <v>0.69179999999999997</v>
      </c>
      <c r="D352" s="919">
        <v>0.67049999999999998</v>
      </c>
      <c r="E352" s="919">
        <v>0.67049999999999998</v>
      </c>
      <c r="F352" s="919">
        <v>0.67049999999999998</v>
      </c>
      <c r="G352" s="919">
        <v>0.59989999999999999</v>
      </c>
      <c r="H352" s="919">
        <v>0.59989999999999999</v>
      </c>
      <c r="I352" s="919">
        <v>0.5242</v>
      </c>
      <c r="J352" s="919">
        <v>0.5242</v>
      </c>
      <c r="K352" s="919">
        <v>0.5242</v>
      </c>
      <c r="L352" s="919">
        <v>0.5242</v>
      </c>
      <c r="M352" s="919">
        <v>0.5242</v>
      </c>
    </row>
    <row r="353" spans="1:13">
      <c r="A353" s="934">
        <v>4.5</v>
      </c>
      <c r="B353" s="919">
        <v>0.68940000000000001</v>
      </c>
      <c r="C353" s="919">
        <v>0.68940000000000001</v>
      </c>
      <c r="D353" s="919">
        <v>0.6673</v>
      </c>
      <c r="E353" s="919">
        <v>0.6673</v>
      </c>
      <c r="F353" s="919">
        <v>0.6673</v>
      </c>
      <c r="G353" s="919">
        <v>0.59670000000000001</v>
      </c>
      <c r="H353" s="919">
        <v>0.59670000000000001</v>
      </c>
      <c r="I353" s="919">
        <v>0.52110000000000001</v>
      </c>
      <c r="J353" s="919">
        <v>0.52110000000000001</v>
      </c>
      <c r="K353" s="919">
        <v>0.52110000000000001</v>
      </c>
      <c r="L353" s="919">
        <v>0.52110000000000001</v>
      </c>
      <c r="M353" s="919">
        <v>0.52110000000000001</v>
      </c>
    </row>
    <row r="354" spans="1:13">
      <c r="A354" s="934">
        <v>4.5999999999999996</v>
      </c>
      <c r="B354" s="919">
        <v>0.68720000000000003</v>
      </c>
      <c r="C354" s="919">
        <v>0.68720000000000003</v>
      </c>
      <c r="D354" s="919">
        <v>0.6643</v>
      </c>
      <c r="E354" s="919">
        <v>0.6643</v>
      </c>
      <c r="F354" s="919">
        <v>0.6643</v>
      </c>
      <c r="G354" s="919">
        <v>0.59379999999999999</v>
      </c>
      <c r="H354" s="919">
        <v>0.59379999999999999</v>
      </c>
      <c r="I354" s="919">
        <v>0.51819999999999999</v>
      </c>
      <c r="J354" s="919">
        <v>0.51819999999999999</v>
      </c>
      <c r="K354" s="919">
        <v>0.51819999999999999</v>
      </c>
      <c r="L354" s="919">
        <v>0.51819999999999999</v>
      </c>
      <c r="M354" s="919">
        <v>0.51819999999999999</v>
      </c>
    </row>
    <row r="355" spans="1:13">
      <c r="A355" s="934">
        <v>4.7</v>
      </c>
      <c r="B355" s="919">
        <v>0.68520000000000003</v>
      </c>
      <c r="C355" s="919">
        <v>0.68520000000000003</v>
      </c>
      <c r="D355" s="919">
        <v>0.66149999999999998</v>
      </c>
      <c r="E355" s="919">
        <v>0.66149999999999998</v>
      </c>
      <c r="F355" s="919">
        <v>0.66149999999999998</v>
      </c>
      <c r="G355" s="919">
        <v>0.59109999999999996</v>
      </c>
      <c r="H355" s="919">
        <v>0.59109999999999996</v>
      </c>
      <c r="I355" s="919">
        <v>0.51559999999999995</v>
      </c>
      <c r="J355" s="919">
        <v>0.51559999999999995</v>
      </c>
      <c r="K355" s="919">
        <v>0.51559999999999995</v>
      </c>
      <c r="L355" s="919">
        <v>0.51559999999999995</v>
      </c>
      <c r="M355" s="919">
        <v>0.51559999999999995</v>
      </c>
    </row>
    <row r="356" spans="1:13">
      <c r="A356" s="934">
        <v>4.8</v>
      </c>
      <c r="B356" s="919">
        <v>0.68340000000000001</v>
      </c>
      <c r="C356" s="919">
        <v>0.68340000000000001</v>
      </c>
      <c r="D356" s="919">
        <v>0.65900000000000003</v>
      </c>
      <c r="E356" s="919">
        <v>0.65900000000000003</v>
      </c>
      <c r="F356" s="919">
        <v>0.65900000000000003</v>
      </c>
      <c r="G356" s="919">
        <v>0.58850000000000002</v>
      </c>
      <c r="H356" s="919">
        <v>0.58850000000000002</v>
      </c>
      <c r="I356" s="919">
        <v>0.51300000000000001</v>
      </c>
      <c r="J356" s="919">
        <v>0.51300000000000001</v>
      </c>
      <c r="K356" s="919">
        <v>0.51300000000000001</v>
      </c>
      <c r="L356" s="919">
        <v>0.51300000000000001</v>
      </c>
      <c r="M356" s="919">
        <v>0.51300000000000001</v>
      </c>
    </row>
    <row r="357" spans="1:13">
      <c r="A357" s="934">
        <v>4.9000000000000004</v>
      </c>
      <c r="B357" s="919">
        <v>0.68179999999999996</v>
      </c>
      <c r="C357" s="919">
        <v>0.68179999999999996</v>
      </c>
      <c r="D357" s="919">
        <v>0.65659999999999996</v>
      </c>
      <c r="E357" s="919">
        <v>0.65659999999999996</v>
      </c>
      <c r="F357" s="919">
        <v>0.65659999999999996</v>
      </c>
      <c r="G357" s="919">
        <v>0.58599999999999997</v>
      </c>
      <c r="H357" s="919">
        <v>0.58599999999999997</v>
      </c>
      <c r="I357" s="919">
        <v>0.51060000000000005</v>
      </c>
      <c r="J357" s="919">
        <v>0.51060000000000005</v>
      </c>
      <c r="K357" s="919">
        <v>0.51060000000000005</v>
      </c>
      <c r="L357" s="919">
        <v>0.51060000000000005</v>
      </c>
      <c r="M357" s="919">
        <v>0.51060000000000005</v>
      </c>
    </row>
    <row r="358" spans="1:13">
      <c r="A358" s="934">
        <v>5</v>
      </c>
      <c r="B358" s="919">
        <v>0.68030000000000002</v>
      </c>
      <c r="C358" s="919">
        <v>0.68030000000000002</v>
      </c>
      <c r="D358" s="919">
        <v>0.65439999999999998</v>
      </c>
      <c r="E358" s="919">
        <v>0.65439999999999998</v>
      </c>
      <c r="F358" s="919">
        <v>0.65439999999999998</v>
      </c>
      <c r="G358" s="919">
        <v>0.58379999999999999</v>
      </c>
      <c r="H358" s="919">
        <v>0.58379999999999999</v>
      </c>
      <c r="I358" s="919">
        <v>0.50839999999999996</v>
      </c>
      <c r="J358" s="919">
        <v>0.50839999999999996</v>
      </c>
      <c r="K358" s="919">
        <v>0.50839999999999996</v>
      </c>
      <c r="L358" s="919">
        <v>0.50839999999999996</v>
      </c>
      <c r="M358" s="919">
        <v>0.50839999999999996</v>
      </c>
    </row>
    <row r="359" spans="1:13">
      <c r="A359" s="910">
        <v>5.0999999999999996</v>
      </c>
      <c r="B359" s="919">
        <v>0.67889999999999995</v>
      </c>
      <c r="C359" s="919">
        <v>0.67889999999999995</v>
      </c>
      <c r="D359" s="919">
        <v>0.65229999999999999</v>
      </c>
      <c r="E359" s="919">
        <v>0.65229999999999999</v>
      </c>
      <c r="F359" s="919">
        <v>0.65229999999999999</v>
      </c>
      <c r="G359" s="919">
        <v>0.58160000000000001</v>
      </c>
      <c r="H359" s="919">
        <v>0.58160000000000001</v>
      </c>
      <c r="I359" s="919">
        <v>0.50629999999999997</v>
      </c>
      <c r="J359" s="919">
        <v>0.50629999999999997</v>
      </c>
      <c r="K359" s="919">
        <v>0.50629999999999997</v>
      </c>
      <c r="L359" s="919">
        <v>0.50629999999999997</v>
      </c>
      <c r="M359" s="919">
        <v>0.50629999999999997</v>
      </c>
    </row>
    <row r="360" spans="1:13">
      <c r="A360" s="910">
        <v>5.2</v>
      </c>
      <c r="B360" s="919">
        <v>0.67749999999999999</v>
      </c>
      <c r="C360" s="919">
        <v>0.67749999999999999</v>
      </c>
      <c r="D360" s="919">
        <v>0.65029999999999999</v>
      </c>
      <c r="E360" s="919">
        <v>0.65029999999999999</v>
      </c>
      <c r="F360" s="919">
        <v>0.65029999999999999</v>
      </c>
      <c r="G360" s="919">
        <v>0.57950000000000002</v>
      </c>
      <c r="H360" s="919">
        <v>0.57950000000000002</v>
      </c>
      <c r="I360" s="919">
        <v>0.50419999999999998</v>
      </c>
      <c r="J360" s="919">
        <v>0.50419999999999998</v>
      </c>
      <c r="K360" s="919">
        <v>0.50419999999999998</v>
      </c>
      <c r="L360" s="919">
        <v>0.50419999999999998</v>
      </c>
      <c r="M360" s="919">
        <v>0.50419999999999998</v>
      </c>
    </row>
    <row r="361" spans="1:13">
      <c r="A361" s="910">
        <v>5.3</v>
      </c>
      <c r="B361" s="919">
        <v>0.67620000000000002</v>
      </c>
      <c r="C361" s="919">
        <v>0.67620000000000002</v>
      </c>
      <c r="D361" s="919">
        <v>0.64839999999999998</v>
      </c>
      <c r="E361" s="919">
        <v>0.64839999999999998</v>
      </c>
      <c r="F361" s="919">
        <v>0.64839999999999998</v>
      </c>
      <c r="G361" s="919">
        <v>0.5776</v>
      </c>
      <c r="H361" s="919">
        <v>0.5776</v>
      </c>
      <c r="I361" s="919">
        <v>0.50229999999999997</v>
      </c>
      <c r="J361" s="919">
        <v>0.50229999999999997</v>
      </c>
      <c r="K361" s="919">
        <v>0.50229999999999997</v>
      </c>
      <c r="L361" s="919">
        <v>0.50229999999999997</v>
      </c>
      <c r="M361" s="919">
        <v>0.50229999999999997</v>
      </c>
    </row>
    <row r="362" spans="1:13">
      <c r="A362" s="910">
        <v>5.4</v>
      </c>
      <c r="B362" s="919">
        <v>0.67500000000000004</v>
      </c>
      <c r="C362" s="919">
        <v>0.67500000000000004</v>
      </c>
      <c r="D362" s="919">
        <v>0.64670000000000005</v>
      </c>
      <c r="E362" s="919">
        <v>0.64670000000000005</v>
      </c>
      <c r="F362" s="919">
        <v>0.64670000000000005</v>
      </c>
      <c r="G362" s="919">
        <v>0.57579999999999998</v>
      </c>
      <c r="H362" s="919">
        <v>0.57579999999999998</v>
      </c>
      <c r="I362" s="919">
        <v>0.50039999999999996</v>
      </c>
      <c r="J362" s="919">
        <v>0.50039999999999996</v>
      </c>
      <c r="K362" s="919">
        <v>0.50039999999999996</v>
      </c>
      <c r="L362" s="919">
        <v>0.50039999999999996</v>
      </c>
      <c r="M362" s="919">
        <v>0.50039999999999996</v>
      </c>
    </row>
    <row r="363" spans="1:13">
      <c r="A363" s="910">
        <v>5.5</v>
      </c>
      <c r="B363" s="919">
        <v>0.67379999999999995</v>
      </c>
      <c r="C363" s="919">
        <v>0.67379999999999995</v>
      </c>
      <c r="D363" s="919">
        <v>0.64500000000000002</v>
      </c>
      <c r="E363" s="919">
        <v>0.64500000000000002</v>
      </c>
      <c r="F363" s="919">
        <v>0.64500000000000002</v>
      </c>
      <c r="G363" s="919">
        <v>0.57399999999999995</v>
      </c>
      <c r="H363" s="919">
        <v>0.57399999999999995</v>
      </c>
      <c r="I363" s="919">
        <v>0.49869999999999998</v>
      </c>
      <c r="J363" s="919">
        <v>0.49869999999999998</v>
      </c>
      <c r="K363" s="919">
        <v>0.49869999999999998</v>
      </c>
      <c r="L363" s="919">
        <v>0.49869999999999998</v>
      </c>
      <c r="M363" s="919">
        <v>0.49869999999999998</v>
      </c>
    </row>
    <row r="364" spans="1:13">
      <c r="A364" s="910">
        <v>5.6</v>
      </c>
      <c r="B364" s="919">
        <v>0.67259999999999998</v>
      </c>
      <c r="C364" s="919">
        <v>0.67259999999999998</v>
      </c>
      <c r="D364" s="919">
        <v>0.64339999999999997</v>
      </c>
      <c r="E364" s="919">
        <v>0.64339999999999997</v>
      </c>
      <c r="F364" s="919">
        <v>0.64339999999999997</v>
      </c>
      <c r="G364" s="919">
        <v>0.57240000000000002</v>
      </c>
      <c r="H364" s="919">
        <v>0.57240000000000002</v>
      </c>
      <c r="I364" s="919">
        <v>0.49690000000000001</v>
      </c>
      <c r="J364" s="919">
        <v>0.49690000000000001</v>
      </c>
      <c r="K364" s="919">
        <v>0.49690000000000001</v>
      </c>
      <c r="L364" s="919">
        <v>0.49690000000000001</v>
      </c>
      <c r="M364" s="919">
        <v>0.49690000000000001</v>
      </c>
    </row>
    <row r="365" spans="1:13">
      <c r="A365" s="934">
        <v>5.7</v>
      </c>
      <c r="B365" s="919">
        <v>0.6714</v>
      </c>
      <c r="C365" s="919">
        <v>0.6714</v>
      </c>
      <c r="D365" s="919">
        <v>0.64190000000000003</v>
      </c>
      <c r="E365" s="919">
        <v>0.64190000000000003</v>
      </c>
      <c r="F365" s="919">
        <v>0.64190000000000003</v>
      </c>
      <c r="G365" s="919">
        <v>0.57069999999999999</v>
      </c>
      <c r="H365" s="919">
        <v>0.57069999999999999</v>
      </c>
      <c r="I365" s="919">
        <v>0.49519999999999997</v>
      </c>
      <c r="J365" s="919">
        <v>0.49519999999999997</v>
      </c>
      <c r="K365" s="919">
        <v>0.49519999999999997</v>
      </c>
      <c r="L365" s="919">
        <v>0.49519999999999997</v>
      </c>
      <c r="M365" s="919">
        <v>0.49519999999999997</v>
      </c>
    </row>
    <row r="366" spans="1:13">
      <c r="A366" s="910">
        <v>5.8</v>
      </c>
      <c r="B366" s="919">
        <v>0.67020000000000002</v>
      </c>
      <c r="C366" s="919">
        <v>0.67020000000000002</v>
      </c>
      <c r="D366" s="919">
        <v>0.64039999999999997</v>
      </c>
      <c r="E366" s="919">
        <v>0.64039999999999997</v>
      </c>
      <c r="F366" s="919">
        <v>0.64039999999999997</v>
      </c>
      <c r="G366" s="919">
        <v>0.56910000000000005</v>
      </c>
      <c r="H366" s="919">
        <v>0.56910000000000005</v>
      </c>
      <c r="I366" s="919">
        <v>0.49359999999999998</v>
      </c>
      <c r="J366" s="919">
        <v>0.49359999999999998</v>
      </c>
      <c r="K366" s="919">
        <v>0.49359999999999998</v>
      </c>
      <c r="L366" s="919">
        <v>0.49359999999999998</v>
      </c>
      <c r="M366" s="919">
        <v>0.49359999999999998</v>
      </c>
    </row>
    <row r="367" spans="1:13">
      <c r="A367" s="910">
        <v>5.9</v>
      </c>
      <c r="B367" s="919">
        <v>0.66910000000000003</v>
      </c>
      <c r="C367" s="919">
        <v>0.66910000000000003</v>
      </c>
      <c r="D367" s="919">
        <v>0.63890000000000002</v>
      </c>
      <c r="E367" s="919">
        <v>0.63890000000000002</v>
      </c>
      <c r="F367" s="919">
        <v>0.63890000000000002</v>
      </c>
      <c r="G367" s="919">
        <v>0.5675</v>
      </c>
      <c r="H367" s="919">
        <v>0.5675</v>
      </c>
      <c r="I367" s="919">
        <v>0.4919</v>
      </c>
      <c r="J367" s="919">
        <v>0.4919</v>
      </c>
      <c r="K367" s="919">
        <v>0.4919</v>
      </c>
      <c r="L367" s="919">
        <v>0.4919</v>
      </c>
      <c r="M367" s="919">
        <v>0.4919</v>
      </c>
    </row>
    <row r="368" spans="1:13">
      <c r="A368" s="910">
        <v>6</v>
      </c>
      <c r="B368" s="919">
        <v>0.66800000000000004</v>
      </c>
      <c r="C368" s="919">
        <v>0.66800000000000004</v>
      </c>
      <c r="D368" s="919">
        <v>0.63739999999999997</v>
      </c>
      <c r="E368" s="919">
        <v>0.63739999999999997</v>
      </c>
      <c r="F368" s="919">
        <v>0.63739999999999997</v>
      </c>
      <c r="G368" s="919">
        <v>0.56589999999999996</v>
      </c>
      <c r="H368" s="919">
        <v>0.56589999999999996</v>
      </c>
      <c r="I368" s="919">
        <v>0.49020000000000002</v>
      </c>
      <c r="J368" s="919">
        <v>0.49020000000000002</v>
      </c>
      <c r="K368" s="919">
        <v>0.49020000000000002</v>
      </c>
      <c r="L368" s="919">
        <v>0.49020000000000002</v>
      </c>
      <c r="M368" s="919">
        <v>0.49020000000000002</v>
      </c>
    </row>
    <row r="369" spans="1:13">
      <c r="A369" s="910">
        <v>6.1</v>
      </c>
      <c r="B369" s="919">
        <v>0.66690000000000005</v>
      </c>
      <c r="C369" s="919">
        <v>0.66690000000000005</v>
      </c>
      <c r="D369" s="919">
        <v>0.63590000000000002</v>
      </c>
      <c r="E369" s="919">
        <v>0.63590000000000002</v>
      </c>
      <c r="F369" s="919">
        <v>0.63590000000000002</v>
      </c>
      <c r="G369" s="919">
        <v>0.56440000000000001</v>
      </c>
      <c r="H369" s="919">
        <v>0.56440000000000001</v>
      </c>
      <c r="I369" s="919">
        <v>0.48849999999999999</v>
      </c>
      <c r="J369" s="919">
        <v>0.48849999999999999</v>
      </c>
      <c r="K369" s="919">
        <v>0.48849999999999999</v>
      </c>
      <c r="L369" s="919">
        <v>0.48849999999999999</v>
      </c>
      <c r="M369" s="919">
        <v>0.48849999999999999</v>
      </c>
    </row>
    <row r="370" spans="1:13">
      <c r="A370" s="910">
        <v>6.2</v>
      </c>
      <c r="B370" s="919">
        <v>0.66579999999999995</v>
      </c>
      <c r="C370" s="919">
        <v>0.66579999999999995</v>
      </c>
      <c r="D370" s="919">
        <v>0.63439999999999996</v>
      </c>
      <c r="E370" s="919">
        <v>0.63439999999999996</v>
      </c>
      <c r="F370" s="919">
        <v>0.63439999999999996</v>
      </c>
      <c r="G370" s="919">
        <v>0.56289999999999996</v>
      </c>
      <c r="H370" s="919">
        <v>0.56289999999999996</v>
      </c>
      <c r="I370" s="919">
        <v>0.48680000000000001</v>
      </c>
      <c r="J370" s="919">
        <v>0.48680000000000001</v>
      </c>
      <c r="K370" s="919">
        <v>0.48680000000000001</v>
      </c>
      <c r="L370" s="919">
        <v>0.48680000000000001</v>
      </c>
      <c r="M370" s="919">
        <v>0.48680000000000001</v>
      </c>
    </row>
    <row r="371" spans="1:13">
      <c r="A371" s="910">
        <v>6.3</v>
      </c>
      <c r="B371" s="919">
        <v>0.66469999999999996</v>
      </c>
      <c r="C371" s="919">
        <v>0.66469999999999996</v>
      </c>
      <c r="D371" s="919">
        <v>0.63290000000000002</v>
      </c>
      <c r="E371" s="919">
        <v>0.63290000000000002</v>
      </c>
      <c r="F371" s="919">
        <v>0.63290000000000002</v>
      </c>
      <c r="G371" s="919">
        <v>0.56130000000000002</v>
      </c>
      <c r="H371" s="919">
        <v>0.56130000000000002</v>
      </c>
      <c r="I371" s="919">
        <v>0.48509999999999998</v>
      </c>
      <c r="J371" s="919">
        <v>0.48509999999999998</v>
      </c>
      <c r="K371" s="919">
        <v>0.48509999999999998</v>
      </c>
      <c r="L371" s="919">
        <v>0.48509999999999998</v>
      </c>
      <c r="M371" s="919">
        <v>0.48509999999999998</v>
      </c>
    </row>
    <row r="372" spans="1:13">
      <c r="A372" s="910">
        <v>6.4</v>
      </c>
      <c r="B372" s="919">
        <v>0.66359999999999997</v>
      </c>
      <c r="C372" s="919">
        <v>0.66359999999999997</v>
      </c>
      <c r="D372" s="919">
        <v>0.63139999999999996</v>
      </c>
      <c r="E372" s="919">
        <v>0.63139999999999996</v>
      </c>
      <c r="F372" s="919">
        <v>0.63139999999999996</v>
      </c>
      <c r="G372" s="919">
        <v>0.55979999999999996</v>
      </c>
      <c r="H372" s="919">
        <v>0.55979999999999996</v>
      </c>
      <c r="I372" s="919">
        <v>0.48349999999999999</v>
      </c>
      <c r="J372" s="919">
        <v>0.48349999999999999</v>
      </c>
      <c r="K372" s="919">
        <v>0.48349999999999999</v>
      </c>
      <c r="L372" s="919">
        <v>0.48349999999999999</v>
      </c>
      <c r="M372" s="919">
        <v>0.48349999999999999</v>
      </c>
    </row>
    <row r="373" spans="1:13">
      <c r="A373" s="910">
        <v>6.5</v>
      </c>
      <c r="B373" s="919">
        <v>0.66249999999999998</v>
      </c>
      <c r="C373" s="919">
        <v>0.66249999999999998</v>
      </c>
      <c r="D373" s="919">
        <v>0.63</v>
      </c>
      <c r="E373" s="919">
        <v>0.63</v>
      </c>
      <c r="F373" s="919">
        <v>0.63</v>
      </c>
      <c r="G373" s="919">
        <v>0.55820000000000003</v>
      </c>
      <c r="H373" s="919">
        <v>0.55820000000000003</v>
      </c>
      <c r="I373" s="919">
        <v>0.4819</v>
      </c>
      <c r="J373" s="919">
        <v>0.4819</v>
      </c>
      <c r="K373" s="919">
        <v>0.4819</v>
      </c>
      <c r="L373" s="919">
        <v>0.4819</v>
      </c>
      <c r="M373" s="919">
        <v>0.4819</v>
      </c>
    </row>
    <row r="374" spans="1:13">
      <c r="A374" s="910">
        <v>6.6</v>
      </c>
      <c r="B374" s="919">
        <v>0.66149999999999998</v>
      </c>
      <c r="C374" s="919">
        <v>0.66149999999999998</v>
      </c>
      <c r="D374" s="919">
        <v>0.62860000000000005</v>
      </c>
      <c r="E374" s="919">
        <v>0.62860000000000005</v>
      </c>
      <c r="F374" s="919">
        <v>0.62860000000000005</v>
      </c>
      <c r="G374" s="919">
        <v>0.55669999999999997</v>
      </c>
      <c r="H374" s="919">
        <v>0.55669999999999997</v>
      </c>
      <c r="I374" s="919">
        <v>0.4803</v>
      </c>
      <c r="J374" s="919">
        <v>0.4803</v>
      </c>
      <c r="K374" s="919">
        <v>0.4803</v>
      </c>
      <c r="L374" s="919">
        <v>0.4803</v>
      </c>
      <c r="M374" s="919">
        <v>0.4803</v>
      </c>
    </row>
    <row r="375" spans="1:13">
      <c r="A375" s="910">
        <v>6.7</v>
      </c>
      <c r="B375" s="919">
        <v>0.66049999999999998</v>
      </c>
      <c r="C375" s="919">
        <v>0.66049999999999998</v>
      </c>
      <c r="D375" s="919">
        <v>0.62719999999999998</v>
      </c>
      <c r="E375" s="919">
        <v>0.62719999999999998</v>
      </c>
      <c r="F375" s="919">
        <v>0.62719999999999998</v>
      </c>
      <c r="G375" s="919">
        <v>0.55520000000000003</v>
      </c>
      <c r="H375" s="919">
        <v>0.55520000000000003</v>
      </c>
      <c r="I375" s="919">
        <v>0.47870000000000001</v>
      </c>
      <c r="J375" s="919">
        <v>0.47870000000000001</v>
      </c>
      <c r="K375" s="919">
        <v>0.47870000000000001</v>
      </c>
      <c r="L375" s="919">
        <v>0.47870000000000001</v>
      </c>
      <c r="M375" s="919">
        <v>0.47870000000000001</v>
      </c>
    </row>
    <row r="376" spans="1:13">
      <c r="A376" s="910">
        <v>6.8</v>
      </c>
      <c r="B376" s="919">
        <v>0.65949999999999998</v>
      </c>
      <c r="C376" s="919">
        <v>0.65949999999999998</v>
      </c>
      <c r="D376" s="919">
        <v>0.62580000000000002</v>
      </c>
      <c r="E376" s="919">
        <v>0.62580000000000002</v>
      </c>
      <c r="F376" s="919">
        <v>0.62580000000000002</v>
      </c>
      <c r="G376" s="919">
        <v>0.55359999999999998</v>
      </c>
      <c r="H376" s="919">
        <v>0.55359999999999998</v>
      </c>
      <c r="I376" s="919">
        <v>0.47710000000000002</v>
      </c>
      <c r="J376" s="919">
        <v>0.47710000000000002</v>
      </c>
      <c r="K376" s="919">
        <v>0.47710000000000002</v>
      </c>
      <c r="L376" s="919">
        <v>0.47710000000000002</v>
      </c>
      <c r="M376" s="919">
        <v>0.47710000000000002</v>
      </c>
    </row>
    <row r="377" spans="1:13">
      <c r="A377" s="910">
        <v>6.9</v>
      </c>
      <c r="B377" s="919">
        <v>0.65849999999999997</v>
      </c>
      <c r="C377" s="919">
        <v>0.65849999999999997</v>
      </c>
      <c r="D377" s="919">
        <v>0.62439999999999996</v>
      </c>
      <c r="E377" s="919">
        <v>0.62439999999999996</v>
      </c>
      <c r="F377" s="919">
        <v>0.62439999999999996</v>
      </c>
      <c r="G377" s="919">
        <v>0.55220000000000002</v>
      </c>
      <c r="H377" s="919">
        <v>0.55220000000000002</v>
      </c>
      <c r="I377" s="919">
        <v>0.47549999999999998</v>
      </c>
      <c r="J377" s="919">
        <v>0.47549999999999998</v>
      </c>
      <c r="K377" s="919">
        <v>0.47549999999999998</v>
      </c>
      <c r="L377" s="919">
        <v>0.47549999999999998</v>
      </c>
      <c r="M377" s="919">
        <v>0.47549999999999998</v>
      </c>
    </row>
    <row r="378" spans="1:13">
      <c r="A378" s="910">
        <v>7</v>
      </c>
      <c r="B378" s="919">
        <v>0.65749999999999997</v>
      </c>
      <c r="C378" s="919">
        <v>0.65749999999999997</v>
      </c>
      <c r="D378" s="919">
        <v>0.623</v>
      </c>
      <c r="E378" s="919">
        <v>0.623</v>
      </c>
      <c r="F378" s="919">
        <v>0.623</v>
      </c>
      <c r="G378" s="919">
        <v>0.55069999999999997</v>
      </c>
      <c r="H378" s="919">
        <v>0.55069999999999997</v>
      </c>
      <c r="I378" s="919">
        <v>0.47389999999999999</v>
      </c>
      <c r="J378" s="919">
        <v>0.47389999999999999</v>
      </c>
      <c r="K378" s="919">
        <v>0.47389999999999999</v>
      </c>
      <c r="L378" s="919">
        <v>0.47389999999999999</v>
      </c>
      <c r="M378" s="919">
        <v>0.47389999999999999</v>
      </c>
    </row>
    <row r="379" spans="1:13">
      <c r="A379" s="910">
        <v>7.1</v>
      </c>
      <c r="B379" s="919">
        <v>0.65649999999999997</v>
      </c>
      <c r="C379" s="919">
        <v>0.65649999999999997</v>
      </c>
      <c r="D379" s="919">
        <v>0.62160000000000004</v>
      </c>
      <c r="E379" s="919">
        <v>0.62160000000000004</v>
      </c>
      <c r="F379" s="919">
        <v>0.62160000000000004</v>
      </c>
      <c r="G379" s="919">
        <v>0.54930000000000001</v>
      </c>
      <c r="H379" s="919">
        <v>0.54930000000000001</v>
      </c>
      <c r="I379" s="919">
        <v>0.47239999999999999</v>
      </c>
      <c r="J379" s="919">
        <v>0.47239999999999999</v>
      </c>
      <c r="K379" s="919">
        <v>0.47239999999999999</v>
      </c>
      <c r="L379" s="919">
        <v>0.47239999999999999</v>
      </c>
      <c r="M379" s="919">
        <v>0.47239999999999999</v>
      </c>
    </row>
    <row r="380" spans="1:13">
      <c r="A380" s="910">
        <v>7.2</v>
      </c>
      <c r="B380" s="919">
        <v>0.65549999999999997</v>
      </c>
      <c r="C380" s="919">
        <v>0.65549999999999997</v>
      </c>
      <c r="D380" s="919">
        <v>0.62019999999999997</v>
      </c>
      <c r="E380" s="919">
        <v>0.62019999999999997</v>
      </c>
      <c r="F380" s="919">
        <v>0.62019999999999997</v>
      </c>
      <c r="G380" s="919">
        <v>0.54779999999999995</v>
      </c>
      <c r="H380" s="919">
        <v>0.54779999999999995</v>
      </c>
      <c r="I380" s="919">
        <v>0.47089999999999999</v>
      </c>
      <c r="J380" s="919">
        <v>0.47089999999999999</v>
      </c>
      <c r="K380" s="919">
        <v>0.47089999999999999</v>
      </c>
      <c r="L380" s="919">
        <v>0.47089999999999999</v>
      </c>
      <c r="M380" s="919">
        <v>0.47089999999999999</v>
      </c>
    </row>
    <row r="381" spans="1:13">
      <c r="A381" s="910">
        <v>7.3</v>
      </c>
      <c r="B381" s="919">
        <v>0.65449999999999997</v>
      </c>
      <c r="C381" s="919">
        <v>0.65449999999999997</v>
      </c>
      <c r="D381" s="919">
        <v>0.61880000000000002</v>
      </c>
      <c r="E381" s="919">
        <v>0.61880000000000002</v>
      </c>
      <c r="F381" s="919">
        <v>0.61880000000000002</v>
      </c>
      <c r="G381" s="919">
        <v>0.5464</v>
      </c>
      <c r="H381" s="919">
        <v>0.5464</v>
      </c>
      <c r="I381" s="919">
        <v>0.46939999999999998</v>
      </c>
      <c r="J381" s="919">
        <v>0.46939999999999998</v>
      </c>
      <c r="K381" s="919">
        <v>0.46939999999999998</v>
      </c>
      <c r="L381" s="919">
        <v>0.46939999999999998</v>
      </c>
      <c r="M381" s="919">
        <v>0.46939999999999998</v>
      </c>
    </row>
    <row r="382" spans="1:13">
      <c r="A382" s="910">
        <v>7.4</v>
      </c>
      <c r="B382" s="919">
        <v>0.65349999999999997</v>
      </c>
      <c r="C382" s="919">
        <v>0.65349999999999997</v>
      </c>
      <c r="D382" s="919">
        <v>0.61750000000000005</v>
      </c>
      <c r="E382" s="919">
        <v>0.61750000000000005</v>
      </c>
      <c r="F382" s="919">
        <v>0.61750000000000005</v>
      </c>
      <c r="G382" s="919">
        <v>0.54490000000000005</v>
      </c>
      <c r="H382" s="919">
        <v>0.54490000000000005</v>
      </c>
      <c r="I382" s="919">
        <v>0.46779999999999999</v>
      </c>
      <c r="J382" s="919">
        <v>0.46779999999999999</v>
      </c>
      <c r="K382" s="919">
        <v>0.46779999999999999</v>
      </c>
      <c r="L382" s="919">
        <v>0.46779999999999999</v>
      </c>
      <c r="M382" s="919">
        <v>0.46779999999999999</v>
      </c>
    </row>
    <row r="383" spans="1:13">
      <c r="A383" s="910">
        <v>7.5</v>
      </c>
      <c r="B383" s="919">
        <v>0.65249999999999997</v>
      </c>
      <c r="C383" s="919">
        <v>0.65249999999999997</v>
      </c>
      <c r="D383" s="919">
        <v>0.61619999999999997</v>
      </c>
      <c r="E383" s="919">
        <v>0.61619999999999997</v>
      </c>
      <c r="F383" s="919">
        <v>0.61619999999999997</v>
      </c>
      <c r="G383" s="919">
        <v>0.54349999999999998</v>
      </c>
      <c r="H383" s="919">
        <v>0.54349999999999998</v>
      </c>
      <c r="I383" s="919">
        <v>0.46629999999999999</v>
      </c>
      <c r="J383" s="919">
        <v>0.46629999999999999</v>
      </c>
      <c r="K383" s="919">
        <v>0.46629999999999999</v>
      </c>
      <c r="L383" s="919">
        <v>0.46629999999999999</v>
      </c>
      <c r="M383" s="919">
        <v>0.46629999999999999</v>
      </c>
    </row>
    <row r="384" spans="1:13">
      <c r="A384" s="910">
        <v>7.6</v>
      </c>
      <c r="B384" s="919">
        <v>0.65149999999999997</v>
      </c>
      <c r="C384" s="919">
        <v>0.65149999999999997</v>
      </c>
      <c r="D384" s="919">
        <v>0.6149</v>
      </c>
      <c r="E384" s="919">
        <v>0.6149</v>
      </c>
      <c r="F384" s="919">
        <v>0.6149</v>
      </c>
      <c r="G384" s="919">
        <v>0.54200000000000004</v>
      </c>
      <c r="H384" s="919">
        <v>0.54200000000000004</v>
      </c>
      <c r="I384" s="919">
        <v>0.46479999999999999</v>
      </c>
      <c r="J384" s="919">
        <v>0.46479999999999999</v>
      </c>
      <c r="K384" s="919">
        <v>0.46479999999999999</v>
      </c>
      <c r="L384" s="919">
        <v>0.46479999999999999</v>
      </c>
      <c r="M384" s="919">
        <v>0.46479999999999999</v>
      </c>
    </row>
    <row r="385" spans="1:13">
      <c r="A385" s="910">
        <v>7.7</v>
      </c>
      <c r="B385" s="919">
        <v>0.65049999999999997</v>
      </c>
      <c r="C385" s="919">
        <v>0.65049999999999997</v>
      </c>
      <c r="D385" s="919">
        <v>0.61360000000000003</v>
      </c>
      <c r="E385" s="919">
        <v>0.61360000000000003</v>
      </c>
      <c r="F385" s="919">
        <v>0.61360000000000003</v>
      </c>
      <c r="G385" s="919">
        <v>0.54059999999999997</v>
      </c>
      <c r="H385" s="919">
        <v>0.54059999999999997</v>
      </c>
      <c r="I385" s="919">
        <v>0.46329999999999999</v>
      </c>
      <c r="J385" s="919">
        <v>0.46329999999999999</v>
      </c>
      <c r="K385" s="919">
        <v>0.46329999999999999</v>
      </c>
      <c r="L385" s="919">
        <v>0.46329999999999999</v>
      </c>
      <c r="M385" s="919">
        <v>0.46329999999999999</v>
      </c>
    </row>
    <row r="386" spans="1:13">
      <c r="A386" s="910">
        <v>7.8</v>
      </c>
      <c r="B386" s="919">
        <v>0.64949999999999997</v>
      </c>
      <c r="C386" s="919">
        <v>0.64949999999999997</v>
      </c>
      <c r="D386" s="919">
        <v>0.61229999999999996</v>
      </c>
      <c r="E386" s="919">
        <v>0.61229999999999996</v>
      </c>
      <c r="F386" s="919">
        <v>0.61229999999999996</v>
      </c>
      <c r="G386" s="919">
        <v>0.53910000000000002</v>
      </c>
      <c r="H386" s="919">
        <v>0.53910000000000002</v>
      </c>
      <c r="I386" s="919">
        <v>0.4617</v>
      </c>
      <c r="J386" s="919">
        <v>0.4617</v>
      </c>
      <c r="K386" s="919">
        <v>0.4617</v>
      </c>
      <c r="L386" s="919">
        <v>0.4617</v>
      </c>
      <c r="M386" s="919">
        <v>0.4617</v>
      </c>
    </row>
    <row r="387" spans="1:13">
      <c r="A387" s="910">
        <v>7.9</v>
      </c>
      <c r="B387" s="919">
        <v>0.64849999999999997</v>
      </c>
      <c r="C387" s="919">
        <v>0.64849999999999997</v>
      </c>
      <c r="D387" s="919">
        <v>0.61099999999999999</v>
      </c>
      <c r="E387" s="919">
        <v>0.61099999999999999</v>
      </c>
      <c r="F387" s="919">
        <v>0.61099999999999999</v>
      </c>
      <c r="G387" s="919">
        <v>0.53769999999999996</v>
      </c>
      <c r="H387" s="919">
        <v>0.53769999999999996</v>
      </c>
      <c r="I387" s="919">
        <v>0.4602</v>
      </c>
      <c r="J387" s="919">
        <v>0.4602</v>
      </c>
      <c r="K387" s="919">
        <v>0.4602</v>
      </c>
      <c r="L387" s="919">
        <v>0.4602</v>
      </c>
      <c r="M387" s="919">
        <v>0.4602</v>
      </c>
    </row>
    <row r="388" spans="1:13">
      <c r="A388" s="910">
        <v>8</v>
      </c>
      <c r="B388" s="919">
        <v>0.64749999999999996</v>
      </c>
      <c r="C388" s="919">
        <v>0.64749999999999996</v>
      </c>
      <c r="D388" s="919">
        <v>0.60970000000000002</v>
      </c>
      <c r="E388" s="919">
        <v>0.60970000000000002</v>
      </c>
      <c r="F388" s="919">
        <v>0.60970000000000002</v>
      </c>
      <c r="G388" s="919">
        <v>0.53620000000000001</v>
      </c>
      <c r="H388" s="919">
        <v>0.53620000000000001</v>
      </c>
      <c r="I388" s="919">
        <v>0.4587</v>
      </c>
      <c r="J388" s="919">
        <v>0.4587</v>
      </c>
      <c r="K388" s="919">
        <v>0.4587</v>
      </c>
      <c r="L388" s="919">
        <v>0.4587</v>
      </c>
      <c r="M388" s="919">
        <v>0.4587</v>
      </c>
    </row>
    <row r="389" spans="1:13">
      <c r="A389" s="910">
        <v>8.1</v>
      </c>
      <c r="B389" s="919">
        <v>0.64649999999999996</v>
      </c>
      <c r="C389" s="919">
        <v>0.64649999999999996</v>
      </c>
      <c r="D389" s="919">
        <v>0.60840000000000005</v>
      </c>
      <c r="E389" s="919">
        <v>0.60840000000000005</v>
      </c>
      <c r="F389" s="919">
        <v>0.60840000000000005</v>
      </c>
      <c r="G389" s="919">
        <v>0.53480000000000005</v>
      </c>
      <c r="H389" s="919">
        <v>0.53480000000000005</v>
      </c>
      <c r="I389" s="919">
        <v>0.4572</v>
      </c>
      <c r="J389" s="919">
        <v>0.4572</v>
      </c>
      <c r="K389" s="919">
        <v>0.4572</v>
      </c>
      <c r="L389" s="919">
        <v>0.4572</v>
      </c>
      <c r="M389" s="919">
        <v>0.4572</v>
      </c>
    </row>
    <row r="390" spans="1:13">
      <c r="A390" s="910">
        <v>8.1999999999999993</v>
      </c>
      <c r="B390" s="919">
        <v>0.64549999999999996</v>
      </c>
      <c r="C390" s="919">
        <v>0.64549999999999996</v>
      </c>
      <c r="D390" s="919">
        <v>0.60709999999999997</v>
      </c>
      <c r="E390" s="919">
        <v>0.60709999999999997</v>
      </c>
      <c r="F390" s="919">
        <v>0.60709999999999997</v>
      </c>
      <c r="G390" s="919">
        <v>0.5333</v>
      </c>
      <c r="H390" s="919">
        <v>0.5333</v>
      </c>
      <c r="I390" s="919">
        <v>0.45569999999999999</v>
      </c>
      <c r="J390" s="919">
        <v>0.45569999999999999</v>
      </c>
      <c r="K390" s="919">
        <v>0.45569999999999999</v>
      </c>
      <c r="L390" s="919">
        <v>0.45569999999999999</v>
      </c>
      <c r="M390" s="919">
        <v>0.45569999999999999</v>
      </c>
    </row>
    <row r="391" spans="1:13">
      <c r="A391" s="910">
        <v>8.3000000000000007</v>
      </c>
      <c r="B391" s="919">
        <v>0.64449999999999996</v>
      </c>
      <c r="C391" s="919">
        <v>0.64449999999999996</v>
      </c>
      <c r="D391" s="919">
        <v>0.60580000000000001</v>
      </c>
      <c r="E391" s="919">
        <v>0.60580000000000001</v>
      </c>
      <c r="F391" s="919">
        <v>0.60580000000000001</v>
      </c>
      <c r="G391" s="919">
        <v>0.53190000000000004</v>
      </c>
      <c r="H391" s="919">
        <v>0.53190000000000004</v>
      </c>
      <c r="I391" s="919">
        <v>0.45429999999999998</v>
      </c>
      <c r="J391" s="919">
        <v>0.45429999999999998</v>
      </c>
      <c r="K391" s="919">
        <v>0.45429999999999998</v>
      </c>
      <c r="L391" s="919">
        <v>0.45429999999999998</v>
      </c>
      <c r="M391" s="919">
        <v>0.45429999999999998</v>
      </c>
    </row>
    <row r="392" spans="1:13">
      <c r="A392" s="910">
        <v>8.4</v>
      </c>
      <c r="B392" s="919">
        <v>0.64349999999999996</v>
      </c>
      <c r="C392" s="919">
        <v>0.64349999999999996</v>
      </c>
      <c r="D392" s="919">
        <v>0.60450000000000004</v>
      </c>
      <c r="E392" s="919">
        <v>0.60450000000000004</v>
      </c>
      <c r="F392" s="919">
        <v>0.60450000000000004</v>
      </c>
      <c r="G392" s="919">
        <v>0.53039999999999998</v>
      </c>
      <c r="H392" s="919">
        <v>0.53039999999999998</v>
      </c>
      <c r="I392" s="919">
        <v>0.45290000000000002</v>
      </c>
      <c r="J392" s="919">
        <v>0.45290000000000002</v>
      </c>
      <c r="K392" s="919">
        <v>0.45290000000000002</v>
      </c>
      <c r="L392" s="919">
        <v>0.45290000000000002</v>
      </c>
      <c r="M392" s="919">
        <v>0.45290000000000002</v>
      </c>
    </row>
    <row r="393" spans="1:13">
      <c r="A393" s="910">
        <v>8.5</v>
      </c>
      <c r="B393" s="919">
        <v>0.64249999999999996</v>
      </c>
      <c r="C393" s="919">
        <v>0.64249999999999996</v>
      </c>
      <c r="D393" s="919">
        <v>0.60319999999999996</v>
      </c>
      <c r="E393" s="919">
        <v>0.60319999999999996</v>
      </c>
      <c r="F393" s="919">
        <v>0.60319999999999996</v>
      </c>
      <c r="G393" s="919">
        <v>0.52900000000000003</v>
      </c>
      <c r="H393" s="919">
        <v>0.52900000000000003</v>
      </c>
      <c r="I393" s="919">
        <v>0.45140000000000002</v>
      </c>
      <c r="J393" s="919">
        <v>0.45140000000000002</v>
      </c>
      <c r="K393" s="919">
        <v>0.45140000000000002</v>
      </c>
      <c r="L393" s="919">
        <v>0.45140000000000002</v>
      </c>
      <c r="M393" s="919">
        <v>0.45140000000000002</v>
      </c>
    </row>
    <row r="394" spans="1:13">
      <c r="A394" s="910">
        <v>8.6</v>
      </c>
      <c r="B394" s="919">
        <v>0.64149999999999996</v>
      </c>
      <c r="C394" s="919">
        <v>0.64149999999999996</v>
      </c>
      <c r="D394" s="919">
        <v>0.60189999999999999</v>
      </c>
      <c r="E394" s="919">
        <v>0.60189999999999999</v>
      </c>
      <c r="F394" s="919">
        <v>0.60189999999999999</v>
      </c>
      <c r="G394" s="919">
        <v>0.52749999999999997</v>
      </c>
      <c r="H394" s="919">
        <v>0.52749999999999997</v>
      </c>
      <c r="I394" s="919">
        <v>0.45</v>
      </c>
      <c r="J394" s="919">
        <v>0.45</v>
      </c>
      <c r="K394" s="919">
        <v>0.45</v>
      </c>
      <c r="L394" s="919">
        <v>0.45</v>
      </c>
      <c r="M394" s="919">
        <v>0.45</v>
      </c>
    </row>
    <row r="395" spans="1:13">
      <c r="A395" s="910">
        <v>8.6999999999999993</v>
      </c>
      <c r="B395" s="919">
        <v>0.64049999999999996</v>
      </c>
      <c r="C395" s="919">
        <v>0.64049999999999996</v>
      </c>
      <c r="D395" s="919">
        <v>0.60060000000000002</v>
      </c>
      <c r="E395" s="919">
        <v>0.60060000000000002</v>
      </c>
      <c r="F395" s="919">
        <v>0.60060000000000002</v>
      </c>
      <c r="G395" s="919">
        <v>0.52610000000000001</v>
      </c>
      <c r="H395" s="919">
        <v>0.52610000000000001</v>
      </c>
      <c r="I395" s="919">
        <v>0.44850000000000001</v>
      </c>
      <c r="J395" s="919">
        <v>0.44850000000000001</v>
      </c>
      <c r="K395" s="919">
        <v>0.44850000000000001</v>
      </c>
      <c r="L395" s="919">
        <v>0.44850000000000001</v>
      </c>
      <c r="M395" s="919">
        <v>0.44850000000000001</v>
      </c>
    </row>
    <row r="396" spans="1:13">
      <c r="A396" s="910">
        <v>8.8000000000000007</v>
      </c>
      <c r="B396" s="919">
        <v>0.63949999999999996</v>
      </c>
      <c r="C396" s="919">
        <v>0.63949999999999996</v>
      </c>
      <c r="D396" s="919">
        <v>0.59930000000000005</v>
      </c>
      <c r="E396" s="919">
        <v>0.59930000000000005</v>
      </c>
      <c r="F396" s="919">
        <v>0.59930000000000005</v>
      </c>
      <c r="G396" s="919">
        <v>0.52459999999999996</v>
      </c>
      <c r="H396" s="919">
        <v>0.52459999999999996</v>
      </c>
      <c r="I396" s="919">
        <v>0.4471</v>
      </c>
      <c r="J396" s="919">
        <v>0.4471</v>
      </c>
      <c r="K396" s="919">
        <v>0.4471</v>
      </c>
      <c r="L396" s="919">
        <v>0.4471</v>
      </c>
      <c r="M396" s="919">
        <v>0.4471</v>
      </c>
    </row>
    <row r="397" spans="1:13">
      <c r="A397" s="910">
        <v>8.9</v>
      </c>
      <c r="B397" s="919">
        <v>0.63849999999999996</v>
      </c>
      <c r="C397" s="919">
        <v>0.63849999999999996</v>
      </c>
      <c r="D397" s="919">
        <v>0.59799999999999998</v>
      </c>
      <c r="E397" s="919">
        <v>0.59799999999999998</v>
      </c>
      <c r="F397" s="919">
        <v>0.59799999999999998</v>
      </c>
      <c r="G397" s="919">
        <v>0.5232</v>
      </c>
      <c r="H397" s="919">
        <v>0.5232</v>
      </c>
      <c r="I397" s="919">
        <v>0.4456</v>
      </c>
      <c r="J397" s="919">
        <v>0.4456</v>
      </c>
      <c r="K397" s="919">
        <v>0.4456</v>
      </c>
      <c r="L397" s="919">
        <v>0.4456</v>
      </c>
      <c r="M397" s="919">
        <v>0.4456</v>
      </c>
    </row>
    <row r="398" spans="1:13">
      <c r="A398" s="934">
        <v>9</v>
      </c>
      <c r="B398" s="919">
        <v>0.63749999999999996</v>
      </c>
      <c r="C398" s="919">
        <v>0.63749999999999996</v>
      </c>
      <c r="D398" s="919">
        <v>0.59670000000000001</v>
      </c>
      <c r="E398" s="919">
        <v>0.59670000000000001</v>
      </c>
      <c r="F398" s="919">
        <v>0.59670000000000001</v>
      </c>
      <c r="G398" s="919">
        <v>0.52170000000000005</v>
      </c>
      <c r="H398" s="919">
        <v>0.52170000000000005</v>
      </c>
      <c r="I398" s="919">
        <v>0.44429999999999997</v>
      </c>
      <c r="J398" s="919">
        <v>0.44429999999999997</v>
      </c>
      <c r="K398" s="919">
        <v>0.44429999999999997</v>
      </c>
      <c r="L398" s="919">
        <v>0.44429999999999997</v>
      </c>
      <c r="M398" s="919">
        <v>0.44429999999999997</v>
      </c>
    </row>
    <row r="399" spans="1:13">
      <c r="A399" s="934">
        <v>9.1</v>
      </c>
      <c r="B399" s="919">
        <v>0.63649999999999995</v>
      </c>
      <c r="C399" s="919">
        <v>0.63649999999999995</v>
      </c>
      <c r="D399" s="919">
        <v>0.59540000000000004</v>
      </c>
      <c r="E399" s="919">
        <v>0.59540000000000004</v>
      </c>
      <c r="F399" s="919">
        <v>0.59540000000000004</v>
      </c>
      <c r="G399" s="919">
        <v>0.52029999999999998</v>
      </c>
      <c r="H399" s="919">
        <v>0.52029999999999998</v>
      </c>
      <c r="I399" s="919">
        <v>0.44290000000000002</v>
      </c>
      <c r="J399" s="919">
        <v>0.44290000000000002</v>
      </c>
      <c r="K399" s="919">
        <v>0.44290000000000002</v>
      </c>
      <c r="L399" s="919">
        <v>0.44290000000000002</v>
      </c>
      <c r="M399" s="919">
        <v>0.44290000000000002</v>
      </c>
    </row>
    <row r="400" spans="1:13">
      <c r="A400" s="934">
        <v>9.1999999999999993</v>
      </c>
      <c r="B400" s="919">
        <v>0.63549999999999995</v>
      </c>
      <c r="C400" s="919">
        <v>0.63549999999999995</v>
      </c>
      <c r="D400" s="919">
        <v>0.59409999999999996</v>
      </c>
      <c r="E400" s="919">
        <v>0.59409999999999996</v>
      </c>
      <c r="F400" s="919">
        <v>0.59409999999999996</v>
      </c>
      <c r="G400" s="919">
        <v>0.51880000000000004</v>
      </c>
      <c r="H400" s="919">
        <v>0.51880000000000004</v>
      </c>
      <c r="I400" s="919">
        <v>0.44159999999999999</v>
      </c>
      <c r="J400" s="919">
        <v>0.44159999999999999</v>
      </c>
      <c r="K400" s="919">
        <v>0.44159999999999999</v>
      </c>
      <c r="L400" s="919">
        <v>0.44159999999999999</v>
      </c>
      <c r="M400" s="919">
        <v>0.44159999999999999</v>
      </c>
    </row>
    <row r="401" spans="1:13">
      <c r="A401" s="934">
        <v>9.3000000000000007</v>
      </c>
      <c r="B401" s="919">
        <v>0.63449999999999995</v>
      </c>
      <c r="C401" s="919">
        <v>0.63449999999999995</v>
      </c>
      <c r="D401" s="919">
        <v>0.59279999999999999</v>
      </c>
      <c r="E401" s="919">
        <v>0.59279999999999999</v>
      </c>
      <c r="F401" s="919">
        <v>0.59279999999999999</v>
      </c>
      <c r="G401" s="919">
        <v>0.51739999999999997</v>
      </c>
      <c r="H401" s="919">
        <v>0.51739999999999997</v>
      </c>
      <c r="I401" s="919">
        <v>0.44019999999999998</v>
      </c>
      <c r="J401" s="919">
        <v>0.44019999999999998</v>
      </c>
      <c r="K401" s="919">
        <v>0.44019999999999998</v>
      </c>
      <c r="L401" s="919">
        <v>0.44019999999999998</v>
      </c>
      <c r="M401" s="919">
        <v>0.44019999999999998</v>
      </c>
    </row>
    <row r="402" spans="1:13">
      <c r="A402" s="934">
        <v>9.4</v>
      </c>
      <c r="B402" s="919">
        <v>0.63349999999999995</v>
      </c>
      <c r="C402" s="919">
        <v>0.63349999999999995</v>
      </c>
      <c r="D402" s="919">
        <v>0.59150000000000003</v>
      </c>
      <c r="E402" s="919">
        <v>0.59150000000000003</v>
      </c>
      <c r="F402" s="919">
        <v>0.59150000000000003</v>
      </c>
      <c r="G402" s="919">
        <v>0.51600000000000001</v>
      </c>
      <c r="H402" s="919">
        <v>0.51600000000000001</v>
      </c>
      <c r="I402" s="919">
        <v>0.43880000000000002</v>
      </c>
      <c r="J402" s="919">
        <v>0.43880000000000002</v>
      </c>
      <c r="K402" s="919">
        <v>0.43880000000000002</v>
      </c>
      <c r="L402" s="919">
        <v>0.43880000000000002</v>
      </c>
      <c r="M402" s="919">
        <v>0.43880000000000002</v>
      </c>
    </row>
    <row r="403" spans="1:13">
      <c r="A403" s="934">
        <v>9.5</v>
      </c>
      <c r="B403" s="919">
        <v>0.63249999999999995</v>
      </c>
      <c r="C403" s="919">
        <v>0.63249999999999995</v>
      </c>
      <c r="D403" s="919">
        <v>0.59030000000000005</v>
      </c>
      <c r="E403" s="919">
        <v>0.59030000000000005</v>
      </c>
      <c r="F403" s="919">
        <v>0.59030000000000005</v>
      </c>
      <c r="G403" s="919">
        <v>0.51470000000000005</v>
      </c>
      <c r="H403" s="919">
        <v>0.51470000000000005</v>
      </c>
      <c r="I403" s="919">
        <v>0.4375</v>
      </c>
      <c r="J403" s="919">
        <v>0.4375</v>
      </c>
      <c r="K403" s="919">
        <v>0.4375</v>
      </c>
      <c r="L403" s="919">
        <v>0.4375</v>
      </c>
      <c r="M403" s="919">
        <v>0.4375</v>
      </c>
    </row>
    <row r="404" spans="1:13">
      <c r="A404" s="934">
        <v>9.6</v>
      </c>
      <c r="B404" s="919">
        <v>0.63149999999999995</v>
      </c>
      <c r="C404" s="919">
        <v>0.63149999999999995</v>
      </c>
      <c r="D404" s="919">
        <v>0.58909999999999996</v>
      </c>
      <c r="E404" s="919">
        <v>0.58909999999999996</v>
      </c>
      <c r="F404" s="919">
        <v>0.58909999999999996</v>
      </c>
      <c r="G404" s="919">
        <v>0.51329999999999998</v>
      </c>
      <c r="H404" s="919">
        <v>0.51329999999999998</v>
      </c>
      <c r="I404" s="919">
        <v>0.43609999999999999</v>
      </c>
      <c r="J404" s="919">
        <v>0.43609999999999999</v>
      </c>
      <c r="K404" s="919">
        <v>0.43609999999999999</v>
      </c>
      <c r="L404" s="919">
        <v>0.43609999999999999</v>
      </c>
      <c r="M404" s="919">
        <v>0.43609999999999999</v>
      </c>
    </row>
    <row r="405" spans="1:13">
      <c r="A405" s="934">
        <v>9.6999999999999993</v>
      </c>
      <c r="B405" s="919">
        <v>0.63049999999999995</v>
      </c>
      <c r="C405" s="919">
        <v>0.63049999999999995</v>
      </c>
      <c r="D405" s="919">
        <v>0.58789999999999998</v>
      </c>
      <c r="E405" s="919">
        <v>0.58789999999999998</v>
      </c>
      <c r="F405" s="919">
        <v>0.58789999999999998</v>
      </c>
      <c r="G405" s="919">
        <v>0.51200000000000001</v>
      </c>
      <c r="H405" s="919">
        <v>0.51200000000000001</v>
      </c>
      <c r="I405" s="919">
        <v>0.43480000000000002</v>
      </c>
      <c r="J405" s="919">
        <v>0.43480000000000002</v>
      </c>
      <c r="K405" s="919">
        <v>0.43480000000000002</v>
      </c>
      <c r="L405" s="919">
        <v>0.43480000000000002</v>
      </c>
      <c r="M405" s="919">
        <v>0.43480000000000002</v>
      </c>
    </row>
    <row r="406" spans="1:13">
      <c r="A406" s="934">
        <v>9.8000000000000007</v>
      </c>
      <c r="B406" s="919">
        <v>0.62949999999999995</v>
      </c>
      <c r="C406" s="919">
        <v>0.62949999999999995</v>
      </c>
      <c r="D406" s="919">
        <v>0.5867</v>
      </c>
      <c r="E406" s="919">
        <v>0.5867</v>
      </c>
      <c r="F406" s="919">
        <v>0.5867</v>
      </c>
      <c r="G406" s="919">
        <v>0.51060000000000005</v>
      </c>
      <c r="H406" s="919">
        <v>0.51060000000000005</v>
      </c>
      <c r="I406" s="919">
        <v>0.43340000000000001</v>
      </c>
      <c r="J406" s="919">
        <v>0.43340000000000001</v>
      </c>
      <c r="K406" s="919">
        <v>0.43340000000000001</v>
      </c>
      <c r="L406" s="919">
        <v>0.43340000000000001</v>
      </c>
      <c r="M406" s="919">
        <v>0.43340000000000001</v>
      </c>
    </row>
    <row r="407" spans="1:13">
      <c r="A407" s="934">
        <v>9.9</v>
      </c>
      <c r="B407" s="919">
        <v>0.62849999999999995</v>
      </c>
      <c r="C407" s="919">
        <v>0.62849999999999995</v>
      </c>
      <c r="D407" s="919">
        <v>0.58550000000000002</v>
      </c>
      <c r="E407" s="919">
        <v>0.58550000000000002</v>
      </c>
      <c r="F407" s="919">
        <v>0.58550000000000002</v>
      </c>
      <c r="G407" s="919">
        <v>0.50919999999999999</v>
      </c>
      <c r="H407" s="919">
        <v>0.50919999999999999</v>
      </c>
      <c r="I407" s="919">
        <v>0.432</v>
      </c>
      <c r="J407" s="919">
        <v>0.432</v>
      </c>
      <c r="K407" s="919">
        <v>0.432</v>
      </c>
      <c r="L407" s="919">
        <v>0.432</v>
      </c>
      <c r="M407" s="919">
        <v>0.432</v>
      </c>
    </row>
    <row r="408" spans="1:13">
      <c r="A408" s="934">
        <v>10</v>
      </c>
      <c r="B408" s="919">
        <v>0.62749999999999995</v>
      </c>
      <c r="C408" s="919">
        <v>0.62749999999999995</v>
      </c>
      <c r="D408" s="919">
        <v>0.58430000000000004</v>
      </c>
      <c r="E408" s="919">
        <v>0.58430000000000004</v>
      </c>
      <c r="F408" s="919">
        <v>0.58430000000000004</v>
      </c>
      <c r="G408" s="919">
        <v>0.50790000000000002</v>
      </c>
      <c r="H408" s="919">
        <v>0.50790000000000002</v>
      </c>
      <c r="I408" s="919">
        <v>0.43070000000000003</v>
      </c>
      <c r="J408" s="919">
        <v>0.43070000000000003</v>
      </c>
      <c r="K408" s="919">
        <v>0.43070000000000003</v>
      </c>
      <c r="L408" s="919">
        <v>0.43070000000000003</v>
      </c>
      <c r="M408" s="919">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2" customWidth="1"/>
    <col min="2" max="2" width="10.25" style="1763" customWidth="1"/>
  </cols>
  <sheetData>
    <row r="1" spans="1:6">
      <c r="A1" s="3449" t="s">
        <v>2011</v>
      </c>
      <c r="B1" s="3449"/>
    </row>
    <row r="2" spans="1:6" ht="14.25" thickBot="1">
      <c r="A2" s="1733"/>
      <c r="B2" s="1733"/>
    </row>
    <row r="3" spans="1:6" ht="14.25" thickBot="1">
      <c r="A3" s="1733"/>
      <c r="B3" s="1733"/>
      <c r="C3" s="1734" t="s">
        <v>2012</v>
      </c>
      <c r="D3" s="1734" t="s">
        <v>2013</v>
      </c>
      <c r="E3" s="1734" t="s">
        <v>2014</v>
      </c>
      <c r="F3" s="1734" t="s">
        <v>2015</v>
      </c>
    </row>
    <row r="4" spans="1:6" ht="14.25" thickBot="1">
      <c r="A4" s="1735" t="s">
        <v>2016</v>
      </c>
      <c r="B4" s="1736" t="s">
        <v>2017</v>
      </c>
      <c r="C4" s="1734"/>
      <c r="D4" s="1734"/>
      <c r="E4" s="1734"/>
      <c r="F4" s="1734"/>
    </row>
    <row r="5" spans="1:6" ht="14.25" thickBot="1">
      <c r="A5" s="1737" t="s">
        <v>2018</v>
      </c>
      <c r="B5" s="1738" t="s">
        <v>2019</v>
      </c>
      <c r="C5" s="1739">
        <v>8.8999999999999996E-2</v>
      </c>
      <c r="D5" s="1739">
        <v>7.3999999999999996E-2</v>
      </c>
      <c r="E5" s="1739">
        <v>7.4999999999999997E-2</v>
      </c>
      <c r="F5" s="1740">
        <v>0.1</v>
      </c>
    </row>
    <row r="6" spans="1:6" ht="14.25" thickBot="1">
      <c r="A6" s="1737" t="s">
        <v>1029</v>
      </c>
      <c r="B6" s="1741" t="s">
        <v>2020</v>
      </c>
      <c r="C6" s="1742">
        <v>0.1</v>
      </c>
      <c r="D6" s="1742">
        <v>9.0999999999999998E-2</v>
      </c>
      <c r="E6" s="1742">
        <v>9.0999999999999998E-2</v>
      </c>
      <c r="F6" s="1743">
        <v>0.1</v>
      </c>
    </row>
    <row r="7" spans="1:6" ht="14.25" thickBot="1">
      <c r="A7" s="1737" t="s">
        <v>1029</v>
      </c>
      <c r="B7" s="1744" t="s">
        <v>1017</v>
      </c>
      <c r="C7" s="1742">
        <v>8.5999999999999993E-2</v>
      </c>
      <c r="D7" s="1742">
        <v>9.6000000000000002E-2</v>
      </c>
      <c r="E7" s="1742">
        <v>7.5999999999999998E-2</v>
      </c>
      <c r="F7" s="1743">
        <v>0.1</v>
      </c>
    </row>
    <row r="8" spans="1:6" ht="14.25" thickBot="1">
      <c r="A8" s="1737" t="s">
        <v>1029</v>
      </c>
      <c r="B8" s="1741" t="s">
        <v>1030</v>
      </c>
      <c r="C8" s="1742">
        <v>9.9000000000000005E-2</v>
      </c>
      <c r="D8" s="1742">
        <v>9.8000000000000004E-2</v>
      </c>
      <c r="E8" s="1742">
        <v>9.8000000000000004E-2</v>
      </c>
      <c r="F8" s="1743">
        <v>0.1</v>
      </c>
    </row>
    <row r="9" spans="1:6" ht="14.25" thickBot="1">
      <c r="A9" s="1745" t="s">
        <v>1029</v>
      </c>
      <c r="B9" s="1746" t="s">
        <v>1044</v>
      </c>
      <c r="C9" s="1747">
        <v>0.05</v>
      </c>
      <c r="D9" s="1748"/>
      <c r="E9" s="1748"/>
      <c r="F9" s="1749"/>
    </row>
    <row r="10" spans="1:6" ht="14.25" thickBot="1">
      <c r="A10" s="1737" t="s">
        <v>1088</v>
      </c>
      <c r="B10" s="1738" t="s">
        <v>2021</v>
      </c>
      <c r="C10" s="1739">
        <v>8.8999999999999996E-2</v>
      </c>
      <c r="D10" s="1739">
        <v>7.2999999999999995E-2</v>
      </c>
      <c r="E10" s="1739">
        <v>8.2000000000000003E-2</v>
      </c>
      <c r="F10" s="1740">
        <v>0.1</v>
      </c>
    </row>
    <row r="11" spans="1:6" ht="14.25" thickBot="1">
      <c r="A11" s="1737" t="s">
        <v>1088</v>
      </c>
      <c r="B11" s="1744" t="s">
        <v>1004</v>
      </c>
      <c r="C11" s="1742">
        <v>8.8999999999999996E-2</v>
      </c>
      <c r="D11" s="1742">
        <v>7.2999999999999995E-2</v>
      </c>
      <c r="E11" s="1742">
        <v>8.2000000000000003E-2</v>
      </c>
      <c r="F11" s="1743">
        <v>0.1</v>
      </c>
    </row>
    <row r="12" spans="1:6" ht="14.25" thickBot="1">
      <c r="A12" s="1737" t="s">
        <v>1088</v>
      </c>
      <c r="B12" s="1744" t="s">
        <v>1018</v>
      </c>
      <c r="C12" s="1742">
        <v>6.0999999999999999E-2</v>
      </c>
      <c r="D12" s="1742">
        <v>7.0999999999999994E-2</v>
      </c>
      <c r="E12" s="1742">
        <v>9.6000000000000002E-2</v>
      </c>
      <c r="F12" s="1743">
        <v>0.1</v>
      </c>
    </row>
    <row r="13" spans="1:6" ht="14.25" thickBot="1">
      <c r="A13" s="1737" t="s">
        <v>1088</v>
      </c>
      <c r="B13" s="1744" t="s">
        <v>1031</v>
      </c>
      <c r="C13" s="1742">
        <v>6.9000000000000006E-2</v>
      </c>
      <c r="D13" s="1742">
        <v>6.5000000000000002E-2</v>
      </c>
      <c r="E13" s="1742">
        <v>6.6000000000000003E-2</v>
      </c>
      <c r="F13" s="1743">
        <v>0.1</v>
      </c>
    </row>
    <row r="14" spans="1:6" ht="14.25" thickBot="1">
      <c r="A14" s="1737" t="s">
        <v>1088</v>
      </c>
      <c r="B14" s="1744" t="s">
        <v>1045</v>
      </c>
      <c r="C14" s="1742">
        <v>0.1</v>
      </c>
      <c r="D14" s="1742">
        <v>6.5000000000000002E-2</v>
      </c>
      <c r="E14" s="1742">
        <v>7.0000000000000007E-2</v>
      </c>
      <c r="F14" s="1743">
        <v>0.1</v>
      </c>
    </row>
    <row r="15" spans="1:6" ht="14.25" thickBot="1">
      <c r="A15" s="1737" t="s">
        <v>1088</v>
      </c>
      <c r="B15" s="1744" t="s">
        <v>1056</v>
      </c>
      <c r="C15" s="1742">
        <v>9.8000000000000004E-2</v>
      </c>
      <c r="D15" s="1742">
        <v>8.8999999999999996E-2</v>
      </c>
      <c r="E15" s="1742">
        <v>8.8999999999999996E-2</v>
      </c>
      <c r="F15" s="1743">
        <v>0.1</v>
      </c>
    </row>
    <row r="16" spans="1:6" ht="14.25" thickBot="1">
      <c r="A16" s="1737" t="s">
        <v>1088</v>
      </c>
      <c r="B16" s="1744" t="s">
        <v>1067</v>
      </c>
      <c r="C16" s="1742">
        <v>7.0000000000000007E-2</v>
      </c>
      <c r="D16" s="1742">
        <v>9.2999999999999999E-2</v>
      </c>
      <c r="E16" s="1742">
        <v>9.6000000000000002E-2</v>
      </c>
      <c r="F16" s="1743">
        <v>0.1</v>
      </c>
    </row>
    <row r="17" spans="1:6" ht="14.25" thickBot="1">
      <c r="A17" s="1737" t="s">
        <v>1088</v>
      </c>
      <c r="B17" s="1744" t="s">
        <v>1078</v>
      </c>
      <c r="C17" s="1742">
        <v>9.5000000000000001E-2</v>
      </c>
      <c r="D17" s="1742">
        <v>0.1</v>
      </c>
      <c r="E17" s="1742">
        <v>0.1</v>
      </c>
      <c r="F17" s="1750"/>
    </row>
    <row r="18" spans="1:6" ht="14.25" thickBot="1">
      <c r="A18" s="1737" t="s">
        <v>1088</v>
      </c>
      <c r="B18" s="1744" t="s">
        <v>1090</v>
      </c>
      <c r="C18" s="1742">
        <v>7.3999999999999996E-2</v>
      </c>
      <c r="D18" s="1742">
        <v>9.9000000000000005E-2</v>
      </c>
      <c r="E18" s="1742">
        <v>0.1</v>
      </c>
      <c r="F18" s="1750"/>
    </row>
    <row r="19" spans="1:6" ht="14.25" thickBot="1">
      <c r="A19" s="1737" t="s">
        <v>1088</v>
      </c>
      <c r="B19" s="1744" t="s">
        <v>1100</v>
      </c>
      <c r="C19" s="1742">
        <v>9.9000000000000005E-2</v>
      </c>
      <c r="D19" s="1742">
        <v>7.5999999999999998E-2</v>
      </c>
      <c r="E19" s="1742">
        <v>8.6999999999999994E-2</v>
      </c>
      <c r="F19" s="1750"/>
    </row>
    <row r="20" spans="1:6" ht="14.25" thickBot="1">
      <c r="A20" s="1737" t="s">
        <v>1088</v>
      </c>
      <c r="B20" s="1744" t="s">
        <v>1110</v>
      </c>
      <c r="C20" s="1742">
        <v>9.8000000000000004E-2</v>
      </c>
      <c r="D20" s="1742">
        <v>8.5000000000000006E-2</v>
      </c>
      <c r="E20" s="1742">
        <v>8.2000000000000003E-2</v>
      </c>
      <c r="F20" s="1750"/>
    </row>
    <row r="21" spans="1:6" ht="14.25" thickBot="1">
      <c r="A21" s="1737" t="s">
        <v>1088</v>
      </c>
      <c r="B21" s="1744" t="s">
        <v>1120</v>
      </c>
      <c r="C21" s="1742">
        <v>6.6000000000000003E-2</v>
      </c>
      <c r="D21" s="1742">
        <v>6.4000000000000001E-2</v>
      </c>
      <c r="E21" s="1742">
        <v>6.5000000000000002E-2</v>
      </c>
      <c r="F21" s="1750"/>
    </row>
    <row r="22" spans="1:6" ht="14.25" thickBot="1">
      <c r="A22" s="1737" t="s">
        <v>1088</v>
      </c>
      <c r="B22" s="1744" t="s">
        <v>2022</v>
      </c>
      <c r="C22" s="1742">
        <v>0.08</v>
      </c>
      <c r="D22" s="1742">
        <v>9.8000000000000004E-2</v>
      </c>
      <c r="E22" s="1742">
        <v>9.8000000000000004E-2</v>
      </c>
      <c r="F22" s="1750"/>
    </row>
    <row r="23" spans="1:6" ht="14.25" thickBot="1">
      <c r="A23" s="1737" t="s">
        <v>1088</v>
      </c>
      <c r="B23" s="1744" t="s">
        <v>1140</v>
      </c>
      <c r="C23" s="1742">
        <v>9.9000000000000005E-2</v>
      </c>
      <c r="D23" s="1742">
        <v>9.8000000000000004E-2</v>
      </c>
      <c r="E23" s="1742">
        <v>9.0999999999999998E-2</v>
      </c>
      <c r="F23" s="1750"/>
    </row>
    <row r="24" spans="1:6" ht="14.25" thickBot="1">
      <c r="A24" s="1737" t="s">
        <v>1088</v>
      </c>
      <c r="B24" s="1744" t="s">
        <v>1150</v>
      </c>
      <c r="C24" s="1742">
        <v>8.8999999999999996E-2</v>
      </c>
      <c r="D24" s="1742">
        <v>9.7000000000000003E-2</v>
      </c>
      <c r="E24" s="1742">
        <v>7.0000000000000007E-2</v>
      </c>
      <c r="F24" s="1750"/>
    </row>
    <row r="25" spans="1:6" ht="14.25" thickBot="1">
      <c r="A25" s="1737" t="s">
        <v>1088</v>
      </c>
      <c r="B25" s="1744" t="s">
        <v>1160</v>
      </c>
      <c r="C25" s="1742">
        <v>8.8999999999999996E-2</v>
      </c>
      <c r="D25" s="1742">
        <v>0.1</v>
      </c>
      <c r="E25" s="1742">
        <v>8.1000000000000003E-2</v>
      </c>
      <c r="F25" s="1750"/>
    </row>
    <row r="26" spans="1:6" ht="14.25" thickBot="1">
      <c r="A26" s="1737" t="s">
        <v>1088</v>
      </c>
      <c r="B26" s="1744" t="s">
        <v>1170</v>
      </c>
      <c r="C26" s="1751"/>
      <c r="D26" s="1742">
        <v>9.6000000000000002E-2</v>
      </c>
      <c r="E26" s="1742">
        <v>9.2999999999999999E-2</v>
      </c>
      <c r="F26" s="1750"/>
    </row>
    <row r="27" spans="1:6" ht="14.25" thickBot="1">
      <c r="A27" s="1737" t="s">
        <v>1088</v>
      </c>
      <c r="B27" s="1744" t="s">
        <v>1180</v>
      </c>
      <c r="C27" s="1751"/>
      <c r="D27" s="1742">
        <v>7.5999999999999998E-2</v>
      </c>
      <c r="E27" s="1742">
        <v>9.1999999999999998E-2</v>
      </c>
      <c r="F27" s="1750"/>
    </row>
    <row r="28" spans="1:6" ht="14.25" thickBot="1">
      <c r="A28" s="1745" t="s">
        <v>1088</v>
      </c>
      <c r="B28" s="1746" t="s">
        <v>1190</v>
      </c>
      <c r="C28" s="1748"/>
      <c r="D28" s="1747">
        <v>7.5999999999999998E-2</v>
      </c>
      <c r="E28" s="1747">
        <v>9.1999999999999998E-2</v>
      </c>
      <c r="F28" s="1749"/>
    </row>
    <row r="29" spans="1:6" ht="14.25" thickBot="1">
      <c r="A29" s="1737" t="s">
        <v>1259</v>
      </c>
      <c r="B29" s="1738" t="s">
        <v>2023</v>
      </c>
      <c r="C29" s="1739">
        <v>6.4000000000000001E-2</v>
      </c>
      <c r="D29" s="1739">
        <v>6.5000000000000002E-2</v>
      </c>
      <c r="E29" s="1739">
        <v>6.9000000000000006E-2</v>
      </c>
      <c r="F29" s="1740">
        <v>0.1</v>
      </c>
    </row>
    <row r="30" spans="1:6" ht="14.25" thickBot="1">
      <c r="A30" s="1737" t="s">
        <v>1259</v>
      </c>
      <c r="B30" s="1744" t="s">
        <v>1005</v>
      </c>
      <c r="C30" s="1742">
        <v>6.4000000000000001E-2</v>
      </c>
      <c r="D30" s="1742">
        <v>9.9000000000000005E-2</v>
      </c>
      <c r="E30" s="1742">
        <v>0.1</v>
      </c>
      <c r="F30" s="1743">
        <v>0.1</v>
      </c>
    </row>
    <row r="31" spans="1:6" ht="14.25" thickBot="1">
      <c r="A31" s="1737" t="s">
        <v>1259</v>
      </c>
      <c r="B31" s="1744" t="s">
        <v>1019</v>
      </c>
      <c r="C31" s="1742">
        <v>0.1</v>
      </c>
      <c r="D31" s="1742">
        <v>9.5000000000000001E-2</v>
      </c>
      <c r="E31" s="1742">
        <v>8.8999999999999996E-2</v>
      </c>
      <c r="F31" s="1743">
        <v>0.1</v>
      </c>
    </row>
    <row r="32" spans="1:6" ht="14.25" thickBot="1">
      <c r="A32" s="1737" t="s">
        <v>1259</v>
      </c>
      <c r="B32" s="1744" t="s">
        <v>1032</v>
      </c>
      <c r="C32" s="1742">
        <v>0.05</v>
      </c>
      <c r="D32" s="1742">
        <v>0.05</v>
      </c>
      <c r="E32" s="1742">
        <v>8.7999999999999995E-2</v>
      </c>
      <c r="F32" s="1743">
        <v>0.1</v>
      </c>
    </row>
    <row r="33" spans="1:6" ht="14.25" thickBot="1">
      <c r="A33" s="1737" t="s">
        <v>1259</v>
      </c>
      <c r="B33" s="1744" t="s">
        <v>1046</v>
      </c>
      <c r="C33" s="1742">
        <v>7.4999999999999997E-2</v>
      </c>
      <c r="D33" s="1742">
        <v>9.4E-2</v>
      </c>
      <c r="E33" s="1742">
        <v>9.7000000000000003E-2</v>
      </c>
      <c r="F33" s="1743">
        <v>0.1</v>
      </c>
    </row>
    <row r="34" spans="1:6" ht="14.25" thickBot="1">
      <c r="A34" s="1737" t="s">
        <v>1259</v>
      </c>
      <c r="B34" s="1744" t="s">
        <v>1057</v>
      </c>
      <c r="C34" s="1742">
        <v>9.8000000000000004E-2</v>
      </c>
      <c r="D34" s="1742">
        <v>8.5999999999999993E-2</v>
      </c>
      <c r="E34" s="1742">
        <v>9.7000000000000003E-2</v>
      </c>
      <c r="F34" s="1743">
        <v>0.1</v>
      </c>
    </row>
    <row r="35" spans="1:6" ht="14.25" thickBot="1">
      <c r="A35" s="1737" t="s">
        <v>1259</v>
      </c>
      <c r="B35" s="1744" t="s">
        <v>1068</v>
      </c>
      <c r="C35" s="1742">
        <v>5.8999999999999997E-2</v>
      </c>
      <c r="D35" s="1742">
        <v>6.5000000000000002E-2</v>
      </c>
      <c r="E35" s="1742">
        <v>7.0000000000000007E-2</v>
      </c>
      <c r="F35" s="1743">
        <v>0.1</v>
      </c>
    </row>
    <row r="36" spans="1:6" ht="14.25" thickBot="1">
      <c r="A36" s="1737" t="s">
        <v>1259</v>
      </c>
      <c r="B36" s="1744" t="s">
        <v>1079</v>
      </c>
      <c r="C36" s="1742">
        <v>6.3E-2</v>
      </c>
      <c r="D36" s="1742">
        <v>0.1</v>
      </c>
      <c r="E36" s="1742">
        <v>0.1</v>
      </c>
      <c r="F36" s="1743">
        <v>0.1</v>
      </c>
    </row>
    <row r="37" spans="1:6" ht="14.25" thickBot="1">
      <c r="A37" s="1737" t="s">
        <v>1259</v>
      </c>
      <c r="B37" s="1744" t="s">
        <v>1091</v>
      </c>
      <c r="C37" s="1742">
        <v>7.3999999999999996E-2</v>
      </c>
      <c r="D37" s="1742">
        <v>0.1</v>
      </c>
      <c r="E37" s="1742">
        <v>0.1</v>
      </c>
      <c r="F37" s="1743">
        <v>0.1</v>
      </c>
    </row>
    <row r="38" spans="1:6" ht="14.25" thickBot="1">
      <c r="A38" s="1737" t="s">
        <v>1259</v>
      </c>
      <c r="B38" s="1744" t="s">
        <v>1101</v>
      </c>
      <c r="C38" s="1742">
        <v>0.1</v>
      </c>
      <c r="D38" s="1742">
        <v>9.6000000000000002E-2</v>
      </c>
      <c r="E38" s="1742">
        <v>9.6000000000000002E-2</v>
      </c>
      <c r="F38" s="1750"/>
    </row>
    <row r="39" spans="1:6" ht="14.25" thickBot="1">
      <c r="A39" s="1737" t="s">
        <v>1259</v>
      </c>
      <c r="B39" s="1744" t="s">
        <v>1111</v>
      </c>
      <c r="C39" s="1742">
        <v>0.1</v>
      </c>
      <c r="D39" s="1742">
        <v>9.6000000000000002E-2</v>
      </c>
      <c r="E39" s="1742">
        <v>9.6000000000000002E-2</v>
      </c>
      <c r="F39" s="1750"/>
    </row>
    <row r="40" spans="1:6" ht="14.25" thickBot="1">
      <c r="A40" s="1737" t="s">
        <v>1259</v>
      </c>
      <c r="B40" s="1744" t="s">
        <v>1121</v>
      </c>
      <c r="C40" s="1742">
        <v>9.6000000000000002E-2</v>
      </c>
      <c r="D40" s="1742">
        <v>0.1</v>
      </c>
      <c r="E40" s="1742">
        <v>9.9000000000000005E-2</v>
      </c>
      <c r="F40" s="1750"/>
    </row>
    <row r="41" spans="1:6" ht="14.25" thickBot="1">
      <c r="A41" s="1737" t="s">
        <v>1259</v>
      </c>
      <c r="B41" s="1744" t="s">
        <v>1131</v>
      </c>
      <c r="C41" s="1742">
        <v>9.6000000000000002E-2</v>
      </c>
      <c r="D41" s="1742">
        <v>9.8000000000000004E-2</v>
      </c>
      <c r="E41" s="1742">
        <v>9.8000000000000004E-2</v>
      </c>
      <c r="F41" s="1750"/>
    </row>
    <row r="42" spans="1:6" ht="14.25" thickBot="1">
      <c r="A42" s="1737" t="s">
        <v>1259</v>
      </c>
      <c r="B42" s="1744" t="s">
        <v>1141</v>
      </c>
      <c r="C42" s="1742">
        <v>0.1</v>
      </c>
      <c r="D42" s="1742">
        <v>8.7999999999999995E-2</v>
      </c>
      <c r="E42" s="1742">
        <v>0.1</v>
      </c>
      <c r="F42" s="1750"/>
    </row>
    <row r="43" spans="1:6" ht="14.25" thickBot="1">
      <c r="A43" s="1737" t="s">
        <v>1259</v>
      </c>
      <c r="B43" s="1744" t="s">
        <v>1151</v>
      </c>
      <c r="C43" s="1742">
        <v>9.8000000000000004E-2</v>
      </c>
      <c r="D43" s="1742">
        <v>9.7000000000000003E-2</v>
      </c>
      <c r="E43" s="1742">
        <v>9.6000000000000002E-2</v>
      </c>
      <c r="F43" s="1750"/>
    </row>
    <row r="44" spans="1:6" ht="14.25" thickBot="1">
      <c r="A44" s="1737" t="s">
        <v>1259</v>
      </c>
      <c r="B44" s="1744" t="s">
        <v>1161</v>
      </c>
      <c r="C44" s="1742">
        <v>8.5999999999999993E-2</v>
      </c>
      <c r="D44" s="1742">
        <v>7.9000000000000001E-2</v>
      </c>
      <c r="E44" s="1742">
        <v>7.0999999999999994E-2</v>
      </c>
      <c r="F44" s="1750"/>
    </row>
    <row r="45" spans="1:6" ht="14.25" thickBot="1">
      <c r="A45" s="1737" t="s">
        <v>1259</v>
      </c>
      <c r="B45" s="1744" t="s">
        <v>1171</v>
      </c>
      <c r="C45" s="1742">
        <v>9.8000000000000004E-2</v>
      </c>
      <c r="D45" s="1742">
        <v>9.6000000000000002E-2</v>
      </c>
      <c r="E45" s="1742">
        <v>9.6000000000000002E-2</v>
      </c>
      <c r="F45" s="1750"/>
    </row>
    <row r="46" spans="1:6" ht="14.25" thickBot="1">
      <c r="A46" s="1737" t="s">
        <v>1259</v>
      </c>
      <c r="B46" s="1744" t="s">
        <v>1181</v>
      </c>
      <c r="C46" s="1742">
        <v>8.5999999999999993E-2</v>
      </c>
      <c r="D46" s="1742">
        <v>9.8000000000000004E-2</v>
      </c>
      <c r="E46" s="1742">
        <v>8.7999999999999995E-2</v>
      </c>
      <c r="F46" s="1750"/>
    </row>
    <row r="47" spans="1:6" ht="14.25" thickBot="1">
      <c r="A47" s="1737" t="s">
        <v>1259</v>
      </c>
      <c r="B47" s="1744" t="s">
        <v>1191</v>
      </c>
      <c r="C47" s="1742">
        <v>9.6000000000000002E-2</v>
      </c>
      <c r="D47" s="1751"/>
      <c r="E47" s="1742">
        <v>6.9000000000000006E-2</v>
      </c>
      <c r="F47" s="1750"/>
    </row>
    <row r="48" spans="1:6" ht="14.25" thickBot="1">
      <c r="A48" s="1745" t="s">
        <v>1259</v>
      </c>
      <c r="B48" s="1746" t="s">
        <v>1200</v>
      </c>
      <c r="C48" s="1747">
        <v>9.8000000000000004E-2</v>
      </c>
      <c r="D48" s="1748"/>
      <c r="E48" s="1747">
        <v>9.5000000000000001E-2</v>
      </c>
      <c r="F48" s="1749"/>
    </row>
    <row r="49" spans="1:6" ht="14.25" thickBot="1">
      <c r="A49" s="1737" t="s">
        <v>857</v>
      </c>
      <c r="B49" s="1738" t="s">
        <v>2024</v>
      </c>
      <c r="C49" s="1739">
        <v>9.7000000000000003E-2</v>
      </c>
      <c r="D49" s="1739">
        <v>9.5000000000000001E-2</v>
      </c>
      <c r="E49" s="1739">
        <v>9.7000000000000003E-2</v>
      </c>
      <c r="F49" s="1740">
        <v>0.1</v>
      </c>
    </row>
    <row r="50" spans="1:6" ht="14.25" thickBot="1">
      <c r="A50" s="1737" t="s">
        <v>857</v>
      </c>
      <c r="B50" s="1741" t="s">
        <v>1006</v>
      </c>
      <c r="C50" s="1742">
        <v>7.4999999999999997E-2</v>
      </c>
      <c r="D50" s="1742">
        <v>9.5000000000000001E-2</v>
      </c>
      <c r="E50" s="1742">
        <v>0.1</v>
      </c>
      <c r="F50" s="1743">
        <v>0.1</v>
      </c>
    </row>
    <row r="51" spans="1:6" ht="14.25" thickBot="1">
      <c r="A51" s="1737" t="s">
        <v>857</v>
      </c>
      <c r="B51" s="1741" t="s">
        <v>1020</v>
      </c>
      <c r="C51" s="1742">
        <v>9.8000000000000004E-2</v>
      </c>
      <c r="D51" s="1742">
        <v>8.8999999999999996E-2</v>
      </c>
      <c r="E51" s="1742">
        <v>0.1</v>
      </c>
      <c r="F51" s="1743">
        <v>0.1</v>
      </c>
    </row>
    <row r="52" spans="1:6" ht="14.25" thickBot="1">
      <c r="A52" s="1737" t="s">
        <v>857</v>
      </c>
      <c r="B52" s="1741" t="s">
        <v>1033</v>
      </c>
      <c r="C52" s="1742">
        <v>9.8000000000000004E-2</v>
      </c>
      <c r="D52" s="1742">
        <v>9.7000000000000003E-2</v>
      </c>
      <c r="E52" s="1742">
        <v>8.1000000000000003E-2</v>
      </c>
      <c r="F52" s="1743">
        <v>0.1</v>
      </c>
    </row>
    <row r="53" spans="1:6" ht="14.25" thickBot="1">
      <c r="A53" s="1737" t="s">
        <v>857</v>
      </c>
      <c r="B53" s="1741" t="s">
        <v>1047</v>
      </c>
      <c r="C53" s="1742">
        <v>9.7000000000000003E-2</v>
      </c>
      <c r="D53" s="1742">
        <v>7.5999999999999998E-2</v>
      </c>
      <c r="E53" s="1742">
        <v>7.0999999999999994E-2</v>
      </c>
      <c r="F53" s="1743">
        <v>0.1</v>
      </c>
    </row>
    <row r="54" spans="1:6" ht="14.25" thickBot="1">
      <c r="A54" s="1737" t="s">
        <v>857</v>
      </c>
      <c r="B54" s="1741" t="s">
        <v>1058</v>
      </c>
      <c r="C54" s="1742">
        <v>7.5999999999999998E-2</v>
      </c>
      <c r="D54" s="1742">
        <v>0.1</v>
      </c>
      <c r="E54" s="1742">
        <v>9.9000000000000005E-2</v>
      </c>
      <c r="F54" s="1743">
        <v>0.1</v>
      </c>
    </row>
    <row r="55" spans="1:6" ht="14.25" thickBot="1">
      <c r="A55" s="1737" t="s">
        <v>857</v>
      </c>
      <c r="B55" s="1741" t="s">
        <v>1069</v>
      </c>
      <c r="C55" s="1742">
        <v>0.1</v>
      </c>
      <c r="D55" s="1742">
        <v>0.1</v>
      </c>
      <c r="E55" s="1742">
        <v>9.6000000000000002E-2</v>
      </c>
      <c r="F55" s="1743">
        <v>0.1</v>
      </c>
    </row>
    <row r="56" spans="1:6" ht="14.25" thickBot="1">
      <c r="A56" s="1737" t="s">
        <v>857</v>
      </c>
      <c r="B56" s="1741" t="s">
        <v>1080</v>
      </c>
      <c r="C56" s="1742">
        <v>0.1</v>
      </c>
      <c r="D56" s="1742">
        <v>9.6000000000000002E-2</v>
      </c>
      <c r="E56" s="1742">
        <v>5.1999999999999998E-2</v>
      </c>
      <c r="F56" s="1743">
        <v>0.1</v>
      </c>
    </row>
    <row r="57" spans="1:6" ht="14.25" thickBot="1">
      <c r="A57" s="1737" t="s">
        <v>857</v>
      </c>
      <c r="B57" s="1741" t="s">
        <v>1092</v>
      </c>
      <c r="C57" s="1742">
        <v>9.7000000000000003E-2</v>
      </c>
      <c r="D57" s="1742">
        <v>9.6000000000000002E-2</v>
      </c>
      <c r="E57" s="1742">
        <v>9.6000000000000002E-2</v>
      </c>
      <c r="F57" s="1743">
        <v>0.1</v>
      </c>
    </row>
    <row r="58" spans="1:6" ht="14.25" thickBot="1">
      <c r="A58" s="1737" t="s">
        <v>857</v>
      </c>
      <c r="B58" s="1741" t="s">
        <v>1102</v>
      </c>
      <c r="C58" s="1742">
        <v>9.6000000000000002E-2</v>
      </c>
      <c r="D58" s="1742">
        <v>9.9000000000000005E-2</v>
      </c>
      <c r="E58" s="1742">
        <v>9.6000000000000002E-2</v>
      </c>
      <c r="F58" s="1743">
        <v>0.1</v>
      </c>
    </row>
    <row r="59" spans="1:6" ht="14.25" thickBot="1">
      <c r="A59" s="1737" t="s">
        <v>857</v>
      </c>
      <c r="B59" s="1741" t="s">
        <v>1112</v>
      </c>
      <c r="C59" s="1742">
        <v>7.1999999999999995E-2</v>
      </c>
      <c r="D59" s="1742">
        <v>9.6000000000000002E-2</v>
      </c>
      <c r="E59" s="1742">
        <v>7.0999999999999994E-2</v>
      </c>
      <c r="F59" s="1743">
        <v>0.1</v>
      </c>
    </row>
    <row r="60" spans="1:6" ht="14.25" thickBot="1">
      <c r="A60" s="1737" t="s">
        <v>857</v>
      </c>
      <c r="B60" s="1741" t="s">
        <v>1122</v>
      </c>
      <c r="C60" s="1742">
        <v>9.6000000000000002E-2</v>
      </c>
      <c r="D60" s="1742">
        <v>8.8999999999999996E-2</v>
      </c>
      <c r="E60" s="1742">
        <v>9.6000000000000002E-2</v>
      </c>
      <c r="F60" s="1743">
        <v>0.1</v>
      </c>
    </row>
    <row r="61" spans="1:6" ht="14.25" thickBot="1">
      <c r="A61" s="1737" t="s">
        <v>857</v>
      </c>
      <c r="B61" s="1741" t="s">
        <v>1132</v>
      </c>
      <c r="C61" s="1742">
        <v>8.8999999999999996E-2</v>
      </c>
      <c r="D61" s="1742">
        <v>9.8000000000000004E-2</v>
      </c>
      <c r="E61" s="1742">
        <v>8.7999999999999995E-2</v>
      </c>
      <c r="F61" s="1750"/>
    </row>
    <row r="62" spans="1:6" ht="14.25" thickBot="1">
      <c r="A62" s="1737" t="s">
        <v>857</v>
      </c>
      <c r="B62" s="1741" t="s">
        <v>1142</v>
      </c>
      <c r="C62" s="1742">
        <v>9.8000000000000004E-2</v>
      </c>
      <c r="D62" s="1742">
        <v>9.2999999999999999E-2</v>
      </c>
      <c r="E62" s="1742">
        <v>9.7000000000000003E-2</v>
      </c>
      <c r="F62" s="1750"/>
    </row>
    <row r="63" spans="1:6" ht="14.25" thickBot="1">
      <c r="A63" s="1737" t="s">
        <v>857</v>
      </c>
      <c r="B63" s="1741" t="s">
        <v>1152</v>
      </c>
      <c r="C63" s="1742">
        <v>9.6000000000000002E-2</v>
      </c>
      <c r="D63" s="1742">
        <v>9.8000000000000004E-2</v>
      </c>
      <c r="E63" s="1742">
        <v>0.09</v>
      </c>
      <c r="F63" s="1750"/>
    </row>
    <row r="64" spans="1:6" ht="14.25" thickBot="1">
      <c r="A64" s="1737" t="s">
        <v>857</v>
      </c>
      <c r="B64" s="1741" t="s">
        <v>1162</v>
      </c>
      <c r="C64" s="1742">
        <v>9.9000000000000005E-2</v>
      </c>
      <c r="D64" s="1742">
        <v>9.7000000000000003E-2</v>
      </c>
      <c r="E64" s="1742">
        <v>9.9000000000000005E-2</v>
      </c>
      <c r="F64" s="1750"/>
    </row>
    <row r="65" spans="1:6" ht="14.25" thickBot="1">
      <c r="A65" s="1737" t="s">
        <v>857</v>
      </c>
      <c r="B65" s="1741" t="s">
        <v>1172</v>
      </c>
      <c r="C65" s="1742">
        <v>9.8000000000000004E-2</v>
      </c>
      <c r="D65" s="1742">
        <v>9.6000000000000002E-2</v>
      </c>
      <c r="E65" s="1742">
        <v>9.6000000000000002E-2</v>
      </c>
      <c r="F65" s="1750"/>
    </row>
    <row r="66" spans="1:6" ht="14.25" thickBot="1">
      <c r="A66" s="1737" t="s">
        <v>857</v>
      </c>
      <c r="B66" s="1741" t="s">
        <v>1182</v>
      </c>
      <c r="C66" s="1742">
        <v>9.6000000000000002E-2</v>
      </c>
      <c r="D66" s="1742">
        <v>9.1999999999999998E-2</v>
      </c>
      <c r="E66" s="1742">
        <v>9.6000000000000002E-2</v>
      </c>
      <c r="F66" s="1750"/>
    </row>
    <row r="67" spans="1:6" ht="14.25" thickBot="1">
      <c r="A67" s="1737" t="s">
        <v>857</v>
      </c>
      <c r="B67" s="1741" t="s">
        <v>1192</v>
      </c>
      <c r="C67" s="1742">
        <v>9.4E-2</v>
      </c>
      <c r="D67" s="1742">
        <v>0.1</v>
      </c>
      <c r="E67" s="1742">
        <v>8.7999999999999995E-2</v>
      </c>
      <c r="F67" s="1750"/>
    </row>
    <row r="68" spans="1:6" ht="14.25" thickBot="1">
      <c r="A68" s="1737" t="s">
        <v>857</v>
      </c>
      <c r="B68" s="1741" t="s">
        <v>1201</v>
      </c>
      <c r="C68" s="1742">
        <v>0.1</v>
      </c>
      <c r="D68" s="1742">
        <v>8.7999999999999995E-2</v>
      </c>
      <c r="E68" s="1742">
        <v>9.7000000000000003E-2</v>
      </c>
      <c r="F68" s="1750"/>
    </row>
    <row r="69" spans="1:6" ht="14.25" thickBot="1">
      <c r="A69" s="1737" t="s">
        <v>857</v>
      </c>
      <c r="B69" s="1741" t="s">
        <v>1210</v>
      </c>
      <c r="C69" s="1742">
        <v>6.4000000000000001E-2</v>
      </c>
      <c r="D69" s="1742">
        <v>0.1</v>
      </c>
      <c r="E69" s="1742">
        <v>0.1</v>
      </c>
      <c r="F69" s="1750"/>
    </row>
    <row r="70" spans="1:6" ht="14.25" thickBot="1">
      <c r="A70" s="1737" t="s">
        <v>857</v>
      </c>
      <c r="B70" s="1741" t="s">
        <v>1218</v>
      </c>
      <c r="C70" s="1742">
        <v>9.0999999999999998E-2</v>
      </c>
      <c r="D70" s="1751"/>
      <c r="E70" s="1751"/>
      <c r="F70" s="1750"/>
    </row>
    <row r="71" spans="1:6" ht="14.25" thickBot="1">
      <c r="A71" s="1737" t="s">
        <v>857</v>
      </c>
      <c r="B71" s="1741" t="s">
        <v>1225</v>
      </c>
      <c r="C71" s="1742">
        <v>0.1</v>
      </c>
      <c r="D71" s="1751"/>
      <c r="E71" s="1751"/>
      <c r="F71" s="1750"/>
    </row>
    <row r="72" spans="1:6" ht="14.25" thickBot="1">
      <c r="A72" s="1737" t="s">
        <v>857</v>
      </c>
      <c r="B72" s="1741" t="s">
        <v>2025</v>
      </c>
      <c r="C72" s="1751"/>
      <c r="D72" s="1751"/>
      <c r="E72" s="1751"/>
      <c r="F72" s="1743">
        <v>0.05</v>
      </c>
    </row>
    <row r="73" spans="1:6" ht="14.25" thickBot="1">
      <c r="A73" s="1737" t="s">
        <v>857</v>
      </c>
      <c r="B73" s="1741" t="s">
        <v>2026</v>
      </c>
      <c r="C73" s="1751"/>
      <c r="D73" s="1751"/>
      <c r="E73" s="1751"/>
      <c r="F73" s="1743">
        <v>0.05</v>
      </c>
    </row>
    <row r="74" spans="1:6" ht="14.25" thickBot="1">
      <c r="A74" s="1737" t="s">
        <v>857</v>
      </c>
      <c r="B74" s="1741" t="s">
        <v>2027</v>
      </c>
      <c r="C74" s="1751"/>
      <c r="D74" s="1751"/>
      <c r="E74" s="1751"/>
      <c r="F74" s="1743">
        <v>0.05</v>
      </c>
    </row>
    <row r="75" spans="1:6" ht="14.25" thickBot="1">
      <c r="A75" s="1745" t="s">
        <v>857</v>
      </c>
      <c r="B75" s="1752" t="s">
        <v>2028</v>
      </c>
      <c r="C75" s="1748"/>
      <c r="D75" s="1748"/>
      <c r="E75" s="1748"/>
      <c r="F75" s="1753">
        <v>0.05</v>
      </c>
    </row>
    <row r="76" spans="1:6" ht="14.25" thickBot="1">
      <c r="A76" s="1737" t="s">
        <v>1340</v>
      </c>
      <c r="B76" s="1738" t="s">
        <v>2029</v>
      </c>
      <c r="C76" s="1739">
        <v>0.1</v>
      </c>
      <c r="D76" s="1739">
        <v>0.1</v>
      </c>
      <c r="E76" s="1739">
        <v>0.1</v>
      </c>
      <c r="F76" s="1740">
        <v>0.1</v>
      </c>
    </row>
    <row r="77" spans="1:6" ht="14.25" thickBot="1">
      <c r="A77" s="1737" t="s">
        <v>1340</v>
      </c>
      <c r="B77" s="1741" t="s">
        <v>1007</v>
      </c>
      <c r="C77" s="1742">
        <v>8.7999999999999995E-2</v>
      </c>
      <c r="D77" s="1742">
        <v>8.6999999999999994E-2</v>
      </c>
      <c r="E77" s="1742">
        <v>7.9000000000000001E-2</v>
      </c>
      <c r="F77" s="1743">
        <v>0.1</v>
      </c>
    </row>
    <row r="78" spans="1:6" ht="14.25" thickBot="1">
      <c r="A78" s="1737" t="s">
        <v>1340</v>
      </c>
      <c r="B78" s="1741" t="s">
        <v>1021</v>
      </c>
      <c r="C78" s="1742">
        <v>8.6999999999999994E-2</v>
      </c>
      <c r="D78" s="1742">
        <v>8.4000000000000005E-2</v>
      </c>
      <c r="E78" s="1742">
        <v>9.6000000000000002E-2</v>
      </c>
      <c r="F78" s="1743">
        <v>0.1</v>
      </c>
    </row>
    <row r="79" spans="1:6" ht="14.25" thickBot="1">
      <c r="A79" s="1737" t="s">
        <v>1340</v>
      </c>
      <c r="B79" s="1741" t="s">
        <v>1034</v>
      </c>
      <c r="C79" s="1742">
        <v>9.8000000000000004E-2</v>
      </c>
      <c r="D79" s="1742">
        <v>9.8000000000000004E-2</v>
      </c>
      <c r="E79" s="1742">
        <v>9.0999999999999998E-2</v>
      </c>
      <c r="F79" s="1743">
        <v>0.1</v>
      </c>
    </row>
    <row r="80" spans="1:6" ht="14.25" thickBot="1">
      <c r="A80" s="1737" t="s">
        <v>1340</v>
      </c>
      <c r="B80" s="1741" t="s">
        <v>1048</v>
      </c>
      <c r="C80" s="1742">
        <v>9.6000000000000002E-2</v>
      </c>
      <c r="D80" s="1742">
        <v>9.6000000000000002E-2</v>
      </c>
      <c r="E80" s="1742">
        <v>0.1</v>
      </c>
      <c r="F80" s="1743">
        <v>0.1</v>
      </c>
    </row>
    <row r="81" spans="1:6" ht="14.25" thickBot="1">
      <c r="A81" s="1737" t="s">
        <v>1340</v>
      </c>
      <c r="B81" s="1741" t="s">
        <v>1059</v>
      </c>
      <c r="C81" s="1742">
        <v>9.9000000000000005E-2</v>
      </c>
      <c r="D81" s="1742">
        <v>9.9000000000000005E-2</v>
      </c>
      <c r="E81" s="1742">
        <v>9.8000000000000004E-2</v>
      </c>
      <c r="F81" s="1743">
        <v>0.1</v>
      </c>
    </row>
    <row r="82" spans="1:6" ht="14.25" thickBot="1">
      <c r="A82" s="1737" t="s">
        <v>1340</v>
      </c>
      <c r="B82" s="1741" t="s">
        <v>1070</v>
      </c>
      <c r="C82" s="1742">
        <v>9.9000000000000005E-2</v>
      </c>
      <c r="D82" s="1742">
        <v>9.9000000000000005E-2</v>
      </c>
      <c r="E82" s="1742">
        <v>9.7000000000000003E-2</v>
      </c>
      <c r="F82" s="1743">
        <v>0.1</v>
      </c>
    </row>
    <row r="83" spans="1:6" ht="14.25" thickBot="1">
      <c r="A83" s="1737" t="s">
        <v>1340</v>
      </c>
      <c r="B83" s="1741" t="s">
        <v>1081</v>
      </c>
      <c r="C83" s="1742">
        <v>9.8000000000000004E-2</v>
      </c>
      <c r="D83" s="1742">
        <v>9.8000000000000004E-2</v>
      </c>
      <c r="E83" s="1742">
        <v>9.8000000000000004E-2</v>
      </c>
      <c r="F83" s="1743">
        <v>0.1</v>
      </c>
    </row>
    <row r="84" spans="1:6" ht="14.25" thickBot="1">
      <c r="A84" s="1737" t="s">
        <v>1340</v>
      </c>
      <c r="B84" s="1741" t="s">
        <v>1093</v>
      </c>
      <c r="C84" s="1742">
        <v>9.9000000000000005E-2</v>
      </c>
      <c r="D84" s="1742">
        <v>9.9000000000000005E-2</v>
      </c>
      <c r="E84" s="1742">
        <v>9.9000000000000005E-2</v>
      </c>
      <c r="F84" s="1743">
        <v>0.1</v>
      </c>
    </row>
    <row r="85" spans="1:6" ht="14.25" thickBot="1">
      <c r="A85" s="1737" t="s">
        <v>1340</v>
      </c>
      <c r="B85" s="1741" t="s">
        <v>1103</v>
      </c>
      <c r="C85" s="1742">
        <v>9.9000000000000005E-2</v>
      </c>
      <c r="D85" s="1742">
        <v>9.9000000000000005E-2</v>
      </c>
      <c r="E85" s="1742">
        <v>9.9000000000000005E-2</v>
      </c>
      <c r="F85" s="1743">
        <v>0.1</v>
      </c>
    </row>
    <row r="86" spans="1:6" ht="14.25" thickBot="1">
      <c r="A86" s="1737" t="s">
        <v>1340</v>
      </c>
      <c r="B86" s="1741" t="s">
        <v>1113</v>
      </c>
      <c r="C86" s="1742">
        <v>0.1</v>
      </c>
      <c r="D86" s="1742">
        <v>0.1</v>
      </c>
      <c r="E86" s="1742">
        <v>7.6999999999999999E-2</v>
      </c>
      <c r="F86" s="1743">
        <v>0.1</v>
      </c>
    </row>
    <row r="87" spans="1:6" ht="14.25" thickBot="1">
      <c r="A87" s="1737" t="s">
        <v>1340</v>
      </c>
      <c r="B87" s="1741" t="s">
        <v>1123</v>
      </c>
      <c r="C87" s="1742">
        <v>0.1</v>
      </c>
      <c r="D87" s="1742">
        <v>0.1</v>
      </c>
      <c r="E87" s="1742">
        <v>9.8000000000000004E-2</v>
      </c>
      <c r="F87" s="1750"/>
    </row>
    <row r="88" spans="1:6" ht="14.25" thickBot="1">
      <c r="A88" s="1737" t="s">
        <v>1340</v>
      </c>
      <c r="B88" s="1741" t="s">
        <v>1133</v>
      </c>
      <c r="C88" s="1742">
        <v>9.1999999999999998E-2</v>
      </c>
      <c r="D88" s="1742">
        <v>8.5000000000000006E-2</v>
      </c>
      <c r="E88" s="1742">
        <v>9.6000000000000002E-2</v>
      </c>
      <c r="F88" s="1750"/>
    </row>
    <row r="89" spans="1:6" ht="14.25" thickBot="1">
      <c r="A89" s="1737" t="s">
        <v>1340</v>
      </c>
      <c r="B89" s="1741" t="s">
        <v>1143</v>
      </c>
      <c r="C89" s="1742">
        <v>0.1</v>
      </c>
      <c r="D89" s="1742">
        <v>0.1</v>
      </c>
      <c r="E89" s="1742">
        <v>9.7000000000000003E-2</v>
      </c>
      <c r="F89" s="1750"/>
    </row>
    <row r="90" spans="1:6" ht="14.25" thickBot="1">
      <c r="A90" s="1737" t="s">
        <v>1340</v>
      </c>
      <c r="B90" s="1741" t="s">
        <v>1153</v>
      </c>
      <c r="C90" s="1742">
        <v>9.8000000000000004E-2</v>
      </c>
      <c r="D90" s="1742">
        <v>9.8000000000000004E-2</v>
      </c>
      <c r="E90" s="1742">
        <v>8.7999999999999995E-2</v>
      </c>
      <c r="F90" s="1750"/>
    </row>
    <row r="91" spans="1:6" ht="14.25" thickBot="1">
      <c r="A91" s="1737" t="s">
        <v>1340</v>
      </c>
      <c r="B91" s="1741" t="s">
        <v>1163</v>
      </c>
      <c r="C91" s="1742">
        <v>9.9000000000000005E-2</v>
      </c>
      <c r="D91" s="1742">
        <v>9.9000000000000005E-2</v>
      </c>
      <c r="E91" s="1742">
        <v>9.0999999999999998E-2</v>
      </c>
      <c r="F91" s="1750"/>
    </row>
    <row r="92" spans="1:6" ht="14.25" thickBot="1">
      <c r="A92" s="1737" t="s">
        <v>1340</v>
      </c>
      <c r="B92" s="1741" t="s">
        <v>1173</v>
      </c>
      <c r="C92" s="1742">
        <v>9.6000000000000002E-2</v>
      </c>
      <c r="D92" s="1742">
        <v>9.6000000000000002E-2</v>
      </c>
      <c r="E92" s="1742">
        <v>7.2999999999999995E-2</v>
      </c>
      <c r="F92" s="1750"/>
    </row>
    <row r="93" spans="1:6" ht="14.25" thickBot="1">
      <c r="A93" s="1737" t="s">
        <v>1340</v>
      </c>
      <c r="B93" s="1741" t="s">
        <v>1183</v>
      </c>
      <c r="C93" s="1742">
        <v>9.6000000000000002E-2</v>
      </c>
      <c r="D93" s="1742">
        <v>9.6000000000000002E-2</v>
      </c>
      <c r="E93" s="1742">
        <v>9.9000000000000005E-2</v>
      </c>
      <c r="F93" s="1750"/>
    </row>
    <row r="94" spans="1:6" ht="14.25" thickBot="1">
      <c r="A94" s="1737" t="s">
        <v>1340</v>
      </c>
      <c r="B94" s="1741" t="s">
        <v>1193</v>
      </c>
      <c r="C94" s="1742">
        <v>7.5999999999999998E-2</v>
      </c>
      <c r="D94" s="1742">
        <v>7.3999999999999996E-2</v>
      </c>
      <c r="E94" s="1742">
        <v>9.7000000000000003E-2</v>
      </c>
      <c r="F94" s="1750"/>
    </row>
    <row r="95" spans="1:6" ht="14.25" thickBot="1">
      <c r="A95" s="1737" t="s">
        <v>1340</v>
      </c>
      <c r="B95" s="1741" t="s">
        <v>1202</v>
      </c>
      <c r="C95" s="1742">
        <v>9.9000000000000005E-2</v>
      </c>
      <c r="D95" s="1742">
        <v>9.4E-2</v>
      </c>
      <c r="E95" s="1742">
        <v>9.6000000000000002E-2</v>
      </c>
      <c r="F95" s="1750"/>
    </row>
    <row r="96" spans="1:6" ht="14.25" thickBot="1">
      <c r="A96" s="1737" t="s">
        <v>1340</v>
      </c>
      <c r="B96" s="1741" t="s">
        <v>1211</v>
      </c>
      <c r="C96" s="1742">
        <v>9.9000000000000005E-2</v>
      </c>
      <c r="D96" s="1742">
        <v>9.9000000000000005E-2</v>
      </c>
      <c r="E96" s="1742">
        <v>9.9000000000000005E-2</v>
      </c>
      <c r="F96" s="1750"/>
    </row>
    <row r="97" spans="1:6" ht="14.25" thickBot="1">
      <c r="A97" s="1737" t="s">
        <v>1340</v>
      </c>
      <c r="B97" s="1741" t="s">
        <v>1219</v>
      </c>
      <c r="C97" s="1742">
        <v>9.8000000000000004E-2</v>
      </c>
      <c r="D97" s="1742">
        <v>9.8000000000000004E-2</v>
      </c>
      <c r="E97" s="1742">
        <v>9.7000000000000003E-2</v>
      </c>
      <c r="F97" s="1750"/>
    </row>
    <row r="98" spans="1:6" ht="14.25" thickBot="1">
      <c r="A98" s="1737" t="s">
        <v>1340</v>
      </c>
      <c r="B98" s="1741" t="s">
        <v>1226</v>
      </c>
      <c r="C98" s="1742">
        <v>0.1</v>
      </c>
      <c r="D98" s="1742">
        <v>0.1</v>
      </c>
      <c r="E98" s="1742">
        <v>9.7000000000000003E-2</v>
      </c>
      <c r="F98" s="1750"/>
    </row>
    <row r="99" spans="1:6" ht="14.25" thickBot="1">
      <c r="A99" s="1737" t="s">
        <v>1340</v>
      </c>
      <c r="B99" s="1741" t="s">
        <v>1233</v>
      </c>
      <c r="C99" s="1742">
        <v>0.1</v>
      </c>
      <c r="D99" s="1742">
        <v>0.1</v>
      </c>
      <c r="E99" s="1751"/>
      <c r="F99" s="1750"/>
    </row>
    <row r="100" spans="1:6" ht="14.25" thickBot="1">
      <c r="A100" s="1737" t="s">
        <v>1340</v>
      </c>
      <c r="B100" s="1741" t="s">
        <v>1240</v>
      </c>
      <c r="C100" s="1742">
        <v>0.09</v>
      </c>
      <c r="D100" s="1742">
        <v>8.8999999999999996E-2</v>
      </c>
      <c r="E100" s="1751"/>
      <c r="F100" s="1750"/>
    </row>
    <row r="101" spans="1:6" ht="14.25" thickBot="1">
      <c r="A101" s="1737" t="s">
        <v>1340</v>
      </c>
      <c r="B101" s="1741" t="s">
        <v>1247</v>
      </c>
      <c r="C101" s="1742">
        <v>9.8000000000000004E-2</v>
      </c>
      <c r="D101" s="1742">
        <v>9.7000000000000003E-2</v>
      </c>
      <c r="E101" s="1751"/>
      <c r="F101" s="1750"/>
    </row>
    <row r="102" spans="1:6" ht="14.25" thickBot="1">
      <c r="A102" s="1737" t="s">
        <v>1340</v>
      </c>
      <c r="B102" s="1741" t="s">
        <v>2030</v>
      </c>
      <c r="C102" s="1751"/>
      <c r="D102" s="1751"/>
      <c r="E102" s="1751"/>
      <c r="F102" s="1743">
        <v>0.05</v>
      </c>
    </row>
    <row r="103" spans="1:6" ht="24.75" thickBot="1">
      <c r="A103" s="1737" t="s">
        <v>1340</v>
      </c>
      <c r="B103" s="1741" t="s">
        <v>2031</v>
      </c>
      <c r="C103" s="1751"/>
      <c r="D103" s="1751"/>
      <c r="E103" s="1751"/>
      <c r="F103" s="1743">
        <v>0.05</v>
      </c>
    </row>
    <row r="104" spans="1:6" ht="14.25" thickBot="1">
      <c r="A104" s="1737" t="s">
        <v>1340</v>
      </c>
      <c r="B104" s="1741" t="s">
        <v>2032</v>
      </c>
      <c r="C104" s="1751"/>
      <c r="D104" s="1751"/>
      <c r="E104" s="1751"/>
      <c r="F104" s="1743">
        <v>0.05</v>
      </c>
    </row>
    <row r="105" spans="1:6" ht="14.25" thickBot="1">
      <c r="A105" s="1737" t="s">
        <v>1340</v>
      </c>
      <c r="B105" s="1741" t="s">
        <v>2033</v>
      </c>
      <c r="C105" s="1751"/>
      <c r="D105" s="1751"/>
      <c r="E105" s="1751"/>
      <c r="F105" s="1743">
        <v>0.05</v>
      </c>
    </row>
    <row r="106" spans="1:6" ht="14.25" thickBot="1">
      <c r="A106" s="1737" t="s">
        <v>1340</v>
      </c>
      <c r="B106" s="1741" t="s">
        <v>2034</v>
      </c>
      <c r="C106" s="1751"/>
      <c r="D106" s="1751"/>
      <c r="E106" s="1751"/>
      <c r="F106" s="1743">
        <v>0.05</v>
      </c>
    </row>
    <row r="107" spans="1:6" ht="24.75" thickBot="1">
      <c r="A107" s="1737" t="s">
        <v>1340</v>
      </c>
      <c r="B107" s="1741" t="s">
        <v>2035</v>
      </c>
      <c r="C107" s="1751"/>
      <c r="D107" s="1751"/>
      <c r="E107" s="1751"/>
      <c r="F107" s="1743">
        <v>0.05</v>
      </c>
    </row>
    <row r="108" spans="1:6" ht="24.75" thickBot="1">
      <c r="A108" s="1737" t="s">
        <v>1340</v>
      </c>
      <c r="B108" s="1741" t="s">
        <v>2036</v>
      </c>
      <c r="C108" s="1751"/>
      <c r="D108" s="1751"/>
      <c r="E108" s="1751"/>
      <c r="F108" s="1743">
        <v>0.05</v>
      </c>
    </row>
    <row r="109" spans="1:6" ht="24.75" thickBot="1">
      <c r="A109" s="1745" t="s">
        <v>1340</v>
      </c>
      <c r="B109" s="1752" t="s">
        <v>2037</v>
      </c>
      <c r="C109" s="1748"/>
      <c r="D109" s="1748"/>
      <c r="E109" s="1748"/>
      <c r="F109" s="1753">
        <v>0.05</v>
      </c>
    </row>
    <row r="110" spans="1:6" ht="14.25" thickBot="1">
      <c r="A110" s="1737" t="s">
        <v>1342</v>
      </c>
      <c r="B110" s="1738" t="s">
        <v>2038</v>
      </c>
      <c r="C110" s="1739">
        <v>0.129</v>
      </c>
      <c r="D110" s="1739">
        <v>0.129</v>
      </c>
      <c r="E110" s="1739">
        <v>0.126</v>
      </c>
      <c r="F110" s="1740">
        <v>0.13</v>
      </c>
    </row>
    <row r="111" spans="1:6" ht="14.25" thickBot="1">
      <c r="A111" s="1737" t="s">
        <v>1342</v>
      </c>
      <c r="B111" s="1741" t="s">
        <v>1008</v>
      </c>
      <c r="C111" s="1742">
        <v>0.11</v>
      </c>
      <c r="D111" s="1742">
        <v>0.11</v>
      </c>
      <c r="E111" s="1742">
        <v>9.9000000000000005E-2</v>
      </c>
      <c r="F111" s="1743">
        <v>0.128</v>
      </c>
    </row>
    <row r="112" spans="1:6" ht="14.25" thickBot="1">
      <c r="A112" s="1737" t="s">
        <v>1342</v>
      </c>
      <c r="B112" s="1741" t="s">
        <v>1022</v>
      </c>
      <c r="C112" s="1742">
        <v>0.125</v>
      </c>
      <c r="D112" s="1742">
        <v>0.125</v>
      </c>
      <c r="E112" s="1742">
        <v>0.12</v>
      </c>
      <c r="F112" s="1743">
        <v>0.125</v>
      </c>
    </row>
    <row r="113" spans="1:6" ht="14.25" thickBot="1">
      <c r="A113" s="1737" t="s">
        <v>1342</v>
      </c>
      <c r="B113" s="1741" t="s">
        <v>1035</v>
      </c>
      <c r="C113" s="1742">
        <v>0.13</v>
      </c>
      <c r="D113" s="1742">
        <v>0.13</v>
      </c>
      <c r="E113" s="1742">
        <v>0.13</v>
      </c>
      <c r="F113" s="1743">
        <v>0.13</v>
      </c>
    </row>
    <row r="114" spans="1:6" ht="14.25" thickBot="1">
      <c r="A114" s="1737" t="s">
        <v>1342</v>
      </c>
      <c r="B114" s="1741" t="s">
        <v>1049</v>
      </c>
      <c r="C114" s="1742">
        <v>0.123</v>
      </c>
      <c r="D114" s="1742">
        <v>0.123</v>
      </c>
      <c r="E114" s="1742">
        <v>0.12</v>
      </c>
      <c r="F114" s="1743">
        <v>0.13</v>
      </c>
    </row>
    <row r="115" spans="1:6" ht="14.25" thickBot="1">
      <c r="A115" s="1737" t="s">
        <v>1342</v>
      </c>
      <c r="B115" s="1741" t="s">
        <v>1060</v>
      </c>
      <c r="C115" s="1742">
        <v>0.125</v>
      </c>
      <c r="D115" s="1742">
        <v>0.125</v>
      </c>
      <c r="E115" s="1742">
        <v>0.11700000000000001</v>
      </c>
      <c r="F115" s="1743">
        <v>0.13</v>
      </c>
    </row>
    <row r="116" spans="1:6" ht="14.25" thickBot="1">
      <c r="A116" s="1737" t="s">
        <v>1342</v>
      </c>
      <c r="B116" s="1741" t="s">
        <v>1071</v>
      </c>
      <c r="C116" s="1742">
        <v>0.11700000000000001</v>
      </c>
      <c r="D116" s="1742">
        <v>0.11700000000000001</v>
      </c>
      <c r="E116" s="1742">
        <v>8.7999999999999995E-2</v>
      </c>
      <c r="F116" s="1743">
        <v>0.13</v>
      </c>
    </row>
    <row r="117" spans="1:6" ht="14.25" thickBot="1">
      <c r="A117" s="1737" t="s">
        <v>1342</v>
      </c>
      <c r="B117" s="1741" t="s">
        <v>1082</v>
      </c>
      <c r="C117" s="1742">
        <v>0.13</v>
      </c>
      <c r="D117" s="1742">
        <v>0.13</v>
      </c>
      <c r="E117" s="1742">
        <v>0.129</v>
      </c>
      <c r="F117" s="1743">
        <v>0.13</v>
      </c>
    </row>
    <row r="118" spans="1:6" ht="14.25" thickBot="1">
      <c r="A118" s="1737" t="s">
        <v>1342</v>
      </c>
      <c r="B118" s="1741" t="s">
        <v>1094</v>
      </c>
      <c r="C118" s="1742">
        <v>0.123</v>
      </c>
      <c r="D118" s="1742">
        <v>0.123</v>
      </c>
      <c r="E118" s="1742">
        <v>0.11600000000000001</v>
      </c>
      <c r="F118" s="1743">
        <v>0.13</v>
      </c>
    </row>
    <row r="119" spans="1:6" ht="14.25" thickBot="1">
      <c r="A119" s="1737" t="s">
        <v>1342</v>
      </c>
      <c r="B119" s="1741" t="s">
        <v>1104</v>
      </c>
      <c r="C119" s="1742">
        <v>0.127</v>
      </c>
      <c r="D119" s="1742">
        <v>0.127</v>
      </c>
      <c r="E119" s="1742">
        <v>0.124</v>
      </c>
      <c r="F119" s="1743">
        <v>0.13</v>
      </c>
    </row>
    <row r="120" spans="1:6" ht="14.25" thickBot="1">
      <c r="A120" s="1737" t="s">
        <v>1342</v>
      </c>
      <c r="B120" s="1741" t="s">
        <v>1114</v>
      </c>
      <c r="C120" s="1742">
        <v>0.125</v>
      </c>
      <c r="D120" s="1742">
        <v>0.125</v>
      </c>
      <c r="E120" s="1742">
        <v>0.122</v>
      </c>
      <c r="F120" s="1743">
        <v>0.13</v>
      </c>
    </row>
    <row r="121" spans="1:6" ht="14.25" thickBot="1">
      <c r="A121" s="1737" t="s">
        <v>1342</v>
      </c>
      <c r="B121" s="1741" t="s">
        <v>1124</v>
      </c>
      <c r="C121" s="1742">
        <v>0.13</v>
      </c>
      <c r="D121" s="1742">
        <v>0.13</v>
      </c>
      <c r="E121" s="1742">
        <v>0.13</v>
      </c>
      <c r="F121" s="1743">
        <v>0.13</v>
      </c>
    </row>
    <row r="122" spans="1:6" ht="14.25" thickBot="1">
      <c r="A122" s="1737" t="s">
        <v>1342</v>
      </c>
      <c r="B122" s="1741" t="s">
        <v>1134</v>
      </c>
      <c r="C122" s="1742">
        <v>0.13</v>
      </c>
      <c r="D122" s="1742">
        <v>0.13</v>
      </c>
      <c r="E122" s="1742">
        <v>0.125</v>
      </c>
      <c r="F122" s="1743">
        <v>0.13</v>
      </c>
    </row>
    <row r="123" spans="1:6" ht="14.25" thickBot="1">
      <c r="A123" s="1737" t="s">
        <v>1342</v>
      </c>
      <c r="B123" s="1741" t="s">
        <v>1144</v>
      </c>
      <c r="C123" s="1742">
        <v>0.129</v>
      </c>
      <c r="D123" s="1742">
        <v>0.129</v>
      </c>
      <c r="E123" s="1742">
        <v>0.123</v>
      </c>
      <c r="F123" s="1743">
        <v>0.13</v>
      </c>
    </row>
    <row r="124" spans="1:6" ht="14.25" thickBot="1">
      <c r="A124" s="1737" t="s">
        <v>1342</v>
      </c>
      <c r="B124" s="1741" t="s">
        <v>1154</v>
      </c>
      <c r="C124" s="1742">
        <v>0.10199999999999999</v>
      </c>
      <c r="D124" s="1742">
        <v>0.10100000000000001</v>
      </c>
      <c r="E124" s="1742">
        <v>0.08</v>
      </c>
      <c r="F124" s="1750"/>
    </row>
    <row r="125" spans="1:6" ht="14.25" thickBot="1">
      <c r="A125" s="1737" t="s">
        <v>1342</v>
      </c>
      <c r="B125" s="1741" t="s">
        <v>1164</v>
      </c>
      <c r="C125" s="1742">
        <v>0.13</v>
      </c>
      <c r="D125" s="1742">
        <v>0.13</v>
      </c>
      <c r="E125" s="1742">
        <v>0.129</v>
      </c>
      <c r="F125" s="1750"/>
    </row>
    <row r="126" spans="1:6" ht="14.25" thickBot="1">
      <c r="A126" s="1737" t="s">
        <v>1342</v>
      </c>
      <c r="B126" s="1741" t="s">
        <v>1174</v>
      </c>
      <c r="C126" s="1742">
        <v>0.13</v>
      </c>
      <c r="D126" s="1742">
        <v>0.13</v>
      </c>
      <c r="E126" s="1742">
        <v>0.126</v>
      </c>
      <c r="F126" s="1750"/>
    </row>
    <row r="127" spans="1:6" ht="14.25" thickBot="1">
      <c r="A127" s="1737" t="s">
        <v>1342</v>
      </c>
      <c r="B127" s="1741" t="s">
        <v>1184</v>
      </c>
      <c r="C127" s="1742">
        <v>0.125</v>
      </c>
      <c r="D127" s="1742">
        <v>0.125</v>
      </c>
      <c r="E127" s="1742">
        <v>0.121</v>
      </c>
      <c r="F127" s="1750"/>
    </row>
    <row r="128" spans="1:6" ht="14.25" thickBot="1">
      <c r="A128" s="1737" t="s">
        <v>1342</v>
      </c>
      <c r="B128" s="1741" t="s">
        <v>1194</v>
      </c>
      <c r="C128" s="1742">
        <v>0.12</v>
      </c>
      <c r="D128" s="1742">
        <v>0.12</v>
      </c>
      <c r="E128" s="1742">
        <v>0.105</v>
      </c>
      <c r="F128" s="1750"/>
    </row>
    <row r="129" spans="1:6" ht="14.25" thickBot="1">
      <c r="A129" s="1737" t="s">
        <v>1342</v>
      </c>
      <c r="B129" s="1741" t="s">
        <v>1203</v>
      </c>
      <c r="C129" s="1742">
        <v>0.13</v>
      </c>
      <c r="D129" s="1742">
        <v>0.13</v>
      </c>
      <c r="E129" s="1742">
        <v>0.126</v>
      </c>
      <c r="F129" s="1750"/>
    </row>
    <row r="130" spans="1:6" ht="14.25" thickBot="1">
      <c r="A130" s="1737" t="s">
        <v>1342</v>
      </c>
      <c r="B130" s="1741" t="s">
        <v>1212</v>
      </c>
      <c r="C130" s="1742">
        <v>0.125</v>
      </c>
      <c r="D130" s="1742">
        <v>0.125</v>
      </c>
      <c r="E130" s="1742">
        <v>0.122</v>
      </c>
      <c r="F130" s="1750"/>
    </row>
    <row r="131" spans="1:6" ht="14.25" thickBot="1">
      <c r="A131" s="1737" t="s">
        <v>1342</v>
      </c>
      <c r="B131" s="1741" t="s">
        <v>1220</v>
      </c>
      <c r="C131" s="1742">
        <v>0.127</v>
      </c>
      <c r="D131" s="1742">
        <v>0.126</v>
      </c>
      <c r="E131" s="1742">
        <v>0.123</v>
      </c>
      <c r="F131" s="1750"/>
    </row>
    <row r="132" spans="1:6" ht="14.25" thickBot="1">
      <c r="A132" s="1737" t="s">
        <v>1342</v>
      </c>
      <c r="B132" s="1741" t="s">
        <v>1227</v>
      </c>
      <c r="C132" s="1742">
        <v>9.0999999999999998E-2</v>
      </c>
      <c r="D132" s="1742">
        <v>0.121</v>
      </c>
      <c r="E132" s="1742">
        <v>9.9000000000000005E-2</v>
      </c>
      <c r="F132" s="1750"/>
    </row>
    <row r="133" spans="1:6" ht="14.25" thickBot="1">
      <c r="A133" s="1737" t="s">
        <v>1342</v>
      </c>
      <c r="B133" s="1741" t="s">
        <v>1234</v>
      </c>
      <c r="C133" s="1742">
        <v>0.13</v>
      </c>
      <c r="D133" s="1742">
        <v>0.13</v>
      </c>
      <c r="E133" s="1742">
        <v>0.129</v>
      </c>
      <c r="F133" s="1750"/>
    </row>
    <row r="134" spans="1:6" ht="14.25" thickBot="1">
      <c r="A134" s="1737" t="s">
        <v>1342</v>
      </c>
      <c r="B134" s="1741" t="s">
        <v>2039</v>
      </c>
      <c r="C134" s="1742">
        <v>6.8000000000000005E-2</v>
      </c>
      <c r="D134" s="1742">
        <v>6.5000000000000002E-2</v>
      </c>
      <c r="E134" s="1742">
        <v>6.5000000000000002E-2</v>
      </c>
      <c r="F134" s="1743">
        <v>0.13</v>
      </c>
    </row>
    <row r="135" spans="1:6" ht="14.25" thickBot="1">
      <c r="A135" s="1737" t="s">
        <v>1342</v>
      </c>
      <c r="B135" s="1741" t="s">
        <v>1248</v>
      </c>
      <c r="C135" s="1742">
        <v>0.123</v>
      </c>
      <c r="D135" s="1742">
        <v>0.123</v>
      </c>
      <c r="E135" s="1742">
        <v>0.11</v>
      </c>
      <c r="F135" s="1750"/>
    </row>
    <row r="136" spans="1:6" ht="14.25" thickBot="1">
      <c r="A136" s="1737" t="s">
        <v>1342</v>
      </c>
      <c r="B136" s="1741" t="s">
        <v>1255</v>
      </c>
      <c r="C136" s="1742">
        <v>0.13</v>
      </c>
      <c r="D136" s="1742">
        <v>0.13</v>
      </c>
      <c r="E136" s="1742">
        <v>0.125</v>
      </c>
      <c r="F136" s="1750"/>
    </row>
    <row r="137" spans="1:6" ht="14.25" thickBot="1">
      <c r="A137" s="1737" t="s">
        <v>1342</v>
      </c>
      <c r="B137" s="1741" t="s">
        <v>1262</v>
      </c>
      <c r="C137" s="1742">
        <v>0.121</v>
      </c>
      <c r="D137" s="1742">
        <v>0.122</v>
      </c>
      <c r="E137" s="1742">
        <v>0.115</v>
      </c>
      <c r="F137" s="1750"/>
    </row>
    <row r="138" spans="1:6" ht="14.25" thickBot="1">
      <c r="A138" s="1737" t="s">
        <v>1342</v>
      </c>
      <c r="B138" s="1741" t="s">
        <v>2040</v>
      </c>
      <c r="C138" s="1742">
        <v>0.105</v>
      </c>
      <c r="D138" s="1742">
        <v>0.125</v>
      </c>
      <c r="E138" s="1742">
        <v>0.112</v>
      </c>
      <c r="F138" s="1750"/>
    </row>
    <row r="139" spans="1:6" ht="14.25" thickBot="1">
      <c r="A139" s="1737" t="s">
        <v>1342</v>
      </c>
      <c r="B139" s="1741" t="s">
        <v>2041</v>
      </c>
      <c r="C139" s="1742">
        <v>0.127</v>
      </c>
      <c r="D139" s="1742">
        <v>0.127</v>
      </c>
      <c r="E139" s="1742">
        <v>0.122</v>
      </c>
      <c r="F139" s="1743">
        <v>0.13</v>
      </c>
    </row>
    <row r="140" spans="1:6" ht="14.25" thickBot="1">
      <c r="A140" s="1737" t="s">
        <v>1342</v>
      </c>
      <c r="B140" s="1741" t="s">
        <v>2042</v>
      </c>
      <c r="C140" s="1742">
        <v>0.125</v>
      </c>
      <c r="D140" s="1742">
        <v>0.125</v>
      </c>
      <c r="E140" s="1742">
        <v>0.11899999999999999</v>
      </c>
      <c r="F140" s="1743">
        <v>0.13</v>
      </c>
    </row>
    <row r="141" spans="1:6" ht="14.25" thickBot="1">
      <c r="A141" s="1737" t="s">
        <v>1342</v>
      </c>
      <c r="B141" s="1741" t="s">
        <v>1281</v>
      </c>
      <c r="C141" s="1742">
        <v>0.125</v>
      </c>
      <c r="D141" s="1742">
        <v>0.125</v>
      </c>
      <c r="E141" s="1742">
        <v>0.11700000000000001</v>
      </c>
      <c r="F141" s="1750"/>
    </row>
    <row r="142" spans="1:6" ht="14.25" thickBot="1">
      <c r="A142" s="1737" t="s">
        <v>1342</v>
      </c>
      <c r="B142" s="1741" t="s">
        <v>1286</v>
      </c>
      <c r="C142" s="1742">
        <v>0.125</v>
      </c>
      <c r="D142" s="1742">
        <v>0.125</v>
      </c>
      <c r="E142" s="1742">
        <v>0.115</v>
      </c>
      <c r="F142" s="1750"/>
    </row>
    <row r="143" spans="1:6" ht="14.25" thickBot="1">
      <c r="A143" s="1737" t="s">
        <v>1342</v>
      </c>
      <c r="B143" s="1741" t="s">
        <v>1291</v>
      </c>
      <c r="C143" s="1742">
        <v>0.121</v>
      </c>
      <c r="D143" s="1742">
        <v>0.121</v>
      </c>
      <c r="E143" s="1742">
        <v>0.108</v>
      </c>
      <c r="F143" s="1750"/>
    </row>
    <row r="144" spans="1:6" ht="14.25" thickBot="1">
      <c r="A144" s="1737" t="s">
        <v>1342</v>
      </c>
      <c r="B144" s="1754" t="s">
        <v>2043</v>
      </c>
      <c r="C144" s="1755">
        <v>0.126</v>
      </c>
      <c r="D144" s="1755">
        <v>0.126</v>
      </c>
      <c r="E144" s="1755">
        <v>0.121</v>
      </c>
      <c r="F144" s="1750"/>
    </row>
    <row r="145" spans="1:6" ht="14.25" thickBot="1">
      <c r="A145" s="1745" t="s">
        <v>1342</v>
      </c>
      <c r="B145" s="1756" t="s">
        <v>2044</v>
      </c>
      <c r="C145" s="1757"/>
      <c r="D145" s="1757"/>
      <c r="E145" s="1757"/>
      <c r="F145" s="1758">
        <v>0.05</v>
      </c>
    </row>
    <row r="146" spans="1:6" ht="24.75" thickBot="1">
      <c r="A146" s="1759" t="s">
        <v>1342</v>
      </c>
      <c r="B146" s="1744" t="s">
        <v>2045</v>
      </c>
      <c r="C146" s="1751"/>
      <c r="D146" s="1751"/>
      <c r="E146" s="1751"/>
      <c r="F146" s="1760">
        <v>0.05</v>
      </c>
    </row>
    <row r="147" spans="1:6" ht="24.75" thickBot="1">
      <c r="A147" s="1737" t="s">
        <v>1342</v>
      </c>
      <c r="B147" s="1741" t="s">
        <v>2046</v>
      </c>
      <c r="C147" s="1751"/>
      <c r="D147" s="1751"/>
      <c r="E147" s="1751"/>
      <c r="F147" s="1743">
        <v>0.05</v>
      </c>
    </row>
    <row r="148" spans="1:6" ht="24.75" thickBot="1">
      <c r="A148" s="1737" t="s">
        <v>1342</v>
      </c>
      <c r="B148" s="1741" t="s">
        <v>2047</v>
      </c>
      <c r="C148" s="1751"/>
      <c r="D148" s="1751"/>
      <c r="E148" s="1751"/>
      <c r="F148" s="1743">
        <v>0.05</v>
      </c>
    </row>
    <row r="149" spans="1:6" ht="24.75" thickBot="1">
      <c r="A149" s="1737" t="s">
        <v>1342</v>
      </c>
      <c r="B149" s="1741" t="s">
        <v>2048</v>
      </c>
      <c r="C149" s="1751"/>
      <c r="D149" s="1751"/>
      <c r="E149" s="1751"/>
      <c r="F149" s="1743">
        <v>0.05</v>
      </c>
    </row>
    <row r="150" spans="1:6" ht="24.75" thickBot="1">
      <c r="A150" s="1737" t="s">
        <v>1342</v>
      </c>
      <c r="B150" s="1741" t="s">
        <v>2049</v>
      </c>
      <c r="C150" s="1751"/>
      <c r="D150" s="1751"/>
      <c r="E150" s="1751"/>
      <c r="F150" s="1743">
        <v>0.05</v>
      </c>
    </row>
    <row r="151" spans="1:6" ht="24.75" thickBot="1">
      <c r="A151" s="1737" t="s">
        <v>1342</v>
      </c>
      <c r="B151" s="1741" t="s">
        <v>2050</v>
      </c>
      <c r="C151" s="1751"/>
      <c r="D151" s="1751"/>
      <c r="E151" s="1751"/>
      <c r="F151" s="1743">
        <v>0.05</v>
      </c>
    </row>
    <row r="152" spans="1:6" ht="24.75" thickBot="1">
      <c r="A152" s="1737" t="s">
        <v>1342</v>
      </c>
      <c r="B152" s="1741" t="s">
        <v>1324</v>
      </c>
      <c r="C152" s="1751"/>
      <c r="D152" s="1751"/>
      <c r="E152" s="1751"/>
      <c r="F152" s="1743">
        <v>0.05</v>
      </c>
    </row>
    <row r="153" spans="1:6" ht="14.25" thickBot="1">
      <c r="A153" s="1737" t="s">
        <v>1342</v>
      </c>
      <c r="B153" s="1741" t="s">
        <v>2051</v>
      </c>
      <c r="C153" s="1751"/>
      <c r="D153" s="1751"/>
      <c r="E153" s="1751"/>
      <c r="F153" s="1743">
        <v>0.05</v>
      </c>
    </row>
    <row r="154" spans="1:6" ht="14.25" thickBot="1">
      <c r="A154" s="1737" t="s">
        <v>1342</v>
      </c>
      <c r="B154" s="1741" t="s">
        <v>2052</v>
      </c>
      <c r="C154" s="1751"/>
      <c r="D154" s="1751"/>
      <c r="E154" s="1751"/>
      <c r="F154" s="1743">
        <v>0.05</v>
      </c>
    </row>
    <row r="155" spans="1:6" ht="24.75" thickBot="1">
      <c r="A155" s="1737" t="s">
        <v>1342</v>
      </c>
      <c r="B155" s="1741" t="s">
        <v>2053</v>
      </c>
      <c r="C155" s="1751"/>
      <c r="D155" s="1751"/>
      <c r="E155" s="1751"/>
      <c r="F155" s="1743">
        <v>0.05</v>
      </c>
    </row>
    <row r="156" spans="1:6" ht="24.75" thickBot="1">
      <c r="A156" s="1737" t="s">
        <v>1342</v>
      </c>
      <c r="B156" s="1741" t="s">
        <v>2054</v>
      </c>
      <c r="C156" s="1751"/>
      <c r="D156" s="1751"/>
      <c r="E156" s="1751"/>
      <c r="F156" s="1743">
        <v>0.05</v>
      </c>
    </row>
    <row r="157" spans="1:6" ht="14.25" thickBot="1">
      <c r="A157" s="1745" t="s">
        <v>1342</v>
      </c>
      <c r="B157" s="1752" t="s">
        <v>2055</v>
      </c>
      <c r="C157" s="1748"/>
      <c r="D157" s="1748"/>
      <c r="E157" s="1748"/>
      <c r="F157" s="1753">
        <v>0.05</v>
      </c>
    </row>
    <row r="158" spans="1:6" ht="14.25" thickBot="1">
      <c r="A158" s="1737" t="s">
        <v>1344</v>
      </c>
      <c r="B158" s="1738" t="s">
        <v>2056</v>
      </c>
      <c r="C158" s="1739">
        <v>0.13</v>
      </c>
      <c r="D158" s="1739">
        <v>0.13</v>
      </c>
      <c r="E158" s="1739">
        <v>0.13</v>
      </c>
      <c r="F158" s="1740">
        <v>0.13</v>
      </c>
    </row>
    <row r="159" spans="1:6" ht="14.25" thickBot="1">
      <c r="A159" s="1737" t="s">
        <v>1344</v>
      </c>
      <c r="B159" s="1741" t="s">
        <v>1009</v>
      </c>
      <c r="C159" s="1742">
        <v>0.13</v>
      </c>
      <c r="D159" s="1742">
        <v>0.13</v>
      </c>
      <c r="E159" s="1742">
        <v>0.13</v>
      </c>
      <c r="F159" s="1743">
        <v>0.13</v>
      </c>
    </row>
    <row r="160" spans="1:6" ht="14.25" thickBot="1">
      <c r="A160" s="1737" t="s">
        <v>1344</v>
      </c>
      <c r="B160" s="1741" t="s">
        <v>1023</v>
      </c>
      <c r="C160" s="1742">
        <v>0.13</v>
      </c>
      <c r="D160" s="1742">
        <v>0.13</v>
      </c>
      <c r="E160" s="1742">
        <v>0.129</v>
      </c>
      <c r="F160" s="1743">
        <v>0.13</v>
      </c>
    </row>
    <row r="161" spans="1:6" ht="14.25" thickBot="1">
      <c r="A161" s="1737" t="s">
        <v>1344</v>
      </c>
      <c r="B161" s="1741" t="s">
        <v>1036</v>
      </c>
      <c r="C161" s="1742">
        <v>0.128</v>
      </c>
      <c r="D161" s="1742">
        <v>0.128</v>
      </c>
      <c r="E161" s="1742">
        <v>0.125</v>
      </c>
      <c r="F161" s="1743">
        <v>0.13</v>
      </c>
    </row>
    <row r="162" spans="1:6" ht="14.25" thickBot="1">
      <c r="A162" s="1737" t="s">
        <v>1344</v>
      </c>
      <c r="B162" s="1741" t="s">
        <v>1050</v>
      </c>
      <c r="C162" s="1742">
        <v>0.122</v>
      </c>
      <c r="D162" s="1742">
        <v>0.122</v>
      </c>
      <c r="E162" s="1742">
        <v>0.126</v>
      </c>
      <c r="F162" s="1743">
        <v>0.122</v>
      </c>
    </row>
    <row r="163" spans="1:6" ht="14.25" thickBot="1">
      <c r="A163" s="1737" t="s">
        <v>1344</v>
      </c>
      <c r="B163" s="1741" t="s">
        <v>1061</v>
      </c>
      <c r="C163" s="1742">
        <v>0.13</v>
      </c>
      <c r="D163" s="1742">
        <v>0.13</v>
      </c>
      <c r="E163" s="1742">
        <v>0.125</v>
      </c>
      <c r="F163" s="1743">
        <v>0.13</v>
      </c>
    </row>
    <row r="164" spans="1:6" ht="14.25" thickBot="1">
      <c r="A164" s="1737" t="s">
        <v>1344</v>
      </c>
      <c r="B164" s="1741" t="s">
        <v>1072</v>
      </c>
      <c r="C164" s="1742">
        <v>0.13</v>
      </c>
      <c r="D164" s="1742">
        <v>0.13</v>
      </c>
      <c r="E164" s="1742">
        <v>0.13</v>
      </c>
      <c r="F164" s="1743">
        <v>0.13</v>
      </c>
    </row>
    <row r="165" spans="1:6" ht="14.25" thickBot="1">
      <c r="A165" s="1737" t="s">
        <v>1344</v>
      </c>
      <c r="B165" s="1741" t="s">
        <v>1083</v>
      </c>
      <c r="C165" s="1742">
        <v>0.13</v>
      </c>
      <c r="D165" s="1742">
        <v>0.13</v>
      </c>
      <c r="E165" s="1742">
        <v>0.124</v>
      </c>
      <c r="F165" s="1743">
        <v>0.13</v>
      </c>
    </row>
    <row r="166" spans="1:6" ht="14.25" thickBot="1">
      <c r="A166" s="1737" t="s">
        <v>1344</v>
      </c>
      <c r="B166" s="1741" t="s">
        <v>1095</v>
      </c>
      <c r="C166" s="1742">
        <v>0.13</v>
      </c>
      <c r="D166" s="1742">
        <v>0.13</v>
      </c>
      <c r="E166" s="1742">
        <v>0.13</v>
      </c>
      <c r="F166" s="1743">
        <v>0.13</v>
      </c>
    </row>
    <row r="167" spans="1:6" ht="14.25" thickBot="1">
      <c r="A167" s="1737" t="s">
        <v>1344</v>
      </c>
      <c r="B167" s="1741" t="s">
        <v>1105</v>
      </c>
      <c r="C167" s="1742">
        <v>0.125</v>
      </c>
      <c r="D167" s="1742">
        <v>0.125</v>
      </c>
      <c r="E167" s="1742">
        <v>0.121</v>
      </c>
      <c r="F167" s="1750"/>
    </row>
    <row r="168" spans="1:6" ht="14.25" thickBot="1">
      <c r="A168" s="1737" t="s">
        <v>1344</v>
      </c>
      <c r="B168" s="1741" t="s">
        <v>1115</v>
      </c>
      <c r="C168" s="1742">
        <v>0.13</v>
      </c>
      <c r="D168" s="1742">
        <v>0.13</v>
      </c>
      <c r="E168" s="1742">
        <v>0.126</v>
      </c>
      <c r="F168" s="1750"/>
    </row>
    <row r="169" spans="1:6" ht="14.25" thickBot="1">
      <c r="A169" s="1737" t="s">
        <v>1344</v>
      </c>
      <c r="B169" s="1741" t="s">
        <v>1125</v>
      </c>
      <c r="C169" s="1742">
        <v>0.128</v>
      </c>
      <c r="D169" s="1742">
        <v>0.129</v>
      </c>
      <c r="E169" s="1742">
        <v>0.13</v>
      </c>
      <c r="F169" s="1750"/>
    </row>
    <row r="170" spans="1:6" ht="14.25" thickBot="1">
      <c r="A170" s="1737" t="s">
        <v>1344</v>
      </c>
      <c r="B170" s="1741" t="s">
        <v>1135</v>
      </c>
      <c r="C170" s="1742">
        <v>0.14099999999999999</v>
      </c>
      <c r="D170" s="1742">
        <v>0.13</v>
      </c>
      <c r="E170" s="1742">
        <v>0.125</v>
      </c>
      <c r="F170" s="1750"/>
    </row>
    <row r="171" spans="1:6" ht="14.25" thickBot="1">
      <c r="A171" s="1737" t="s">
        <v>1344</v>
      </c>
      <c r="B171" s="1741" t="s">
        <v>2057</v>
      </c>
      <c r="C171" s="1742">
        <v>0.127</v>
      </c>
      <c r="D171" s="1742">
        <v>0.126</v>
      </c>
      <c r="E171" s="1742">
        <v>0.126</v>
      </c>
      <c r="F171" s="1743">
        <v>0.11799999999999999</v>
      </c>
    </row>
    <row r="172" spans="1:6" ht="14.25" thickBot="1">
      <c r="A172" s="1737" t="s">
        <v>1344</v>
      </c>
      <c r="B172" s="1741" t="s">
        <v>2058</v>
      </c>
      <c r="C172" s="1742">
        <v>0.13</v>
      </c>
      <c r="D172" s="1742">
        <v>0.13</v>
      </c>
      <c r="E172" s="1742">
        <v>0.13</v>
      </c>
      <c r="F172" s="1750"/>
    </row>
    <row r="173" spans="1:6" ht="14.25" thickBot="1">
      <c r="A173" s="1737" t="s">
        <v>1344</v>
      </c>
      <c r="B173" s="1741" t="s">
        <v>1165</v>
      </c>
      <c r="C173" s="1742">
        <v>0.13</v>
      </c>
      <c r="D173" s="1742">
        <v>0.13</v>
      </c>
      <c r="E173" s="1742">
        <v>0.13</v>
      </c>
      <c r="F173" s="1750"/>
    </row>
    <row r="174" spans="1:6" ht="14.25" thickBot="1">
      <c r="A174" s="1737" t="s">
        <v>1344</v>
      </c>
      <c r="B174" s="1741" t="s">
        <v>2059</v>
      </c>
      <c r="C174" s="1742">
        <v>0.13</v>
      </c>
      <c r="D174" s="1742">
        <v>0.13</v>
      </c>
      <c r="E174" s="1742">
        <v>0.13</v>
      </c>
      <c r="F174" s="1743">
        <v>0.13</v>
      </c>
    </row>
    <row r="175" spans="1:6" ht="14.25" thickBot="1">
      <c r="A175" s="1737" t="s">
        <v>1344</v>
      </c>
      <c r="B175" s="1741" t="s">
        <v>2060</v>
      </c>
      <c r="C175" s="1742">
        <v>0.13</v>
      </c>
      <c r="D175" s="1742">
        <v>0.13</v>
      </c>
      <c r="E175" s="1742">
        <v>0.13</v>
      </c>
      <c r="F175" s="1743">
        <v>0.13</v>
      </c>
    </row>
    <row r="176" spans="1:6" ht="14.25" thickBot="1">
      <c r="A176" s="1737" t="s">
        <v>1344</v>
      </c>
      <c r="B176" s="1741" t="s">
        <v>1195</v>
      </c>
      <c r="C176" s="1742">
        <v>0.13</v>
      </c>
      <c r="D176" s="1742">
        <v>0.13</v>
      </c>
      <c r="E176" s="1742">
        <v>0.13</v>
      </c>
      <c r="F176" s="1743">
        <v>0.13</v>
      </c>
    </row>
    <row r="177" spans="1:6" ht="14.25" thickBot="1">
      <c r="A177" s="1737" t="s">
        <v>1344</v>
      </c>
      <c r="B177" s="1741" t="s">
        <v>2061</v>
      </c>
      <c r="C177" s="1742">
        <v>0.13</v>
      </c>
      <c r="D177" s="1742">
        <v>0.13</v>
      </c>
      <c r="E177" s="1742">
        <v>0.13</v>
      </c>
      <c r="F177" s="1743">
        <v>0.13</v>
      </c>
    </row>
    <row r="178" spans="1:6" ht="14.25" thickBot="1">
      <c r="A178" s="1737" t="s">
        <v>1344</v>
      </c>
      <c r="B178" s="1741" t="s">
        <v>1213</v>
      </c>
      <c r="C178" s="1742">
        <v>0.13</v>
      </c>
      <c r="D178" s="1742">
        <v>0.13</v>
      </c>
      <c r="E178" s="1742">
        <v>0.13</v>
      </c>
      <c r="F178" s="1743">
        <v>0.127</v>
      </c>
    </row>
    <row r="179" spans="1:6" ht="14.25" thickBot="1">
      <c r="A179" s="1737" t="s">
        <v>1344</v>
      </c>
      <c r="B179" s="1741" t="s">
        <v>1221</v>
      </c>
      <c r="C179" s="1742">
        <v>0.13</v>
      </c>
      <c r="D179" s="1742">
        <v>0.13</v>
      </c>
      <c r="E179" s="1742">
        <v>0.13</v>
      </c>
      <c r="F179" s="1750"/>
    </row>
    <row r="180" spans="1:6" ht="14.25" thickBot="1">
      <c r="A180" s="1737" t="s">
        <v>1344</v>
      </c>
      <c r="B180" s="1741" t="s">
        <v>2062</v>
      </c>
      <c r="C180" s="1742">
        <v>0.13</v>
      </c>
      <c r="D180" s="1742">
        <v>0.13</v>
      </c>
      <c r="E180" s="1742">
        <v>0.125</v>
      </c>
      <c r="F180" s="1743">
        <v>0.13</v>
      </c>
    </row>
    <row r="181" spans="1:6" ht="14.25" thickBot="1">
      <c r="A181" s="1737" t="s">
        <v>1344</v>
      </c>
      <c r="B181" s="1741" t="s">
        <v>1235</v>
      </c>
      <c r="C181" s="1742">
        <v>0.122</v>
      </c>
      <c r="D181" s="1742">
        <v>0.123</v>
      </c>
      <c r="E181" s="1742">
        <v>0.126</v>
      </c>
      <c r="F181" s="1743">
        <v>0.121</v>
      </c>
    </row>
    <row r="182" spans="1:6" ht="14.25" thickBot="1">
      <c r="A182" s="1737" t="s">
        <v>1344</v>
      </c>
      <c r="B182" s="1741" t="s">
        <v>1242</v>
      </c>
      <c r="C182" s="1742">
        <v>0.125</v>
      </c>
      <c r="D182" s="1742">
        <v>0.125</v>
      </c>
      <c r="E182" s="1742">
        <v>0.11700000000000001</v>
      </c>
      <c r="F182" s="1743">
        <v>0.13</v>
      </c>
    </row>
    <row r="183" spans="1:6" ht="14.25" thickBot="1">
      <c r="A183" s="1737" t="s">
        <v>1344</v>
      </c>
      <c r="B183" s="1741" t="s">
        <v>1249</v>
      </c>
      <c r="C183" s="1742">
        <v>0.127</v>
      </c>
      <c r="D183" s="1742">
        <v>0.127</v>
      </c>
      <c r="E183" s="1742">
        <v>0.128</v>
      </c>
      <c r="F183" s="1750"/>
    </row>
    <row r="184" spans="1:6" ht="14.25" thickBot="1">
      <c r="A184" s="1737" t="s">
        <v>1344</v>
      </c>
      <c r="B184" s="1741" t="s">
        <v>1256</v>
      </c>
      <c r="C184" s="1742">
        <v>0.125</v>
      </c>
      <c r="D184" s="1742">
        <v>0.125</v>
      </c>
      <c r="E184" s="1742">
        <v>0.127</v>
      </c>
      <c r="F184" s="1750"/>
    </row>
    <row r="185" spans="1:6" ht="14.25" thickBot="1">
      <c r="A185" s="1737" t="s">
        <v>1344</v>
      </c>
      <c r="B185" s="1741" t="s">
        <v>2063</v>
      </c>
      <c r="C185" s="1742">
        <v>0.127</v>
      </c>
      <c r="D185" s="1742">
        <v>0.127</v>
      </c>
      <c r="E185" s="1742">
        <v>0.128</v>
      </c>
      <c r="F185" s="1743">
        <v>0.13</v>
      </c>
    </row>
    <row r="186" spans="1:6" ht="24.75" thickBot="1">
      <c r="A186" s="1737" t="s">
        <v>1344</v>
      </c>
      <c r="B186" s="1741" t="s">
        <v>2064</v>
      </c>
      <c r="C186" s="1751"/>
      <c r="D186" s="1751"/>
      <c r="E186" s="1751"/>
      <c r="F186" s="1743">
        <v>0.05</v>
      </c>
    </row>
    <row r="187" spans="1:6" ht="14.25" thickBot="1">
      <c r="A187" s="1737" t="s">
        <v>1344</v>
      </c>
      <c r="B187" s="1741" t="s">
        <v>2065</v>
      </c>
      <c r="C187" s="1751"/>
      <c r="D187" s="1751"/>
      <c r="E187" s="1751"/>
      <c r="F187" s="1743">
        <v>0.05</v>
      </c>
    </row>
    <row r="188" spans="1:6" ht="14.25" thickBot="1">
      <c r="A188" s="1737" t="s">
        <v>1344</v>
      </c>
      <c r="B188" s="1741" t="s">
        <v>2066</v>
      </c>
      <c r="C188" s="1751"/>
      <c r="D188" s="1751"/>
      <c r="E188" s="1751"/>
      <c r="F188" s="1743">
        <v>0.05</v>
      </c>
    </row>
    <row r="189" spans="1:6" ht="24.75" thickBot="1">
      <c r="A189" s="1737" t="s">
        <v>1344</v>
      </c>
      <c r="B189" s="1741" t="s">
        <v>2067</v>
      </c>
      <c r="C189" s="1751"/>
      <c r="D189" s="1751"/>
      <c r="E189" s="1751"/>
      <c r="F189" s="1743">
        <v>0.05</v>
      </c>
    </row>
    <row r="190" spans="1:6" ht="24.75" thickBot="1">
      <c r="A190" s="1737" t="s">
        <v>1344</v>
      </c>
      <c r="B190" s="1741" t="s">
        <v>2068</v>
      </c>
      <c r="C190" s="1751"/>
      <c r="D190" s="1751"/>
      <c r="E190" s="1751"/>
      <c r="F190" s="1743">
        <v>0.05</v>
      </c>
    </row>
    <row r="191" spans="1:6" ht="24.75" thickBot="1">
      <c r="A191" s="1737" t="s">
        <v>1344</v>
      </c>
      <c r="B191" s="1741" t="s">
        <v>2069</v>
      </c>
      <c r="C191" s="1751"/>
      <c r="D191" s="1751"/>
      <c r="E191" s="1751"/>
      <c r="F191" s="1743">
        <v>0.05</v>
      </c>
    </row>
    <row r="192" spans="1:6" ht="24.75" thickBot="1">
      <c r="A192" s="1737" t="s">
        <v>1344</v>
      </c>
      <c r="B192" s="1741" t="s">
        <v>2070</v>
      </c>
      <c r="C192" s="1751"/>
      <c r="D192" s="1751"/>
      <c r="E192" s="1751"/>
      <c r="F192" s="1743">
        <v>0.05</v>
      </c>
    </row>
    <row r="193" spans="1:6" ht="24.75" thickBot="1">
      <c r="A193" s="1737" t="s">
        <v>1344</v>
      </c>
      <c r="B193" s="1741" t="s">
        <v>2071</v>
      </c>
      <c r="C193" s="1751"/>
      <c r="D193" s="1751"/>
      <c r="E193" s="1751"/>
      <c r="F193" s="1743">
        <v>0.05</v>
      </c>
    </row>
    <row r="194" spans="1:6" ht="24.75" thickBot="1">
      <c r="A194" s="1737" t="s">
        <v>1344</v>
      </c>
      <c r="B194" s="1741" t="s">
        <v>2072</v>
      </c>
      <c r="C194" s="1751"/>
      <c r="D194" s="1751"/>
      <c r="E194" s="1751"/>
      <c r="F194" s="1743">
        <v>0.05</v>
      </c>
    </row>
    <row r="195" spans="1:6" ht="14.25" thickBot="1">
      <c r="A195" s="1737" t="s">
        <v>1344</v>
      </c>
      <c r="B195" s="1741" t="s">
        <v>2073</v>
      </c>
      <c r="C195" s="1751"/>
      <c r="D195" s="1751"/>
      <c r="E195" s="1751"/>
      <c r="F195" s="1743">
        <v>0.05</v>
      </c>
    </row>
    <row r="196" spans="1:6" ht="24.75" thickBot="1">
      <c r="A196" s="1737" t="s">
        <v>1344</v>
      </c>
      <c r="B196" s="1741" t="s">
        <v>2074</v>
      </c>
      <c r="C196" s="1751"/>
      <c r="D196" s="1751"/>
      <c r="E196" s="1751"/>
      <c r="F196" s="1743">
        <v>0.05</v>
      </c>
    </row>
    <row r="197" spans="1:6" ht="24.75" thickBot="1">
      <c r="A197" s="1737" t="s">
        <v>1344</v>
      </c>
      <c r="B197" s="1741" t="s">
        <v>2075</v>
      </c>
      <c r="C197" s="1751"/>
      <c r="D197" s="1751"/>
      <c r="E197" s="1751"/>
      <c r="F197" s="1743">
        <v>0.05</v>
      </c>
    </row>
    <row r="198" spans="1:6" ht="24.75" thickBot="1">
      <c r="A198" s="1737" t="s">
        <v>1344</v>
      </c>
      <c r="B198" s="1741" t="s">
        <v>2076</v>
      </c>
      <c r="C198" s="1751"/>
      <c r="D198" s="1751"/>
      <c r="E198" s="1751"/>
      <c r="F198" s="1743">
        <v>0.05</v>
      </c>
    </row>
    <row r="199" spans="1:6" ht="24.75" thickBot="1">
      <c r="A199" s="1737" t="s">
        <v>1344</v>
      </c>
      <c r="B199" s="1741" t="s">
        <v>2077</v>
      </c>
      <c r="C199" s="1751"/>
      <c r="D199" s="1751"/>
      <c r="E199" s="1751"/>
      <c r="F199" s="1743">
        <v>0.05</v>
      </c>
    </row>
    <row r="200" spans="1:6" ht="24.75" thickBot="1">
      <c r="A200" s="1737" t="s">
        <v>1344</v>
      </c>
      <c r="B200" s="1741" t="s">
        <v>2078</v>
      </c>
      <c r="C200" s="1751"/>
      <c r="D200" s="1751"/>
      <c r="E200" s="1751"/>
      <c r="F200" s="1743">
        <v>0.05</v>
      </c>
    </row>
    <row r="201" spans="1:6" ht="24.75" thickBot="1">
      <c r="A201" s="1737" t="s">
        <v>1344</v>
      </c>
      <c r="B201" s="1741" t="s">
        <v>2079</v>
      </c>
      <c r="C201" s="1751"/>
      <c r="D201" s="1751"/>
      <c r="E201" s="1751"/>
      <c r="F201" s="1743">
        <v>0.05</v>
      </c>
    </row>
    <row r="202" spans="1:6" ht="24.75" thickBot="1">
      <c r="A202" s="1737" t="s">
        <v>1344</v>
      </c>
      <c r="B202" s="1741" t="s">
        <v>2080</v>
      </c>
      <c r="C202" s="1751"/>
      <c r="D202" s="1751"/>
      <c r="E202" s="1751"/>
      <c r="F202" s="1743">
        <v>0.05</v>
      </c>
    </row>
    <row r="203" spans="1:6" ht="24.75" thickBot="1">
      <c r="A203" s="1737" t="s">
        <v>1344</v>
      </c>
      <c r="B203" s="1741" t="s">
        <v>2081</v>
      </c>
      <c r="C203" s="1751"/>
      <c r="D203" s="1751"/>
      <c r="E203" s="1751"/>
      <c r="F203" s="1743">
        <v>0.05</v>
      </c>
    </row>
    <row r="204" spans="1:6" ht="14.25" thickBot="1">
      <c r="A204" s="1737" t="s">
        <v>1344</v>
      </c>
      <c r="B204" s="1741" t="s">
        <v>2082</v>
      </c>
      <c r="C204" s="1751"/>
      <c r="D204" s="1751"/>
      <c r="E204" s="1751"/>
      <c r="F204" s="1743">
        <v>0.05</v>
      </c>
    </row>
    <row r="205" spans="1:6" ht="14.25" thickBot="1">
      <c r="A205" s="1745" t="s">
        <v>1344</v>
      </c>
      <c r="B205" s="1752" t="s">
        <v>2083</v>
      </c>
      <c r="C205" s="1748"/>
      <c r="D205" s="1748"/>
      <c r="E205" s="1748"/>
      <c r="F205" s="1753">
        <v>0.05</v>
      </c>
    </row>
    <row r="206" spans="1:6" ht="14.25" thickBot="1">
      <c r="A206" s="1737" t="s">
        <v>1346</v>
      </c>
      <c r="B206" s="1738" t="s">
        <v>2084</v>
      </c>
      <c r="C206" s="1739">
        <v>0.15</v>
      </c>
      <c r="D206" s="1739">
        <v>0.15</v>
      </c>
      <c r="E206" s="1739">
        <v>0.15</v>
      </c>
      <c r="F206" s="1740">
        <v>0.15</v>
      </c>
    </row>
    <row r="207" spans="1:6" ht="14.25" thickBot="1">
      <c r="A207" s="1737" t="s">
        <v>1346</v>
      </c>
      <c r="B207" s="1741" t="s">
        <v>1010</v>
      </c>
      <c r="C207" s="1742">
        <v>0.15</v>
      </c>
      <c r="D207" s="1742">
        <v>0.15</v>
      </c>
      <c r="E207" s="1742">
        <v>0.15</v>
      </c>
      <c r="F207" s="1743">
        <v>0.14399999999999999</v>
      </c>
    </row>
    <row r="208" spans="1:6" ht="14.25" thickBot="1">
      <c r="A208" s="1737" t="s">
        <v>1346</v>
      </c>
      <c r="B208" s="1741" t="s">
        <v>1024</v>
      </c>
      <c r="C208" s="1742">
        <v>0.15</v>
      </c>
      <c r="D208" s="1742">
        <v>0.15</v>
      </c>
      <c r="E208" s="1742">
        <v>0.15</v>
      </c>
      <c r="F208" s="1743">
        <v>0.15</v>
      </c>
    </row>
    <row r="209" spans="1:6" ht="14.25" thickBot="1">
      <c r="A209" s="1737" t="s">
        <v>1346</v>
      </c>
      <c r="B209" s="1741" t="s">
        <v>1037</v>
      </c>
      <c r="C209" s="1742">
        <v>0.13700000000000001</v>
      </c>
      <c r="D209" s="1742">
        <v>0.13700000000000001</v>
      </c>
      <c r="E209" s="1742">
        <v>0.14000000000000001</v>
      </c>
      <c r="F209" s="1743">
        <v>0.11700000000000001</v>
      </c>
    </row>
    <row r="210" spans="1:6" ht="14.25" thickBot="1">
      <c r="A210" s="1737" t="s">
        <v>1346</v>
      </c>
      <c r="B210" s="1741" t="s">
        <v>2085</v>
      </c>
      <c r="C210" s="1742">
        <v>0.15</v>
      </c>
      <c r="D210" s="1742">
        <v>0.15</v>
      </c>
      <c r="E210" s="1742">
        <v>0.15</v>
      </c>
      <c r="F210" s="1743">
        <v>0.13800000000000001</v>
      </c>
    </row>
    <row r="211" spans="1:6" ht="14.25" thickBot="1">
      <c r="A211" s="1737" t="s">
        <v>1346</v>
      </c>
      <c r="B211" s="1741" t="s">
        <v>2086</v>
      </c>
      <c r="C211" s="1742">
        <v>0.13700000000000001</v>
      </c>
      <c r="D211" s="1742">
        <v>0.13500000000000001</v>
      </c>
      <c r="E211" s="1742">
        <v>0.13600000000000001</v>
      </c>
      <c r="F211" s="1743">
        <v>0.1</v>
      </c>
    </row>
    <row r="212" spans="1:6" ht="14.25" thickBot="1">
      <c r="A212" s="1737" t="s">
        <v>1346</v>
      </c>
      <c r="B212" s="1741" t="s">
        <v>2087</v>
      </c>
      <c r="C212" s="1742">
        <v>0.15</v>
      </c>
      <c r="D212" s="1742">
        <v>0.15</v>
      </c>
      <c r="E212" s="1742">
        <v>0.14799999999999999</v>
      </c>
      <c r="F212" s="1743">
        <v>0.13600000000000001</v>
      </c>
    </row>
    <row r="213" spans="1:6" ht="14.25" thickBot="1">
      <c r="A213" s="1737" t="s">
        <v>1346</v>
      </c>
      <c r="B213" s="1741" t="s">
        <v>1084</v>
      </c>
      <c r="C213" s="1742">
        <v>0.15</v>
      </c>
      <c r="D213" s="1742">
        <v>0.15</v>
      </c>
      <c r="E213" s="1742">
        <v>0.15</v>
      </c>
      <c r="F213" s="1743">
        <v>0.13800000000000001</v>
      </c>
    </row>
    <row r="214" spans="1:6" ht="14.25" thickBot="1">
      <c r="A214" s="1737" t="s">
        <v>1346</v>
      </c>
      <c r="B214" s="1741" t="s">
        <v>1096</v>
      </c>
      <c r="C214" s="1742">
        <v>9.0999999999999998E-2</v>
      </c>
      <c r="D214" s="1742">
        <v>0.09</v>
      </c>
      <c r="E214" s="1742">
        <v>9.1999999999999998E-2</v>
      </c>
      <c r="F214" s="1750"/>
    </row>
    <row r="215" spans="1:6" ht="14.25" thickBot="1">
      <c r="A215" s="1737" t="s">
        <v>1346</v>
      </c>
      <c r="B215" s="1741" t="s">
        <v>2088</v>
      </c>
      <c r="C215" s="1742">
        <v>0.15</v>
      </c>
      <c r="D215" s="1742">
        <v>0.15</v>
      </c>
      <c r="E215" s="1742">
        <v>0.15</v>
      </c>
      <c r="F215" s="1743">
        <v>0.15</v>
      </c>
    </row>
    <row r="216" spans="1:6" ht="14.25" thickBot="1">
      <c r="A216" s="1737" t="s">
        <v>1346</v>
      </c>
      <c r="B216" s="1741" t="s">
        <v>1116</v>
      </c>
      <c r="C216" s="1742">
        <v>0.14699999999999999</v>
      </c>
      <c r="D216" s="1742">
        <v>0.14699999999999999</v>
      </c>
      <c r="E216" s="1742">
        <v>0.15</v>
      </c>
      <c r="F216" s="1743">
        <v>0.14000000000000001</v>
      </c>
    </row>
    <row r="217" spans="1:6" ht="14.25" thickBot="1">
      <c r="A217" s="1737" t="s">
        <v>1346</v>
      </c>
      <c r="B217" s="1741" t="s">
        <v>1126</v>
      </c>
      <c r="C217" s="1742">
        <v>0.15</v>
      </c>
      <c r="D217" s="1742">
        <v>0.15</v>
      </c>
      <c r="E217" s="1742">
        <v>0.15</v>
      </c>
      <c r="F217" s="1743">
        <v>0.15</v>
      </c>
    </row>
    <row r="218" spans="1:6" ht="14.25" thickBot="1">
      <c r="A218" s="1737" t="s">
        <v>1346</v>
      </c>
      <c r="B218" s="1741" t="s">
        <v>2089</v>
      </c>
      <c r="C218" s="1742">
        <v>0.15</v>
      </c>
      <c r="D218" s="1742">
        <v>0.15</v>
      </c>
      <c r="E218" s="1742">
        <v>0.15</v>
      </c>
      <c r="F218" s="1743">
        <v>0.15</v>
      </c>
    </row>
    <row r="219" spans="1:6" ht="14.25" thickBot="1">
      <c r="A219" s="1737" t="s">
        <v>1346</v>
      </c>
      <c r="B219" s="1741" t="s">
        <v>1146</v>
      </c>
      <c r="C219" s="1742">
        <v>0.15</v>
      </c>
      <c r="D219" s="1742">
        <v>0.15</v>
      </c>
      <c r="E219" s="1742">
        <v>0.15</v>
      </c>
      <c r="F219" s="1743">
        <v>0.14799999999999999</v>
      </c>
    </row>
    <row r="220" spans="1:6" ht="14.25" thickBot="1">
      <c r="A220" s="1737" t="s">
        <v>1346</v>
      </c>
      <c r="B220" s="1741" t="s">
        <v>2090</v>
      </c>
      <c r="C220" s="1742">
        <v>0.15</v>
      </c>
      <c r="D220" s="1742">
        <v>0.15</v>
      </c>
      <c r="E220" s="1742">
        <v>0.15</v>
      </c>
      <c r="F220" s="1743">
        <v>0.15</v>
      </c>
    </row>
    <row r="221" spans="1:6" ht="14.25" thickBot="1">
      <c r="A221" s="1737" t="s">
        <v>1346</v>
      </c>
      <c r="B221" s="1741" t="s">
        <v>1166</v>
      </c>
      <c r="C221" s="1742"/>
      <c r="D221" s="1751"/>
      <c r="E221" s="1751"/>
      <c r="F221" s="1743">
        <v>0.14799999999999999</v>
      </c>
    </row>
    <row r="222" spans="1:6" ht="14.25" thickBot="1">
      <c r="A222" s="1737" t="s">
        <v>1346</v>
      </c>
      <c r="B222" s="1741" t="s">
        <v>1176</v>
      </c>
      <c r="C222" s="1742"/>
      <c r="D222" s="1751"/>
      <c r="E222" s="1751"/>
      <c r="F222" s="1743">
        <v>0.1</v>
      </c>
    </row>
    <row r="223" spans="1:6" ht="14.25" thickBot="1">
      <c r="A223" s="1737" t="s">
        <v>1346</v>
      </c>
      <c r="B223" s="1741" t="s">
        <v>1186</v>
      </c>
      <c r="C223" s="1742"/>
      <c r="D223" s="1751"/>
      <c r="E223" s="1751"/>
      <c r="F223" s="1743">
        <v>0.15</v>
      </c>
    </row>
    <row r="224" spans="1:6" ht="14.25" thickBot="1">
      <c r="A224" s="1737" t="s">
        <v>1346</v>
      </c>
      <c r="B224" s="1741" t="s">
        <v>1196</v>
      </c>
      <c r="C224" s="1742"/>
      <c r="D224" s="1751"/>
      <c r="E224" s="1751"/>
      <c r="F224" s="1743">
        <v>0.15</v>
      </c>
    </row>
    <row r="225" spans="1:6" ht="14.25" thickBot="1">
      <c r="A225" s="1737" t="s">
        <v>1346</v>
      </c>
      <c r="B225" s="1741" t="s">
        <v>2091</v>
      </c>
      <c r="C225" s="1742">
        <v>0.15</v>
      </c>
      <c r="D225" s="1742">
        <v>0.15</v>
      </c>
      <c r="E225" s="1742">
        <v>0.15</v>
      </c>
      <c r="F225" s="1743">
        <v>0.15</v>
      </c>
    </row>
    <row r="226" spans="1:6" ht="14.25" thickBot="1">
      <c r="A226" s="1737" t="s">
        <v>1346</v>
      </c>
      <c r="B226" s="1741" t="s">
        <v>1214</v>
      </c>
      <c r="C226" s="1742">
        <v>0.15</v>
      </c>
      <c r="D226" s="1742">
        <v>0.15</v>
      </c>
      <c r="E226" s="1742">
        <v>0.15</v>
      </c>
      <c r="F226" s="1743">
        <v>0.14799999999999999</v>
      </c>
    </row>
    <row r="227" spans="1:6" ht="14.25" thickBot="1">
      <c r="A227" s="1737" t="s">
        <v>1346</v>
      </c>
      <c r="B227" s="1741" t="s">
        <v>2092</v>
      </c>
      <c r="C227" s="1742">
        <v>0.15</v>
      </c>
      <c r="D227" s="1742">
        <v>0.15</v>
      </c>
      <c r="E227" s="1742">
        <v>0.15</v>
      </c>
      <c r="F227" s="1743">
        <v>0.15</v>
      </c>
    </row>
    <row r="228" spans="1:6" ht="14.25" thickBot="1">
      <c r="A228" s="1737" t="s">
        <v>1346</v>
      </c>
      <c r="B228" s="1741" t="s">
        <v>1229</v>
      </c>
      <c r="C228" s="1742">
        <v>0.15</v>
      </c>
      <c r="D228" s="1742">
        <v>0.15</v>
      </c>
      <c r="E228" s="1742">
        <v>0.15</v>
      </c>
      <c r="F228" s="1743">
        <v>0.15</v>
      </c>
    </row>
    <row r="229" spans="1:6" ht="14.25" thickBot="1">
      <c r="A229" s="1737" t="s">
        <v>1346</v>
      </c>
      <c r="B229" s="1741" t="s">
        <v>1236</v>
      </c>
      <c r="C229" s="1742">
        <v>0.15</v>
      </c>
      <c r="D229" s="1742">
        <v>0.15</v>
      </c>
      <c r="E229" s="1742">
        <v>0.15</v>
      </c>
      <c r="F229" s="1750"/>
    </row>
    <row r="230" spans="1:6" ht="14.25" thickBot="1">
      <c r="A230" s="1737" t="s">
        <v>1346</v>
      </c>
      <c r="B230" s="1741" t="s">
        <v>1243</v>
      </c>
      <c r="C230" s="1742">
        <v>0.14499999999999999</v>
      </c>
      <c r="D230" s="1742">
        <v>0.14499999999999999</v>
      </c>
      <c r="E230" s="1742">
        <v>0.14399999999999999</v>
      </c>
      <c r="F230" s="1750"/>
    </row>
    <row r="231" spans="1:6" ht="14.25" thickBot="1">
      <c r="A231" s="1737" t="s">
        <v>1346</v>
      </c>
      <c r="B231" s="1741" t="s">
        <v>2093</v>
      </c>
      <c r="C231" s="1742">
        <v>0.128</v>
      </c>
      <c r="D231" s="1742">
        <v>0.125</v>
      </c>
      <c r="E231" s="1742">
        <v>0.13200000000000001</v>
      </c>
      <c r="F231" s="1750"/>
    </row>
    <row r="232" spans="1:6" ht="14.25" thickBot="1">
      <c r="A232" s="1737" t="s">
        <v>1346</v>
      </c>
      <c r="B232" s="1741" t="s">
        <v>2094</v>
      </c>
      <c r="C232" s="1742">
        <v>0.14499999999999999</v>
      </c>
      <c r="D232" s="1742">
        <v>0.14399999999999999</v>
      </c>
      <c r="E232" s="1742">
        <v>0.14599999999999999</v>
      </c>
      <c r="F232" s="1743">
        <v>0.13800000000000001</v>
      </c>
    </row>
    <row r="233" spans="1:6" ht="14.25" thickBot="1">
      <c r="A233" s="1737" t="s">
        <v>1346</v>
      </c>
      <c r="B233" s="1741" t="s">
        <v>2095</v>
      </c>
      <c r="C233" s="1742">
        <v>0.14499999999999999</v>
      </c>
      <c r="D233" s="1742">
        <v>0.14299999999999999</v>
      </c>
      <c r="E233" s="1742">
        <v>0.14199999999999999</v>
      </c>
      <c r="F233" s="1750"/>
    </row>
    <row r="234" spans="1:6" ht="14.25" thickBot="1">
      <c r="A234" s="1737" t="s">
        <v>1346</v>
      </c>
      <c r="B234" s="1741" t="s">
        <v>2096</v>
      </c>
      <c r="C234" s="1742">
        <v>0.14000000000000001</v>
      </c>
      <c r="D234" s="1742">
        <v>0.14000000000000001</v>
      </c>
      <c r="E234" s="1742">
        <v>0.14399999999999999</v>
      </c>
      <c r="F234" s="1750"/>
    </row>
    <row r="235" spans="1:6" ht="14.25" thickBot="1">
      <c r="A235" s="1737" t="s">
        <v>1346</v>
      </c>
      <c r="B235" s="1741" t="s">
        <v>2097</v>
      </c>
      <c r="C235" s="1742">
        <v>0.14099999999999999</v>
      </c>
      <c r="D235" s="1742">
        <v>0.14199999999999999</v>
      </c>
      <c r="E235" s="1742">
        <v>0.14499999999999999</v>
      </c>
      <c r="F235" s="1743">
        <v>0.15</v>
      </c>
    </row>
    <row r="236" spans="1:6" ht="14.25" thickBot="1">
      <c r="A236" s="1737" t="s">
        <v>1346</v>
      </c>
      <c r="B236" s="1741" t="s">
        <v>1278</v>
      </c>
      <c r="C236" s="1751"/>
      <c r="D236" s="1751"/>
      <c r="E236" s="1751"/>
      <c r="F236" s="1743">
        <v>0.14299999999999999</v>
      </c>
    </row>
    <row r="237" spans="1:6" ht="24.75" thickBot="1">
      <c r="A237" s="1737" t="s">
        <v>1346</v>
      </c>
      <c r="B237" s="1741" t="s">
        <v>2098</v>
      </c>
      <c r="C237" s="1751"/>
      <c r="D237" s="1751"/>
      <c r="E237" s="1751"/>
      <c r="F237" s="1743">
        <v>0.05</v>
      </c>
    </row>
    <row r="238" spans="1:6" ht="24.75" thickBot="1">
      <c r="A238" s="1737" t="s">
        <v>1346</v>
      </c>
      <c r="B238" s="1741" t="s">
        <v>2099</v>
      </c>
      <c r="C238" s="1751"/>
      <c r="D238" s="1751"/>
      <c r="E238" s="1751"/>
      <c r="F238" s="1743">
        <v>0.05</v>
      </c>
    </row>
    <row r="239" spans="1:6" ht="24.75" thickBot="1">
      <c r="A239" s="1737" t="s">
        <v>1346</v>
      </c>
      <c r="B239" s="1741" t="s">
        <v>2100</v>
      </c>
      <c r="C239" s="1751"/>
      <c r="D239" s="1751"/>
      <c r="E239" s="1751"/>
      <c r="F239" s="1743">
        <v>0.05</v>
      </c>
    </row>
    <row r="240" spans="1:6" ht="24.75" thickBot="1">
      <c r="A240" s="1737" t="s">
        <v>1346</v>
      </c>
      <c r="B240" s="1741" t="s">
        <v>2101</v>
      </c>
      <c r="C240" s="1751"/>
      <c r="D240" s="1751"/>
      <c r="E240" s="1751"/>
      <c r="F240" s="1743">
        <v>0.05</v>
      </c>
    </row>
    <row r="241" spans="1:6" ht="24.75" thickBot="1">
      <c r="A241" s="1737" t="s">
        <v>1346</v>
      </c>
      <c r="B241" s="1741" t="s">
        <v>2102</v>
      </c>
      <c r="C241" s="1751"/>
      <c r="D241" s="1751"/>
      <c r="E241" s="1751"/>
      <c r="F241" s="1743">
        <v>0.05</v>
      </c>
    </row>
    <row r="242" spans="1:6" ht="24.75" thickBot="1">
      <c r="A242" s="1737" t="s">
        <v>1346</v>
      </c>
      <c r="B242" s="1741" t="s">
        <v>2103</v>
      </c>
      <c r="C242" s="1751"/>
      <c r="D242" s="1751"/>
      <c r="E242" s="1751"/>
      <c r="F242" s="1743">
        <v>0.05</v>
      </c>
    </row>
    <row r="243" spans="1:6" ht="24.75" thickBot="1">
      <c r="A243" s="1737" t="s">
        <v>1346</v>
      </c>
      <c r="B243" s="1741" t="s">
        <v>2104</v>
      </c>
      <c r="C243" s="1751"/>
      <c r="D243" s="1751"/>
      <c r="E243" s="1751"/>
      <c r="F243" s="1743">
        <v>0.05</v>
      </c>
    </row>
    <row r="244" spans="1:6" ht="24.75" thickBot="1">
      <c r="A244" s="1745" t="s">
        <v>1346</v>
      </c>
      <c r="B244" s="1752" t="s">
        <v>2105</v>
      </c>
      <c r="C244" s="1748"/>
      <c r="D244" s="1748"/>
      <c r="E244" s="1748"/>
      <c r="F244" s="1753">
        <v>0.05</v>
      </c>
    </row>
    <row r="245" spans="1:6" ht="14.25" thickBot="1">
      <c r="A245" s="1737" t="s">
        <v>1348</v>
      </c>
      <c r="B245" s="1738" t="s">
        <v>2106</v>
      </c>
      <c r="C245" s="1739">
        <v>0.15</v>
      </c>
      <c r="D245" s="1739">
        <v>0.15</v>
      </c>
      <c r="E245" s="1739">
        <v>0.15</v>
      </c>
      <c r="F245" s="1740">
        <v>0.14299999999999999</v>
      </c>
    </row>
    <row r="246" spans="1:6" ht="14.25" thickBot="1">
      <c r="A246" s="1737" t="s">
        <v>1348</v>
      </c>
      <c r="B246" s="1741" t="s">
        <v>1011</v>
      </c>
      <c r="C246" s="1742">
        <v>0.15</v>
      </c>
      <c r="D246" s="1742">
        <v>0.15</v>
      </c>
      <c r="E246" s="1742">
        <v>0.15</v>
      </c>
      <c r="F246" s="1743">
        <v>0.114</v>
      </c>
    </row>
    <row r="247" spans="1:6" ht="14.25" thickBot="1">
      <c r="A247" s="1737" t="s">
        <v>1348</v>
      </c>
      <c r="B247" s="1741" t="s">
        <v>2107</v>
      </c>
      <c r="C247" s="1742">
        <v>0.15</v>
      </c>
      <c r="D247" s="1742">
        <v>0.15</v>
      </c>
      <c r="E247" s="1742">
        <v>0.15</v>
      </c>
      <c r="F247" s="1743">
        <v>0.15</v>
      </c>
    </row>
    <row r="248" spans="1:6" ht="14.25" thickBot="1">
      <c r="A248" s="1737" t="s">
        <v>1348</v>
      </c>
      <c r="B248" s="1741" t="s">
        <v>2108</v>
      </c>
      <c r="C248" s="1742">
        <v>0.15</v>
      </c>
      <c r="D248" s="1742">
        <v>0.15</v>
      </c>
      <c r="E248" s="1742">
        <v>0.15</v>
      </c>
      <c r="F248" s="1743">
        <v>0.14000000000000001</v>
      </c>
    </row>
    <row r="249" spans="1:6" ht="14.25" thickBot="1">
      <c r="A249" s="1737" t="s">
        <v>1348</v>
      </c>
      <c r="B249" s="1741" t="s">
        <v>2109</v>
      </c>
      <c r="C249" s="1742">
        <v>0.15</v>
      </c>
      <c r="D249" s="1742">
        <v>0.14899999999999999</v>
      </c>
      <c r="E249" s="1742">
        <v>0.15</v>
      </c>
      <c r="F249" s="1743">
        <v>0.1</v>
      </c>
    </row>
    <row r="250" spans="1:6" ht="14.25" thickBot="1">
      <c r="A250" s="1737" t="s">
        <v>1348</v>
      </c>
      <c r="B250" s="1741" t="s">
        <v>2110</v>
      </c>
      <c r="C250" s="1742">
        <v>0.15</v>
      </c>
      <c r="D250" s="1742">
        <v>0.15</v>
      </c>
      <c r="E250" s="1742">
        <v>0.15</v>
      </c>
      <c r="F250" s="1743">
        <v>0.14399999999999999</v>
      </c>
    </row>
    <row r="251" spans="1:6" ht="14.25" thickBot="1">
      <c r="A251" s="1737" t="s">
        <v>1348</v>
      </c>
      <c r="B251" s="1741" t="s">
        <v>1074</v>
      </c>
      <c r="C251" s="1742">
        <v>0.15</v>
      </c>
      <c r="D251" s="1742">
        <v>0.15</v>
      </c>
      <c r="E251" s="1742">
        <v>0.15</v>
      </c>
      <c r="F251" s="1743">
        <v>0.14299999999999999</v>
      </c>
    </row>
    <row r="252" spans="1:6" ht="14.25" thickBot="1">
      <c r="A252" s="1737" t="s">
        <v>1348</v>
      </c>
      <c r="B252" s="1741" t="s">
        <v>1085</v>
      </c>
      <c r="C252" s="1742">
        <v>0.15</v>
      </c>
      <c r="D252" s="1742">
        <v>0.15</v>
      </c>
      <c r="E252" s="1742">
        <v>0.15</v>
      </c>
      <c r="F252" s="1743">
        <v>0.1</v>
      </c>
    </row>
    <row r="253" spans="1:6" ht="14.25" thickBot="1">
      <c r="A253" s="1737" t="s">
        <v>1348</v>
      </c>
      <c r="B253" s="1741" t="s">
        <v>1097</v>
      </c>
      <c r="C253" s="1742">
        <v>0.15</v>
      </c>
      <c r="D253" s="1742">
        <v>0.15</v>
      </c>
      <c r="E253" s="1742">
        <v>0.15</v>
      </c>
      <c r="F253" s="1743">
        <v>0.1</v>
      </c>
    </row>
    <row r="254" spans="1:6" ht="14.25" thickBot="1">
      <c r="A254" s="1737" t="s">
        <v>1348</v>
      </c>
      <c r="B254" s="1741" t="s">
        <v>1107</v>
      </c>
      <c r="C254" s="1751"/>
      <c r="D254" s="1751"/>
      <c r="E254" s="1751"/>
      <c r="F254" s="1743">
        <v>0.15</v>
      </c>
    </row>
    <row r="255" spans="1:6" ht="14.25" thickBot="1">
      <c r="A255" s="1737" t="s">
        <v>1348</v>
      </c>
      <c r="B255" s="1741" t="s">
        <v>1117</v>
      </c>
      <c r="C255" s="1751"/>
      <c r="D255" s="1751"/>
      <c r="E255" s="1751"/>
      <c r="F255" s="1743">
        <v>0.14299999999999999</v>
      </c>
    </row>
    <row r="256" spans="1:6" ht="14.25" thickBot="1">
      <c r="A256" s="1737" t="s">
        <v>1348</v>
      </c>
      <c r="B256" s="1741" t="s">
        <v>2111</v>
      </c>
      <c r="C256" s="1742">
        <v>0.14599999999999999</v>
      </c>
      <c r="D256" s="1742">
        <v>0.14699999999999999</v>
      </c>
      <c r="E256" s="1742">
        <v>0.15</v>
      </c>
      <c r="F256" s="1743">
        <v>0.13200000000000001</v>
      </c>
    </row>
    <row r="257" spans="1:6" ht="14.25" thickBot="1">
      <c r="A257" s="1737" t="s">
        <v>1348</v>
      </c>
      <c r="B257" s="1741" t="s">
        <v>1137</v>
      </c>
      <c r="C257" s="1742">
        <v>0.15</v>
      </c>
      <c r="D257" s="1742">
        <v>0.15</v>
      </c>
      <c r="E257" s="1742">
        <v>0.15</v>
      </c>
      <c r="F257" s="1743">
        <v>0.13900000000000001</v>
      </c>
    </row>
    <row r="258" spans="1:6" ht="14.25" thickBot="1">
      <c r="A258" s="1737" t="s">
        <v>1348</v>
      </c>
      <c r="B258" s="1741" t="s">
        <v>1147</v>
      </c>
      <c r="C258" s="1742">
        <v>0.15</v>
      </c>
      <c r="D258" s="1742">
        <v>0.15</v>
      </c>
      <c r="E258" s="1742">
        <v>0.15</v>
      </c>
      <c r="F258" s="1743">
        <v>0.13</v>
      </c>
    </row>
    <row r="259" spans="1:6" ht="14.25" thickBot="1">
      <c r="A259" s="1737" t="s">
        <v>1348</v>
      </c>
      <c r="B259" s="1741" t="s">
        <v>2112</v>
      </c>
      <c r="C259" s="1742">
        <v>0.14799999999999999</v>
      </c>
      <c r="D259" s="1742">
        <v>0.14899999999999999</v>
      </c>
      <c r="E259" s="1742">
        <v>0.15</v>
      </c>
      <c r="F259" s="1743">
        <v>0.13700000000000001</v>
      </c>
    </row>
    <row r="260" spans="1:6" ht="14.25" thickBot="1">
      <c r="A260" s="1737" t="s">
        <v>1348</v>
      </c>
      <c r="B260" s="1741" t="s">
        <v>1167</v>
      </c>
      <c r="C260" s="1742">
        <v>0.15</v>
      </c>
      <c r="D260" s="1742">
        <v>0.15</v>
      </c>
      <c r="E260" s="1742">
        <v>0.15</v>
      </c>
      <c r="F260" s="1743">
        <v>0.14199999999999999</v>
      </c>
    </row>
    <row r="261" spans="1:6" ht="14.25" thickBot="1">
      <c r="A261" s="1737" t="s">
        <v>1348</v>
      </c>
      <c r="B261" s="1741" t="s">
        <v>1177</v>
      </c>
      <c r="C261" s="1742">
        <v>0.15</v>
      </c>
      <c r="D261" s="1742">
        <v>0.15</v>
      </c>
      <c r="E261" s="1742">
        <v>0.14899999999999999</v>
      </c>
      <c r="F261" s="1743">
        <v>0.14799999999999999</v>
      </c>
    </row>
    <row r="262" spans="1:6" ht="14.25" thickBot="1">
      <c r="A262" s="1737" t="s">
        <v>1348</v>
      </c>
      <c r="B262" s="1741" t="s">
        <v>1187</v>
      </c>
      <c r="C262" s="1742">
        <v>0.15</v>
      </c>
      <c r="D262" s="1742">
        <v>0.15</v>
      </c>
      <c r="E262" s="1742">
        <v>0.15</v>
      </c>
      <c r="F262" s="1750"/>
    </row>
    <row r="263" spans="1:6" ht="14.25" thickBot="1">
      <c r="A263" s="1737" t="s">
        <v>1348</v>
      </c>
      <c r="B263" s="1741" t="s">
        <v>2113</v>
      </c>
      <c r="C263" s="1742">
        <v>0.14899999999999999</v>
      </c>
      <c r="D263" s="1742">
        <v>0.14899999999999999</v>
      </c>
      <c r="E263" s="1742">
        <v>0.15</v>
      </c>
      <c r="F263" s="1743">
        <v>0.13</v>
      </c>
    </row>
    <row r="264" spans="1:6" ht="14.25" thickBot="1">
      <c r="A264" s="1737" t="s">
        <v>1348</v>
      </c>
      <c r="B264" s="1741" t="s">
        <v>1206</v>
      </c>
      <c r="C264" s="1742">
        <v>0.14799999999999999</v>
      </c>
      <c r="D264" s="1742">
        <v>0.14699999999999999</v>
      </c>
      <c r="E264" s="1742">
        <v>0.15</v>
      </c>
      <c r="F264" s="1743">
        <v>7.8E-2</v>
      </c>
    </row>
    <row r="265" spans="1:6" ht="14.25" thickBot="1">
      <c r="A265" s="1737" t="s">
        <v>1348</v>
      </c>
      <c r="B265" s="1741" t="s">
        <v>1215</v>
      </c>
      <c r="C265" s="1742">
        <v>0.15</v>
      </c>
      <c r="D265" s="1742">
        <v>0.15</v>
      </c>
      <c r="E265" s="1742">
        <v>0.15</v>
      </c>
      <c r="F265" s="1743">
        <v>7.3999999999999996E-2</v>
      </c>
    </row>
    <row r="266" spans="1:6" ht="14.25" thickBot="1">
      <c r="A266" s="1737" t="s">
        <v>1348</v>
      </c>
      <c r="B266" s="1741" t="s">
        <v>1223</v>
      </c>
      <c r="C266" s="1742">
        <v>0.14699999999999999</v>
      </c>
      <c r="D266" s="1742">
        <v>0.14699999999999999</v>
      </c>
      <c r="E266" s="1742">
        <v>0.15</v>
      </c>
      <c r="F266" s="1743">
        <v>0.14299999999999999</v>
      </c>
    </row>
    <row r="267" spans="1:6" ht="14.25" thickBot="1">
      <c r="A267" s="1737" t="s">
        <v>1348</v>
      </c>
      <c r="B267" s="1741" t="s">
        <v>1230</v>
      </c>
      <c r="C267" s="1742">
        <v>0.14199999999999999</v>
      </c>
      <c r="D267" s="1742">
        <v>0.14299999999999999</v>
      </c>
      <c r="E267" s="1742">
        <v>0.15</v>
      </c>
      <c r="F267" s="1750"/>
    </row>
    <row r="268" spans="1:6" ht="14.25" thickBot="1">
      <c r="A268" s="1737" t="s">
        <v>1348</v>
      </c>
      <c r="B268" s="1741" t="s">
        <v>2114</v>
      </c>
      <c r="C268" s="1742">
        <v>0.15</v>
      </c>
      <c r="D268" s="1742">
        <v>0.15</v>
      </c>
      <c r="E268" s="1742">
        <v>0.15</v>
      </c>
      <c r="F268" s="1743">
        <v>0.13</v>
      </c>
    </row>
    <row r="269" spans="1:6" ht="14.25" thickBot="1">
      <c r="A269" s="1737" t="s">
        <v>1348</v>
      </c>
      <c r="B269" s="1741" t="s">
        <v>1244</v>
      </c>
      <c r="C269" s="1742">
        <v>0.15</v>
      </c>
      <c r="D269" s="1742">
        <v>0.15</v>
      </c>
      <c r="E269" s="1742">
        <v>0.15</v>
      </c>
      <c r="F269" s="1743">
        <v>0.14299999999999999</v>
      </c>
    </row>
    <row r="270" spans="1:6" ht="14.25" thickBot="1">
      <c r="A270" s="1737" t="s">
        <v>1348</v>
      </c>
      <c r="B270" s="1741" t="s">
        <v>1251</v>
      </c>
      <c r="C270" s="1742">
        <v>0.14499999999999999</v>
      </c>
      <c r="D270" s="1742">
        <v>0.14499999999999999</v>
      </c>
      <c r="E270" s="1742">
        <v>0.15</v>
      </c>
      <c r="F270" s="1743">
        <v>0.14699999999999999</v>
      </c>
    </row>
    <row r="271" spans="1:6" ht="14.25" thickBot="1">
      <c r="A271" s="1737" t="s">
        <v>1348</v>
      </c>
      <c r="B271" s="1741" t="s">
        <v>1258</v>
      </c>
      <c r="C271" s="1742">
        <v>0.15</v>
      </c>
      <c r="D271" s="1742">
        <v>0.15</v>
      </c>
      <c r="E271" s="1742">
        <v>0.15</v>
      </c>
      <c r="F271" s="1743">
        <v>0.13800000000000001</v>
      </c>
    </row>
    <row r="272" spans="1:6" ht="14.25" thickBot="1">
      <c r="A272" s="1737" t="s">
        <v>1348</v>
      </c>
      <c r="B272" s="1741" t="s">
        <v>1265</v>
      </c>
      <c r="C272" s="1751"/>
      <c r="D272" s="1751"/>
      <c r="E272" s="1751"/>
      <c r="F272" s="1743">
        <v>0.14000000000000001</v>
      </c>
    </row>
    <row r="273" spans="1:6" ht="14.25" thickBot="1">
      <c r="A273" s="1737" t="s">
        <v>1348</v>
      </c>
      <c r="B273" s="1741" t="s">
        <v>2115</v>
      </c>
      <c r="C273" s="1742">
        <v>0.14199999999999999</v>
      </c>
      <c r="D273" s="1742">
        <v>0.14299999999999999</v>
      </c>
      <c r="E273" s="1742">
        <v>0.15</v>
      </c>
      <c r="F273" s="1743">
        <v>0.1</v>
      </c>
    </row>
    <row r="274" spans="1:6" ht="14.25" thickBot="1">
      <c r="A274" s="1737" t="s">
        <v>1348</v>
      </c>
      <c r="B274" s="1741" t="s">
        <v>2116</v>
      </c>
      <c r="C274" s="1742">
        <v>0.14799999999999999</v>
      </c>
      <c r="D274" s="1742">
        <v>0.14799999999999999</v>
      </c>
      <c r="E274" s="1742">
        <v>0.15</v>
      </c>
      <c r="F274" s="1743">
        <v>6.7000000000000004E-2</v>
      </c>
    </row>
    <row r="275" spans="1:6" ht="14.25" thickBot="1">
      <c r="A275" s="1737" t="s">
        <v>1348</v>
      </c>
      <c r="B275" s="1741" t="s">
        <v>2117</v>
      </c>
      <c r="C275" s="1742">
        <v>0.15</v>
      </c>
      <c r="D275" s="1742">
        <v>0.15</v>
      </c>
      <c r="E275" s="1742">
        <v>0.15</v>
      </c>
      <c r="F275" s="1743">
        <v>0.15</v>
      </c>
    </row>
    <row r="276" spans="1:6" ht="14.25" thickBot="1">
      <c r="A276" s="1737" t="s">
        <v>1348</v>
      </c>
      <c r="B276" s="1741" t="s">
        <v>2118</v>
      </c>
      <c r="C276" s="1742">
        <v>0.14499999999999999</v>
      </c>
      <c r="D276" s="1742">
        <v>0.14299999999999999</v>
      </c>
      <c r="E276" s="1742">
        <v>0.15</v>
      </c>
      <c r="F276" s="1743">
        <v>5.8999999999999997E-2</v>
      </c>
    </row>
    <row r="277" spans="1:6" ht="14.25" thickBot="1">
      <c r="A277" s="1737" t="s">
        <v>1348</v>
      </c>
      <c r="B277" s="1741" t="s">
        <v>2119</v>
      </c>
      <c r="C277" s="1742">
        <v>0.15</v>
      </c>
      <c r="D277" s="1742">
        <v>0.15</v>
      </c>
      <c r="E277" s="1742">
        <v>0.15</v>
      </c>
      <c r="F277" s="1743">
        <v>0.121</v>
      </c>
    </row>
    <row r="278" spans="1:6" ht="14.25" thickBot="1">
      <c r="A278" s="1737" t="s">
        <v>1348</v>
      </c>
      <c r="B278" s="1741" t="s">
        <v>2120</v>
      </c>
      <c r="C278" s="1742">
        <v>0.15</v>
      </c>
      <c r="D278" s="1742">
        <v>0.15</v>
      </c>
      <c r="E278" s="1742">
        <v>0.15</v>
      </c>
      <c r="F278" s="1743">
        <v>0.13800000000000001</v>
      </c>
    </row>
    <row r="279" spans="1:6" ht="24.75" thickBot="1">
      <c r="A279" s="1737" t="s">
        <v>1348</v>
      </c>
      <c r="B279" s="1741" t="s">
        <v>2121</v>
      </c>
      <c r="C279" s="1751"/>
      <c r="D279" s="1751"/>
      <c r="E279" s="1751"/>
      <c r="F279" s="1743">
        <v>0.05</v>
      </c>
    </row>
    <row r="280" spans="1:6" ht="24.75" thickBot="1">
      <c r="A280" s="1737" t="s">
        <v>1348</v>
      </c>
      <c r="B280" s="1741" t="s">
        <v>2122</v>
      </c>
      <c r="C280" s="1751"/>
      <c r="D280" s="1751"/>
      <c r="E280" s="1751"/>
      <c r="F280" s="1743">
        <v>0.05</v>
      </c>
    </row>
    <row r="281" spans="1:6" ht="24.75" thickBot="1">
      <c r="A281" s="1737" t="s">
        <v>1348</v>
      </c>
      <c r="B281" s="1741" t="s">
        <v>2123</v>
      </c>
      <c r="C281" s="1751"/>
      <c r="D281" s="1751"/>
      <c r="E281" s="1751"/>
      <c r="F281" s="1743">
        <v>0.05</v>
      </c>
    </row>
    <row r="282" spans="1:6" ht="24.75" thickBot="1">
      <c r="A282" s="1737" t="s">
        <v>1348</v>
      </c>
      <c r="B282" s="1741" t="s">
        <v>2124</v>
      </c>
      <c r="C282" s="1751"/>
      <c r="D282" s="1751"/>
      <c r="E282" s="1751"/>
      <c r="F282" s="1743">
        <v>0.05</v>
      </c>
    </row>
    <row r="283" spans="1:6" ht="24.75" thickBot="1">
      <c r="A283" s="1737" t="s">
        <v>1348</v>
      </c>
      <c r="B283" s="1741" t="s">
        <v>2125</v>
      </c>
      <c r="C283" s="1751"/>
      <c r="D283" s="1751"/>
      <c r="E283" s="1751"/>
      <c r="F283" s="1743">
        <v>0.05</v>
      </c>
    </row>
    <row r="284" spans="1:6" ht="24.75" thickBot="1">
      <c r="A284" s="1737" t="s">
        <v>1348</v>
      </c>
      <c r="B284" s="1741" t="s">
        <v>2126</v>
      </c>
      <c r="C284" s="1751"/>
      <c r="D284" s="1751"/>
      <c r="E284" s="1751"/>
      <c r="F284" s="1743">
        <v>0.05</v>
      </c>
    </row>
    <row r="285" spans="1:6" ht="24.75" thickBot="1">
      <c r="A285" s="1737" t="s">
        <v>1348</v>
      </c>
      <c r="B285" s="1741" t="s">
        <v>2127</v>
      </c>
      <c r="C285" s="1751"/>
      <c r="D285" s="1751"/>
      <c r="E285" s="1751"/>
      <c r="F285" s="1743">
        <v>0.05</v>
      </c>
    </row>
    <row r="286" spans="1:6" ht="24.75" thickBot="1">
      <c r="A286" s="1737" t="s">
        <v>1348</v>
      </c>
      <c r="B286" s="1741" t="s">
        <v>2128</v>
      </c>
      <c r="C286" s="1751"/>
      <c r="D286" s="1751"/>
      <c r="E286" s="1751"/>
      <c r="F286" s="1743">
        <v>0.05</v>
      </c>
    </row>
    <row r="287" spans="1:6" ht="24.75" thickBot="1">
      <c r="A287" s="1737" t="s">
        <v>1348</v>
      </c>
      <c r="B287" s="1741" t="s">
        <v>2129</v>
      </c>
      <c r="C287" s="1751"/>
      <c r="D287" s="1751"/>
      <c r="E287" s="1751"/>
      <c r="F287" s="1743">
        <v>0.05</v>
      </c>
    </row>
    <row r="288" spans="1:6" ht="24.75" thickBot="1">
      <c r="A288" s="1737" t="s">
        <v>1348</v>
      </c>
      <c r="B288" s="1741" t="s">
        <v>2130</v>
      </c>
      <c r="C288" s="1751"/>
      <c r="D288" s="1751"/>
      <c r="E288" s="1751"/>
      <c r="F288" s="1743">
        <v>0.05</v>
      </c>
    </row>
    <row r="289" spans="1:6" ht="24.75" thickBot="1">
      <c r="A289" s="1745" t="s">
        <v>1348</v>
      </c>
      <c r="B289" s="1752" t="s">
        <v>2131</v>
      </c>
      <c r="C289" s="1748"/>
      <c r="D289" s="1748"/>
      <c r="E289" s="1748"/>
      <c r="F289" s="1753">
        <v>0.05</v>
      </c>
    </row>
    <row r="290" spans="1:6" ht="14.25" thickBot="1">
      <c r="A290" s="1737" t="s">
        <v>1352</v>
      </c>
      <c r="B290" s="1738" t="s">
        <v>2132</v>
      </c>
      <c r="C290" s="1739">
        <v>0.15</v>
      </c>
      <c r="D290" s="1739">
        <v>0.15</v>
      </c>
      <c r="E290" s="1739">
        <v>0.15</v>
      </c>
      <c r="F290" s="1761"/>
    </row>
    <row r="291" spans="1:6" ht="14.25" thickBot="1">
      <c r="A291" s="1737" t="s">
        <v>1352</v>
      </c>
      <c r="B291" s="1741" t="s">
        <v>1012</v>
      </c>
      <c r="C291" s="1742">
        <v>0.15</v>
      </c>
      <c r="D291" s="1742">
        <v>0.15</v>
      </c>
      <c r="E291" s="1742">
        <v>0.15</v>
      </c>
      <c r="F291" s="1750"/>
    </row>
    <row r="292" spans="1:6" ht="14.25" thickBot="1">
      <c r="A292" s="1737" t="s">
        <v>1352</v>
      </c>
      <c r="B292" s="1741" t="s">
        <v>2133</v>
      </c>
      <c r="C292" s="1742">
        <v>0.15</v>
      </c>
      <c r="D292" s="1742">
        <v>0.15</v>
      </c>
      <c r="E292" s="1742">
        <v>0.15</v>
      </c>
      <c r="F292" s="1743">
        <v>0.14699999999999999</v>
      </c>
    </row>
    <row r="293" spans="1:6" ht="14.25" thickBot="1">
      <c r="A293" s="1737" t="s">
        <v>1352</v>
      </c>
      <c r="B293" s="1741" t="s">
        <v>2134</v>
      </c>
      <c r="C293" s="1751"/>
      <c r="D293" s="1751"/>
      <c r="E293" s="1751"/>
      <c r="F293" s="1743">
        <v>0.1</v>
      </c>
    </row>
    <row r="294" spans="1:6" ht="14.25" thickBot="1">
      <c r="A294" s="1737" t="s">
        <v>1352</v>
      </c>
      <c r="B294" s="1741" t="s">
        <v>2135</v>
      </c>
      <c r="C294" s="1742">
        <v>0.15</v>
      </c>
      <c r="D294" s="1742">
        <v>0.15</v>
      </c>
      <c r="E294" s="1742">
        <v>0.15</v>
      </c>
      <c r="F294" s="1743">
        <v>0.15</v>
      </c>
    </row>
    <row r="295" spans="1:6" ht="14.25" thickBot="1">
      <c r="A295" s="1737" t="s">
        <v>1352</v>
      </c>
      <c r="B295" s="1741" t="s">
        <v>1053</v>
      </c>
      <c r="C295" s="1742">
        <v>0.15</v>
      </c>
      <c r="D295" s="1742">
        <v>0.15</v>
      </c>
      <c r="E295" s="1742">
        <v>0.15</v>
      </c>
      <c r="F295" s="1743">
        <v>0.15</v>
      </c>
    </row>
    <row r="296" spans="1:6" ht="14.25" thickBot="1">
      <c r="A296" s="1737" t="s">
        <v>1352</v>
      </c>
      <c r="B296" s="1741" t="s">
        <v>2136</v>
      </c>
      <c r="C296" s="1742">
        <v>0.15</v>
      </c>
      <c r="D296" s="1742">
        <v>0.15</v>
      </c>
      <c r="E296" s="1742">
        <v>0.15</v>
      </c>
      <c r="F296" s="1743">
        <v>0.15</v>
      </c>
    </row>
    <row r="297" spans="1:6" ht="14.25" thickBot="1">
      <c r="A297" s="1737" t="s">
        <v>1352</v>
      </c>
      <c r="B297" s="1741" t="s">
        <v>2137</v>
      </c>
      <c r="C297" s="1742">
        <v>0.14799999999999999</v>
      </c>
      <c r="D297" s="1742">
        <v>0.14899999999999999</v>
      </c>
      <c r="E297" s="1742">
        <v>0.15</v>
      </c>
      <c r="F297" s="1743">
        <v>0.13700000000000001</v>
      </c>
    </row>
    <row r="298" spans="1:6" ht="14.25" thickBot="1">
      <c r="A298" s="1737" t="s">
        <v>1352</v>
      </c>
      <c r="B298" s="1741" t="s">
        <v>1086</v>
      </c>
      <c r="C298" s="1742">
        <v>0.13400000000000001</v>
      </c>
      <c r="D298" s="1742">
        <v>0.13400000000000001</v>
      </c>
      <c r="E298" s="1742">
        <v>0.14499999999999999</v>
      </c>
      <c r="F298" s="1743">
        <v>0.14799999999999999</v>
      </c>
    </row>
    <row r="299" spans="1:6" ht="14.25" thickBot="1">
      <c r="A299" s="1737" t="s">
        <v>1352</v>
      </c>
      <c r="B299" s="1741" t="s">
        <v>1098</v>
      </c>
      <c r="C299" s="1742">
        <v>0.15</v>
      </c>
      <c r="D299" s="1742">
        <v>0.15</v>
      </c>
      <c r="E299" s="1742">
        <v>0.15</v>
      </c>
      <c r="F299" s="1750"/>
    </row>
    <row r="300" spans="1:6" ht="14.25" thickBot="1">
      <c r="A300" s="1737" t="s">
        <v>1352</v>
      </c>
      <c r="B300" s="1741" t="s">
        <v>2138</v>
      </c>
      <c r="C300" s="1742">
        <v>0.15</v>
      </c>
      <c r="D300" s="1742">
        <v>0.15</v>
      </c>
      <c r="E300" s="1742">
        <v>0.15</v>
      </c>
      <c r="F300" s="1743">
        <v>0.15</v>
      </c>
    </row>
    <row r="301" spans="1:6" ht="14.25" thickBot="1">
      <c r="A301" s="1737" t="s">
        <v>1352</v>
      </c>
      <c r="B301" s="1741" t="s">
        <v>1118</v>
      </c>
      <c r="C301" s="1742">
        <v>0.15</v>
      </c>
      <c r="D301" s="1742">
        <v>0.15</v>
      </c>
      <c r="E301" s="1742">
        <v>0.15</v>
      </c>
      <c r="F301" s="1750"/>
    </row>
    <row r="302" spans="1:6" ht="14.25" thickBot="1">
      <c r="A302" s="1737" t="s">
        <v>1352</v>
      </c>
      <c r="B302" s="1741" t="s">
        <v>2139</v>
      </c>
      <c r="C302" s="1742">
        <v>0.15</v>
      </c>
      <c r="D302" s="1742">
        <v>0.15</v>
      </c>
      <c r="E302" s="1742">
        <v>0.15</v>
      </c>
      <c r="F302" s="1743">
        <v>0.15</v>
      </c>
    </row>
    <row r="303" spans="1:6" ht="14.25" thickBot="1">
      <c r="A303" s="1737" t="s">
        <v>1352</v>
      </c>
      <c r="B303" s="1741" t="s">
        <v>1138</v>
      </c>
      <c r="C303" s="1742">
        <v>0.15</v>
      </c>
      <c r="D303" s="1742">
        <v>0.15</v>
      </c>
      <c r="E303" s="1742">
        <v>0.15</v>
      </c>
      <c r="F303" s="1743">
        <v>0.15</v>
      </c>
    </row>
    <row r="304" spans="1:6" ht="14.25" thickBot="1">
      <c r="A304" s="1737" t="s">
        <v>1352</v>
      </c>
      <c r="B304" s="1741" t="s">
        <v>1148</v>
      </c>
      <c r="C304" s="1742">
        <v>0.15</v>
      </c>
      <c r="D304" s="1742">
        <v>0.15</v>
      </c>
      <c r="E304" s="1742">
        <v>0.15</v>
      </c>
      <c r="F304" s="1750"/>
    </row>
    <row r="305" spans="1:6" ht="14.25" thickBot="1">
      <c r="A305" s="1737" t="s">
        <v>1352</v>
      </c>
      <c r="B305" s="1741" t="s">
        <v>2140</v>
      </c>
      <c r="C305" s="1742">
        <v>0.15</v>
      </c>
      <c r="D305" s="1742">
        <v>0.15</v>
      </c>
      <c r="E305" s="1742">
        <v>0.15</v>
      </c>
      <c r="F305" s="1743">
        <v>0.14000000000000001</v>
      </c>
    </row>
    <row r="306" spans="1:6" ht="14.25" thickBot="1">
      <c r="A306" s="1737" t="s">
        <v>1352</v>
      </c>
      <c r="B306" s="1741" t="s">
        <v>1168</v>
      </c>
      <c r="C306" s="1742">
        <v>0.15</v>
      </c>
      <c r="D306" s="1742">
        <v>0.15</v>
      </c>
      <c r="E306" s="1742">
        <v>0.15</v>
      </c>
      <c r="F306" s="1750"/>
    </row>
    <row r="307" spans="1:6" ht="14.25" thickBot="1">
      <c r="A307" s="1737" t="s">
        <v>1352</v>
      </c>
      <c r="B307" s="1741" t="s">
        <v>2141</v>
      </c>
      <c r="C307" s="1742">
        <v>0.15</v>
      </c>
      <c r="D307" s="1742">
        <v>0.15</v>
      </c>
      <c r="E307" s="1742">
        <v>0.15</v>
      </c>
      <c r="F307" s="1743">
        <v>0.14299999999999999</v>
      </c>
    </row>
    <row r="308" spans="1:6" ht="14.25" thickBot="1">
      <c r="A308" s="1737" t="s">
        <v>1352</v>
      </c>
      <c r="B308" s="1741" t="s">
        <v>1188</v>
      </c>
      <c r="C308" s="1742">
        <v>0.15</v>
      </c>
      <c r="D308" s="1742">
        <v>0.15</v>
      </c>
      <c r="E308" s="1742">
        <v>0.15</v>
      </c>
      <c r="F308" s="1743">
        <v>0.15</v>
      </c>
    </row>
    <row r="309" spans="1:6" ht="14.25" thickBot="1">
      <c r="A309" s="1737" t="s">
        <v>1352</v>
      </c>
      <c r="B309" s="1741" t="s">
        <v>1198</v>
      </c>
      <c r="C309" s="1742">
        <v>0.15</v>
      </c>
      <c r="D309" s="1742">
        <v>0.15</v>
      </c>
      <c r="E309" s="1742">
        <v>0.15</v>
      </c>
      <c r="F309" s="1750"/>
    </row>
    <row r="310" spans="1:6" ht="14.25" thickBot="1">
      <c r="A310" s="1737" t="s">
        <v>1352</v>
      </c>
      <c r="B310" s="1741" t="s">
        <v>2142</v>
      </c>
      <c r="C310" s="1742">
        <v>0.15</v>
      </c>
      <c r="D310" s="1742">
        <v>0.15</v>
      </c>
      <c r="E310" s="1742">
        <v>0.15</v>
      </c>
      <c r="F310" s="1743">
        <v>0.13700000000000001</v>
      </c>
    </row>
    <row r="311" spans="1:6" ht="14.25" thickBot="1">
      <c r="A311" s="1737" t="s">
        <v>1352</v>
      </c>
      <c r="B311" s="1741" t="s">
        <v>2143</v>
      </c>
      <c r="C311" s="1742">
        <v>0.15</v>
      </c>
      <c r="D311" s="1742">
        <v>0.15</v>
      </c>
      <c r="E311" s="1742">
        <v>0.15</v>
      </c>
      <c r="F311" s="1743">
        <v>0.15</v>
      </c>
    </row>
    <row r="312" spans="1:6" ht="14.25" thickBot="1">
      <c r="A312" s="1737" t="s">
        <v>1352</v>
      </c>
      <c r="B312" s="1741" t="s">
        <v>1224</v>
      </c>
      <c r="C312" s="1742">
        <v>0.15</v>
      </c>
      <c r="D312" s="1742">
        <v>0.15</v>
      </c>
      <c r="E312" s="1742">
        <v>0.15</v>
      </c>
      <c r="F312" s="1743">
        <v>0.1</v>
      </c>
    </row>
    <row r="313" spans="1:6" ht="14.25" thickBot="1">
      <c r="A313" s="1737" t="s">
        <v>1352</v>
      </c>
      <c r="B313" s="1741" t="s">
        <v>2144</v>
      </c>
      <c r="C313" s="1742">
        <v>0.15</v>
      </c>
      <c r="D313" s="1742">
        <v>0.15</v>
      </c>
      <c r="E313" s="1742">
        <v>0.15</v>
      </c>
      <c r="F313" s="1743">
        <v>0.15</v>
      </c>
    </row>
    <row r="314" spans="1:6" ht="24.75" thickBot="1">
      <c r="A314" s="1737" t="s">
        <v>1352</v>
      </c>
      <c r="B314" s="1741" t="s">
        <v>2145</v>
      </c>
      <c r="C314" s="1751"/>
      <c r="D314" s="1751"/>
      <c r="E314" s="1751"/>
      <c r="F314" s="1743">
        <v>0.05</v>
      </c>
    </row>
    <row r="315" spans="1:6" ht="24.75" thickBot="1">
      <c r="A315" s="1737" t="s">
        <v>1352</v>
      </c>
      <c r="B315" s="1741" t="s">
        <v>2146</v>
      </c>
      <c r="C315" s="1751"/>
      <c r="D315" s="1751"/>
      <c r="E315" s="1751"/>
      <c r="F315" s="1743">
        <v>0.05</v>
      </c>
    </row>
    <row r="316" spans="1:6" ht="24.75" thickBot="1">
      <c r="A316" s="1745" t="s">
        <v>1352</v>
      </c>
      <c r="B316" s="1752" t="s">
        <v>2147</v>
      </c>
      <c r="C316" s="1748"/>
      <c r="D316" s="1748"/>
      <c r="E316" s="1748"/>
      <c r="F316" s="1753">
        <v>0.05</v>
      </c>
    </row>
    <row r="317" spans="1:6" ht="14.25" thickBot="1">
      <c r="A317" s="1737" t="s">
        <v>2148</v>
      </c>
      <c r="B317" s="1738" t="s">
        <v>2149</v>
      </c>
      <c r="C317" s="1739">
        <v>0.15</v>
      </c>
      <c r="D317" s="1739">
        <v>0.15</v>
      </c>
      <c r="E317" s="1739">
        <v>0.15</v>
      </c>
      <c r="F317" s="1740">
        <v>0.15</v>
      </c>
    </row>
    <row r="318" spans="1:6" ht="14.25" thickBot="1">
      <c r="A318" s="1737" t="s">
        <v>2148</v>
      </c>
      <c r="B318" s="1741" t="s">
        <v>2150</v>
      </c>
      <c r="C318" s="1742">
        <v>0.107</v>
      </c>
      <c r="D318" s="1742">
        <v>0.11</v>
      </c>
      <c r="E318" s="1742">
        <v>0.112</v>
      </c>
      <c r="F318" s="1750"/>
    </row>
    <row r="319" spans="1:6" ht="14.25" thickBot="1">
      <c r="A319" s="1737" t="s">
        <v>2148</v>
      </c>
      <c r="B319" s="1741" t="s">
        <v>2151</v>
      </c>
      <c r="C319" s="1742">
        <v>0.15</v>
      </c>
      <c r="D319" s="1742">
        <v>0.15</v>
      </c>
      <c r="E319" s="1742">
        <v>0.15</v>
      </c>
      <c r="F319" s="1743">
        <v>0.15</v>
      </c>
    </row>
    <row r="320" spans="1:6" ht="14.25" thickBot="1">
      <c r="A320" s="1737" t="s">
        <v>2148</v>
      </c>
      <c r="B320" s="1741" t="s">
        <v>1040</v>
      </c>
      <c r="C320" s="1742">
        <v>0.15</v>
      </c>
      <c r="D320" s="1742">
        <v>0.15</v>
      </c>
      <c r="E320" s="1742">
        <v>0.15</v>
      </c>
      <c r="F320" s="1750"/>
    </row>
    <row r="321" spans="1:6" ht="14.25" thickBot="1">
      <c r="A321" s="1737" t="s">
        <v>2148</v>
      </c>
      <c r="B321" s="1741" t="s">
        <v>2152</v>
      </c>
      <c r="C321" s="1742">
        <v>0.15</v>
      </c>
      <c r="D321" s="1742">
        <v>0.15</v>
      </c>
      <c r="E321" s="1742">
        <v>0.15</v>
      </c>
      <c r="F321" s="1750"/>
    </row>
    <row r="322" spans="1:6" ht="14.25" thickBot="1">
      <c r="A322" s="1737" t="s">
        <v>2148</v>
      </c>
      <c r="B322" s="1741" t="s">
        <v>2153</v>
      </c>
      <c r="C322" s="1742">
        <v>0.15</v>
      </c>
      <c r="D322" s="1742">
        <v>0.15</v>
      </c>
      <c r="E322" s="1742">
        <v>0.15</v>
      </c>
      <c r="F322" s="1743">
        <v>0.15</v>
      </c>
    </row>
    <row r="323" spans="1:6" ht="14.25" thickBot="1">
      <c r="A323" s="1737" t="s">
        <v>2148</v>
      </c>
      <c r="B323" s="1741" t="s">
        <v>2154</v>
      </c>
      <c r="C323" s="1742">
        <v>0.15</v>
      </c>
      <c r="D323" s="1742">
        <v>0.15</v>
      </c>
      <c r="E323" s="1742">
        <v>0.15</v>
      </c>
      <c r="F323" s="1750"/>
    </row>
    <row r="324" spans="1:6" ht="14.25" thickBot="1">
      <c r="A324" s="1737" t="s">
        <v>2148</v>
      </c>
      <c r="B324" s="1741" t="s">
        <v>2155</v>
      </c>
      <c r="C324" s="1742">
        <v>0.15</v>
      </c>
      <c r="D324" s="1742">
        <v>0.15</v>
      </c>
      <c r="E324" s="1742">
        <v>0.15</v>
      </c>
      <c r="F324" s="1750"/>
    </row>
    <row r="325" spans="1:6" ht="14.25" thickBot="1">
      <c r="A325" s="1737" t="s">
        <v>2148</v>
      </c>
      <c r="B325" s="1741" t="s">
        <v>2156</v>
      </c>
      <c r="C325" s="1742">
        <v>0.15</v>
      </c>
      <c r="D325" s="1742">
        <v>0.15</v>
      </c>
      <c r="E325" s="1742">
        <v>0.15</v>
      </c>
      <c r="F325" s="1743">
        <v>0.14699999999999999</v>
      </c>
    </row>
    <row r="326" spans="1:6" ht="14.25" thickBot="1">
      <c r="A326" s="1737" t="s">
        <v>2148</v>
      </c>
      <c r="B326" s="1741" t="s">
        <v>1109</v>
      </c>
      <c r="C326" s="1742">
        <v>0.15</v>
      </c>
      <c r="D326" s="1742">
        <v>0.15</v>
      </c>
      <c r="E326" s="1742">
        <v>0.15</v>
      </c>
      <c r="F326" s="1750"/>
    </row>
    <row r="327" spans="1:6" ht="14.25" thickBot="1">
      <c r="A327" s="1737" t="s">
        <v>2148</v>
      </c>
      <c r="B327" s="1741" t="s">
        <v>2157</v>
      </c>
      <c r="C327" s="1742">
        <v>0.15</v>
      </c>
      <c r="D327" s="1742">
        <v>0.15</v>
      </c>
      <c r="E327" s="1742">
        <v>0.15</v>
      </c>
      <c r="F327" s="1743">
        <v>0.15</v>
      </c>
    </row>
    <row r="328" spans="1:6" ht="14.25" thickBot="1">
      <c r="A328" s="1737" t="s">
        <v>2148</v>
      </c>
      <c r="B328" s="1741" t="s">
        <v>1129</v>
      </c>
      <c r="C328" s="1742">
        <v>0.15</v>
      </c>
      <c r="D328" s="1742">
        <v>0.15</v>
      </c>
      <c r="E328" s="1742">
        <v>0.15</v>
      </c>
      <c r="F328" s="1743">
        <v>0.14099999999999999</v>
      </c>
    </row>
    <row r="329" spans="1:6" ht="14.25" thickBot="1">
      <c r="A329" s="1737" t="s">
        <v>2148</v>
      </c>
      <c r="B329" s="1741" t="s">
        <v>1139</v>
      </c>
      <c r="C329" s="1742">
        <v>0.15</v>
      </c>
      <c r="D329" s="1742">
        <v>0.15</v>
      </c>
      <c r="E329" s="1742">
        <v>0.15</v>
      </c>
      <c r="F329" s="1743">
        <v>0.15</v>
      </c>
    </row>
    <row r="330" spans="1:6" ht="14.25" thickBot="1">
      <c r="A330" s="1737" t="s">
        <v>2148</v>
      </c>
      <c r="B330" s="1741" t="s">
        <v>1149</v>
      </c>
      <c r="C330" s="1742">
        <v>0.15</v>
      </c>
      <c r="D330" s="1742">
        <v>0.15</v>
      </c>
      <c r="E330" s="1742">
        <v>0.15</v>
      </c>
      <c r="F330" s="1750"/>
    </row>
    <row r="331" spans="1:6" ht="14.25" thickBot="1">
      <c r="A331" s="1737" t="s">
        <v>2148</v>
      </c>
      <c r="B331" s="1741" t="s">
        <v>2158</v>
      </c>
      <c r="C331" s="1742">
        <v>0.15</v>
      </c>
      <c r="D331" s="1742">
        <v>0.15</v>
      </c>
      <c r="E331" s="1742">
        <v>0.15</v>
      </c>
      <c r="F331" s="1743">
        <v>0.15</v>
      </c>
    </row>
    <row r="332" spans="1:6" ht="14.25" thickBot="1">
      <c r="A332" s="1737" t="s">
        <v>2148</v>
      </c>
      <c r="B332" s="1741" t="s">
        <v>1169</v>
      </c>
      <c r="C332" s="1742">
        <v>0.15</v>
      </c>
      <c r="D332" s="1742">
        <v>0.15</v>
      </c>
      <c r="E332" s="1742">
        <v>0.15</v>
      </c>
      <c r="F332" s="1743">
        <v>0.15</v>
      </c>
    </row>
    <row r="333" spans="1:6" ht="14.25" thickBot="1">
      <c r="A333" s="1737" t="s">
        <v>2148</v>
      </c>
      <c r="B333" s="1741" t="s">
        <v>2159</v>
      </c>
      <c r="C333" s="1742">
        <v>0.15</v>
      </c>
      <c r="D333" s="1742">
        <v>0.15</v>
      </c>
      <c r="E333" s="1742">
        <v>0.15</v>
      </c>
      <c r="F333" s="1743">
        <v>0.14099999999999999</v>
      </c>
    </row>
    <row r="334" spans="1:6" ht="14.25" thickBot="1">
      <c r="A334" s="1737" t="s">
        <v>2148</v>
      </c>
      <c r="B334" s="1741" t="s">
        <v>1189</v>
      </c>
      <c r="C334" s="1742">
        <v>0.15</v>
      </c>
      <c r="D334" s="1742">
        <v>0.15</v>
      </c>
      <c r="E334" s="1742">
        <v>0.15</v>
      </c>
      <c r="F334" s="1743">
        <v>0.15</v>
      </c>
    </row>
    <row r="335" spans="1:6" ht="14.25" thickBot="1">
      <c r="A335" s="1737" t="s">
        <v>2148</v>
      </c>
      <c r="B335" s="1741" t="s">
        <v>1199</v>
      </c>
      <c r="C335" s="1742">
        <v>0.15</v>
      </c>
      <c r="D335" s="1742">
        <v>0.15</v>
      </c>
      <c r="E335" s="1742">
        <v>0.15</v>
      </c>
      <c r="F335" s="1750"/>
    </row>
    <row r="336" spans="1:6" ht="14.25" thickBot="1">
      <c r="A336" s="1737" t="s">
        <v>2148</v>
      </c>
      <c r="B336" s="1741" t="s">
        <v>2160</v>
      </c>
      <c r="C336" s="1742">
        <v>0.15</v>
      </c>
      <c r="D336" s="1742">
        <v>0.15</v>
      </c>
      <c r="E336" s="1742">
        <v>0.15</v>
      </c>
      <c r="F336" s="1743">
        <v>0.11799999999999999</v>
      </c>
    </row>
    <row r="337" spans="1:6" ht="14.25" thickBot="1">
      <c r="A337" s="1745" t="s">
        <v>2148</v>
      </c>
      <c r="B337" s="1752" t="s">
        <v>1217</v>
      </c>
      <c r="C337" s="1748"/>
      <c r="D337" s="1748"/>
      <c r="E337" s="1748"/>
      <c r="F337" s="1753">
        <v>0.14299999999999999</v>
      </c>
    </row>
    <row r="338" spans="1:6" ht="14.25" thickBot="1">
      <c r="A338" s="1737" t="s">
        <v>2161</v>
      </c>
      <c r="B338" s="1738" t="s">
        <v>2162</v>
      </c>
      <c r="C338" s="1739">
        <v>0.15</v>
      </c>
      <c r="D338" s="1739">
        <v>0.15</v>
      </c>
      <c r="E338" s="1739">
        <v>0.15</v>
      </c>
      <c r="F338" s="1761"/>
    </row>
    <row r="339" spans="1:6" ht="14.25" thickBot="1">
      <c r="A339" s="1737" t="s">
        <v>2161</v>
      </c>
      <c r="B339" s="1741" t="s">
        <v>2163</v>
      </c>
      <c r="C339" s="1742">
        <v>0.15</v>
      </c>
      <c r="D339" s="1742">
        <v>0.15</v>
      </c>
      <c r="E339" s="1742">
        <v>0.15</v>
      </c>
      <c r="F339" s="1750"/>
    </row>
    <row r="340" spans="1:6" ht="14.25" thickBot="1">
      <c r="A340" s="1737" t="s">
        <v>2161</v>
      </c>
      <c r="B340" s="1741" t="s">
        <v>2164</v>
      </c>
      <c r="C340" s="1742">
        <v>0.15</v>
      </c>
      <c r="D340" s="1742">
        <v>0.15</v>
      </c>
      <c r="E340" s="1742">
        <v>0.15</v>
      </c>
      <c r="F340" s="1750"/>
    </row>
    <row r="341" spans="1:6" ht="14.25" thickBot="1">
      <c r="A341" s="1737" t="s">
        <v>2165</v>
      </c>
      <c r="B341" s="1741" t="s">
        <v>2166</v>
      </c>
      <c r="C341" s="1742">
        <v>0.15</v>
      </c>
      <c r="D341" s="1742">
        <v>0.15</v>
      </c>
      <c r="E341" s="1742">
        <v>0.15</v>
      </c>
      <c r="F341" s="1743">
        <v>0.15</v>
      </c>
    </row>
    <row r="342" spans="1:6" ht="14.25" thickBot="1">
      <c r="A342" s="1737" t="s">
        <v>2161</v>
      </c>
      <c r="B342" s="1741" t="s">
        <v>2167</v>
      </c>
      <c r="C342" s="1742">
        <v>0.15</v>
      </c>
      <c r="D342" s="1742">
        <v>0.15</v>
      </c>
      <c r="E342" s="1742">
        <v>0.15</v>
      </c>
      <c r="F342" s="1743">
        <v>0.15</v>
      </c>
    </row>
    <row r="343" spans="1:6" ht="14.25" thickBot="1">
      <c r="A343" s="1737" t="s">
        <v>2161</v>
      </c>
      <c r="B343" s="1741" t="s">
        <v>2168</v>
      </c>
      <c r="C343" s="1742">
        <v>0.15</v>
      </c>
      <c r="D343" s="1742">
        <v>0.15</v>
      </c>
      <c r="E343" s="1742">
        <v>0.15</v>
      </c>
      <c r="F343" s="1743">
        <v>0.15</v>
      </c>
    </row>
    <row r="344" spans="1:6" ht="14.25" thickBot="1">
      <c r="A344" s="1745" t="s">
        <v>2161</v>
      </c>
      <c r="B344" s="1752" t="s">
        <v>2169</v>
      </c>
      <c r="C344" s="1747">
        <v>0.15</v>
      </c>
      <c r="D344" s="1747">
        <v>0.15</v>
      </c>
      <c r="E344" s="1747">
        <v>0.15</v>
      </c>
      <c r="F344" s="1753">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961" t="s">
        <v>2863</v>
      </c>
      <c r="B1" s="2963"/>
      <c r="C1" s="2963"/>
      <c r="D1" s="2963"/>
      <c r="E1" s="2963"/>
      <c r="F1" s="2963"/>
    </row>
    <row r="2" spans="1:6" ht="14.25">
      <c r="A2" s="2964" t="s">
        <v>2858</v>
      </c>
      <c r="B2" s="2965" t="e">
        <f ca="1">SUMIF(B7:B14,"&lt;&gt;#ref!",B7:B14)</f>
        <v>#DIV/0!</v>
      </c>
      <c r="C2" s="2964" t="s">
        <v>2859</v>
      </c>
      <c r="D2" s="2963"/>
      <c r="E2" s="2963"/>
      <c r="F2" s="2963"/>
    </row>
    <row r="3" spans="1:6" ht="14.25">
      <c r="A3" s="2964" t="s">
        <v>2893</v>
      </c>
      <c r="B3" s="2965" t="e">
        <f ca="1">ROUND(B2*10000/E3,0)</f>
        <v>#DIV/0!</v>
      </c>
      <c r="C3" s="2964" t="s">
        <v>2010</v>
      </c>
      <c r="D3" s="2964" t="s">
        <v>2860</v>
      </c>
      <c r="E3" s="2965">
        <f ca="1">SUMIF(E7:E14,"&lt;&gt;#ref!",E7:E14)</f>
        <v>0</v>
      </c>
      <c r="F3" s="2963"/>
    </row>
    <row r="4" spans="1:6" ht="14.25">
      <c r="A4" s="2964" t="s">
        <v>2867</v>
      </c>
      <c r="B4" s="2965" t="e">
        <f ca="1">ROUND(B2*10000/E4,0)</f>
        <v>#DIV/0!</v>
      </c>
      <c r="C4" s="2964" t="s">
        <v>2010</v>
      </c>
      <c r="D4" s="2964" t="s">
        <v>2868</v>
      </c>
      <c r="E4" s="2965">
        <f ca="1">SUMIF(F7:F14,"&lt;&gt;#ref!",F7:F14)</f>
        <v>0</v>
      </c>
      <c r="F4" s="2963"/>
    </row>
    <row r="5" spans="1:6" ht="14.25">
      <c r="A5" s="2966"/>
      <c r="B5" s="1763"/>
      <c r="C5" s="1763"/>
      <c r="D5" s="1763"/>
      <c r="E5" s="1763"/>
      <c r="F5" s="2963"/>
    </row>
    <row r="6" spans="1:6" ht="28.5">
      <c r="A6" s="2967" t="s">
        <v>2864</v>
      </c>
      <c r="B6" s="2964" t="s">
        <v>2861</v>
      </c>
      <c r="C6" s="2965"/>
      <c r="D6" s="1763"/>
      <c r="E6" s="2964" t="s">
        <v>2862</v>
      </c>
      <c r="F6" s="2964" t="s">
        <v>2866</v>
      </c>
    </row>
    <row r="7" spans="1:6" ht="14.25">
      <c r="A7" s="164" t="s">
        <v>2865</v>
      </c>
      <c r="B7" s="2968" t="e">
        <f ca="1">SUMIF(INDIRECT("'"&amp;A7&amp;"'"&amp;"!A:A"),"总价",INDIRECT("'"&amp;A7&amp;"'"&amp;"!B:B"))</f>
        <v>#DIV/0!</v>
      </c>
      <c r="C7" s="2964" t="s">
        <v>2859</v>
      </c>
      <c r="D7" s="1763"/>
      <c r="E7" s="2969">
        <f ca="1">SUMIF(INDIRECT("'"&amp;A7&amp;"'"&amp;"!C:C"),"建筑面积",INDIRECT("'"&amp;A7&amp;"'"&amp;"!D:D"))</f>
        <v>0</v>
      </c>
      <c r="F7" s="2969">
        <f ca="1">SUMIF(INDIRECT("'"&amp;A7&amp;"'"&amp;"!E:E"),"土地面积",INDIRECT("'"&amp;A7&amp;"'"&amp;"!F:F"))</f>
        <v>0</v>
      </c>
    </row>
    <row r="8" spans="1:6" ht="14.25">
      <c r="A8" s="164"/>
      <c r="B8" s="2968" t="e">
        <f t="shared" ref="B8:B14" ca="1" si="0">SUMIF(INDIRECT("'"&amp;A8&amp;"'"&amp;"!A:A"),"总价",INDIRECT("'"&amp;A8&amp;"'"&amp;"!B:B"))</f>
        <v>#REF!</v>
      </c>
      <c r="C8" s="2964" t="s">
        <v>2859</v>
      </c>
      <c r="D8" s="1763"/>
      <c r="E8" s="2969" t="e">
        <f t="shared" ref="E8:E14" ca="1" si="1">SUMIF(INDIRECT("'"&amp;A8&amp;"'"&amp;"!C:C"),"建筑面积",INDIRECT("'"&amp;A8&amp;"'"&amp;"!D:D"))</f>
        <v>#REF!</v>
      </c>
      <c r="F8" s="2969" t="e">
        <f t="shared" ref="F8:F14" ca="1" si="2">SUMIF(INDIRECT("'"&amp;A8&amp;"'"&amp;"!E:E"),"土地面积",INDIRECT("'"&amp;A8&amp;"'"&amp;"!F:F"))</f>
        <v>#REF!</v>
      </c>
    </row>
    <row r="9" spans="1:6" ht="14.25">
      <c r="A9" s="164"/>
      <c r="B9" s="2968" t="e">
        <f t="shared" ca="1" si="0"/>
        <v>#REF!</v>
      </c>
      <c r="C9" s="2964" t="s">
        <v>2859</v>
      </c>
      <c r="D9" s="1763"/>
      <c r="E9" s="2969" t="e">
        <f t="shared" ca="1" si="1"/>
        <v>#REF!</v>
      </c>
      <c r="F9" s="2969" t="e">
        <f t="shared" ca="1" si="2"/>
        <v>#REF!</v>
      </c>
    </row>
    <row r="10" spans="1:6" ht="14.25">
      <c r="A10" s="164"/>
      <c r="B10" s="2968" t="e">
        <f t="shared" ca="1" si="0"/>
        <v>#REF!</v>
      </c>
      <c r="C10" s="2964" t="s">
        <v>2859</v>
      </c>
      <c r="D10" s="1763"/>
      <c r="E10" s="2969" t="e">
        <f t="shared" ca="1" si="1"/>
        <v>#REF!</v>
      </c>
      <c r="F10" s="2969" t="e">
        <f t="shared" ca="1" si="2"/>
        <v>#REF!</v>
      </c>
    </row>
    <row r="11" spans="1:6" ht="14.25">
      <c r="A11" s="164"/>
      <c r="B11" s="2968" t="e">
        <f t="shared" ca="1" si="0"/>
        <v>#REF!</v>
      </c>
      <c r="C11" s="2964" t="s">
        <v>2859</v>
      </c>
      <c r="D11" s="1763"/>
      <c r="E11" s="2969" t="e">
        <f t="shared" ca="1" si="1"/>
        <v>#REF!</v>
      </c>
      <c r="F11" s="2969" t="e">
        <f t="shared" ca="1" si="2"/>
        <v>#REF!</v>
      </c>
    </row>
    <row r="12" spans="1:6" ht="14.25">
      <c r="A12" s="164"/>
      <c r="B12" s="2968" t="e">
        <f t="shared" ca="1" si="0"/>
        <v>#REF!</v>
      </c>
      <c r="C12" s="2964" t="s">
        <v>2859</v>
      </c>
      <c r="D12" s="1763"/>
      <c r="E12" s="2969" t="e">
        <f t="shared" ca="1" si="1"/>
        <v>#REF!</v>
      </c>
      <c r="F12" s="2969" t="e">
        <f t="shared" ca="1" si="2"/>
        <v>#REF!</v>
      </c>
    </row>
    <row r="13" spans="1:6" ht="14.25">
      <c r="A13" s="164"/>
      <c r="B13" s="2968" t="e">
        <f t="shared" ca="1" si="0"/>
        <v>#REF!</v>
      </c>
      <c r="C13" s="2964" t="s">
        <v>2859</v>
      </c>
      <c r="D13" s="1763"/>
      <c r="E13" s="2969" t="e">
        <f t="shared" ca="1" si="1"/>
        <v>#REF!</v>
      </c>
      <c r="F13" s="2969" t="e">
        <f t="shared" ca="1" si="2"/>
        <v>#REF!</v>
      </c>
    </row>
    <row r="14" spans="1:6" ht="14.25">
      <c r="A14" s="2962"/>
      <c r="B14" s="2968" t="e">
        <f t="shared" ca="1" si="0"/>
        <v>#REF!</v>
      </c>
      <c r="C14" s="2964" t="s">
        <v>2859</v>
      </c>
      <c r="D14" s="1763"/>
      <c r="E14" s="2969" t="e">
        <f t="shared" ca="1" si="1"/>
        <v>#REF!</v>
      </c>
      <c r="F14" s="296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ColWidth="9" defaultRowHeight="15"/>
  <cols>
    <col min="1" max="1" width="9" style="1973" customWidth="1"/>
    <col min="2" max="2" width="20.625" style="1974" customWidth="1"/>
    <col min="3" max="3" width="11.875" style="1974" customWidth="1"/>
    <col min="4" max="4" width="40.5" style="1935" customWidth="1"/>
    <col min="5" max="5" width="15.75" style="1935" customWidth="1"/>
    <col min="6" max="6" width="10.625" style="1935" customWidth="1"/>
    <col min="7" max="7" width="4.875" style="1935" customWidth="1"/>
    <col min="8" max="8" width="8.5" style="1935" customWidth="1"/>
    <col min="9" max="9" width="21.25" style="1935" customWidth="1"/>
    <col min="10" max="10" width="12.25" style="1935" customWidth="1"/>
    <col min="11" max="11" width="40.125" style="1975" customWidth="1"/>
    <col min="12" max="12" width="18.375" style="1935" customWidth="1"/>
    <col min="13" max="13" width="13" style="1935" customWidth="1"/>
    <col min="14" max="14" width="9.5" style="1934" bestFit="1" customWidth="1"/>
    <col min="15" max="15" width="8.375" style="1934" customWidth="1"/>
    <col min="16" max="16" width="30.25" style="1934" customWidth="1"/>
    <col min="17" max="17" width="13.75" style="1934" customWidth="1"/>
    <col min="18" max="18" width="22.25" style="1934" customWidth="1"/>
    <col min="19" max="19" width="1.5" style="1934" customWidth="1"/>
    <col min="20" max="25" width="9" style="1934"/>
    <col min="26" max="16384" width="9" style="1935"/>
  </cols>
  <sheetData>
    <row r="1" spans="1:25" s="1929" customFormat="1" ht="21">
      <c r="A1" s="672" t="s">
        <v>568</v>
      </c>
      <c r="B1" s="638"/>
      <c r="C1" s="673"/>
      <c r="D1" s="1925"/>
      <c r="E1" s="2257" t="s">
        <v>2302</v>
      </c>
      <c r="F1" s="2258">
        <f ca="1">J54</f>
        <v>0</v>
      </c>
      <c r="G1" s="674">
        <f>MATCH(C1,'数据-取费表'!A6:A16,0)+5</f>
        <v>9</v>
      </c>
      <c r="H1" s="1238"/>
      <c r="I1" s="1926"/>
      <c r="J1" s="1926"/>
      <c r="K1" s="1927"/>
      <c r="L1" s="1926"/>
      <c r="M1" s="1926"/>
      <c r="N1" s="1928"/>
      <c r="O1" s="1928"/>
      <c r="P1" s="1928"/>
      <c r="Q1" s="1928"/>
      <c r="R1" s="1928"/>
      <c r="S1" s="1928"/>
      <c r="T1" s="1928"/>
      <c r="U1" s="1928"/>
      <c r="V1" s="1928"/>
      <c r="W1" s="1928"/>
      <c r="X1" s="1928"/>
      <c r="Y1" s="1928"/>
    </row>
    <row r="2" spans="1:25" ht="18" customHeight="1">
      <c r="A2" s="1532" t="s">
        <v>569</v>
      </c>
      <c r="B2" s="675">
        <f ca="1">IF(ISERROR(C45+J31),0,C45+J31)</f>
        <v>0</v>
      </c>
      <c r="C2" s="1239"/>
      <c r="D2" s="1930"/>
      <c r="E2" s="1931"/>
      <c r="F2" s="1931"/>
      <c r="G2" s="1478"/>
      <c r="H2" s="1251"/>
      <c r="I2" s="1932"/>
      <c r="J2" s="1932"/>
      <c r="K2" s="1933"/>
      <c r="L2" s="1932"/>
      <c r="M2" s="1932"/>
    </row>
    <row r="3" spans="1:25" ht="18" customHeight="1">
      <c r="A3" s="1533" t="s">
        <v>1619</v>
      </c>
      <c r="B3" s="1279">
        <f ca="1">ROUND(B2*10000/'数据-汇总表'!E3,0)</f>
        <v>0</v>
      </c>
      <c r="C3" s="1239"/>
      <c r="D3" s="1930"/>
      <c r="E3" s="1931"/>
      <c r="F3" s="1931"/>
      <c r="G3" s="1478"/>
      <c r="H3" s="676" t="s">
        <v>635</v>
      </c>
      <c r="I3" s="1932"/>
      <c r="J3" s="1932"/>
      <c r="K3" s="1933"/>
      <c r="L3" s="1932"/>
      <c r="M3" s="1932"/>
    </row>
    <row r="4" spans="1:25" ht="18" customHeight="1">
      <c r="A4" s="1534" t="s">
        <v>636</v>
      </c>
      <c r="B4" s="1240">
        <f ca="1">ROUND(B2*10000/'数据-汇总表'!D3,0)</f>
        <v>0</v>
      </c>
      <c r="C4" s="328"/>
      <c r="D4" s="1930"/>
      <c r="E4" s="1931"/>
      <c r="F4" s="1931"/>
      <c r="G4" s="1478"/>
      <c r="H4" s="676"/>
      <c r="I4" s="1932"/>
      <c r="J4" s="1932"/>
      <c r="K4" s="1933"/>
      <c r="L4" s="1932"/>
      <c r="M4" s="1932"/>
    </row>
    <row r="5" spans="1:25" ht="18" customHeight="1" thickBot="1">
      <c r="A5" s="1535"/>
      <c r="B5" s="330">
        <f ca="1">ROUND(B2/('数据-汇总表'!D3/666.67),0)</f>
        <v>0</v>
      </c>
      <c r="C5" s="331" t="s">
        <v>637</v>
      </c>
      <c r="D5" s="1930"/>
      <c r="E5" s="1931"/>
      <c r="F5" s="1931"/>
      <c r="G5" s="1478"/>
      <c r="H5" s="676"/>
      <c r="I5" s="1932"/>
      <c r="J5" s="1932"/>
      <c r="K5" s="1933"/>
      <c r="L5" s="1932"/>
      <c r="M5" s="1932"/>
    </row>
    <row r="6" spans="1:25" ht="18" customHeight="1">
      <c r="A6" s="1711" t="s">
        <v>638</v>
      </c>
      <c r="B6" s="1703" t="s">
        <v>639</v>
      </c>
      <c r="C6" s="1703" t="s">
        <v>572</v>
      </c>
      <c r="D6" s="1703" t="s">
        <v>573</v>
      </c>
      <c r="E6" s="679" t="s">
        <v>574</v>
      </c>
      <c r="F6" s="680"/>
      <c r="G6" s="1480"/>
      <c r="H6" s="1711" t="s">
        <v>570</v>
      </c>
      <c r="I6" s="1703" t="s">
        <v>571</v>
      </c>
      <c r="J6" s="1703" t="s">
        <v>572</v>
      </c>
      <c r="K6" s="1703" t="s">
        <v>573</v>
      </c>
      <c r="L6" s="679" t="s">
        <v>574</v>
      </c>
      <c r="M6" s="680"/>
    </row>
    <row r="7" spans="1:25" ht="18" customHeight="1">
      <c r="A7" s="681">
        <v>1</v>
      </c>
      <c r="B7" s="682" t="s">
        <v>2386</v>
      </c>
      <c r="C7" s="52">
        <f ca="1">C8+C12+C14</f>
        <v>0</v>
      </c>
      <c r="D7" s="2362" t="s">
        <v>2389</v>
      </c>
      <c r="E7" s="2356"/>
      <c r="F7" s="2357"/>
      <c r="G7" s="1480"/>
      <c r="H7" s="681">
        <v>1</v>
      </c>
      <c r="I7" s="682" t="s">
        <v>2386</v>
      </c>
      <c r="J7" s="52">
        <f ca="1">J8+J12+J14</f>
        <v>0</v>
      </c>
      <c r="K7" s="2362" t="s">
        <v>2389</v>
      </c>
      <c r="L7" s="2356"/>
      <c r="M7" s="2357"/>
    </row>
    <row r="8" spans="1:25" ht="18" customHeight="1">
      <c r="A8" s="1713" t="s">
        <v>1757</v>
      </c>
      <c r="B8" s="3451" t="s">
        <v>2391</v>
      </c>
      <c r="C8" s="1708">
        <f ca="1">ROUND(F8*F10*F9*(1-F11)/10000,0)</f>
        <v>0</v>
      </c>
      <c r="D8" s="1705" t="s">
        <v>2462</v>
      </c>
      <c r="E8" s="60" t="s">
        <v>577</v>
      </c>
      <c r="F8" s="685">
        <f ca="1">INDIRECT("'数据-取费表'!u"&amp;$G$1)</f>
        <v>0</v>
      </c>
      <c r="G8" s="1480"/>
      <c r="H8" s="2370" t="s">
        <v>1757</v>
      </c>
      <c r="I8" s="3451" t="s">
        <v>2391</v>
      </c>
      <c r="J8" s="683">
        <f ca="1">ROUND(M8*M10*M9*(1-M11)/10000,0)</f>
        <v>0</v>
      </c>
      <c r="K8" s="241" t="s">
        <v>2462</v>
      </c>
      <c r="L8" s="684" t="s">
        <v>1671</v>
      </c>
      <c r="M8" s="685">
        <f ca="1">INDIRECT("'数据-取费表'!z"&amp;$G$1)</f>
        <v>0</v>
      </c>
    </row>
    <row r="9" spans="1:25" ht="18" customHeight="1">
      <c r="A9" s="2366"/>
      <c r="B9" s="3452"/>
      <c r="C9" s="1709"/>
      <c r="D9" s="1706"/>
      <c r="E9" s="60" t="s">
        <v>578</v>
      </c>
      <c r="F9" s="685">
        <f ca="1">IF(INDIRECT("'数据-取费表'!ah"&amp;$G$1)="",INDIRECT("'数据-取费表'!k"&amp;$G$1),INDIRECT("'数据-取费表'!ah"&amp;$G$1))</f>
        <v>0</v>
      </c>
      <c r="G9" s="1480"/>
      <c r="H9" s="2355"/>
      <c r="I9" s="3452"/>
      <c r="J9" s="688"/>
      <c r="K9" s="689"/>
      <c r="L9" s="684" t="s">
        <v>1672</v>
      </c>
      <c r="M9" s="685">
        <f ca="1">F9</f>
        <v>0</v>
      </c>
    </row>
    <row r="10" spans="1:25" ht="18" customHeight="1">
      <c r="A10" s="2359"/>
      <c r="B10" s="3453"/>
      <c r="C10" s="1709"/>
      <c r="D10" s="1706"/>
      <c r="E10" s="60" t="s">
        <v>579</v>
      </c>
      <c r="F10" s="685">
        <f ca="1">INDIRECT("'数据-取费表'!ai"&amp;$G$1)</f>
        <v>0</v>
      </c>
      <c r="G10" s="1480"/>
      <c r="H10" s="2355"/>
      <c r="I10" s="3453"/>
      <c r="J10" s="688"/>
      <c r="K10" s="689"/>
      <c r="L10" s="684" t="s">
        <v>1673</v>
      </c>
      <c r="M10" s="685">
        <f ca="1">INDIRECT("'数据-取费表'!ai"&amp;$G$1)</f>
        <v>0</v>
      </c>
    </row>
    <row r="11" spans="1:25" ht="18" customHeight="1">
      <c r="A11" s="686"/>
      <c r="B11" s="3454"/>
      <c r="C11" s="1709"/>
      <c r="D11" s="1706"/>
      <c r="E11" s="60" t="s">
        <v>580</v>
      </c>
      <c r="F11" s="694">
        <f ca="1">INDIRECT("'数据-取费表'!w"&amp;$G$1)</f>
        <v>0</v>
      </c>
      <c r="G11" s="1480"/>
      <c r="H11" s="2371"/>
      <c r="I11" s="3453"/>
      <c r="J11" s="688"/>
      <c r="K11" s="689"/>
      <c r="L11" s="695" t="s">
        <v>1674</v>
      </c>
      <c r="M11" s="696">
        <f ca="1">INDIRECT("'数据-取费表'!ab"&amp;$G$1)</f>
        <v>0</v>
      </c>
    </row>
    <row r="12" spans="1:25" ht="18" customHeight="1">
      <c r="A12" s="1713" t="s">
        <v>1758</v>
      </c>
      <c r="B12" s="2360" t="s">
        <v>2387</v>
      </c>
      <c r="C12" s="699">
        <f ca="1">ROUND(IF(F12="押一",C8/12*F13,IF(F12="押二",C8/12*2*F13,IF(F12="押三",C8/12*3*F13,C13*F13))),0)</f>
        <v>0</v>
      </c>
      <c r="D12" s="2367" t="s">
        <v>2888</v>
      </c>
      <c r="E12" s="2364" t="s">
        <v>2392</v>
      </c>
      <c r="F12" s="2486"/>
      <c r="G12" s="1480"/>
      <c r="H12" s="2427" t="s">
        <v>1758</v>
      </c>
      <c r="I12" s="2432" t="s">
        <v>2387</v>
      </c>
      <c r="J12" s="683">
        <f ca="1">ROUND(IF(M12="押一",J8/12*M13,IF(M12="押二",J8/12*2*M13,IF(M12="押三",J8/12*3*M13,J13*M13))),0)</f>
        <v>0</v>
      </c>
      <c r="K12" s="2367" t="s">
        <v>2888</v>
      </c>
      <c r="L12" s="2364" t="s">
        <v>2392</v>
      </c>
      <c r="M12" s="2486"/>
    </row>
    <row r="13" spans="1:25" ht="18" customHeight="1">
      <c r="A13" s="690"/>
      <c r="B13" s="2361" t="s">
        <v>2501</v>
      </c>
      <c r="C13" s="2365"/>
      <c r="D13" s="689"/>
      <c r="E13" s="2364" t="s">
        <v>2384</v>
      </c>
      <c r="F13" s="696">
        <f ca="1">'数据-取费表'!B39</f>
        <v>1.4999999999999999E-2</v>
      </c>
      <c r="G13" s="1480"/>
      <c r="H13" s="2428"/>
      <c r="I13" s="2361" t="s">
        <v>2501</v>
      </c>
      <c r="J13" s="2365"/>
      <c r="K13" s="2429"/>
      <c r="L13" s="2364" t="s">
        <v>2384</v>
      </c>
      <c r="M13" s="2358">
        <f ca="1">'数据-取费表'!B39</f>
        <v>1.4999999999999999E-2</v>
      </c>
    </row>
    <row r="14" spans="1:25" ht="18" customHeight="1" thickBot="1">
      <c r="A14" s="2403" t="s">
        <v>2395</v>
      </c>
      <c r="B14" s="2404" t="s">
        <v>2388</v>
      </c>
      <c r="C14" s="2405"/>
      <c r="D14" s="2406"/>
      <c r="E14" s="2407"/>
      <c r="F14" s="2408"/>
      <c r="G14" s="1480"/>
      <c r="H14" s="2417" t="s">
        <v>2395</v>
      </c>
      <c r="I14" s="2430" t="s">
        <v>2388</v>
      </c>
      <c r="J14" s="2431"/>
      <c r="K14" s="2406"/>
      <c r="L14" s="2407"/>
      <c r="M14" s="2420"/>
    </row>
    <row r="15" spans="1:25" ht="18" customHeight="1" thickTop="1">
      <c r="A15" s="1712" t="s">
        <v>1807</v>
      </c>
      <c r="B15" s="1710" t="s">
        <v>581</v>
      </c>
      <c r="C15" s="692">
        <f ca="1">ROUND(C31*F15,0)</f>
        <v>0</v>
      </c>
      <c r="D15" s="1717" t="s">
        <v>582</v>
      </c>
      <c r="E15" s="695" t="s">
        <v>583</v>
      </c>
      <c r="F15" s="700">
        <f ca="1">INDIRECT("'数据-取费表'!y"&amp;$G$1)</f>
        <v>0</v>
      </c>
      <c r="G15" s="1480"/>
      <c r="H15" s="1712" t="s">
        <v>1759</v>
      </c>
      <c r="I15" s="1710" t="s">
        <v>584</v>
      </c>
      <c r="J15" s="1702">
        <f ca="1">ROUND(J16*J17,0)</f>
        <v>0</v>
      </c>
      <c r="K15" s="1704" t="s">
        <v>582</v>
      </c>
      <c r="L15" s="701"/>
      <c r="M15" s="702"/>
    </row>
    <row r="16" spans="1:25" ht="18" customHeight="1">
      <c r="A16" s="703" t="s">
        <v>1808</v>
      </c>
      <c r="B16" s="684" t="s">
        <v>585</v>
      </c>
      <c r="C16" s="704">
        <f ca="1">INDIRECT("'数据-取费表'!m"&amp;$G$1)+INDIRECT("'数据-取费表'!t"&amp;$G$1)</f>
        <v>0</v>
      </c>
      <c r="D16" s="1861" t="s">
        <v>586</v>
      </c>
      <c r="E16" s="1862"/>
      <c r="F16" s="705"/>
      <c r="G16" s="1480"/>
      <c r="H16" s="703" t="s">
        <v>2001</v>
      </c>
      <c r="I16" s="2106" t="s">
        <v>2753</v>
      </c>
      <c r="J16" s="52">
        <f ca="1">C31</f>
        <v>0</v>
      </c>
      <c r="K16" s="25"/>
      <c r="L16" s="701"/>
      <c r="M16" s="702"/>
    </row>
    <row r="17" spans="1:25" s="1939" customFormat="1" ht="18" customHeight="1">
      <c r="A17" s="703" t="s">
        <v>1782</v>
      </c>
      <c r="B17" s="684" t="s">
        <v>587</v>
      </c>
      <c r="C17" s="52">
        <f ca="1">ROUND(C16*F17,0)</f>
        <v>0</v>
      </c>
      <c r="D17" s="706" t="s">
        <v>588</v>
      </c>
      <c r="E17" s="706" t="s">
        <v>589</v>
      </c>
      <c r="F17" s="707">
        <f>'数据-取费表'!B33</f>
        <v>0.03</v>
      </c>
      <c r="G17" s="1481"/>
      <c r="H17" s="703" t="s">
        <v>2002</v>
      </c>
      <c r="I17" s="684" t="s">
        <v>583</v>
      </c>
      <c r="J17" s="708">
        <f ca="1">INDIRECT("'数据-取费表'!ad"&amp;$G$1)</f>
        <v>0</v>
      </c>
      <c r="K17" s="25"/>
      <c r="L17" s="701"/>
      <c r="M17" s="702"/>
      <c r="N17" s="1938"/>
      <c r="O17" s="1938"/>
      <c r="P17" s="1938"/>
      <c r="Q17" s="1938"/>
      <c r="R17" s="1938"/>
      <c r="S17" s="1938"/>
      <c r="T17" s="1938"/>
      <c r="U17" s="1938"/>
      <c r="V17" s="1938"/>
      <c r="W17" s="1938"/>
      <c r="X17" s="1938"/>
      <c r="Y17" s="1938"/>
    </row>
    <row r="18" spans="1:25" ht="18" customHeight="1">
      <c r="A18" s="703" t="s">
        <v>1783</v>
      </c>
      <c r="B18" s="684" t="s">
        <v>590</v>
      </c>
      <c r="C18" s="52">
        <f ca="1">ROUND(INDIRECT("'数据-取费表'!m"&amp;$G$1)*F18,0)</f>
        <v>0</v>
      </c>
      <c r="D18" s="684" t="s">
        <v>588</v>
      </c>
      <c r="E18" s="684" t="s">
        <v>589</v>
      </c>
      <c r="F18" s="709">
        <f ca="1">IF(INDIRECT("'数据-取费表'!c"&amp;$G$1)="住宅",'数据-取费表'!B34,0)</f>
        <v>0</v>
      </c>
      <c r="G18" s="1480"/>
      <c r="H18" s="697" t="s">
        <v>1760</v>
      </c>
      <c r="I18" s="698" t="s">
        <v>591</v>
      </c>
      <c r="J18" s="699">
        <f ca="1">ROUND(J19+J24+J25+J26,0)</f>
        <v>0</v>
      </c>
      <c r="K18" s="25" t="s">
        <v>592</v>
      </c>
      <c r="L18" s="1864"/>
      <c r="M18" s="55"/>
    </row>
    <row r="19" spans="1:25" s="1939" customFormat="1" ht="18" customHeight="1">
      <c r="A19" s="703" t="s">
        <v>1784</v>
      </c>
      <c r="B19" s="684" t="s">
        <v>593</v>
      </c>
      <c r="C19" s="52">
        <f ca="1">ROUND(F19*(INDIRECT("'数据-取费表'!k"&amp;$G$1)+INDIRECT("'数据-取费表'!S"&amp;$G$1))/10000,0)</f>
        <v>0</v>
      </c>
      <c r="D19" s="684" t="s">
        <v>594</v>
      </c>
      <c r="E19" s="684" t="s">
        <v>595</v>
      </c>
      <c r="F19" s="55">
        <f>'数据-取费表'!B35</f>
        <v>200</v>
      </c>
      <c r="G19" s="1481"/>
      <c r="H19" s="703" t="s">
        <v>2001</v>
      </c>
      <c r="I19" s="684" t="s">
        <v>596</v>
      </c>
      <c r="J19" s="52">
        <f ca="1">ROUND(IF(项目基本情况!B11="自然人",J7*M19,J20+J21+J22),0)</f>
        <v>0</v>
      </c>
      <c r="K19" s="1861" t="s">
        <v>597</v>
      </c>
      <c r="L19" s="1859" t="s">
        <v>598</v>
      </c>
      <c r="M19" s="710" t="str">
        <f ca="1">IF(项目基本情况!B11="企业","",IF(INDIRECT("'数据-取费表'!c"&amp;$G$1)="住宅",5%,IF(M8*M9*M10/12/(1+'数据-取费表'!C42)&gt;20000,12%,7%)))</f>
        <v/>
      </c>
      <c r="N19" s="1938"/>
      <c r="O19" s="1938"/>
      <c r="P19" s="1938"/>
      <c r="Q19" s="1938"/>
      <c r="R19" s="1938"/>
      <c r="S19" s="1938"/>
      <c r="T19" s="1938"/>
      <c r="U19" s="1938"/>
      <c r="V19" s="1938"/>
      <c r="W19" s="1938"/>
      <c r="X19" s="1938"/>
      <c r="Y19" s="1938"/>
    </row>
    <row r="20" spans="1:25" s="1939" customFormat="1" ht="18" customHeight="1">
      <c r="A20" s="703" t="s">
        <v>1785</v>
      </c>
      <c r="B20" s="684" t="s">
        <v>599</v>
      </c>
      <c r="C20" s="52">
        <f ca="1">ROUND(C16*F20,0)</f>
        <v>0</v>
      </c>
      <c r="D20" s="684" t="s">
        <v>588</v>
      </c>
      <c r="E20" s="684" t="s">
        <v>589</v>
      </c>
      <c r="F20" s="709">
        <f>'数据-取费表'!B36</f>
        <v>1.4999999999999999E-2</v>
      </c>
      <c r="G20" s="1481"/>
      <c r="H20" s="703" t="s">
        <v>1764</v>
      </c>
      <c r="I20" s="684" t="s">
        <v>600</v>
      </c>
      <c r="J20" s="52">
        <f ca="1">ROUND(J7*M20/1.05,1)</f>
        <v>0</v>
      </c>
      <c r="K20" s="1859" t="s">
        <v>601</v>
      </c>
      <c r="L20" s="684" t="s">
        <v>589</v>
      </c>
      <c r="M20" s="709">
        <f>'数据-取费表'!B41</f>
        <v>5.5000000000000007E-2</v>
      </c>
      <c r="N20" s="1938"/>
      <c r="O20" s="1938"/>
      <c r="P20" s="1938"/>
      <c r="Q20" s="1938"/>
      <c r="R20" s="1938"/>
      <c r="S20" s="1938"/>
      <c r="T20" s="1938"/>
      <c r="U20" s="1938"/>
      <c r="V20" s="1938"/>
      <c r="W20" s="1938"/>
      <c r="X20" s="1938"/>
      <c r="Y20" s="1938"/>
    </row>
    <row r="21" spans="1:25" ht="18" customHeight="1">
      <c r="A21" s="703" t="s">
        <v>1809</v>
      </c>
      <c r="B21" s="684" t="s">
        <v>602</v>
      </c>
      <c r="C21" s="52">
        <f ca="1">SUM(C16:C20)</f>
        <v>0</v>
      </c>
      <c r="D21" s="165" t="s">
        <v>603</v>
      </c>
      <c r="E21" s="1864"/>
      <c r="F21" s="55"/>
      <c r="G21" s="1480"/>
      <c r="H21" s="1713" t="s">
        <v>1782</v>
      </c>
      <c r="I21" s="684" t="s">
        <v>604</v>
      </c>
      <c r="J21" s="52">
        <f ca="1">IF(K21="按租金收入计税",ROUND(J7*M21,1),ROUND(C31*F35*0.7,1))</f>
        <v>0</v>
      </c>
      <c r="K21" s="711" t="s">
        <v>605</v>
      </c>
      <c r="L21" s="684" t="s">
        <v>589</v>
      </c>
      <c r="M21" s="709">
        <f>IF(K21="按租金收入计税",'数据-取费表'!B51,'数据-取费表'!B50)</f>
        <v>1.2E-2</v>
      </c>
    </row>
    <row r="22" spans="1:25" s="1939" customFormat="1" ht="18" customHeight="1">
      <c r="A22" s="703" t="s">
        <v>1810</v>
      </c>
      <c r="B22" s="684" t="s">
        <v>606</v>
      </c>
      <c r="C22" s="52">
        <f ca="1">ROUND(C21*F22,0)</f>
        <v>0</v>
      </c>
      <c r="D22" s="712" t="s">
        <v>607</v>
      </c>
      <c r="E22" s="684" t="s">
        <v>589</v>
      </c>
      <c r="F22" s="709">
        <f>'数据-取费表'!B37</f>
        <v>0.01</v>
      </c>
      <c r="G22" s="1481"/>
      <c r="H22" s="1715" t="s">
        <v>1783</v>
      </c>
      <c r="I22" s="1705" t="s">
        <v>608</v>
      </c>
      <c r="J22" s="53">
        <f ca="1">ROUND(M22*M23/10000,0)</f>
        <v>0</v>
      </c>
      <c r="K22" s="714" t="s">
        <v>609</v>
      </c>
      <c r="L22" s="684" t="s">
        <v>610</v>
      </c>
      <c r="M22" s="540">
        <f>'数据-取费表'!B52</f>
        <v>4</v>
      </c>
      <c r="N22" s="1938"/>
      <c r="O22" s="1938"/>
      <c r="P22" s="1938"/>
      <c r="Q22" s="1938"/>
      <c r="R22" s="1938"/>
      <c r="S22" s="1938"/>
      <c r="T22" s="1938"/>
      <c r="U22" s="1938"/>
      <c r="V22" s="1938"/>
      <c r="W22" s="1938"/>
      <c r="X22" s="1938"/>
      <c r="Y22" s="1938"/>
    </row>
    <row r="23" spans="1:25" s="1939" customFormat="1" ht="18" customHeight="1">
      <c r="A23" s="703" t="s">
        <v>1811</v>
      </c>
      <c r="B23" s="684" t="s">
        <v>611</v>
      </c>
      <c r="C23" s="52" t="s">
        <v>1</v>
      </c>
      <c r="D23" s="712" t="s">
        <v>612</v>
      </c>
      <c r="E23" s="684" t="s">
        <v>613</v>
      </c>
      <c r="F23" s="709">
        <f>'数据-取费表'!B38</f>
        <v>0.01</v>
      </c>
      <c r="G23" s="1481"/>
      <c r="H23" s="1716"/>
      <c r="I23" s="1707"/>
      <c r="J23" s="68"/>
      <c r="K23" s="716"/>
      <c r="L23" s="684" t="s">
        <v>614</v>
      </c>
      <c r="M23" s="685">
        <f ca="1">INDIRECT("'数据-取费表'!r"&amp;$G$1)</f>
        <v>0</v>
      </c>
      <c r="N23" s="1938"/>
      <c r="O23" s="1938"/>
      <c r="P23" s="1938"/>
      <c r="Q23" s="1938"/>
      <c r="R23" s="1938"/>
      <c r="S23" s="1938"/>
      <c r="T23" s="1938"/>
      <c r="U23" s="1938"/>
      <c r="V23" s="1938"/>
      <c r="W23" s="1938"/>
      <c r="X23" s="1938"/>
      <c r="Y23" s="1938"/>
    </row>
    <row r="24" spans="1:25" ht="18" customHeight="1">
      <c r="A24" s="703" t="s">
        <v>1812</v>
      </c>
      <c r="B24" s="684" t="s">
        <v>615</v>
      </c>
      <c r="C24" s="52"/>
      <c r="D24" s="2438" t="str">
        <f>IF(F25&lt;=1,"单利计息。","复利计息。")&amp;"建造成本、管理费用、销售费用产生的利息。"</f>
        <v>单利计息。建造成本、管理费用、销售费用产生的利息。</v>
      </c>
      <c r="E24" s="1864"/>
      <c r="F24" s="55"/>
      <c r="G24" s="1480"/>
      <c r="H24" s="1714" t="s">
        <v>2002</v>
      </c>
      <c r="I24" s="684" t="s">
        <v>616</v>
      </c>
      <c r="J24" s="52">
        <f ca="1">ROUND(J16*M24,0)</f>
        <v>0</v>
      </c>
      <c r="K24" s="1859" t="s">
        <v>617</v>
      </c>
      <c r="L24" s="684" t="s">
        <v>589</v>
      </c>
      <c r="M24" s="717">
        <f ca="1">INDIRECT("'数据-取费表'!Ak"&amp;$G$1)</f>
        <v>0</v>
      </c>
    </row>
    <row r="25" spans="1:25" s="1939" customFormat="1" ht="18" customHeight="1">
      <c r="A25" s="703" t="s">
        <v>1808</v>
      </c>
      <c r="B25" s="684" t="s">
        <v>2365</v>
      </c>
      <c r="C25" s="52">
        <f ca="1">ROUND(IF('数据-取费表'!B22&lt;=1,(C21+C22)*F26*F25/2,(C21+C22)*(POWER((1+F26),F25/2)-1)),0)</f>
        <v>0</v>
      </c>
      <c r="D25" s="2437" t="str">
        <f>IF(F25&lt;=1,"(建造成本+管理费用)×利率×(建设周期÷2)","(建造成本+管理费用)×((1+利率)^(建设周期÷2)-1)")</f>
        <v>(建造成本+管理费用)×利率×(建设周期÷2)</v>
      </c>
      <c r="E25" s="684" t="s">
        <v>618</v>
      </c>
      <c r="F25" s="540">
        <f>'数据-取费表'!B20</f>
        <v>1</v>
      </c>
      <c r="G25" s="1481"/>
      <c r="H25" s="703" t="s">
        <v>1811</v>
      </c>
      <c r="I25" s="684" t="s">
        <v>619</v>
      </c>
      <c r="J25" s="52">
        <f ca="1">ROUND(J15*M25,0)</f>
        <v>0</v>
      </c>
      <c r="K25" s="1859" t="s">
        <v>620</v>
      </c>
      <c r="L25" s="684" t="s">
        <v>589</v>
      </c>
      <c r="M25" s="718">
        <f ca="1">INDIRECT("'数据-取费表'!Al"&amp;$G$1)</f>
        <v>0</v>
      </c>
      <c r="N25" s="1938"/>
      <c r="O25" s="1938"/>
      <c r="P25" s="1938"/>
      <c r="Q25" s="1938"/>
      <c r="R25" s="1938"/>
      <c r="S25" s="1938"/>
      <c r="T25" s="1938"/>
      <c r="U25" s="1938"/>
      <c r="V25" s="1938"/>
      <c r="W25" s="1938"/>
      <c r="X25" s="1938"/>
      <c r="Y25" s="1938"/>
    </row>
    <row r="26" spans="1:25" s="1939" customFormat="1" ht="18" customHeight="1">
      <c r="A26" s="703" t="s">
        <v>1782</v>
      </c>
      <c r="B26" s="684" t="s">
        <v>621</v>
      </c>
      <c r="C26" s="52">
        <f ca="1">ROUND(IF('数据-取费表'!B22&lt;=1,F23*F26*F25/2,F23*(POWER((1+F26),F25/2)-1)),4)</f>
        <v>2.0000000000000001E-4</v>
      </c>
      <c r="D26" s="2437" t="str">
        <f>IF(F25&lt;=1,"销售费用×利率×(建设周期÷2)","销售费用×((1+利率)^(建设周期÷2)-1)")</f>
        <v>销售费用×利率×(建设周期÷2)</v>
      </c>
      <c r="E26" s="684" t="s">
        <v>622</v>
      </c>
      <c r="F26" s="719">
        <f ca="1">'数据-取费表'!B40</f>
        <v>4.3499999999999997E-2</v>
      </c>
      <c r="G26" s="1481"/>
      <c r="H26" s="703" t="s">
        <v>1812</v>
      </c>
      <c r="I26" s="684" t="s">
        <v>606</v>
      </c>
      <c r="J26" s="52">
        <f ca="1">ROUND(J7*M26,0)</f>
        <v>0</v>
      </c>
      <c r="K26" s="1859" t="s">
        <v>623</v>
      </c>
      <c r="L26" s="684" t="s">
        <v>589</v>
      </c>
      <c r="M26" s="694">
        <f ca="1">INDIRECT("'数据-取费表'!Am"&amp;$G$1)</f>
        <v>0</v>
      </c>
      <c r="N26" s="1938"/>
      <c r="O26" s="1938"/>
      <c r="P26" s="1938"/>
      <c r="Q26" s="1938"/>
      <c r="R26" s="1938"/>
      <c r="S26" s="1938"/>
      <c r="T26" s="1938"/>
      <c r="U26" s="1938"/>
      <c r="V26" s="1938"/>
      <c r="W26" s="1938"/>
      <c r="X26" s="1938"/>
      <c r="Y26" s="1938"/>
    </row>
    <row r="27" spans="1:25" ht="18" customHeight="1">
      <c r="A27" s="703" t="s">
        <v>1814</v>
      </c>
      <c r="B27" s="684" t="s">
        <v>624</v>
      </c>
      <c r="C27" s="52"/>
      <c r="D27" s="165" t="s">
        <v>625</v>
      </c>
      <c r="E27" s="1864"/>
      <c r="F27" s="55"/>
      <c r="G27" s="1480"/>
      <c r="H27" s="697" t="s">
        <v>1761</v>
      </c>
      <c r="I27" s="2876" t="s">
        <v>2750</v>
      </c>
      <c r="J27" s="699">
        <f ca="1">J7-J18</f>
        <v>0</v>
      </c>
      <c r="K27" s="1861" t="s">
        <v>640</v>
      </c>
      <c r="L27" s="1863"/>
      <c r="M27" s="720"/>
    </row>
    <row r="28" spans="1:25" ht="18" customHeight="1">
      <c r="A28" s="703" t="s">
        <v>1808</v>
      </c>
      <c r="B28" s="684" t="s">
        <v>2366</v>
      </c>
      <c r="C28" s="52">
        <f ca="1">ROUND((C21+C22)*F28,0)</f>
        <v>0</v>
      </c>
      <c r="D28" s="712" t="s">
        <v>641</v>
      </c>
      <c r="E28" s="695" t="s">
        <v>642</v>
      </c>
      <c r="F28" s="694">
        <f ca="1">INDIRECT("'数据-取费表'!q"&amp;$G$1)</f>
        <v>0</v>
      </c>
      <c r="G28" s="1480"/>
      <c r="H28" s="681" t="s">
        <v>1770</v>
      </c>
      <c r="I28" s="682" t="s">
        <v>643</v>
      </c>
      <c r="J28" s="683">
        <f ca="1">IF(J7&lt;&gt;0,ROUND(J27*(1-((1+M30)/(1+M28))^M29)/(M28-M30),0),0)</f>
        <v>0</v>
      </c>
      <c r="K28" s="714" t="s">
        <v>644</v>
      </c>
      <c r="L28" s="684" t="s">
        <v>645</v>
      </c>
      <c r="M28" s="694">
        <f ca="1">INDIRECT("'数据-取费表'!I"&amp;$G$1)</f>
        <v>0</v>
      </c>
    </row>
    <row r="29" spans="1:25" ht="18" customHeight="1">
      <c r="A29" s="703" t="s">
        <v>1782</v>
      </c>
      <c r="B29" s="684" t="s">
        <v>626</v>
      </c>
      <c r="C29" s="52">
        <f ca="1">ROUND(F23*F28,4)</f>
        <v>0</v>
      </c>
      <c r="D29" s="712" t="s">
        <v>646</v>
      </c>
      <c r="E29" s="706"/>
      <c r="F29" s="707"/>
      <c r="G29" s="1480"/>
      <c r="H29" s="686"/>
      <c r="I29" s="687"/>
      <c r="J29" s="688"/>
      <c r="K29" s="721" t="s">
        <v>647</v>
      </c>
      <c r="L29" s="684" t="s">
        <v>648</v>
      </c>
      <c r="M29" s="722">
        <f ca="1">INDIRECT("'数据-取费表'!ag"&amp;$G$1)</f>
        <v>0</v>
      </c>
    </row>
    <row r="30" spans="1:25" s="1939" customFormat="1" ht="18" customHeight="1">
      <c r="A30" s="703" t="s">
        <v>1815</v>
      </c>
      <c r="B30" s="684" t="s">
        <v>627</v>
      </c>
      <c r="C30" s="52">
        <f>ROUND(F30/(1+'数据-取费表'!C42),4)</f>
        <v>5.2400000000000002E-2</v>
      </c>
      <c r="D30" s="712" t="s">
        <v>649</v>
      </c>
      <c r="E30" s="684" t="s">
        <v>589</v>
      </c>
      <c r="F30" s="709">
        <f>'数据-取费表'!B41</f>
        <v>5.5000000000000007E-2</v>
      </c>
      <c r="G30" s="1481"/>
      <c r="H30" s="690"/>
      <c r="I30" s="691"/>
      <c r="J30" s="692"/>
      <c r="K30" s="716"/>
      <c r="L30" s="684" t="s">
        <v>650</v>
      </c>
      <c r="M30" s="694">
        <f ca="1">INDIRECT("'数据-取费表'!aa"&amp;$G$1)</f>
        <v>0</v>
      </c>
      <c r="N30" s="1938"/>
      <c r="O30" s="1938"/>
      <c r="P30" s="1938"/>
      <c r="Q30" s="1938"/>
      <c r="R30" s="1938"/>
      <c r="S30" s="1938"/>
      <c r="T30" s="1938"/>
      <c r="U30" s="1938"/>
      <c r="V30" s="1938"/>
      <c r="W30" s="1938"/>
      <c r="X30" s="1938"/>
      <c r="Y30" s="1938"/>
    </row>
    <row r="31" spans="1:25" s="1939" customFormat="1" ht="18" customHeight="1" thickBot="1">
      <c r="A31" s="2426" t="s">
        <v>1816</v>
      </c>
      <c r="B31" s="2407" t="s">
        <v>2751</v>
      </c>
      <c r="C31" s="2410">
        <f ca="1">ROUND((C21+C22+C25+C28)/(1-F23-C26-C29-C30),0)</f>
        <v>0</v>
      </c>
      <c r="D31" s="2411"/>
      <c r="E31" s="2412"/>
      <c r="F31" s="2413"/>
      <c r="G31" s="1481"/>
      <c r="H31" s="723" t="s">
        <v>1805</v>
      </c>
      <c r="I31" s="2877" t="s">
        <v>2752</v>
      </c>
      <c r="J31" s="725">
        <f ca="1">ROUND(J28/(1+F45)^F46,0)</f>
        <v>0</v>
      </c>
      <c r="K31" s="726" t="s">
        <v>628</v>
      </c>
      <c r="L31" s="727"/>
      <c r="M31" s="728">
        <f ca="1">INDIRECT("'数据-取费表'!k"&amp;$G$1)</f>
        <v>0</v>
      </c>
      <c r="N31" s="1938"/>
      <c r="O31" s="1938"/>
      <c r="P31" s="1938"/>
      <c r="Q31" s="1938"/>
      <c r="R31" s="1938"/>
      <c r="S31" s="1938"/>
      <c r="T31" s="1938"/>
      <c r="U31" s="1938"/>
      <c r="V31" s="1938"/>
      <c r="W31" s="1938"/>
      <c r="X31" s="1938"/>
      <c r="Y31" s="1938"/>
    </row>
    <row r="32" spans="1:25" ht="18" customHeight="1" thickTop="1">
      <c r="A32" s="1712" t="s">
        <v>7</v>
      </c>
      <c r="B32" s="1710" t="s">
        <v>629</v>
      </c>
      <c r="C32" s="692">
        <f ca="1">ROUND(C33+C38+C39+C40,0)</f>
        <v>0</v>
      </c>
      <c r="D32" s="1704" t="s">
        <v>592</v>
      </c>
      <c r="E32" s="2354"/>
      <c r="F32" s="2357"/>
      <c r="G32" s="1937"/>
      <c r="H32" s="1940"/>
      <c r="I32" s="1941"/>
      <c r="J32" s="1942"/>
      <c r="K32" s="1943"/>
      <c r="L32" s="1944"/>
      <c r="M32" s="1945"/>
    </row>
    <row r="33" spans="1:18" ht="18" customHeight="1">
      <c r="A33" s="703" t="s">
        <v>1809</v>
      </c>
      <c r="B33" s="684" t="s">
        <v>596</v>
      </c>
      <c r="C33" s="52">
        <f ca="1">ROUND(IF(项目基本情况!B11="自然人",C7*F33,C34+C35+C36),1)</f>
        <v>0</v>
      </c>
      <c r="D33" s="1861" t="s">
        <v>597</v>
      </c>
      <c r="E33" s="1859" t="s">
        <v>630</v>
      </c>
      <c r="F33" s="710" t="str">
        <f ca="1">IF(项目基本情况!B11="企业","",IF(INDIRECT("'数据-取费表'!c"&amp;$G$1)="住宅",5%,IF(F8*F9*F10/12/(1+'数据-取费表'!C42)&gt;20000,12%,7%)))</f>
        <v/>
      </c>
      <c r="G33" s="1937"/>
      <c r="H33" s="1940"/>
      <c r="I33" s="1941"/>
      <c r="J33" s="1942"/>
      <c r="K33" s="1943"/>
      <c r="L33" s="1944"/>
      <c r="M33" s="1945"/>
    </row>
    <row r="34" spans="1:18" ht="18" customHeight="1">
      <c r="A34" s="703" t="s">
        <v>1808</v>
      </c>
      <c r="B34" s="684" t="s">
        <v>600</v>
      </c>
      <c r="C34" s="52">
        <f ca="1">ROUND(C7*F34/1.05,1)</f>
        <v>0</v>
      </c>
      <c r="D34" s="1859" t="s">
        <v>601</v>
      </c>
      <c r="E34" s="684" t="s">
        <v>589</v>
      </c>
      <c r="F34" s="709">
        <f>'数据-取费表'!B41</f>
        <v>5.5000000000000007E-2</v>
      </c>
      <c r="G34" s="1937"/>
      <c r="H34" s="1946"/>
      <c r="I34" s="1947"/>
      <c r="J34" s="1948"/>
      <c r="K34" s="1949"/>
      <c r="L34" s="1950"/>
      <c r="M34" s="1951"/>
    </row>
    <row r="35" spans="1:18" ht="18" customHeight="1">
      <c r="A35" s="703" t="s">
        <v>1782</v>
      </c>
      <c r="B35" s="684" t="s">
        <v>604</v>
      </c>
      <c r="C35" s="52">
        <f ca="1">IF(D35="按租金收入计税",ROUND(C7*F35,1),IF(D35="按房产原值计税",ROUND(C31*F35*0.7,1),INDIRECT("'数据-取费表'!Aj"&amp;$G$1)))</f>
        <v>0</v>
      </c>
      <c r="D35" s="711" t="s">
        <v>1613</v>
      </c>
      <c r="E35" s="684" t="s">
        <v>589</v>
      </c>
      <c r="F35" s="709">
        <f>IF(D35="按租金收入计税",'数据-取费表'!B51,'数据-取费表'!B50)</f>
        <v>1.2E-2</v>
      </c>
      <c r="G35" s="1937"/>
      <c r="H35" s="1952"/>
      <c r="I35" s="1952"/>
      <c r="J35" s="1952"/>
      <c r="K35" s="1953"/>
      <c r="L35" s="1952"/>
      <c r="M35" s="1952"/>
    </row>
    <row r="36" spans="1:18" ht="18" customHeight="1">
      <c r="A36" s="713" t="s">
        <v>1813</v>
      </c>
      <c r="B36" s="241" t="s">
        <v>608</v>
      </c>
      <c r="C36" s="53">
        <f ca="1">ROUND(F36*F37/10000,1)</f>
        <v>0</v>
      </c>
      <c r="D36" s="714" t="s">
        <v>609</v>
      </c>
      <c r="E36" s="684" t="s">
        <v>610</v>
      </c>
      <c r="F36" s="540">
        <f>'数据-取费表'!B52</f>
        <v>4</v>
      </c>
      <c r="G36" s="1937"/>
      <c r="H36" s="1940"/>
      <c r="I36" s="3450"/>
      <c r="J36" s="1954"/>
      <c r="K36" s="1955"/>
      <c r="L36" s="1954"/>
      <c r="M36" s="1954"/>
    </row>
    <row r="37" spans="1:18" ht="18" customHeight="1">
      <c r="A37" s="715"/>
      <c r="B37" s="693"/>
      <c r="C37" s="68"/>
      <c r="D37" s="716"/>
      <c r="E37" s="684" t="s">
        <v>614</v>
      </c>
      <c r="F37" s="685">
        <f ca="1">INDIRECT("'数据-取费表'!r"&amp;$G$1)</f>
        <v>0</v>
      </c>
      <c r="G37" s="1937"/>
      <c r="H37" s="1940"/>
      <c r="I37" s="3450"/>
      <c r="J37" s="1952"/>
      <c r="K37" s="1953"/>
      <c r="L37" s="1952"/>
      <c r="M37" s="1952"/>
    </row>
    <row r="38" spans="1:18" ht="18" customHeight="1">
      <c r="A38" s="703" t="s">
        <v>1810</v>
      </c>
      <c r="B38" s="684" t="s">
        <v>616</v>
      </c>
      <c r="C38" s="52">
        <f ca="1">ROUND(C31*F38,1)</f>
        <v>0</v>
      </c>
      <c r="D38" s="1859" t="s">
        <v>631</v>
      </c>
      <c r="E38" s="684" t="s">
        <v>589</v>
      </c>
      <c r="F38" s="717">
        <f ca="1">INDIRECT("'数据-取费表'!Ak"&amp;$G$1)</f>
        <v>0</v>
      </c>
      <c r="G38" s="1937"/>
      <c r="H38" s="1952"/>
      <c r="I38" s="1956"/>
      <c r="J38" s="1869"/>
      <c r="K38" s="1957"/>
      <c r="L38" s="1952"/>
      <c r="M38" s="1952"/>
    </row>
    <row r="39" spans="1:18" ht="18" customHeight="1">
      <c r="A39" s="703" t="s">
        <v>1811</v>
      </c>
      <c r="B39" s="684" t="s">
        <v>619</v>
      </c>
      <c r="C39" s="52">
        <f ca="1">ROUND(C15*F39,1)</f>
        <v>0</v>
      </c>
      <c r="D39" s="1859" t="s">
        <v>620</v>
      </c>
      <c r="E39" s="684" t="s">
        <v>589</v>
      </c>
      <c r="F39" s="718">
        <f ca="1">INDIRECT("'数据-取费表'!Al"&amp;$G$1)</f>
        <v>0</v>
      </c>
      <c r="G39" s="1937"/>
      <c r="H39" s="1952"/>
      <c r="I39" s="1956"/>
      <c r="J39" s="1869"/>
      <c r="K39" s="1957"/>
      <c r="L39" s="1952"/>
      <c r="M39" s="1952"/>
    </row>
    <row r="40" spans="1:18" ht="18" customHeight="1" thickBot="1">
      <c r="A40" s="2426" t="s">
        <v>1812</v>
      </c>
      <c r="B40" s="2412" t="s">
        <v>606</v>
      </c>
      <c r="C40" s="2410">
        <f ca="1">ROUND(C7*F40,1)</f>
        <v>0</v>
      </c>
      <c r="D40" s="2411" t="s">
        <v>623</v>
      </c>
      <c r="E40" s="2412" t="s">
        <v>589</v>
      </c>
      <c r="F40" s="2408">
        <f ca="1">INDIRECT("'数据-取费表'!Am"&amp;$G$1)</f>
        <v>0</v>
      </c>
      <c r="G40" s="1937"/>
      <c r="H40" s="1952"/>
      <c r="I40" s="1956"/>
      <c r="J40" s="1869"/>
      <c r="K40" s="1958"/>
      <c r="L40" s="1952"/>
      <c r="M40" s="1952"/>
    </row>
    <row r="41" spans="1:18" ht="18" customHeight="1" thickTop="1">
      <c r="A41" s="1712">
        <v>4</v>
      </c>
      <c r="B41" s="1710" t="s">
        <v>632</v>
      </c>
      <c r="C41" s="1241"/>
      <c r="D41" s="1242"/>
      <c r="E41" s="1242"/>
      <c r="F41" s="1243"/>
      <c r="G41" s="1937"/>
      <c r="H41" s="1937"/>
      <c r="I41" s="1937"/>
      <c r="J41" s="1937"/>
      <c r="K41" s="1958"/>
      <c r="L41" s="1937"/>
      <c r="M41" s="1937"/>
    </row>
    <row r="42" spans="1:18" ht="18" customHeight="1">
      <c r="A42" s="703" t="s">
        <v>1809</v>
      </c>
      <c r="B42" s="735" t="s">
        <v>633</v>
      </c>
      <c r="C42" s="729">
        <f ca="1">C7-C32</f>
        <v>0</v>
      </c>
      <c r="D42" s="1861" t="s">
        <v>634</v>
      </c>
      <c r="E42" s="1863"/>
      <c r="F42" s="720"/>
      <c r="G42" s="1937"/>
      <c r="H42" s="1937"/>
      <c r="I42" s="1937"/>
      <c r="J42" s="1937"/>
      <c r="K42" s="1958"/>
      <c r="L42" s="1937"/>
      <c r="M42" s="1937"/>
    </row>
    <row r="43" spans="1:18" ht="18" customHeight="1">
      <c r="A43" s="703" t="s">
        <v>1810</v>
      </c>
      <c r="B43" s="735" t="s">
        <v>651</v>
      </c>
      <c r="C43" s="736">
        <f ca="1">ROUND(C15*F43,0)</f>
        <v>0</v>
      </c>
      <c r="D43" s="1244" t="s">
        <v>652</v>
      </c>
      <c r="E43" s="2982" t="s">
        <v>2876</v>
      </c>
      <c r="F43" s="2983">
        <f ca="1">INDIRECT("'数据-取费表'!j"&amp;$G$1)</f>
        <v>0</v>
      </c>
      <c r="G43" s="1937"/>
      <c r="H43" s="1937"/>
      <c r="I43" s="1937"/>
      <c r="J43" s="1937"/>
      <c r="K43" s="1958"/>
      <c r="L43" s="1937"/>
      <c r="M43" s="1937"/>
    </row>
    <row r="44" spans="1:18" ht="18" customHeight="1">
      <c r="A44" s="703" t="s">
        <v>1811</v>
      </c>
      <c r="B44" s="735" t="s">
        <v>653</v>
      </c>
      <c r="C44" s="1245">
        <f ca="1">C42-C43</f>
        <v>0</v>
      </c>
      <c r="D44" s="363" t="s">
        <v>654</v>
      </c>
      <c r="E44" s="364"/>
      <c r="F44" s="365"/>
      <c r="G44" s="1937"/>
      <c r="H44" s="1937"/>
      <c r="I44" s="1937"/>
      <c r="J44" s="1937"/>
      <c r="K44" s="1958"/>
      <c r="L44" s="1937"/>
      <c r="M44" s="1937"/>
    </row>
    <row r="45" spans="1:18" ht="18" customHeight="1">
      <c r="A45" s="703" t="s">
        <v>1812</v>
      </c>
      <c r="B45" s="1244" t="s">
        <v>655</v>
      </c>
      <c r="C45" s="2903">
        <f ca="1">ROUND(-PV(F45,F46,C44,0),0)</f>
        <v>0</v>
      </c>
      <c r="D45" s="1246" t="s">
        <v>656</v>
      </c>
      <c r="E45" s="706" t="s">
        <v>657</v>
      </c>
      <c r="F45" s="730">
        <f ca="1">INDIRECT("'数据-取费表'!h"&amp;$G$1)</f>
        <v>0</v>
      </c>
      <c r="G45" s="1937"/>
      <c r="H45" s="1937"/>
      <c r="I45" s="1937"/>
      <c r="J45" s="1937"/>
      <c r="K45" s="1958"/>
      <c r="L45" s="1937"/>
      <c r="M45" s="1937"/>
    </row>
    <row r="46" spans="1:18" ht="18" customHeight="1" thickBot="1">
      <c r="A46" s="731"/>
      <c r="B46" s="1247"/>
      <c r="C46" s="1248"/>
      <c r="D46" s="1249"/>
      <c r="E46" s="2984" t="s">
        <v>2879</v>
      </c>
      <c r="F46" s="728">
        <f ca="1">IF(INDIRECT("'数据-取费表'!af"&amp;$G$1)=0,INDIRECT("'数据-取费表'!ae"&amp;$G$1),INDIRECT("'数据-取费表'!af"&amp;$G$1))</f>
        <v>0</v>
      </c>
      <c r="G46" s="1937"/>
      <c r="H46" s="1937"/>
      <c r="I46" s="1937"/>
      <c r="J46" s="1937"/>
      <c r="K46" s="1958"/>
      <c r="L46" s="1937"/>
      <c r="M46" s="1937"/>
    </row>
    <row r="47" spans="1:18" s="1934" customFormat="1" ht="18" customHeight="1" thickBot="1">
      <c r="A47" s="1959"/>
      <c r="D47" s="1960"/>
      <c r="E47" s="1960"/>
      <c r="F47" s="1960"/>
      <c r="I47" s="2224" t="s">
        <v>2270</v>
      </c>
      <c r="J47" s="2225"/>
      <c r="K47" s="2226"/>
      <c r="L47" s="2227" t="str">
        <f ca="1">IF(M48="住宅",0,IF(L49&gt;J52,L61,J61))</f>
        <v>0</v>
      </c>
      <c r="O47" s="2261" t="s">
        <v>2338</v>
      </c>
      <c r="P47" s="1480"/>
      <c r="Q47" s="1492"/>
      <c r="R47" s="1480"/>
    </row>
    <row r="48" spans="1:18" s="1934" customFormat="1" ht="18" customHeight="1" thickBot="1">
      <c r="A48" s="1959"/>
      <c r="C48" s="1962"/>
      <c r="D48" s="1963"/>
      <c r="E48" s="1963"/>
      <c r="F48" s="1964"/>
      <c r="G48" s="1965"/>
      <c r="I48" s="2228" t="s">
        <v>2271</v>
      </c>
      <c r="J48" s="2233"/>
      <c r="K48" s="2234" t="s">
        <v>2277</v>
      </c>
      <c r="L48" s="2235">
        <f ca="1">INDIRECT("'数据-取费表'!d"&amp;$G$1)</f>
        <v>0</v>
      </c>
      <c r="M48" s="2979" t="str">
        <f>IF(ISNUMBER(FIND("住宅",C1)),"住宅","非住宅")</f>
        <v>非住宅</v>
      </c>
      <c r="O48" s="2262" t="s">
        <v>2303</v>
      </c>
      <c r="P48" s="2263" t="s">
        <v>2304</v>
      </c>
      <c r="Q48" s="2264" t="s">
        <v>2305</v>
      </c>
      <c r="R48" s="2263" t="s">
        <v>2306</v>
      </c>
    </row>
    <row r="49" spans="1:18" s="1934" customFormat="1" ht="18" customHeight="1" thickBot="1">
      <c r="A49" s="1959"/>
      <c r="D49" s="1966"/>
      <c r="E49" s="1967"/>
      <c r="F49" s="1964"/>
      <c r="G49" s="1965"/>
      <c r="H49" s="1968"/>
      <c r="I49" s="2229" t="s">
        <v>2272</v>
      </c>
      <c r="J49" s="2236"/>
      <c r="K49" s="2237" t="s">
        <v>2279</v>
      </c>
      <c r="L49" s="2238">
        <f ca="1">INDIRECT("'数据-取费表'!f"&amp;$G$1)</f>
        <v>0</v>
      </c>
      <c r="O49" s="2265" t="s">
        <v>2307</v>
      </c>
      <c r="P49" s="2266" t="s">
        <v>2333</v>
      </c>
      <c r="Q49" s="2267">
        <f ca="1">C41+J31</f>
        <v>0</v>
      </c>
      <c r="R49" s="2266" t="s">
        <v>2308</v>
      </c>
    </row>
    <row r="50" spans="1:18" s="1934" customFormat="1" ht="18" customHeight="1" thickBot="1">
      <c r="A50" s="1959"/>
      <c r="D50" s="1969"/>
      <c r="E50" s="1969"/>
      <c r="F50" s="1963"/>
      <c r="G50" s="1970"/>
      <c r="H50" s="1968"/>
      <c r="I50" s="2229" t="s">
        <v>2273</v>
      </c>
      <c r="J50" s="2239"/>
      <c r="K50" s="2240" t="s">
        <v>2280</v>
      </c>
      <c r="L50" s="2241"/>
      <c r="O50" s="2265" t="s">
        <v>2309</v>
      </c>
      <c r="P50" s="2266" t="s">
        <v>2334</v>
      </c>
      <c r="Q50" s="2267" t="str">
        <f ca="1">J61</f>
        <v>0</v>
      </c>
      <c r="R50" s="2266" t="s">
        <v>2310</v>
      </c>
    </row>
    <row r="51" spans="1:18" s="1934" customFormat="1" ht="18" customHeight="1" thickBot="1">
      <c r="A51" s="1971"/>
      <c r="D51" s="1969"/>
      <c r="E51" s="1969"/>
      <c r="F51" s="1960"/>
      <c r="H51" s="1968"/>
      <c r="I51" s="2229" t="s">
        <v>2274</v>
      </c>
      <c r="J51" s="2242">
        <f>SUMPRODUCT((I64:I66=J48)*(J63:L63=J49)*(J64:L66))</f>
        <v>0</v>
      </c>
      <c r="K51" s="2240" t="s">
        <v>2281</v>
      </c>
      <c r="L51" s="2241"/>
      <c r="O51" s="2268" t="s">
        <v>2311</v>
      </c>
      <c r="P51" s="2266" t="s">
        <v>2335</v>
      </c>
      <c r="Q51" s="2267">
        <f ca="1">C31</f>
        <v>0</v>
      </c>
      <c r="R51" s="2266" t="s">
        <v>2308</v>
      </c>
    </row>
    <row r="52" spans="1:18" s="1934" customFormat="1" ht="18" customHeight="1" thickBot="1">
      <c r="A52" s="1971"/>
      <c r="F52" s="1960"/>
      <c r="I52" s="2230" t="s">
        <v>2275</v>
      </c>
      <c r="J52" s="2243">
        <f>IF(J50="",J51,J50+J51-YEAR('数据-取费表'!B3))</f>
        <v>0</v>
      </c>
      <c r="K52" s="2229" t="s">
        <v>2282</v>
      </c>
      <c r="L52" s="2244">
        <f ca="1">ROUND(-PV(INDIRECT("'数据-取费表'!h"&amp;$G$1),L49,(C40-C14*J36),0),0)</f>
        <v>0</v>
      </c>
      <c r="O52" s="2268" t="s">
        <v>2312</v>
      </c>
      <c r="P52" s="2266" t="s">
        <v>2313</v>
      </c>
      <c r="Q52" s="2269" t="e">
        <f ca="1">J59</f>
        <v>#VALUE!</v>
      </c>
      <c r="R52" s="2270"/>
    </row>
    <row r="53" spans="1:18" s="1934" customFormat="1" ht="18" customHeight="1" thickBot="1">
      <c r="A53" s="1971"/>
      <c r="F53" s="1960"/>
      <c r="I53" s="2231" t="s">
        <v>2349</v>
      </c>
      <c r="J53" s="2245"/>
      <c r="K53" s="2231" t="s">
        <v>2348</v>
      </c>
      <c r="L53" s="2245"/>
      <c r="O53" s="2268" t="s">
        <v>2314</v>
      </c>
      <c r="P53" s="2266" t="s">
        <v>2315</v>
      </c>
      <c r="Q53" s="2269">
        <f>J53</f>
        <v>0</v>
      </c>
      <c r="R53" s="2270"/>
    </row>
    <row r="54" spans="1:18" s="1934" customFormat="1" ht="43.5" thickBot="1">
      <c r="A54" s="1971"/>
      <c r="I54" s="2232" t="s">
        <v>2276</v>
      </c>
      <c r="J54" s="2246">
        <f ca="1">IF(M48="住宅",J52,IF(J52&gt;L49,L49-'数据-取费表'!B25,J52))</f>
        <v>0</v>
      </c>
      <c r="K54" s="3455"/>
      <c r="L54" s="3456"/>
      <c r="O54" s="2268" t="s">
        <v>2316</v>
      </c>
      <c r="P54" s="2266" t="s">
        <v>2317</v>
      </c>
      <c r="Q54" s="2267">
        <f ca="1">J54</f>
        <v>0</v>
      </c>
      <c r="R54" s="2266" t="s">
        <v>2318</v>
      </c>
    </row>
    <row r="55" spans="1:18" s="1934" customFormat="1" ht="18" customHeight="1" thickBot="1">
      <c r="A55" s="1971"/>
      <c r="I55" s="193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1961"/>
      <c r="O55" s="2265" t="s">
        <v>2319</v>
      </c>
      <c r="P55" s="2266" t="s">
        <v>2336</v>
      </c>
      <c r="Q55" s="2267">
        <f ca="1">Q49+Q50</f>
        <v>0</v>
      </c>
      <c r="R55" s="2270" t="s">
        <v>2320</v>
      </c>
    </row>
    <row r="56" spans="1:18" s="1934" customFormat="1" ht="16.5" thickBot="1">
      <c r="A56" s="1971"/>
      <c r="B56" s="1972"/>
      <c r="C56" s="1972"/>
      <c r="I56" s="2956" t="s">
        <v>2283</v>
      </c>
      <c r="J56" s="2980" t="e">
        <f ca="1">ROUND(IF(J48="钢混",J58/J51,1-(1-2%)*(J51-J58)/J51),3)</f>
        <v>#VALUE!</v>
      </c>
      <c r="K56" s="2247" t="s">
        <v>2284</v>
      </c>
      <c r="L56" s="2248"/>
      <c r="O56" s="2271" t="s">
        <v>2339</v>
      </c>
      <c r="P56" s="1480"/>
      <c r="Q56" s="1492"/>
      <c r="R56" s="1480"/>
    </row>
    <row r="57" spans="1:18" s="1934" customFormat="1" ht="43.5" thickBot="1">
      <c r="A57" s="1971"/>
      <c r="B57" s="1972"/>
      <c r="C57" s="1972"/>
      <c r="I57" s="2249" t="s">
        <v>2285</v>
      </c>
      <c r="J57" s="2979" t="s">
        <v>1611</v>
      </c>
      <c r="K57" s="2229" t="s">
        <v>2290</v>
      </c>
      <c r="L57" s="2238">
        <f ca="1">IF(L49&lt;J52,"——",L49-J52)</f>
        <v>0</v>
      </c>
      <c r="O57" s="2262" t="s">
        <v>2303</v>
      </c>
      <c r="P57" s="2263" t="s">
        <v>2304</v>
      </c>
      <c r="Q57" s="2264" t="s">
        <v>2305</v>
      </c>
      <c r="R57" s="2263" t="s">
        <v>2306</v>
      </c>
    </row>
    <row r="58" spans="1:18" s="1934" customFormat="1" ht="29.25" thickBot="1">
      <c r="A58" s="1971"/>
      <c r="B58" s="1972"/>
      <c r="C58" s="1972"/>
      <c r="I58" s="2250" t="s">
        <v>2286</v>
      </c>
      <c r="J58" s="2252" t="str">
        <f ca="1">IF(OR(M48="住宅",J52&lt;L49,J57="是"),"——",J52-L49)</f>
        <v>——</v>
      </c>
      <c r="K58" s="2229" t="s">
        <v>2291</v>
      </c>
      <c r="L58" s="2238">
        <f ca="1">IF(L49&lt;J52,"——",IF(L56="比较法",L50,IF(L56="基准地价",L51,L52)))</f>
        <v>0</v>
      </c>
      <c r="O58" s="2265" t="s">
        <v>2307</v>
      </c>
      <c r="P58" s="2266" t="s">
        <v>2333</v>
      </c>
      <c r="Q58" s="2267">
        <f ca="1">C41+J31</f>
        <v>0</v>
      </c>
      <c r="R58" s="2266" t="s">
        <v>2308</v>
      </c>
    </row>
    <row r="59" spans="1:18" s="1934" customFormat="1" ht="29.25" thickBot="1">
      <c r="A59" s="1971"/>
      <c r="B59" s="1972"/>
      <c r="C59" s="1972"/>
      <c r="I59" s="2250" t="s">
        <v>2287</v>
      </c>
      <c r="J59" s="2981" t="e">
        <f ca="1">IF(J56&lt;0.4,0.4,J56)</f>
        <v>#VALUE!</v>
      </c>
      <c r="K59" s="2229" t="s">
        <v>2292</v>
      </c>
      <c r="L59" s="2238">
        <f ca="1">IF(ISERROR(POWER(1+L53,L48-L49)*(POWER(1+L53,L49)-1)/(POWER(1+L53,L48)-1)),0,POWER(1+L53,L48-L49)*(POWER(1+L53,L49)-1)/(POWER(1+L53,L48)-1))</f>
        <v>0</v>
      </c>
      <c r="O59" s="2265" t="s">
        <v>2309</v>
      </c>
      <c r="P59" s="2266" t="s">
        <v>2340</v>
      </c>
      <c r="Q59" s="2267" t="e">
        <f ca="1">L61</f>
        <v>#DIV/0!</v>
      </c>
      <c r="R59" s="2270" t="s">
        <v>2342</v>
      </c>
    </row>
    <row r="60" spans="1:18" s="1934" customFormat="1" ht="29.25" thickBot="1">
      <c r="A60" s="1971"/>
      <c r="B60" s="1972"/>
      <c r="C60" s="1972"/>
      <c r="I60" s="2250" t="s">
        <v>2288</v>
      </c>
      <c r="J60" s="2252" t="str">
        <f ca="1">IF(OR(M48="住宅",J52&lt;L49,J57="是"),"——",ROUND(C30*J59,0))</f>
        <v>——</v>
      </c>
      <c r="K60" s="2229" t="s">
        <v>2293</v>
      </c>
      <c r="L60" s="2238">
        <f ca="1">IF(ISERROR(POWER(1+L53,L48-J52)*(POWER(1+L53,J52)-1)/(POWER(1+L53,L48)-1)),0,POWER(1+L53,L48-J52)*(POWER(1+L53,J52)-1)/(POWER(1+L53,L48)-1))</f>
        <v>0</v>
      </c>
      <c r="O60" s="2268" t="s">
        <v>2311</v>
      </c>
      <c r="P60" s="2266" t="s">
        <v>2341</v>
      </c>
      <c r="Q60" s="2267">
        <f>IF(L56="比较法",L50,IF(L56="基准地价",L51,0))</f>
        <v>0</v>
      </c>
      <c r="R60" s="2266" t="s">
        <v>2308</v>
      </c>
    </row>
    <row r="61" spans="1:18" s="1934" customFormat="1" ht="15.75" thickBot="1">
      <c r="A61" s="1971"/>
      <c r="B61" s="1972"/>
      <c r="C61" s="1972"/>
      <c r="I61" s="2251" t="s">
        <v>2289</v>
      </c>
      <c r="J61" s="2253" t="str">
        <f ca="1">IF(OR(M48="住宅",J52&lt;L49,J57="是"),"0",ROUND(J60/(1+J53)^J54,0))</f>
        <v>0</v>
      </c>
      <c r="K61" s="2254" t="s">
        <v>2294</v>
      </c>
      <c r="L61" s="2253" t="e">
        <f ca="1">IF(OR(M48="住宅",L49&lt;J52),0,ROUND(L58*(L59/L60-1),0))</f>
        <v>#DIV/0!</v>
      </c>
      <c r="O61" s="2268" t="s">
        <v>2312</v>
      </c>
      <c r="P61" s="2266" t="s">
        <v>2321</v>
      </c>
      <c r="Q61" s="2269">
        <f>L53</f>
        <v>0</v>
      </c>
      <c r="R61" s="2270"/>
    </row>
    <row r="62" spans="1:18" s="1934" customFormat="1" ht="20.25" thickBot="1">
      <c r="A62" s="1971"/>
      <c r="B62" s="1972"/>
      <c r="C62" s="1972"/>
      <c r="K62" s="1961"/>
      <c r="O62" s="2268" t="s">
        <v>2314</v>
      </c>
      <c r="P62" s="2266" t="s">
        <v>2322</v>
      </c>
      <c r="Q62" s="2267">
        <f ca="1">L59</f>
        <v>0</v>
      </c>
      <c r="R62" s="2270" t="s">
        <v>2323</v>
      </c>
    </row>
    <row r="63" spans="1:18" s="1934" customFormat="1" ht="20.25" thickBot="1">
      <c r="A63" s="1971"/>
      <c r="B63" s="1972"/>
      <c r="C63" s="1972"/>
      <c r="I63" s="2255" t="s">
        <v>2295</v>
      </c>
      <c r="J63" s="2256" t="s">
        <v>2296</v>
      </c>
      <c r="K63" s="2256" t="s">
        <v>2297</v>
      </c>
      <c r="L63" s="2256" t="s">
        <v>2278</v>
      </c>
      <c r="M63" s="2958" t="s">
        <v>2856</v>
      </c>
      <c r="O63" s="2268" t="s">
        <v>2316</v>
      </c>
      <c r="P63" s="2266" t="s">
        <v>2324</v>
      </c>
      <c r="Q63" s="2267">
        <f ca="1">L60</f>
        <v>0</v>
      </c>
      <c r="R63" s="2270" t="s">
        <v>2325</v>
      </c>
    </row>
    <row r="64" spans="1:18" s="1934" customFormat="1" ht="15.75" thickBot="1">
      <c r="A64" s="1971"/>
      <c r="B64" s="1972"/>
      <c r="C64" s="1972"/>
      <c r="I64" s="2255" t="s">
        <v>2298</v>
      </c>
      <c r="J64" s="2256">
        <v>70</v>
      </c>
      <c r="K64" s="2256">
        <v>50</v>
      </c>
      <c r="L64" s="2256">
        <v>80</v>
      </c>
      <c r="M64" s="2959">
        <v>0.02</v>
      </c>
      <c r="O64" s="2265" t="s">
        <v>2319</v>
      </c>
      <c r="P64" s="2266" t="s">
        <v>2336</v>
      </c>
      <c r="Q64" s="2267" t="e">
        <f ca="1">Q58+Q59</f>
        <v>#DIV/0!</v>
      </c>
      <c r="R64" s="2270" t="s">
        <v>2320</v>
      </c>
    </row>
    <row r="65" spans="1:18" s="1934" customFormat="1" ht="16.5" thickBot="1">
      <c r="A65" s="1971"/>
      <c r="B65" s="1972"/>
      <c r="C65" s="1972"/>
      <c r="I65" s="2255" t="s">
        <v>2299</v>
      </c>
      <c r="J65" s="2256">
        <v>50</v>
      </c>
      <c r="K65" s="2256">
        <v>35</v>
      </c>
      <c r="L65" s="2256">
        <v>60</v>
      </c>
      <c r="M65" s="2960">
        <v>0</v>
      </c>
      <c r="O65" s="2271" t="s">
        <v>2343</v>
      </c>
      <c r="P65" s="1480"/>
      <c r="Q65" s="1492"/>
      <c r="R65" s="1480"/>
    </row>
    <row r="66" spans="1:18" s="1934" customFormat="1" ht="15.75" thickBot="1">
      <c r="A66" s="1971"/>
      <c r="B66" s="1972"/>
      <c r="C66" s="1972"/>
      <c r="I66" s="2255" t="s">
        <v>2300</v>
      </c>
      <c r="J66" s="2256">
        <v>40</v>
      </c>
      <c r="K66" s="2256">
        <v>30</v>
      </c>
      <c r="L66" s="2256">
        <v>50</v>
      </c>
      <c r="M66" s="2959">
        <v>0.02</v>
      </c>
      <c r="O66" s="2262" t="s">
        <v>2303</v>
      </c>
      <c r="P66" s="2263" t="s">
        <v>2304</v>
      </c>
      <c r="Q66" s="2264" t="s">
        <v>2305</v>
      </c>
      <c r="R66" s="2263" t="s">
        <v>2306</v>
      </c>
    </row>
    <row r="67" spans="1:18" s="1934" customFormat="1" ht="15.75" thickBot="1">
      <c r="A67" s="1971"/>
      <c r="B67" s="1972"/>
      <c r="C67" s="1972"/>
      <c r="K67" s="1961"/>
      <c r="O67" s="2265" t="s">
        <v>2307</v>
      </c>
      <c r="P67" s="2266" t="s">
        <v>2333</v>
      </c>
      <c r="Q67" s="2267">
        <f ca="1">C41+J31</f>
        <v>0</v>
      </c>
      <c r="R67" s="2266" t="s">
        <v>2308</v>
      </c>
    </row>
    <row r="68" spans="1:18" s="1934" customFormat="1" ht="20.25" thickBot="1">
      <c r="A68" s="1971"/>
      <c r="B68" s="1972"/>
      <c r="C68" s="1972"/>
      <c r="K68" s="1961"/>
      <c r="O68" s="2265" t="s">
        <v>2309</v>
      </c>
      <c r="P68" s="2266" t="s">
        <v>2340</v>
      </c>
      <c r="Q68" s="2267" t="e">
        <f ca="1">L61</f>
        <v>#DIV/0!</v>
      </c>
      <c r="R68" s="2270" t="s">
        <v>2342</v>
      </c>
    </row>
    <row r="69" spans="1:18" s="1934" customFormat="1" ht="21.75" thickBot="1">
      <c r="A69" s="1971"/>
      <c r="B69" s="1972"/>
      <c r="C69" s="1972"/>
      <c r="K69" s="1961"/>
      <c r="O69" s="2268" t="s">
        <v>2311</v>
      </c>
      <c r="P69" s="2266" t="s">
        <v>2341</v>
      </c>
      <c r="Q69" s="2272">
        <f ca="1">L52</f>
        <v>0</v>
      </c>
      <c r="R69" s="2273" t="s">
        <v>2344</v>
      </c>
    </row>
    <row r="70" spans="1:18" s="1934" customFormat="1" ht="20.25" thickBot="1">
      <c r="A70" s="1971"/>
      <c r="B70" s="1972"/>
      <c r="C70" s="1972"/>
      <c r="K70" s="1961"/>
      <c r="O70" s="2268" t="s">
        <v>2312</v>
      </c>
      <c r="P70" s="2274" t="s">
        <v>2326</v>
      </c>
      <c r="Q70" s="2267">
        <f ca="1">ROUND(Q71-Q72*Q73,0)</f>
        <v>0</v>
      </c>
      <c r="R70" s="2270"/>
    </row>
    <row r="71" spans="1:18" s="1934" customFormat="1" ht="15.75" thickBot="1">
      <c r="A71" s="1971"/>
      <c r="B71" s="1972"/>
      <c r="C71" s="1972"/>
      <c r="K71" s="1961"/>
      <c r="O71" s="2268" t="s">
        <v>2327</v>
      </c>
      <c r="P71" s="2274" t="s">
        <v>2328</v>
      </c>
      <c r="Q71" s="2267">
        <f ca="1">C42</f>
        <v>0</v>
      </c>
      <c r="R71" s="2266" t="s">
        <v>2308</v>
      </c>
    </row>
    <row r="72" spans="1:18" s="1934" customFormat="1" ht="15.75" thickBot="1">
      <c r="A72" s="1971"/>
      <c r="B72" s="1972"/>
      <c r="C72" s="1972"/>
      <c r="K72" s="1961"/>
      <c r="O72" s="2268" t="s">
        <v>2329</v>
      </c>
      <c r="P72" s="2274" t="s">
        <v>2330</v>
      </c>
      <c r="Q72" s="2267">
        <f ca="1">C15</f>
        <v>0</v>
      </c>
      <c r="R72" s="2266" t="s">
        <v>2308</v>
      </c>
    </row>
    <row r="73" spans="1:18" s="1934" customFormat="1" ht="15.75" thickBot="1">
      <c r="A73" s="1971"/>
      <c r="B73" s="1972"/>
      <c r="C73" s="1972"/>
      <c r="K73" s="1961"/>
      <c r="O73" s="2268" t="s">
        <v>2331</v>
      </c>
      <c r="P73" s="2274" t="s">
        <v>2332</v>
      </c>
      <c r="Q73" s="2269">
        <f ca="1">F43</f>
        <v>0</v>
      </c>
      <c r="R73" s="2270"/>
    </row>
    <row r="74" spans="1:18" s="1934" customFormat="1" ht="15.75" thickBot="1">
      <c r="A74" s="1971"/>
      <c r="B74" s="1972"/>
      <c r="C74" s="1972"/>
      <c r="K74" s="1961"/>
      <c r="O74" s="2268" t="s">
        <v>2314</v>
      </c>
      <c r="P74" s="2266" t="s">
        <v>2321</v>
      </c>
      <c r="Q74" s="2269">
        <f>L53</f>
        <v>0</v>
      </c>
      <c r="R74" s="2270"/>
    </row>
    <row r="75" spans="1:18" s="1934" customFormat="1" ht="20.25" thickBot="1">
      <c r="A75" s="1971"/>
      <c r="B75" s="1972"/>
      <c r="C75" s="1972"/>
      <c r="K75" s="1961"/>
      <c r="O75" s="2268" t="s">
        <v>2316</v>
      </c>
      <c r="P75" s="2266" t="s">
        <v>2322</v>
      </c>
      <c r="Q75" s="2267">
        <f ca="1">L59</f>
        <v>0</v>
      </c>
      <c r="R75" s="2270" t="s">
        <v>2323</v>
      </c>
    </row>
    <row r="76" spans="1:18" s="1934" customFormat="1" ht="20.25" thickBot="1">
      <c r="A76" s="1971"/>
      <c r="B76" s="1972"/>
      <c r="C76" s="1972"/>
      <c r="K76" s="1961"/>
      <c r="O76" s="2268" t="s">
        <v>2345</v>
      </c>
      <c r="P76" s="2266" t="s">
        <v>2324</v>
      </c>
      <c r="Q76" s="2267">
        <f ca="1">L60</f>
        <v>0</v>
      </c>
      <c r="R76" s="2270" t="s">
        <v>2325</v>
      </c>
    </row>
    <row r="77" spans="1:18" s="1934" customFormat="1" ht="15.75" thickBot="1">
      <c r="A77" s="1971"/>
      <c r="B77" s="1972"/>
      <c r="C77" s="1972"/>
      <c r="K77" s="1961"/>
      <c r="O77" s="2265" t="s">
        <v>2319</v>
      </c>
      <c r="P77" s="2266" t="s">
        <v>2336</v>
      </c>
      <c r="Q77" s="2267" t="e">
        <f ca="1">Q67+Q68</f>
        <v>#DIV/0!</v>
      </c>
      <c r="R77" s="2270" t="s">
        <v>2320</v>
      </c>
    </row>
    <row r="78" spans="1:18" s="1934" customFormat="1">
      <c r="A78" s="1971"/>
      <c r="B78" s="1972"/>
      <c r="C78" s="1972"/>
      <c r="K78" s="1961"/>
    </row>
    <row r="79" spans="1:18" s="1934" customFormat="1">
      <c r="A79" s="1971"/>
      <c r="B79" s="1972"/>
      <c r="C79" s="1972"/>
      <c r="K79" s="1961"/>
    </row>
    <row r="80" spans="1:18" s="1934" customFormat="1">
      <c r="A80" s="1971"/>
      <c r="B80" s="1972"/>
      <c r="C80" s="1972"/>
      <c r="K80" s="1961"/>
    </row>
    <row r="81" spans="1:11" s="1934" customFormat="1">
      <c r="A81" s="1971"/>
      <c r="B81" s="1972"/>
      <c r="C81" s="1972"/>
      <c r="K81" s="1961"/>
    </row>
    <row r="82" spans="1:11" s="1934" customFormat="1">
      <c r="A82" s="1971"/>
      <c r="B82" s="1972"/>
      <c r="C82" s="1972"/>
      <c r="K82" s="1961"/>
    </row>
    <row r="83" spans="1:11" s="1934" customFormat="1">
      <c r="A83" s="1971"/>
      <c r="B83" s="1972"/>
      <c r="C83" s="1972"/>
      <c r="K83" s="1961"/>
    </row>
    <row r="84" spans="1:11" s="1934" customFormat="1">
      <c r="A84" s="1971"/>
      <c r="B84" s="1972"/>
      <c r="C84" s="1972"/>
      <c r="K84" s="1961"/>
    </row>
    <row r="85" spans="1:11" s="1934" customFormat="1">
      <c r="A85" s="1971"/>
      <c r="B85" s="1972"/>
      <c r="C85" s="1972"/>
      <c r="K85" s="1961"/>
    </row>
    <row r="86" spans="1:11" s="1934" customFormat="1">
      <c r="A86" s="1971"/>
      <c r="B86" s="1972"/>
      <c r="C86" s="1972"/>
      <c r="K86" s="1961"/>
    </row>
    <row r="87" spans="1:11" s="1934" customFormat="1">
      <c r="A87" s="1971"/>
      <c r="B87" s="1972"/>
      <c r="C87" s="1972"/>
      <c r="K87" s="1961"/>
    </row>
    <row r="88" spans="1:11" s="1934" customFormat="1">
      <c r="A88" s="1971"/>
      <c r="B88" s="1972"/>
      <c r="C88" s="1972"/>
      <c r="K88" s="1961"/>
    </row>
    <row r="89" spans="1:11" s="1934" customFormat="1">
      <c r="A89" s="1971"/>
      <c r="B89" s="1972"/>
      <c r="C89" s="1972"/>
      <c r="K89" s="1961"/>
    </row>
    <row r="90" spans="1:11" s="1934" customFormat="1">
      <c r="A90" s="1971"/>
      <c r="B90" s="1972"/>
      <c r="C90" s="1972"/>
      <c r="K90" s="1961"/>
    </row>
    <row r="91" spans="1:11" s="1934" customFormat="1">
      <c r="A91" s="1971"/>
      <c r="B91" s="1972"/>
      <c r="C91" s="1972"/>
      <c r="K91" s="1961"/>
    </row>
    <row r="92" spans="1:11" s="1934" customFormat="1">
      <c r="A92" s="1971"/>
      <c r="B92" s="1972"/>
      <c r="C92" s="1972"/>
      <c r="K92" s="1961"/>
    </row>
    <row r="93" spans="1:11" s="1934" customFormat="1">
      <c r="A93" s="1971"/>
      <c r="B93" s="1972"/>
      <c r="C93" s="1972"/>
      <c r="K93" s="1961"/>
    </row>
    <row r="94" spans="1:11" s="1934" customFormat="1">
      <c r="A94" s="1971"/>
      <c r="B94" s="1972"/>
      <c r="C94" s="1972"/>
      <c r="K94" s="196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ColWidth="9" defaultRowHeight="12.75"/>
  <cols>
    <col min="1" max="1" width="9" style="2528"/>
    <col min="2" max="6" width="9" style="2528" customWidth="1"/>
    <col min="7" max="7" width="9" style="2544" customWidth="1"/>
    <col min="8" max="12" width="9" style="2528" customWidth="1"/>
    <col min="13" max="13" width="2.25" style="2528" customWidth="1"/>
    <col min="14" max="14" width="9" style="2544" customWidth="1"/>
    <col min="15" max="17" width="9" style="2528" customWidth="1"/>
    <col min="18" max="18" width="2.375" style="2528" customWidth="1"/>
    <col min="19" max="19" width="7.125" style="2544" customWidth="1"/>
    <col min="20" max="22" width="7.125" style="2528" customWidth="1"/>
    <col min="23" max="23" width="24" style="2528" customWidth="1"/>
    <col min="24" max="25" width="9" style="2528"/>
    <col min="26" max="27" width="11.625" style="2528" customWidth="1"/>
    <col min="28" max="28" width="9" style="2528"/>
    <col min="29" max="29" width="2" style="2528" customWidth="1"/>
    <col min="30" max="16384" width="9" style="2528"/>
  </cols>
  <sheetData>
    <row r="1" spans="1:34" s="2518" customFormat="1">
      <c r="B1" s="3463" t="s">
        <v>2504</v>
      </c>
      <c r="C1" s="3463"/>
      <c r="D1" s="3463"/>
      <c r="E1" s="3463"/>
      <c r="F1" s="3463"/>
      <c r="G1" s="3462" t="s">
        <v>2505</v>
      </c>
      <c r="H1" s="3462"/>
      <c r="I1" s="3462"/>
      <c r="J1" s="3462"/>
      <c r="K1" s="3462"/>
      <c r="L1" s="3462"/>
      <c r="N1" s="3462" t="s">
        <v>2506</v>
      </c>
      <c r="O1" s="3462"/>
      <c r="P1" s="3462"/>
      <c r="Q1" s="3462"/>
      <c r="R1" s="2519"/>
      <c r="S1" s="3462" t="s">
        <v>2507</v>
      </c>
      <c r="T1" s="3462"/>
      <c r="U1" s="3462"/>
      <c r="V1" s="3462"/>
      <c r="X1" s="3461" t="s">
        <v>2567</v>
      </c>
      <c r="Y1" s="3462"/>
      <c r="Z1" s="3462"/>
      <c r="AA1" s="3462"/>
      <c r="AB1" s="3462"/>
      <c r="AD1" s="3461" t="s">
        <v>2571</v>
      </c>
      <c r="AE1" s="3462"/>
      <c r="AF1" s="3462"/>
      <c r="AG1" s="3462"/>
      <c r="AH1" s="3462"/>
    </row>
    <row r="2" spans="1:34" s="2621" customFormat="1" ht="14.25" thickBot="1">
      <c r="B2" s="2629" t="s">
        <v>2508</v>
      </c>
      <c r="C2" s="2629" t="s">
        <v>2569</v>
      </c>
      <c r="D2" s="2622" t="s">
        <v>1577</v>
      </c>
      <c r="E2" s="2622" t="s">
        <v>1884</v>
      </c>
      <c r="F2" s="2629" t="s">
        <v>2570</v>
      </c>
      <c r="G2" s="2625"/>
      <c r="H2" s="2624"/>
      <c r="I2" s="2629" t="s">
        <v>2870</v>
      </c>
      <c r="J2" s="2622" t="s">
        <v>2872</v>
      </c>
      <c r="K2" s="2622" t="s">
        <v>2873</v>
      </c>
      <c r="L2" s="2629" t="s">
        <v>2874</v>
      </c>
      <c r="N2" s="2629" t="s">
        <v>2508</v>
      </c>
      <c r="O2" s="2622" t="s">
        <v>2871</v>
      </c>
      <c r="P2" s="2622" t="s">
        <v>1884</v>
      </c>
      <c r="Q2" s="2629" t="s">
        <v>2570</v>
      </c>
      <c r="R2" s="2623"/>
      <c r="S2" s="2629" t="s">
        <v>2508</v>
      </c>
      <c r="T2" s="2622" t="s">
        <v>2871</v>
      </c>
      <c r="U2" s="2622" t="s">
        <v>1884</v>
      </c>
      <c r="V2" s="2629" t="s">
        <v>2570</v>
      </c>
      <c r="X2" s="2629" t="s">
        <v>2508</v>
      </c>
      <c r="Y2" s="2629" t="s">
        <v>2569</v>
      </c>
      <c r="Z2" s="2622" t="s">
        <v>1577</v>
      </c>
      <c r="AA2" s="2622" t="s">
        <v>1884</v>
      </c>
      <c r="AB2" s="2629" t="s">
        <v>2570</v>
      </c>
      <c r="AD2" s="2629" t="s">
        <v>2508</v>
      </c>
      <c r="AE2" s="2629" t="s">
        <v>2569</v>
      </c>
      <c r="AF2" s="2622" t="s">
        <v>1577</v>
      </c>
      <c r="AG2" s="2622" t="s">
        <v>1884</v>
      </c>
      <c r="AH2" s="2629" t="s">
        <v>2570</v>
      </c>
    </row>
    <row r="3" spans="1:34" s="2994" customFormat="1" ht="14.25">
      <c r="A3" s="3006" t="s">
        <v>2883</v>
      </c>
      <c r="B3" s="2995"/>
      <c r="C3" s="2995"/>
      <c r="D3" s="2996"/>
      <c r="E3" s="2996"/>
      <c r="F3" s="2995"/>
      <c r="G3" s="2997"/>
      <c r="H3" s="2998"/>
      <c r="I3" s="3005">
        <f>ROUND(AVERAGE($I7:$I22),2)</f>
        <v>2.4500000000000002</v>
      </c>
      <c r="J3" s="3005">
        <f>ROUND(AVERAGE($J7:$J22),2)</f>
        <v>1.65</v>
      </c>
      <c r="K3" s="3005">
        <f>ROUND(AVERAGE($K7:$K22),2)</f>
        <v>2.71</v>
      </c>
      <c r="L3" s="3005">
        <f>ROUND(AVERAGE($L7:$L22),2)</f>
        <v>1.39</v>
      </c>
      <c r="N3" s="2997"/>
      <c r="O3" s="2999"/>
      <c r="P3" s="2999"/>
      <c r="Q3" s="2999"/>
      <c r="R3" s="2999"/>
      <c r="S3" s="2997"/>
      <c r="T3" s="2999"/>
      <c r="U3" s="2999"/>
      <c r="V3" s="2999"/>
      <c r="W3" s="3002"/>
      <c r="X3" s="3000">
        <f>ROUND(SUMPRODUCT(PRODUCT(1+N3:N$21)),4)</f>
        <v>1.4517</v>
      </c>
      <c r="Y3" s="3000">
        <f>ROUND(SUMPRODUCT(PRODUCT(1+O3:O$21)),4)</f>
        <v>1.2928999999999999</v>
      </c>
      <c r="Z3" s="3000">
        <f t="shared" ref="Z3:Z19" si="0">Y3</f>
        <v>1.2928999999999999</v>
      </c>
      <c r="AA3" s="3000">
        <f>ROUND(SUMPRODUCT(PRODUCT(1+P3:P$21)),4)</f>
        <v>1.5068999999999999</v>
      </c>
      <c r="AB3" s="3000">
        <f>ROUND(SUMPRODUCT(PRODUCT(1+Q3:Q$21)),4)</f>
        <v>1.2557</v>
      </c>
      <c r="AD3" s="3001">
        <f>ROUND(AVERAGE(I3:I$22)/100,4)</f>
        <v>2.2800000000000001E-2</v>
      </c>
      <c r="AE3" s="3001">
        <f>ROUND(AVERAGE(J3:J$22)/100,4)</f>
        <v>1.5699999999999999E-2</v>
      </c>
      <c r="AF3" s="3001">
        <f t="shared" ref="AF3:AF20" si="1">AE3</f>
        <v>1.5699999999999999E-2</v>
      </c>
      <c r="AG3" s="3001">
        <f>ROUND(AVERAGE(K3:K$22)/100,4)</f>
        <v>2.5100000000000001E-2</v>
      </c>
      <c r="AH3" s="3001">
        <f>ROUND(AVERAGE(L3:L$22)/100,4)</f>
        <v>1.35E-2</v>
      </c>
    </row>
    <row r="4" spans="1:34" s="2614" customFormat="1" ht="14.25">
      <c r="B4" s="2615"/>
      <c r="C4" s="2615"/>
      <c r="D4" s="2616"/>
      <c r="E4" s="2616"/>
      <c r="F4" s="2615"/>
      <c r="G4" s="2620"/>
      <c r="H4" s="2617"/>
      <c r="I4" s="2987"/>
      <c r="J4" s="2987"/>
      <c r="K4" s="2987"/>
      <c r="L4" s="2987"/>
      <c r="N4" s="2620"/>
      <c r="O4" s="2618"/>
      <c r="P4" s="2618"/>
      <c r="Q4" s="2618"/>
      <c r="R4" s="2618"/>
      <c r="S4" s="2620"/>
      <c r="T4" s="2618"/>
      <c r="U4" s="2618"/>
      <c r="V4" s="2618"/>
      <c r="W4" s="3003"/>
      <c r="X4" s="2619"/>
      <c r="Y4" s="2619"/>
      <c r="Z4" s="2619"/>
      <c r="AA4" s="2619"/>
      <c r="AB4" s="2619"/>
      <c r="AD4" s="2539"/>
      <c r="AE4" s="2539"/>
      <c r="AF4" s="2539"/>
      <c r="AG4" s="2539"/>
      <c r="AH4" s="2539"/>
    </row>
    <row r="5" spans="1:34" s="2973" customFormat="1">
      <c r="A5" s="2971" t="s">
        <v>2890</v>
      </c>
      <c r="B5" s="2660">
        <f>B6*(1+N5)</f>
        <v>446.46299999999997</v>
      </c>
      <c r="C5" s="2660">
        <f>C6*(1+O5)</f>
        <v>333.27840000000003</v>
      </c>
      <c r="D5" s="2660">
        <f>C5</f>
        <v>333.27840000000003</v>
      </c>
      <c r="E5" s="2660">
        <f>E6*(1+P5)</f>
        <v>637.28279999999995</v>
      </c>
      <c r="F5" s="2660">
        <f>F6*(1+Q5)</f>
        <v>288.68830000000003</v>
      </c>
      <c r="G5" s="2620">
        <v>2018</v>
      </c>
      <c r="H5" s="2972">
        <v>2</v>
      </c>
      <c r="I5" s="2988">
        <v>0</v>
      </c>
      <c r="J5" s="2988">
        <v>0</v>
      </c>
      <c r="K5" s="2988">
        <v>0</v>
      </c>
      <c r="L5" s="2988">
        <v>0</v>
      </c>
      <c r="N5" s="2627">
        <f>I5/100</f>
        <v>0</v>
      </c>
      <c r="O5" s="2627">
        <f>J5/100</f>
        <v>0</v>
      </c>
      <c r="P5" s="2627">
        <f>K5/100</f>
        <v>0</v>
      </c>
      <c r="Q5" s="2627">
        <f>L5/100</f>
        <v>0</v>
      </c>
      <c r="R5" s="2974"/>
      <c r="S5" s="2975"/>
      <c r="T5" s="2974"/>
      <c r="U5" s="2974"/>
      <c r="V5" s="2974"/>
      <c r="W5" s="3004" t="s">
        <v>2884</v>
      </c>
      <c r="X5" s="2976">
        <f>ROUND(SUMPRODUCT(PRODUCT(1+N5:N$21)),4)</f>
        <v>1.4517</v>
      </c>
      <c r="Y5" s="2976">
        <f>ROUND(SUMPRODUCT(PRODUCT(1+O5:O$21)),4)</f>
        <v>1.2928999999999999</v>
      </c>
      <c r="Z5" s="2976">
        <f>Y5</f>
        <v>1.2928999999999999</v>
      </c>
      <c r="AA5" s="2976">
        <f>ROUND(SUMPRODUCT(PRODUCT(1+P5:P$21)),4)</f>
        <v>1.5068999999999999</v>
      </c>
      <c r="AB5" s="2976">
        <f>ROUND(SUMPRODUCT(PRODUCT(1+Q5:Q$21)),4)</f>
        <v>1.2557</v>
      </c>
      <c r="AD5" s="2977">
        <f>ROUND(AVERAGE(I5:I$22)/100,4)</f>
        <v>2.2700000000000001E-2</v>
      </c>
      <c r="AE5" s="2977">
        <f>ROUND(AVERAGE(J5:J$22)/100,4)</f>
        <v>1.5699999999999999E-2</v>
      </c>
      <c r="AF5" s="2977">
        <f>AE5</f>
        <v>1.5699999999999999E-2</v>
      </c>
      <c r="AG5" s="2977">
        <f>ROUND(AVERAGE(K5:K$22)/100,4)</f>
        <v>2.5000000000000001E-2</v>
      </c>
      <c r="AH5" s="2977">
        <f>ROUND(AVERAGE(L5:L$22)/100,4)</f>
        <v>1.35E-2</v>
      </c>
    </row>
    <row r="6" spans="1:34" s="2626" customFormat="1" ht="13.5" thickBot="1">
      <c r="A6" s="2520" t="s">
        <v>2891</v>
      </c>
      <c r="B6" s="2534">
        <f>B7*(1+N6)</f>
        <v>446.46299999999997</v>
      </c>
      <c r="C6" s="2534">
        <f>C7*(1+O6)</f>
        <v>333.27840000000003</v>
      </c>
      <c r="D6" s="2534">
        <f t="shared" ref="D6:D11" si="2">C6</f>
        <v>333.27840000000003</v>
      </c>
      <c r="E6" s="2534">
        <f>E7*(1+P6)</f>
        <v>637.28279999999995</v>
      </c>
      <c r="F6" s="2534">
        <f>F7*(1+Q6)</f>
        <v>288.68830000000003</v>
      </c>
      <c r="G6" s="2993">
        <v>2018</v>
      </c>
      <c r="H6" s="2524">
        <v>1</v>
      </c>
      <c r="I6" s="2524">
        <v>1.7</v>
      </c>
      <c r="J6" s="2524">
        <v>1.92</v>
      </c>
      <c r="K6" s="2524">
        <v>1.64</v>
      </c>
      <c r="L6" s="2535">
        <v>2.0099999999999998</v>
      </c>
      <c r="M6" s="2528"/>
      <c r="N6" s="2529">
        <f t="shared" ref="N6:N11" si="3">I6/100</f>
        <v>1.7000000000000001E-2</v>
      </c>
      <c r="O6" s="2530">
        <f t="shared" ref="O6:Q10" si="4">J6/100</f>
        <v>1.9199999999999998E-2</v>
      </c>
      <c r="P6" s="2530">
        <f t="shared" si="4"/>
        <v>1.6399999999999998E-2</v>
      </c>
      <c r="Q6" s="2530">
        <f t="shared" si="4"/>
        <v>2.0099999999999996E-2</v>
      </c>
      <c r="R6" s="2531"/>
      <c r="S6" s="2537">
        <f>B6/B7-1</f>
        <v>1.6999999999999904E-2</v>
      </c>
      <c r="T6" s="2538">
        <f>C6/C7-1</f>
        <v>1.9200000000000106E-2</v>
      </c>
      <c r="U6" s="2538">
        <f>E6/E7-1</f>
        <v>1.639999999999997E-2</v>
      </c>
      <c r="V6" s="2538">
        <f>F6/F7-1</f>
        <v>2.0100000000000007E-2</v>
      </c>
      <c r="W6" s="2528"/>
      <c r="X6" s="2619">
        <f>ROUND(SUMPRODUCT(PRODUCT(1+N6:N$21)),4)</f>
        <v>1.4517</v>
      </c>
      <c r="Y6" s="2619">
        <f>ROUND(SUMPRODUCT(PRODUCT(1+O6:O$21)),4)</f>
        <v>1.2928999999999999</v>
      </c>
      <c r="Z6" s="2619">
        <f>Y6</f>
        <v>1.2928999999999999</v>
      </c>
      <c r="AA6" s="2619">
        <f>ROUND(SUMPRODUCT(PRODUCT(1+P6:P$21)),4)</f>
        <v>1.5068999999999999</v>
      </c>
      <c r="AB6" s="2619">
        <f>ROUND(SUMPRODUCT(PRODUCT(1+Q6:Q$21)),4)</f>
        <v>1.2557</v>
      </c>
      <c r="AC6" s="2528"/>
      <c r="AD6" s="2539">
        <f>ROUND(AVERAGE(I6:I$22)/100,4)</f>
        <v>2.4E-2</v>
      </c>
      <c r="AE6" s="2539">
        <f>ROUND(AVERAGE(J6:J$22)/100,4)</f>
        <v>1.66E-2</v>
      </c>
      <c r="AF6" s="2539">
        <f>AE6</f>
        <v>1.66E-2</v>
      </c>
      <c r="AG6" s="2539">
        <f>ROUND(AVERAGE(K6:K$22)/100,4)</f>
        <v>2.6499999999999999E-2</v>
      </c>
      <c r="AH6" s="2539">
        <f>ROUND(AVERAGE(L6:L$22)/100,4)</f>
        <v>1.43E-2</v>
      </c>
    </row>
    <row r="7" spans="1:34">
      <c r="A7" s="2520" t="s">
        <v>2881</v>
      </c>
      <c r="B7" s="3008">
        <v>439</v>
      </c>
      <c r="C7" s="3008">
        <v>327</v>
      </c>
      <c r="D7" s="3008">
        <f t="shared" si="2"/>
        <v>327</v>
      </c>
      <c r="E7" s="3008">
        <v>627</v>
      </c>
      <c r="F7" s="3009">
        <v>283</v>
      </c>
      <c r="G7" s="2991">
        <v>2017</v>
      </c>
      <c r="H7" s="2521">
        <v>4</v>
      </c>
      <c r="I7" s="2521">
        <v>1.71</v>
      </c>
      <c r="J7" s="2521">
        <v>1.78</v>
      </c>
      <c r="K7" s="2521">
        <v>1.71</v>
      </c>
      <c r="L7" s="2522">
        <v>1.43</v>
      </c>
      <c r="N7" s="2529">
        <f t="shared" si="3"/>
        <v>1.7100000000000001E-2</v>
      </c>
      <c r="O7" s="2530">
        <f t="shared" si="4"/>
        <v>1.78E-2</v>
      </c>
      <c r="P7" s="2530">
        <f t="shared" si="4"/>
        <v>1.7100000000000001E-2</v>
      </c>
      <c r="Q7" s="2530">
        <f t="shared" si="4"/>
        <v>1.43E-2</v>
      </c>
      <c r="R7" s="2531"/>
      <c r="S7" s="2532"/>
      <c r="T7" s="2533"/>
      <c r="U7" s="2533"/>
      <c r="V7" s="2533"/>
      <c r="X7" s="2619">
        <f>ROUND(SUMPRODUCT(PRODUCT(1+N7:N$21)),4)</f>
        <v>1.4274</v>
      </c>
      <c r="Y7" s="2619">
        <f>ROUND(SUMPRODUCT(PRODUCT(1+O7:O$21)),4)</f>
        <v>1.2685</v>
      </c>
      <c r="Z7" s="2619">
        <f t="shared" si="0"/>
        <v>1.2685</v>
      </c>
      <c r="AA7" s="2619">
        <f>ROUND(SUMPRODUCT(PRODUCT(1+P7:P$21)),4)</f>
        <v>1.4825999999999999</v>
      </c>
      <c r="AB7" s="2619">
        <f>ROUND(SUMPRODUCT(PRODUCT(1+Q7:Q$21)),4)</f>
        <v>1.2309000000000001</v>
      </c>
      <c r="AD7" s="2539">
        <f>ROUND(AVERAGE(I7:I$22)/100,4)</f>
        <v>2.4500000000000001E-2</v>
      </c>
      <c r="AE7" s="2539">
        <f>ROUND(AVERAGE(J7:J$22)/100,4)</f>
        <v>1.6500000000000001E-2</v>
      </c>
      <c r="AF7" s="2539">
        <f t="shared" si="1"/>
        <v>1.6500000000000001E-2</v>
      </c>
      <c r="AG7" s="2539">
        <f>ROUND(AVERAGE(K7:K$22)/100,4)</f>
        <v>2.7099999999999999E-2</v>
      </c>
      <c r="AH7" s="2539">
        <f>ROUND(AVERAGE(L7:L$22)/100,4)</f>
        <v>1.3899999999999999E-2</v>
      </c>
    </row>
    <row r="8" spans="1:34" s="2626" customFormat="1" ht="13.5" thickBot="1">
      <c r="A8" s="2520" t="s">
        <v>2885</v>
      </c>
      <c r="B8" s="2534">
        <f t="shared" ref="B8:C10" si="5">B9*(1+N8)</f>
        <v>431.80730811680002</v>
      </c>
      <c r="C8" s="2534">
        <f t="shared" si="5"/>
        <v>320.57880516480003</v>
      </c>
      <c r="D8" s="2534">
        <f t="shared" si="2"/>
        <v>320.57880516480003</v>
      </c>
      <c r="E8" s="2534">
        <f t="shared" ref="E8:F10" si="6">E9*(1+P8)</f>
        <v>615.96110553196797</v>
      </c>
      <c r="F8" s="2534">
        <f t="shared" si="6"/>
        <v>279.46777300108801</v>
      </c>
      <c r="G8" s="2993"/>
      <c r="H8" s="2524">
        <v>3</v>
      </c>
      <c r="I8" s="2524">
        <v>2.98</v>
      </c>
      <c r="J8" s="2524">
        <v>2.11</v>
      </c>
      <c r="K8" s="2524">
        <v>3.24</v>
      </c>
      <c r="L8" s="2535">
        <v>1.72</v>
      </c>
      <c r="M8" s="2528"/>
      <c r="N8" s="2529">
        <f t="shared" si="3"/>
        <v>2.98E-2</v>
      </c>
      <c r="O8" s="2530">
        <f t="shared" si="4"/>
        <v>2.1099999999999997E-2</v>
      </c>
      <c r="P8" s="2530">
        <f t="shared" si="4"/>
        <v>3.2400000000000005E-2</v>
      </c>
      <c r="Q8" s="2530">
        <f t="shared" si="4"/>
        <v>1.72E-2</v>
      </c>
      <c r="R8" s="2531"/>
      <c r="S8" s="2537"/>
      <c r="T8" s="2538"/>
      <c r="U8" s="2538"/>
      <c r="V8" s="2538"/>
      <c r="W8" s="2528"/>
      <c r="X8" s="2619">
        <f>ROUND(SUMPRODUCT(PRODUCT(1+N8:N$21)),4)</f>
        <v>1.4034</v>
      </c>
      <c r="Y8" s="2619">
        <f>ROUND(SUMPRODUCT(PRODUCT(1+O8:O$21)),4)</f>
        <v>1.2463</v>
      </c>
      <c r="Z8" s="2619">
        <f t="shared" si="0"/>
        <v>1.2463</v>
      </c>
      <c r="AA8" s="2619">
        <f>ROUND(SUMPRODUCT(PRODUCT(1+P8:P$21)),4)</f>
        <v>1.4577</v>
      </c>
      <c r="AB8" s="2619">
        <f>ROUND(SUMPRODUCT(PRODUCT(1+Q8:Q$21)),4)</f>
        <v>1.2136</v>
      </c>
      <c r="AC8" s="2528"/>
      <c r="AD8" s="2539">
        <f>ROUND(AVERAGE(I8:I$22)/100,4)</f>
        <v>2.4899999999999999E-2</v>
      </c>
      <c r="AE8" s="2539">
        <f>ROUND(AVERAGE(J8:J$22)/100,4)</f>
        <v>1.6400000000000001E-2</v>
      </c>
      <c r="AF8" s="2539">
        <f t="shared" si="1"/>
        <v>1.6400000000000001E-2</v>
      </c>
      <c r="AG8" s="2539">
        <f>ROUND(AVERAGE(K8:K$22)/100,4)</f>
        <v>2.7799999999999998E-2</v>
      </c>
      <c r="AH8" s="2539">
        <f>ROUND(AVERAGE(L8:L$22)/100,4)</f>
        <v>1.3899999999999999E-2</v>
      </c>
    </row>
    <row r="9" spans="1:34" s="2518" customFormat="1">
      <c r="A9" s="2520" t="s">
        <v>2509</v>
      </c>
      <c r="B9" s="2534">
        <f t="shared" si="5"/>
        <v>419.31181600000002</v>
      </c>
      <c r="C9" s="2534">
        <f t="shared" si="5"/>
        <v>313.95436800000004</v>
      </c>
      <c r="D9" s="2534">
        <f t="shared" si="2"/>
        <v>313.95436800000004</v>
      </c>
      <c r="E9" s="2534">
        <f t="shared" si="6"/>
        <v>596.63028431999999</v>
      </c>
      <c r="F9" s="2534">
        <f t="shared" si="6"/>
        <v>274.74220703999998</v>
      </c>
      <c r="G9" s="2992"/>
      <c r="H9" s="2525">
        <v>2</v>
      </c>
      <c r="I9" s="2525">
        <v>3.4</v>
      </c>
      <c r="J9" s="2525">
        <v>2</v>
      </c>
      <c r="K9" s="2525">
        <v>3.82</v>
      </c>
      <c r="L9" s="2536">
        <v>1.68</v>
      </c>
      <c r="N9" s="2529">
        <f t="shared" si="3"/>
        <v>3.4000000000000002E-2</v>
      </c>
      <c r="O9" s="2530">
        <f t="shared" si="4"/>
        <v>0.02</v>
      </c>
      <c r="P9" s="2530">
        <f t="shared" si="4"/>
        <v>3.8199999999999998E-2</v>
      </c>
      <c r="Q9" s="2530">
        <f t="shared" si="4"/>
        <v>1.6799999999999999E-2</v>
      </c>
      <c r="R9" s="2519"/>
      <c r="S9" s="2523"/>
      <c r="T9" s="2519"/>
      <c r="U9" s="2519"/>
      <c r="V9" s="2519"/>
      <c r="X9" s="2619">
        <f>ROUND(SUMPRODUCT(PRODUCT(1+N9:N$21)),4)</f>
        <v>1.3628</v>
      </c>
      <c r="Y9" s="2619">
        <f>ROUND(SUMPRODUCT(PRODUCT(1+O9:O$21)),4)</f>
        <v>1.2205999999999999</v>
      </c>
      <c r="Z9" s="2619">
        <f t="shared" si="0"/>
        <v>1.2205999999999999</v>
      </c>
      <c r="AA9" s="2619">
        <f>ROUND(SUMPRODUCT(PRODUCT(1+P9:P$21)),4)</f>
        <v>1.4118999999999999</v>
      </c>
      <c r="AB9" s="2619">
        <f>ROUND(SUMPRODUCT(PRODUCT(1+Q9:Q$21)),4)</f>
        <v>1.1930000000000001</v>
      </c>
      <c r="AD9" s="2539">
        <f>ROUND(AVERAGE(I9:I$22)/100,4)</f>
        <v>2.46E-2</v>
      </c>
      <c r="AE9" s="2539">
        <f>ROUND(AVERAGE(J9:J$22)/100,4)</f>
        <v>1.6E-2</v>
      </c>
      <c r="AF9" s="2539">
        <f t="shared" si="1"/>
        <v>1.6E-2</v>
      </c>
      <c r="AG9" s="2539">
        <f>ROUND(AVERAGE(K9:K$22)/100,4)</f>
        <v>2.75E-2</v>
      </c>
      <c r="AH9" s="2539">
        <f>ROUND(AVERAGE(L9:L$22)/100,4)</f>
        <v>1.37E-2</v>
      </c>
    </row>
    <row r="10" spans="1:34" s="2626" customFormat="1" ht="13.5" thickBot="1">
      <c r="A10" s="2520" t="s">
        <v>2510</v>
      </c>
      <c r="B10" s="2534">
        <f t="shared" si="5"/>
        <v>405.524</v>
      </c>
      <c r="C10" s="2534">
        <f t="shared" si="5"/>
        <v>307.79840000000002</v>
      </c>
      <c r="D10" s="2534">
        <f t="shared" si="2"/>
        <v>307.79840000000002</v>
      </c>
      <c r="E10" s="2534">
        <f t="shared" si="6"/>
        <v>574.67759999999998</v>
      </c>
      <c r="F10" s="2534">
        <f t="shared" si="6"/>
        <v>270.20280000000002</v>
      </c>
      <c r="G10" s="2993"/>
      <c r="H10" s="2524">
        <v>1</v>
      </c>
      <c r="I10" s="2524">
        <v>3.45</v>
      </c>
      <c r="J10" s="2524">
        <v>1.92</v>
      </c>
      <c r="K10" s="2524">
        <v>3.92</v>
      </c>
      <c r="L10" s="2535">
        <v>1.58</v>
      </c>
      <c r="M10" s="2528"/>
      <c r="N10" s="2529">
        <f t="shared" si="3"/>
        <v>3.4500000000000003E-2</v>
      </c>
      <c r="O10" s="2530">
        <f t="shared" si="4"/>
        <v>1.9199999999999998E-2</v>
      </c>
      <c r="P10" s="2530">
        <f t="shared" si="4"/>
        <v>3.9199999999999999E-2</v>
      </c>
      <c r="Q10" s="2530">
        <f t="shared" si="4"/>
        <v>1.5800000000000002E-2</v>
      </c>
      <c r="R10" s="2531"/>
      <c r="S10" s="2537">
        <f>B10/B11-1</f>
        <v>3.4499999999999975E-2</v>
      </c>
      <c r="T10" s="2538">
        <f>C10/C11-1</f>
        <v>1.9200000000000106E-2</v>
      </c>
      <c r="U10" s="2538">
        <f>E10/E11-1</f>
        <v>3.9199999999999902E-2</v>
      </c>
      <c r="V10" s="2538">
        <f>F10/F11-1</f>
        <v>1.5800000000000036E-2</v>
      </c>
      <c r="W10" s="2528"/>
      <c r="X10" s="2619">
        <f>ROUND(SUMPRODUCT(PRODUCT(1+N10:N$21)),4)</f>
        <v>1.3180000000000001</v>
      </c>
      <c r="Y10" s="2619">
        <f>ROUND(SUMPRODUCT(PRODUCT(1+O10:O$21)),4)</f>
        <v>1.1966000000000001</v>
      </c>
      <c r="Z10" s="2619">
        <f t="shared" si="0"/>
        <v>1.1966000000000001</v>
      </c>
      <c r="AA10" s="2619">
        <f>ROUND(SUMPRODUCT(PRODUCT(1+P10:P$21)),4)</f>
        <v>1.36</v>
      </c>
      <c r="AB10" s="2619">
        <f>ROUND(SUMPRODUCT(PRODUCT(1+Q10:Q$21)),4)</f>
        <v>1.1733</v>
      </c>
      <c r="AC10" s="2528"/>
      <c r="AD10" s="2539">
        <f>ROUND(AVERAGE(I10:I$22)/100,4)</f>
        <v>2.3900000000000001E-2</v>
      </c>
      <c r="AE10" s="2539">
        <f>ROUND(AVERAGE(J10:J$22)/100,4)</f>
        <v>1.5699999999999999E-2</v>
      </c>
      <c r="AF10" s="2539">
        <f t="shared" si="1"/>
        <v>1.5699999999999999E-2</v>
      </c>
      <c r="AG10" s="2539">
        <f>ROUND(AVERAGE(K10:K$22)/100,4)</f>
        <v>2.6599999999999999E-2</v>
      </c>
      <c r="AH10" s="2539">
        <f>ROUND(AVERAGE(L10:L$22)/100,4)</f>
        <v>1.34E-2</v>
      </c>
    </row>
    <row r="11" spans="1:34">
      <c r="A11" s="2520" t="s">
        <v>903</v>
      </c>
      <c r="B11" s="2526">
        <v>392</v>
      </c>
      <c r="C11" s="2526">
        <v>302</v>
      </c>
      <c r="D11" s="2526">
        <f t="shared" si="2"/>
        <v>302</v>
      </c>
      <c r="E11" s="2526">
        <v>553</v>
      </c>
      <c r="F11" s="2527">
        <v>266</v>
      </c>
      <c r="G11" s="3460">
        <v>2016</v>
      </c>
      <c r="H11" s="2521">
        <v>4</v>
      </c>
      <c r="I11" s="2521">
        <v>4.5599999999999996</v>
      </c>
      <c r="J11" s="2521">
        <v>2.15</v>
      </c>
      <c r="K11" s="2521">
        <v>5.32</v>
      </c>
      <c r="L11" s="2522">
        <v>1.57</v>
      </c>
      <c r="N11" s="2529">
        <f t="shared" si="3"/>
        <v>4.5599999999999995E-2</v>
      </c>
      <c r="O11" s="2530">
        <f t="shared" ref="O11:Q26" si="7">J11/100</f>
        <v>2.1499999999999998E-2</v>
      </c>
      <c r="P11" s="2530">
        <f t="shared" si="7"/>
        <v>5.3200000000000004E-2</v>
      </c>
      <c r="Q11" s="2530">
        <f t="shared" si="7"/>
        <v>1.5700000000000002E-2</v>
      </c>
      <c r="R11" s="2531"/>
      <c r="S11" s="2532"/>
      <c r="T11" s="2533"/>
      <c r="U11" s="2533"/>
      <c r="V11" s="2533"/>
      <c r="X11" s="2619">
        <f>ROUND(SUMPRODUCT(PRODUCT(1+N11:N$21)),4)</f>
        <v>1.274</v>
      </c>
      <c r="Y11" s="2619">
        <f>ROUND(SUMPRODUCT(PRODUCT(1+O11:O$21)),4)</f>
        <v>1.1740999999999999</v>
      </c>
      <c r="Z11" s="2619">
        <f t="shared" si="0"/>
        <v>1.1740999999999999</v>
      </c>
      <c r="AA11" s="2619">
        <f>ROUND(SUMPRODUCT(PRODUCT(1+P11:P$21)),4)</f>
        <v>1.3087</v>
      </c>
      <c r="AB11" s="2619">
        <f>ROUND(SUMPRODUCT(PRODUCT(1+Q11:Q$21)),4)</f>
        <v>1.1551</v>
      </c>
      <c r="AD11" s="2539">
        <f>ROUND(AVERAGE(I11:I$22)/100,4)</f>
        <v>2.3E-2</v>
      </c>
      <c r="AE11" s="2539">
        <f>ROUND(AVERAGE(J11:J$22)/100,4)</f>
        <v>1.55E-2</v>
      </c>
      <c r="AF11" s="2539">
        <f t="shared" si="1"/>
        <v>1.55E-2</v>
      </c>
      <c r="AG11" s="2539">
        <f>ROUND(AVERAGE(K11:K$22)/100,4)</f>
        <v>2.5600000000000001E-2</v>
      </c>
      <c r="AH11" s="2539">
        <f>ROUND(AVERAGE(L11:L$22)/100,4)</f>
        <v>1.32E-2</v>
      </c>
    </row>
    <row r="12" spans="1:34">
      <c r="A12" s="2520" t="s">
        <v>902</v>
      </c>
      <c r="B12" s="2534">
        <f t="shared" ref="B12:C14" si="8">B11/(1+N11)</f>
        <v>374.90436113236416</v>
      </c>
      <c r="C12" s="2534">
        <f t="shared" si="8"/>
        <v>295.64366128242779</v>
      </c>
      <c r="D12" s="2534">
        <f t="shared" ref="D12:D71" si="9">C12</f>
        <v>295.64366128242779</v>
      </c>
      <c r="E12" s="2534">
        <f t="shared" ref="E12:F14" si="10">E11/(1+P11)</f>
        <v>525.06646410938095</v>
      </c>
      <c r="F12" s="2534">
        <f t="shared" si="10"/>
        <v>261.88835286009646</v>
      </c>
      <c r="G12" s="3458"/>
      <c r="H12" s="2524">
        <v>3</v>
      </c>
      <c r="I12" s="2524">
        <v>4.12</v>
      </c>
      <c r="J12" s="2524">
        <v>2</v>
      </c>
      <c r="K12" s="2524">
        <v>4.79</v>
      </c>
      <c r="L12" s="2535">
        <v>1.97</v>
      </c>
      <c r="N12" s="2529">
        <f t="shared" ref="N12:Q46" si="11">I12/100</f>
        <v>4.1200000000000001E-2</v>
      </c>
      <c r="O12" s="2530">
        <f t="shared" si="7"/>
        <v>0.02</v>
      </c>
      <c r="P12" s="2530">
        <f t="shared" si="7"/>
        <v>4.7899999999999998E-2</v>
      </c>
      <c r="Q12" s="2530">
        <f t="shared" si="7"/>
        <v>1.9699999999999999E-2</v>
      </c>
      <c r="R12" s="2531"/>
      <c r="S12" s="2529"/>
      <c r="T12" s="2530"/>
      <c r="U12" s="2530"/>
      <c r="V12" s="2530"/>
      <c r="X12" s="2619">
        <f>ROUND(SUMPRODUCT(PRODUCT(1+N12:N$21)),4)</f>
        <v>1.2184999999999999</v>
      </c>
      <c r="Y12" s="2619">
        <f>ROUND(SUMPRODUCT(PRODUCT(1+O12:O$21)),4)</f>
        <v>1.1494</v>
      </c>
      <c r="Z12" s="2619">
        <f t="shared" si="0"/>
        <v>1.1494</v>
      </c>
      <c r="AA12" s="2619">
        <f>ROUND(SUMPRODUCT(PRODUCT(1+P12:P$21)),4)</f>
        <v>1.2425999999999999</v>
      </c>
      <c r="AB12" s="2619">
        <f>ROUND(SUMPRODUCT(PRODUCT(1+Q12:Q$21)),4)</f>
        <v>1.1372</v>
      </c>
      <c r="AD12" s="2539">
        <f>ROUND(AVERAGE(I12:I$22)/100,4)</f>
        <v>2.0899999999999998E-2</v>
      </c>
      <c r="AE12" s="2539">
        <f>ROUND(AVERAGE(J12:J$22)/100,4)</f>
        <v>1.49E-2</v>
      </c>
      <c r="AF12" s="2539">
        <f t="shared" si="1"/>
        <v>1.49E-2</v>
      </c>
      <c r="AG12" s="2539">
        <f>ROUND(AVERAGE(K12:K$22)/100,4)</f>
        <v>2.3099999999999999E-2</v>
      </c>
      <c r="AH12" s="2539">
        <f>ROUND(AVERAGE(L12:L$22)/100,4)</f>
        <v>1.2999999999999999E-2</v>
      </c>
    </row>
    <row r="13" spans="1:34">
      <c r="A13" s="2520" t="s">
        <v>892</v>
      </c>
      <c r="B13" s="2534">
        <f t="shared" si="8"/>
        <v>360.06949782209392</v>
      </c>
      <c r="C13" s="2534">
        <f t="shared" si="8"/>
        <v>289.84672674747821</v>
      </c>
      <c r="D13" s="2534">
        <f t="shared" si="9"/>
        <v>289.84672674747821</v>
      </c>
      <c r="E13" s="2534">
        <f t="shared" si="10"/>
        <v>501.06543001181495</v>
      </c>
      <c r="F13" s="2534">
        <f t="shared" si="10"/>
        <v>256.82882500744967</v>
      </c>
      <c r="G13" s="3458"/>
      <c r="H13" s="2525">
        <v>2</v>
      </c>
      <c r="I13" s="2525">
        <v>3.85</v>
      </c>
      <c r="J13" s="2525">
        <v>1.95</v>
      </c>
      <c r="K13" s="2525">
        <v>4.4800000000000004</v>
      </c>
      <c r="L13" s="2536">
        <v>1.41</v>
      </c>
      <c r="N13" s="2529">
        <f t="shared" si="11"/>
        <v>3.85E-2</v>
      </c>
      <c r="O13" s="2530">
        <f t="shared" si="7"/>
        <v>1.95E-2</v>
      </c>
      <c r="P13" s="2530">
        <f t="shared" si="7"/>
        <v>4.4800000000000006E-2</v>
      </c>
      <c r="Q13" s="2530">
        <f t="shared" si="7"/>
        <v>1.41E-2</v>
      </c>
      <c r="R13" s="2531"/>
      <c r="S13" s="2529"/>
      <c r="T13" s="2530"/>
      <c r="U13" s="2530"/>
      <c r="V13" s="2530"/>
      <c r="X13" s="2619">
        <f>ROUND(SUMPRODUCT(PRODUCT(1+N13:N$21)),4)</f>
        <v>1.1702999999999999</v>
      </c>
      <c r="Y13" s="2619">
        <f>ROUND(SUMPRODUCT(PRODUCT(1+O13:O$21)),4)</f>
        <v>1.1269</v>
      </c>
      <c r="Z13" s="2619">
        <f t="shared" si="0"/>
        <v>1.1269</v>
      </c>
      <c r="AA13" s="2619">
        <f>ROUND(SUMPRODUCT(PRODUCT(1+P13:P$21)),4)</f>
        <v>1.1858</v>
      </c>
      <c r="AB13" s="2619">
        <f>ROUND(SUMPRODUCT(PRODUCT(1+Q13:Q$21)),4)</f>
        <v>1.1152</v>
      </c>
      <c r="AD13" s="2539">
        <f>ROUND(AVERAGE(I13:I$22)/100,4)</f>
        <v>1.89E-2</v>
      </c>
      <c r="AE13" s="2539">
        <f>ROUND(AVERAGE(J13:J$22)/100,4)</f>
        <v>1.44E-2</v>
      </c>
      <c r="AF13" s="2539">
        <f t="shared" si="1"/>
        <v>1.44E-2</v>
      </c>
      <c r="AG13" s="2539">
        <f>ROUND(AVERAGE(K13:K$22)/100,4)</f>
        <v>2.06E-2</v>
      </c>
      <c r="AH13" s="2539">
        <f>ROUND(AVERAGE(L13:L$22)/100,4)</f>
        <v>1.23E-2</v>
      </c>
    </row>
    <row r="14" spans="1:34" ht="13.5" thickBot="1">
      <c r="A14" s="2520" t="s">
        <v>901</v>
      </c>
      <c r="B14" s="2534">
        <f t="shared" si="8"/>
        <v>346.720748986128</v>
      </c>
      <c r="C14" s="2534">
        <f t="shared" si="8"/>
        <v>284.30282172386285</v>
      </c>
      <c r="D14" s="2534">
        <f t="shared" si="9"/>
        <v>284.30282172386285</v>
      </c>
      <c r="E14" s="2534">
        <f t="shared" si="10"/>
        <v>479.58023546306947</v>
      </c>
      <c r="F14" s="2534">
        <f t="shared" si="10"/>
        <v>253.25788877571213</v>
      </c>
      <c r="G14" s="3459"/>
      <c r="H14" s="2524">
        <v>1</v>
      </c>
      <c r="I14" s="2524">
        <v>4.09</v>
      </c>
      <c r="J14" s="2524">
        <v>2.93</v>
      </c>
      <c r="K14" s="2524">
        <v>4.54</v>
      </c>
      <c r="L14" s="2535">
        <v>1.48</v>
      </c>
      <c r="N14" s="2529">
        <f t="shared" si="11"/>
        <v>4.0899999999999999E-2</v>
      </c>
      <c r="O14" s="2530">
        <f t="shared" si="7"/>
        <v>2.9300000000000003E-2</v>
      </c>
      <c r="P14" s="2530">
        <f t="shared" si="7"/>
        <v>4.5400000000000003E-2</v>
      </c>
      <c r="Q14" s="2530">
        <f t="shared" si="7"/>
        <v>1.4800000000000001E-2</v>
      </c>
      <c r="R14" s="2531"/>
      <c r="S14" s="2537">
        <f>B14/B15-1</f>
        <v>4.1203450408792808E-2</v>
      </c>
      <c r="T14" s="2538">
        <f>C14/C15-1</f>
        <v>2.6363977342465095E-2</v>
      </c>
      <c r="U14" s="2538">
        <f>E14/E15-1</f>
        <v>4.4837114298626357E-2</v>
      </c>
      <c r="V14" s="2538">
        <f>F14/F15-1</f>
        <v>1.7099954922538574E-2</v>
      </c>
      <c r="X14" s="2619">
        <f>ROUND(SUMPRODUCT(PRODUCT(1+N14:N$21)),4)</f>
        <v>1.1269</v>
      </c>
      <c r="Y14" s="2619">
        <f>ROUND(SUMPRODUCT(PRODUCT(1+O14:O$21)),4)</f>
        <v>1.1052999999999999</v>
      </c>
      <c r="Z14" s="2619">
        <f t="shared" si="0"/>
        <v>1.1052999999999999</v>
      </c>
      <c r="AA14" s="2619">
        <f>ROUND(SUMPRODUCT(PRODUCT(1+P14:P$21)),4)</f>
        <v>1.1349</v>
      </c>
      <c r="AB14" s="2619">
        <f>ROUND(SUMPRODUCT(PRODUCT(1+Q14:Q$21)),4)</f>
        <v>1.0996999999999999</v>
      </c>
      <c r="AD14" s="2539">
        <f>ROUND(AVERAGE(I14:I$22)/100,4)</f>
        <v>1.67E-2</v>
      </c>
      <c r="AE14" s="2539">
        <f>ROUND(AVERAGE(J14:J$22)/100,4)</f>
        <v>1.38E-2</v>
      </c>
      <c r="AF14" s="2539">
        <f t="shared" si="1"/>
        <v>1.38E-2</v>
      </c>
      <c r="AG14" s="2539">
        <f>ROUND(AVERAGE(K14:K$22)/100,4)</f>
        <v>1.7899999999999999E-2</v>
      </c>
      <c r="AH14" s="2539">
        <f>ROUND(AVERAGE(L14:L$22)/100,4)</f>
        <v>1.21E-2</v>
      </c>
    </row>
    <row r="15" spans="1:34" ht="13.5" thickBot="1">
      <c r="A15" s="2520" t="s">
        <v>900</v>
      </c>
      <c r="B15" s="2526">
        <v>333</v>
      </c>
      <c r="C15" s="2526">
        <v>277</v>
      </c>
      <c r="D15" s="2526">
        <f t="shared" si="9"/>
        <v>277</v>
      </c>
      <c r="E15" s="2526">
        <v>459</v>
      </c>
      <c r="F15" s="2527">
        <v>249</v>
      </c>
      <c r="G15" s="3457">
        <v>2015</v>
      </c>
      <c r="H15" s="2540">
        <v>4</v>
      </c>
      <c r="I15" s="2540">
        <v>1.63</v>
      </c>
      <c r="J15" s="2540">
        <v>1.1100000000000001</v>
      </c>
      <c r="K15" s="2540">
        <v>1.77</v>
      </c>
      <c r="L15" s="2541">
        <v>1.89</v>
      </c>
      <c r="N15" s="2542">
        <f t="shared" si="11"/>
        <v>1.6299999999999999E-2</v>
      </c>
      <c r="O15" s="2543">
        <f t="shared" si="7"/>
        <v>1.11E-2</v>
      </c>
      <c r="P15" s="2543">
        <f t="shared" si="7"/>
        <v>1.77E-2</v>
      </c>
      <c r="Q15" s="2543">
        <f t="shared" si="7"/>
        <v>1.89E-2</v>
      </c>
      <c r="R15" s="2531"/>
      <c r="X15" s="2619">
        <f>ROUND(SUMPRODUCT(PRODUCT(1+N15:N$21)),4)</f>
        <v>1.0826</v>
      </c>
      <c r="Y15" s="2619">
        <f>ROUND(SUMPRODUCT(PRODUCT(1+O15:O$21)),4)</f>
        <v>1.0738000000000001</v>
      </c>
      <c r="Z15" s="2619">
        <f t="shared" si="0"/>
        <v>1.0738000000000001</v>
      </c>
      <c r="AA15" s="2619">
        <f>ROUND(SUMPRODUCT(PRODUCT(1+P15:P$21)),4)</f>
        <v>1.0855999999999999</v>
      </c>
      <c r="AB15" s="2619">
        <f>ROUND(SUMPRODUCT(PRODUCT(1+Q15:Q$21)),4)</f>
        <v>1.0837000000000001</v>
      </c>
      <c r="AD15" s="2539">
        <f>ROUND(AVERAGE(I15:I$22)/100,4)</f>
        <v>1.37E-2</v>
      </c>
      <c r="AE15" s="2539">
        <f>ROUND(AVERAGE(J15:J$22)/100,4)</f>
        <v>1.1900000000000001E-2</v>
      </c>
      <c r="AF15" s="2539">
        <f t="shared" si="1"/>
        <v>1.1900000000000001E-2</v>
      </c>
      <c r="AG15" s="2539">
        <f>ROUND(AVERAGE(K15:K$22)/100,4)</f>
        <v>1.4500000000000001E-2</v>
      </c>
      <c r="AH15" s="2539">
        <f>ROUND(AVERAGE(L15:L$22)/100,4)</f>
        <v>1.18E-2</v>
      </c>
    </row>
    <row r="16" spans="1:34">
      <c r="A16" s="2520" t="s">
        <v>899</v>
      </c>
      <c r="B16" s="2534">
        <f t="shared" ref="B16:C18" si="12">B15/(1+N15)</f>
        <v>327.65915576109415</v>
      </c>
      <c r="C16" s="2534">
        <f t="shared" si="12"/>
        <v>273.95905449510434</v>
      </c>
      <c r="D16" s="2534">
        <f t="shared" si="9"/>
        <v>273.95905449510434</v>
      </c>
      <c r="E16" s="2534">
        <f t="shared" ref="E16:F18" si="13">E15/(1+P15)</f>
        <v>451.01699911565294</v>
      </c>
      <c r="F16" s="2534">
        <f t="shared" si="13"/>
        <v>244.38119540681129</v>
      </c>
      <c r="G16" s="3458"/>
      <c r="H16" s="2545">
        <v>3</v>
      </c>
      <c r="I16" s="2545">
        <v>1.65</v>
      </c>
      <c r="J16" s="2545">
        <v>0.92</v>
      </c>
      <c r="K16" s="2545">
        <v>1.88</v>
      </c>
      <c r="L16" s="2546">
        <v>1.26</v>
      </c>
      <c r="N16" s="2529">
        <f t="shared" si="11"/>
        <v>1.6500000000000001E-2</v>
      </c>
      <c r="O16" s="2547">
        <f t="shared" si="7"/>
        <v>9.1999999999999998E-3</v>
      </c>
      <c r="P16" s="2547">
        <f t="shared" si="7"/>
        <v>1.8799999999999997E-2</v>
      </c>
      <c r="Q16" s="2547">
        <f t="shared" si="7"/>
        <v>1.26E-2</v>
      </c>
      <c r="R16" s="2531"/>
      <c r="S16" s="2529"/>
      <c r="T16" s="2530"/>
      <c r="U16" s="2530"/>
      <c r="V16" s="2530"/>
      <c r="X16" s="2619">
        <f>ROUND(SUMPRODUCT(PRODUCT(1+N16:N$21)),4)</f>
        <v>1.0651999999999999</v>
      </c>
      <c r="Y16" s="2619">
        <f>ROUND(SUMPRODUCT(PRODUCT(1+O16:O$21)),4)</f>
        <v>1.0621</v>
      </c>
      <c r="Z16" s="2619">
        <f t="shared" si="0"/>
        <v>1.0621</v>
      </c>
      <c r="AA16" s="2619">
        <f>ROUND(SUMPRODUCT(PRODUCT(1+P16:P$21)),4)</f>
        <v>1.0668</v>
      </c>
      <c r="AB16" s="2619">
        <f>ROUND(SUMPRODUCT(PRODUCT(1+Q16:Q$21)),4)</f>
        <v>1.0636000000000001</v>
      </c>
      <c r="AD16" s="2539">
        <f>ROUND(AVERAGE(I16:I$22)/100,4)</f>
        <v>1.3299999999999999E-2</v>
      </c>
      <c r="AE16" s="2539">
        <f>ROUND(AVERAGE(J16:J$22)/100,4)</f>
        <v>1.2E-2</v>
      </c>
      <c r="AF16" s="2539">
        <f t="shared" si="1"/>
        <v>1.2E-2</v>
      </c>
      <c r="AG16" s="2539">
        <f>ROUND(AVERAGE(K16:K$22)/100,4)</f>
        <v>1.4E-2</v>
      </c>
      <c r="AH16" s="2539">
        <f>ROUND(AVERAGE(L16:L$22)/100,4)</f>
        <v>1.0800000000000001E-2</v>
      </c>
    </row>
    <row r="17" spans="1:34">
      <c r="A17" s="2520" t="s">
        <v>898</v>
      </c>
      <c r="B17" s="2534">
        <f t="shared" si="12"/>
        <v>322.34053690220776</v>
      </c>
      <c r="C17" s="2534">
        <f t="shared" si="12"/>
        <v>271.46160770422546</v>
      </c>
      <c r="D17" s="2534">
        <f t="shared" si="9"/>
        <v>271.46160770422546</v>
      </c>
      <c r="E17" s="2534">
        <f t="shared" si="13"/>
        <v>442.69434542172456</v>
      </c>
      <c r="F17" s="2534">
        <f t="shared" si="13"/>
        <v>241.34030753190925</v>
      </c>
      <c r="G17" s="3458"/>
      <c r="H17" s="2525">
        <v>2</v>
      </c>
      <c r="I17" s="2525">
        <v>0.77</v>
      </c>
      <c r="J17" s="2525">
        <v>0.69</v>
      </c>
      <c r="K17" s="2525">
        <v>0.8</v>
      </c>
      <c r="L17" s="2536">
        <v>0.88</v>
      </c>
      <c r="N17" s="2529">
        <f t="shared" si="11"/>
        <v>7.7000000000000002E-3</v>
      </c>
      <c r="O17" s="2547">
        <f t="shared" si="7"/>
        <v>6.8999999999999999E-3</v>
      </c>
      <c r="P17" s="2547">
        <f t="shared" si="7"/>
        <v>8.0000000000000002E-3</v>
      </c>
      <c r="Q17" s="2547">
        <f t="shared" si="7"/>
        <v>8.8000000000000005E-3</v>
      </c>
      <c r="R17" s="2531"/>
      <c r="S17" s="2529"/>
      <c r="T17" s="2530"/>
      <c r="U17" s="2530"/>
      <c r="V17" s="2530"/>
      <c r="X17" s="2619">
        <f>ROUND(SUMPRODUCT(PRODUCT(1+N17:N$21)),4)</f>
        <v>1.048</v>
      </c>
      <c r="Y17" s="2619">
        <f>ROUND(SUMPRODUCT(PRODUCT(1+O17:O$21)),4)</f>
        <v>1.0524</v>
      </c>
      <c r="Z17" s="2619">
        <f t="shared" si="0"/>
        <v>1.0524</v>
      </c>
      <c r="AA17" s="2619">
        <f>ROUND(SUMPRODUCT(PRODUCT(1+P17:P$21)),4)</f>
        <v>1.0470999999999999</v>
      </c>
      <c r="AB17" s="2619">
        <f>ROUND(SUMPRODUCT(PRODUCT(1+Q17:Q$21)),4)</f>
        <v>1.0504</v>
      </c>
      <c r="AD17" s="2539">
        <f>ROUND(AVERAGE(I17:I$22)/100,4)</f>
        <v>1.2800000000000001E-2</v>
      </c>
      <c r="AE17" s="2539">
        <f>ROUND(AVERAGE(J17:J$22)/100,4)</f>
        <v>1.2500000000000001E-2</v>
      </c>
      <c r="AF17" s="2539">
        <f t="shared" si="1"/>
        <v>1.2500000000000001E-2</v>
      </c>
      <c r="AG17" s="2539">
        <f>ROUND(AVERAGE(K17:K$22)/100,4)</f>
        <v>1.32E-2</v>
      </c>
      <c r="AH17" s="2539">
        <f>ROUND(AVERAGE(L17:L$22)/100,4)</f>
        <v>1.0500000000000001E-2</v>
      </c>
    </row>
    <row r="18" spans="1:34">
      <c r="A18" s="2520" t="s">
        <v>897</v>
      </c>
      <c r="B18" s="2534">
        <f t="shared" si="12"/>
        <v>319.87748030386797</v>
      </c>
      <c r="C18" s="2534">
        <f t="shared" si="12"/>
        <v>269.60135833173649</v>
      </c>
      <c r="D18" s="2534">
        <f t="shared" si="9"/>
        <v>269.60135833173649</v>
      </c>
      <c r="E18" s="2534">
        <f t="shared" si="13"/>
        <v>439.18089823583784</v>
      </c>
      <c r="F18" s="2534">
        <f t="shared" si="13"/>
        <v>239.23503918706311</v>
      </c>
      <c r="G18" s="3459"/>
      <c r="H18" s="2524">
        <v>1</v>
      </c>
      <c r="I18" s="2524">
        <v>0.51</v>
      </c>
      <c r="J18" s="2524">
        <v>0.54</v>
      </c>
      <c r="K18" s="2524">
        <v>0.48</v>
      </c>
      <c r="L18" s="2535">
        <v>0.93</v>
      </c>
      <c r="N18" s="2537">
        <f t="shared" si="11"/>
        <v>5.1000000000000004E-3</v>
      </c>
      <c r="O18" s="2538">
        <f t="shared" si="7"/>
        <v>5.4000000000000003E-3</v>
      </c>
      <c r="P18" s="2538">
        <f t="shared" si="7"/>
        <v>4.7999999999999996E-3</v>
      </c>
      <c r="Q18" s="2538">
        <f t="shared" si="7"/>
        <v>9.300000000000001E-3</v>
      </c>
      <c r="R18" s="2531"/>
      <c r="S18" s="2537">
        <f>B18/B19-1</f>
        <v>5.9040261127922822E-3</v>
      </c>
      <c r="T18" s="2538">
        <f>C18/C19-1</f>
        <v>5.9752176557332781E-3</v>
      </c>
      <c r="U18" s="2538">
        <f>E18/E19-1</f>
        <v>4.9906138119859556E-3</v>
      </c>
      <c r="V18" s="2538">
        <f>F18/F19-1</f>
        <v>9.4305450930933787E-3</v>
      </c>
      <c r="X18" s="2619">
        <f>ROUND(SUMPRODUCT(PRODUCT(1+N18:N$21)),4)</f>
        <v>1.0399</v>
      </c>
      <c r="Y18" s="2619">
        <f>ROUND(SUMPRODUCT(PRODUCT(1+O18:O$21)),4)</f>
        <v>1.0451999999999999</v>
      </c>
      <c r="Z18" s="2619">
        <f t="shared" si="0"/>
        <v>1.0451999999999999</v>
      </c>
      <c r="AA18" s="2619">
        <f>ROUND(SUMPRODUCT(PRODUCT(1+P18:P$21)),4)</f>
        <v>1.0387999999999999</v>
      </c>
      <c r="AB18" s="2619">
        <f>ROUND(SUMPRODUCT(PRODUCT(1+Q18:Q$21)),4)</f>
        <v>1.0411999999999999</v>
      </c>
      <c r="AD18" s="2539">
        <f>ROUND(AVERAGE(I18:I$22)/100,4)</f>
        <v>1.38E-2</v>
      </c>
      <c r="AE18" s="2539">
        <f>ROUND(AVERAGE(J18:J$22)/100,4)</f>
        <v>1.3599999999999999E-2</v>
      </c>
      <c r="AF18" s="2539">
        <f t="shared" si="1"/>
        <v>1.3599999999999999E-2</v>
      </c>
      <c r="AG18" s="2539">
        <f>ROUND(AVERAGE(K18:K$22)/100,4)</f>
        <v>1.4200000000000001E-2</v>
      </c>
      <c r="AH18" s="2539">
        <f>ROUND(AVERAGE(L18:L$22)/100,4)</f>
        <v>1.0800000000000001E-2</v>
      </c>
    </row>
    <row r="19" spans="1:34" ht="13.5" thickBot="1">
      <c r="A19" s="2520" t="s">
        <v>896</v>
      </c>
      <c r="B19" s="2548">
        <v>318</v>
      </c>
      <c r="C19" s="2548">
        <v>268</v>
      </c>
      <c r="D19" s="2548">
        <f t="shared" si="9"/>
        <v>268</v>
      </c>
      <c r="E19" s="2548">
        <v>437</v>
      </c>
      <c r="F19" s="2549">
        <v>237</v>
      </c>
      <c r="G19" s="3457">
        <v>2014</v>
      </c>
      <c r="H19" s="2540">
        <v>4</v>
      </c>
      <c r="I19" s="2540">
        <v>0.21</v>
      </c>
      <c r="J19" s="2540">
        <v>0.41</v>
      </c>
      <c r="K19" s="2540">
        <v>0.12</v>
      </c>
      <c r="L19" s="2541">
        <v>0.89</v>
      </c>
      <c r="N19" s="2529">
        <f t="shared" si="11"/>
        <v>2.0999999999999999E-3</v>
      </c>
      <c r="O19" s="2530">
        <f t="shared" si="7"/>
        <v>4.0999999999999995E-3</v>
      </c>
      <c r="P19" s="2530">
        <f t="shared" si="7"/>
        <v>1.1999999999999999E-3</v>
      </c>
      <c r="Q19" s="2530">
        <f t="shared" si="7"/>
        <v>8.8999999999999999E-3</v>
      </c>
      <c r="R19" s="2531"/>
      <c r="S19" s="2532"/>
      <c r="T19" s="2533"/>
      <c r="U19" s="2533"/>
      <c r="V19" s="2533"/>
      <c r="X19" s="2619">
        <f>ROUND(SUMPRODUCT(PRODUCT(1+N19:N$21)),4)</f>
        <v>1.0347</v>
      </c>
      <c r="Y19" s="2619">
        <f>ROUND(SUMPRODUCT(PRODUCT(1+O19:O$21)),4)</f>
        <v>1.0395000000000001</v>
      </c>
      <c r="Z19" s="2619">
        <f t="shared" si="0"/>
        <v>1.0395000000000001</v>
      </c>
      <c r="AA19" s="2619">
        <f>ROUND(SUMPRODUCT(PRODUCT(1+P19:P$21)),4)</f>
        <v>1.0338000000000001</v>
      </c>
      <c r="AB19" s="2619">
        <f>ROUND(SUMPRODUCT(PRODUCT(1+Q19:Q$21)),4)</f>
        <v>1.0316000000000001</v>
      </c>
      <c r="AD19" s="2539">
        <f>ROUND(AVERAGE(I19:I$22)/100,4)</f>
        <v>1.6E-2</v>
      </c>
      <c r="AE19" s="2539">
        <f>ROUND(AVERAGE(J19:J$22)/100,4)</f>
        <v>1.5599999999999999E-2</v>
      </c>
      <c r="AF19" s="2539">
        <f t="shared" si="1"/>
        <v>1.5599999999999999E-2</v>
      </c>
      <c r="AG19" s="2539">
        <f>ROUND(AVERAGE(K19:K$22)/100,4)</f>
        <v>1.66E-2</v>
      </c>
      <c r="AH19" s="2539">
        <f>ROUND(AVERAGE(L19:L$22)/100,4)</f>
        <v>1.12E-2</v>
      </c>
    </row>
    <row r="20" spans="1:34">
      <c r="A20" s="2520" t="s">
        <v>895</v>
      </c>
      <c r="B20" s="2534">
        <f t="shared" ref="B20:C22" si="14">B19/(1+N19)</f>
        <v>317.33359944117353</v>
      </c>
      <c r="C20" s="2534">
        <f t="shared" si="14"/>
        <v>266.90568668459315</v>
      </c>
      <c r="D20" s="2534">
        <f t="shared" si="9"/>
        <v>266.90568668459315</v>
      </c>
      <c r="E20" s="2534">
        <f t="shared" ref="E20:F22" si="15">E19/(1+P19)</f>
        <v>436.47622852576905</v>
      </c>
      <c r="F20" s="2534">
        <f t="shared" si="15"/>
        <v>234.90930716622066</v>
      </c>
      <c r="G20" s="3458"/>
      <c r="H20" s="2550">
        <v>3</v>
      </c>
      <c r="I20" s="2550">
        <v>0.83</v>
      </c>
      <c r="J20" s="2550">
        <v>1.47</v>
      </c>
      <c r="K20" s="2550">
        <v>0.65</v>
      </c>
      <c r="L20" s="2551">
        <v>0.72</v>
      </c>
      <c r="N20" s="2529">
        <f t="shared" si="11"/>
        <v>8.3000000000000001E-3</v>
      </c>
      <c r="O20" s="2530">
        <f t="shared" si="7"/>
        <v>1.47E-2</v>
      </c>
      <c r="P20" s="2530">
        <f t="shared" si="7"/>
        <v>6.5000000000000006E-3</v>
      </c>
      <c r="Q20" s="2530">
        <f t="shared" si="7"/>
        <v>7.1999999999999998E-3</v>
      </c>
      <c r="R20" s="2531"/>
      <c r="S20" s="2529"/>
      <c r="T20" s="2530"/>
      <c r="U20" s="2530"/>
      <c r="V20" s="2530"/>
      <c r="X20" s="2619">
        <f>ROUND(SUMPRODUCT(PRODUCT(1+N20:N$21)),4)</f>
        <v>1.0325</v>
      </c>
      <c r="Y20" s="2619">
        <f>ROUND(SUMPRODUCT(PRODUCT(1+O20:O$21)),4)</f>
        <v>1.0353000000000001</v>
      </c>
      <c r="Z20" s="2619">
        <f>Y20</f>
        <v>1.0353000000000001</v>
      </c>
      <c r="AA20" s="2619">
        <f>ROUND(SUMPRODUCT(PRODUCT(1+P20:P$21)),4)</f>
        <v>1.0326</v>
      </c>
      <c r="AB20" s="2619">
        <f>ROUND(SUMPRODUCT(PRODUCT(1+Q20:Q$21)),4)</f>
        <v>1.0225</v>
      </c>
      <c r="AD20" s="2539">
        <f>ROUND(AVERAGE(I20:I$22)/100,4)</f>
        <v>2.07E-2</v>
      </c>
      <c r="AE20" s="2539">
        <f>ROUND(AVERAGE(J20:J$22)/100,4)</f>
        <v>1.95E-2</v>
      </c>
      <c r="AF20" s="2539">
        <f t="shared" si="1"/>
        <v>1.95E-2</v>
      </c>
      <c r="AG20" s="2539">
        <f>ROUND(AVERAGE(K20:K$22)/100,4)</f>
        <v>2.1700000000000001E-2</v>
      </c>
      <c r="AH20" s="2539">
        <f>ROUND(AVERAGE(L20:L$22)/100,4)</f>
        <v>1.2E-2</v>
      </c>
    </row>
    <row r="21" spans="1:34" ht="13.5" thickBot="1">
      <c r="A21" s="2520" t="s">
        <v>894</v>
      </c>
      <c r="B21" s="2534">
        <f t="shared" si="14"/>
        <v>314.72141172386546</v>
      </c>
      <c r="C21" s="2534">
        <f t="shared" si="14"/>
        <v>263.03901319069001</v>
      </c>
      <c r="D21" s="2534">
        <f t="shared" si="9"/>
        <v>263.03901319069001</v>
      </c>
      <c r="E21" s="2534">
        <f t="shared" si="15"/>
        <v>433.65745506782821</v>
      </c>
      <c r="F21" s="2534">
        <f t="shared" si="15"/>
        <v>233.23005080045735</v>
      </c>
      <c r="G21" s="3458"/>
      <c r="H21" s="2540">
        <v>2</v>
      </c>
      <c r="I21" s="2540">
        <v>2.4</v>
      </c>
      <c r="J21" s="2540">
        <v>2.0299999999999998</v>
      </c>
      <c r="K21" s="2540">
        <v>2.59</v>
      </c>
      <c r="L21" s="2541">
        <v>1.52</v>
      </c>
      <c r="N21" s="2529">
        <f t="shared" si="11"/>
        <v>2.4E-2</v>
      </c>
      <c r="O21" s="2530">
        <f t="shared" si="7"/>
        <v>2.0299999999999999E-2</v>
      </c>
      <c r="P21" s="2530">
        <f t="shared" si="7"/>
        <v>2.5899999999999999E-2</v>
      </c>
      <c r="Q21" s="2530">
        <f t="shared" si="7"/>
        <v>1.52E-2</v>
      </c>
      <c r="R21" s="2531"/>
      <c r="S21" s="2529"/>
      <c r="T21" s="2530"/>
      <c r="U21" s="2530"/>
      <c r="V21" s="2530"/>
      <c r="X21" s="2619">
        <f>1+N21</f>
        <v>1.024</v>
      </c>
      <c r="Y21" s="2619">
        <f>1+O21</f>
        <v>1.0203</v>
      </c>
      <c r="Z21" s="2619">
        <f>Y21</f>
        <v>1.0203</v>
      </c>
      <c r="AA21" s="2619">
        <f>1+P21</f>
        <v>1.0259</v>
      </c>
      <c r="AB21" s="2619">
        <f>1+Q21</f>
        <v>1.0152000000000001</v>
      </c>
      <c r="AD21" s="2539">
        <f>ROUND(AVERAGE(I21:I$22)/100,4)</f>
        <v>2.69E-2</v>
      </c>
      <c r="AE21" s="2539">
        <f>ROUND(AVERAGE(J21:J$22)/100,4)</f>
        <v>2.1899999999999999E-2</v>
      </c>
      <c r="AF21" s="2539">
        <f>AE21</f>
        <v>2.1899999999999999E-2</v>
      </c>
      <c r="AG21" s="2539">
        <f>ROUND(AVERAGE(K21:K$22)/100,4)</f>
        <v>2.9399999999999999E-2</v>
      </c>
      <c r="AH21" s="2539">
        <f>ROUND(AVERAGE(L21:L$22)/100,4)</f>
        <v>1.44E-2</v>
      </c>
    </row>
    <row r="22" spans="1:34" s="2556" customFormat="1" ht="13.5" thickBot="1">
      <c r="A22" s="2552" t="s">
        <v>893</v>
      </c>
      <c r="B22" s="2553">
        <f t="shared" si="14"/>
        <v>307.34512863658733</v>
      </c>
      <c r="C22" s="2553">
        <f t="shared" si="14"/>
        <v>257.80556031626975</v>
      </c>
      <c r="D22" s="2553">
        <f t="shared" si="9"/>
        <v>257.80556031626975</v>
      </c>
      <c r="E22" s="2553">
        <f t="shared" si="15"/>
        <v>422.70928459677179</v>
      </c>
      <c r="F22" s="2553">
        <f t="shared" si="15"/>
        <v>229.73803270336617</v>
      </c>
      <c r="G22" s="3459"/>
      <c r="H22" s="2554">
        <v>1</v>
      </c>
      <c r="I22" s="2554">
        <v>2.97</v>
      </c>
      <c r="J22" s="2554">
        <v>2.34</v>
      </c>
      <c r="K22" s="2554">
        <v>3.28</v>
      </c>
      <c r="L22" s="2555">
        <v>1.36</v>
      </c>
      <c r="N22" s="2557">
        <f t="shared" si="11"/>
        <v>2.9700000000000001E-2</v>
      </c>
      <c r="O22" s="2558">
        <f t="shared" si="7"/>
        <v>2.3399999999999997E-2</v>
      </c>
      <c r="P22" s="2558">
        <f t="shared" si="7"/>
        <v>3.2799999999999996E-2</v>
      </c>
      <c r="Q22" s="2558">
        <f t="shared" si="7"/>
        <v>1.3600000000000001E-2</v>
      </c>
      <c r="R22" s="2559"/>
      <c r="S22" s="2560">
        <f>B22/B23-1</f>
        <v>2.7910129219355539E-2</v>
      </c>
      <c r="T22" s="2561">
        <f>C22/C23-1</f>
        <v>2.3037937762975247E-2</v>
      </c>
      <c r="U22" s="2561">
        <f>E22/E23-1</f>
        <v>3.3519033243940788E-2</v>
      </c>
      <c r="V22" s="2561">
        <f>F22/F23-1</f>
        <v>1.2061818076502862E-2</v>
      </c>
      <c r="W22" s="2628" t="s">
        <v>2568</v>
      </c>
      <c r="X22" s="2630">
        <v>1</v>
      </c>
      <c r="Y22" s="2630">
        <v>1</v>
      </c>
      <c r="Z22" s="2630">
        <v>1</v>
      </c>
      <c r="AA22" s="2630">
        <v>1</v>
      </c>
      <c r="AB22" s="2630">
        <v>1</v>
      </c>
      <c r="AD22" s="2874">
        <f>I22/100</f>
        <v>2.9700000000000001E-2</v>
      </c>
      <c r="AE22" s="2874">
        <f>J22/100</f>
        <v>2.3399999999999997E-2</v>
      </c>
      <c r="AF22" s="2874">
        <f>AE22</f>
        <v>2.3399999999999997E-2</v>
      </c>
      <c r="AG22" s="2874">
        <f>K22/100</f>
        <v>3.2799999999999996E-2</v>
      </c>
      <c r="AH22" s="2874">
        <f>L22/100</f>
        <v>1.3600000000000001E-2</v>
      </c>
    </row>
    <row r="23" spans="1:34" ht="13.5" thickBot="1">
      <c r="A23" s="2520" t="s">
        <v>2511</v>
      </c>
      <c r="B23" s="2526">
        <v>299</v>
      </c>
      <c r="C23" s="2526">
        <v>252</v>
      </c>
      <c r="D23" s="2526">
        <f t="shared" si="9"/>
        <v>252</v>
      </c>
      <c r="E23" s="2526">
        <v>409</v>
      </c>
      <c r="F23" s="2527">
        <v>227</v>
      </c>
      <c r="G23" s="3464">
        <v>2013</v>
      </c>
      <c r="H23" s="2562">
        <v>4</v>
      </c>
      <c r="I23" s="2562">
        <v>1.83</v>
      </c>
      <c r="J23" s="2562">
        <v>1.68</v>
      </c>
      <c r="K23" s="2562">
        <v>1.97</v>
      </c>
      <c r="L23" s="2563">
        <v>0.87</v>
      </c>
      <c r="N23" s="2542">
        <f t="shared" si="11"/>
        <v>1.83E-2</v>
      </c>
      <c r="O23" s="2543">
        <f t="shared" si="7"/>
        <v>1.6799999999999999E-2</v>
      </c>
      <c r="P23" s="2543">
        <f t="shared" si="7"/>
        <v>1.9699999999999999E-2</v>
      </c>
      <c r="Q23" s="2543">
        <f t="shared" si="7"/>
        <v>8.6999999999999994E-3</v>
      </c>
      <c r="R23" s="2531"/>
      <c r="S23" s="2532"/>
      <c r="T23" s="2533"/>
      <c r="U23" s="2533"/>
      <c r="V23" s="2533"/>
      <c r="X23" s="2533"/>
      <c r="Y23" s="2533"/>
      <c r="Z23" s="2533"/>
    </row>
    <row r="24" spans="1:34">
      <c r="A24" s="2520" t="s">
        <v>2512</v>
      </c>
      <c r="B24" s="2534">
        <f t="shared" ref="B24:C26" si="16">B23/(1+N23)</f>
        <v>293.62663262299913</v>
      </c>
      <c r="C24" s="2534">
        <f t="shared" si="16"/>
        <v>247.83634933123525</v>
      </c>
      <c r="D24" s="2534">
        <f t="shared" si="9"/>
        <v>247.83634933123525</v>
      </c>
      <c r="E24" s="2534">
        <f t="shared" ref="E24:F26" si="17">E23/(1+P23)</f>
        <v>401.09836226341076</v>
      </c>
      <c r="F24" s="2534">
        <f t="shared" si="17"/>
        <v>225.04213343908003</v>
      </c>
      <c r="G24" s="3465"/>
      <c r="H24" s="2545">
        <v>3</v>
      </c>
      <c r="I24" s="2545">
        <v>1.86</v>
      </c>
      <c r="J24" s="2545">
        <v>1.72</v>
      </c>
      <c r="K24" s="2545">
        <v>1.98</v>
      </c>
      <c r="L24" s="2546">
        <v>0.88</v>
      </c>
      <c r="N24" s="2529">
        <f t="shared" si="11"/>
        <v>1.8600000000000002E-2</v>
      </c>
      <c r="O24" s="2547">
        <f t="shared" si="7"/>
        <v>1.72E-2</v>
      </c>
      <c r="P24" s="2547">
        <f t="shared" si="7"/>
        <v>1.9799999999999998E-2</v>
      </c>
      <c r="Q24" s="2547">
        <f t="shared" si="7"/>
        <v>8.8000000000000005E-3</v>
      </c>
      <c r="R24" s="2531"/>
      <c r="S24" s="2529"/>
      <c r="T24" s="2530"/>
      <c r="U24" s="2530"/>
      <c r="V24" s="2530"/>
    </row>
    <row r="25" spans="1:34">
      <c r="A25" s="2520" t="s">
        <v>2513</v>
      </c>
      <c r="B25" s="2534">
        <f t="shared" si="16"/>
        <v>288.2649053828776</v>
      </c>
      <c r="C25" s="2534">
        <f t="shared" si="16"/>
        <v>243.64564425013293</v>
      </c>
      <c r="D25" s="2534">
        <f t="shared" si="9"/>
        <v>243.64564425013293</v>
      </c>
      <c r="E25" s="2534">
        <f t="shared" si="17"/>
        <v>393.31080825986544</v>
      </c>
      <c r="F25" s="2534">
        <f t="shared" si="17"/>
        <v>223.07903790551154</v>
      </c>
      <c r="G25" s="3465"/>
      <c r="H25" s="2525">
        <v>2</v>
      </c>
      <c r="I25" s="2525">
        <v>2.04</v>
      </c>
      <c r="J25" s="2525">
        <v>2.33</v>
      </c>
      <c r="K25" s="2525">
        <v>2.0699999999999998</v>
      </c>
      <c r="L25" s="2536">
        <v>0.69</v>
      </c>
      <c r="N25" s="2529">
        <f t="shared" si="11"/>
        <v>2.0400000000000001E-2</v>
      </c>
      <c r="O25" s="2547">
        <f t="shared" si="7"/>
        <v>2.3300000000000001E-2</v>
      </c>
      <c r="P25" s="2547">
        <f t="shared" si="7"/>
        <v>2.07E-2</v>
      </c>
      <c r="Q25" s="2547">
        <f t="shared" si="7"/>
        <v>6.8999999999999999E-3</v>
      </c>
      <c r="R25" s="2531"/>
      <c r="S25" s="2529"/>
      <c r="T25" s="2530"/>
      <c r="U25" s="2530"/>
      <c r="V25" s="2530"/>
      <c r="X25" s="2631"/>
      <c r="Y25" s="2633"/>
    </row>
    <row r="26" spans="1:34">
      <c r="A26" s="2520" t="s">
        <v>2514</v>
      </c>
      <c r="B26" s="2534">
        <f t="shared" si="16"/>
        <v>282.50186729015837</v>
      </c>
      <c r="C26" s="2534">
        <f t="shared" si="16"/>
        <v>238.09796174155468</v>
      </c>
      <c r="D26" s="2534">
        <f t="shared" si="9"/>
        <v>238.09796174155468</v>
      </c>
      <c r="E26" s="2534">
        <f t="shared" si="17"/>
        <v>385.33438646014054</v>
      </c>
      <c r="F26" s="2534">
        <f t="shared" si="17"/>
        <v>221.55034055567739</v>
      </c>
      <c r="G26" s="3466"/>
      <c r="H26" s="2524">
        <v>1</v>
      </c>
      <c r="I26" s="2524">
        <v>1.67</v>
      </c>
      <c r="J26" s="2524">
        <v>1.31</v>
      </c>
      <c r="K26" s="2524">
        <v>1.85</v>
      </c>
      <c r="L26" s="2535">
        <v>0.96</v>
      </c>
      <c r="N26" s="2537">
        <f t="shared" si="11"/>
        <v>1.67E-2</v>
      </c>
      <c r="O26" s="2538">
        <f t="shared" si="7"/>
        <v>1.3100000000000001E-2</v>
      </c>
      <c r="P26" s="2538">
        <f t="shared" si="7"/>
        <v>1.8500000000000003E-2</v>
      </c>
      <c r="Q26" s="2538">
        <f t="shared" si="7"/>
        <v>9.5999999999999992E-3</v>
      </c>
      <c r="R26" s="2531"/>
      <c r="S26" s="2537">
        <f>B26/B27-1</f>
        <v>1.6193767230785472E-2</v>
      </c>
      <c r="T26" s="2538">
        <f>C26/C27-1</f>
        <v>1.7512657015190891E-2</v>
      </c>
      <c r="U26" s="2538">
        <f>E26/E27-1</f>
        <v>1.6713420739157048E-2</v>
      </c>
      <c r="V26" s="2538">
        <f>F26/F27-1</f>
        <v>7.0470025258062563E-3</v>
      </c>
      <c r="X26" s="2632"/>
      <c r="Y26" s="2539"/>
      <c r="Z26" s="2539"/>
    </row>
    <row r="27" spans="1:34" ht="13.5" thickBot="1">
      <c r="A27" s="2520" t="s">
        <v>2515</v>
      </c>
      <c r="B27" s="2564">
        <v>278</v>
      </c>
      <c r="C27" s="2564">
        <v>234</v>
      </c>
      <c r="D27" s="2564">
        <f t="shared" si="9"/>
        <v>234</v>
      </c>
      <c r="E27" s="2564">
        <v>379</v>
      </c>
      <c r="F27" s="2565">
        <v>220</v>
      </c>
      <c r="G27" s="3457">
        <v>2012</v>
      </c>
      <c r="H27" s="2540">
        <v>4</v>
      </c>
      <c r="I27" s="2540">
        <v>0.91</v>
      </c>
      <c r="J27" s="2540">
        <v>0.68</v>
      </c>
      <c r="K27" s="2540">
        <v>0.98</v>
      </c>
      <c r="L27" s="2541">
        <v>0.9</v>
      </c>
      <c r="N27" s="2529">
        <f t="shared" si="11"/>
        <v>9.1000000000000004E-3</v>
      </c>
      <c r="O27" s="2530">
        <f t="shared" si="11"/>
        <v>6.8000000000000005E-3</v>
      </c>
      <c r="P27" s="2530">
        <f t="shared" si="11"/>
        <v>9.7999999999999997E-3</v>
      </c>
      <c r="Q27" s="2530">
        <f t="shared" si="11"/>
        <v>9.0000000000000011E-3</v>
      </c>
      <c r="R27" s="2531"/>
      <c r="S27" s="2532"/>
      <c r="T27" s="2533"/>
      <c r="U27" s="2533"/>
      <c r="V27" s="2533"/>
      <c r="X27" s="2533"/>
      <c r="Y27" s="2533"/>
      <c r="Z27" s="2533"/>
    </row>
    <row r="28" spans="1:34">
      <c r="A28" s="2520" t="s">
        <v>2516</v>
      </c>
      <c r="B28" s="2534">
        <f>B27/(1+N27)</f>
        <v>275.49301357645425</v>
      </c>
      <c r="C28" s="2534">
        <f>C27/(1+O27)</f>
        <v>232.41954707985698</v>
      </c>
      <c r="D28" s="2534">
        <f t="shared" si="9"/>
        <v>232.41954707985698</v>
      </c>
      <c r="E28" s="2534">
        <f t="shared" ref="E28:F30" si="18">E27/(1+P27)</f>
        <v>375.32184591008121</v>
      </c>
      <c r="F28" s="2534">
        <f t="shared" si="18"/>
        <v>218.03766105054513</v>
      </c>
      <c r="G28" s="3458"/>
      <c r="H28" s="2545">
        <v>3</v>
      </c>
      <c r="I28" s="2545">
        <v>0.09</v>
      </c>
      <c r="J28" s="2545">
        <v>0.28999999999999998</v>
      </c>
      <c r="K28" s="2545">
        <v>-0.01</v>
      </c>
      <c r="L28" s="2546">
        <v>0.57999999999999996</v>
      </c>
      <c r="N28" s="2529">
        <f t="shared" si="11"/>
        <v>8.9999999999999998E-4</v>
      </c>
      <c r="O28" s="2530">
        <f t="shared" si="11"/>
        <v>2.8999999999999998E-3</v>
      </c>
      <c r="P28" s="2530">
        <f t="shared" si="11"/>
        <v>-1E-4</v>
      </c>
      <c r="Q28" s="2530">
        <f t="shared" si="11"/>
        <v>5.7999999999999996E-3</v>
      </c>
      <c r="R28" s="2531"/>
      <c r="S28" s="2529"/>
      <c r="T28" s="2530"/>
      <c r="U28" s="2530"/>
      <c r="V28" s="2530"/>
    </row>
    <row r="29" spans="1:34">
      <c r="A29" s="2520" t="s">
        <v>2517</v>
      </c>
      <c r="B29" s="2534">
        <f>B28/(1+N28)</f>
        <v>275.24529281292263</v>
      </c>
      <c r="C29" s="2534">
        <f>C28/(1+O28)</f>
        <v>231.74747938962707</v>
      </c>
      <c r="D29" s="2534">
        <f t="shared" si="9"/>
        <v>231.74747938962707</v>
      </c>
      <c r="E29" s="2534">
        <f t="shared" si="18"/>
        <v>375.35938184826603</v>
      </c>
      <c r="F29" s="2534">
        <f t="shared" si="18"/>
        <v>216.78033510692495</v>
      </c>
      <c r="G29" s="3458"/>
      <c r="H29" s="2525">
        <v>2</v>
      </c>
      <c r="I29" s="2525">
        <v>0.02</v>
      </c>
      <c r="J29" s="2525">
        <v>0.12</v>
      </c>
      <c r="K29" s="2525">
        <v>-0.08</v>
      </c>
      <c r="L29" s="2536">
        <v>1.24</v>
      </c>
      <c r="N29" s="2529">
        <f t="shared" si="11"/>
        <v>2.0000000000000001E-4</v>
      </c>
      <c r="O29" s="2530">
        <f t="shared" si="11"/>
        <v>1.1999999999999999E-3</v>
      </c>
      <c r="P29" s="2530">
        <f t="shared" si="11"/>
        <v>-8.0000000000000004E-4</v>
      </c>
      <c r="Q29" s="2530">
        <f t="shared" si="11"/>
        <v>1.24E-2</v>
      </c>
      <c r="R29" s="2531"/>
      <c r="S29" s="2529"/>
      <c r="T29" s="2530"/>
      <c r="U29" s="2530"/>
      <c r="V29" s="2530"/>
    </row>
    <row r="30" spans="1:34" ht="13.5" thickBot="1">
      <c r="A30" s="2520" t="s">
        <v>2518</v>
      </c>
      <c r="B30" s="2534">
        <f>B29/(1+N29)</f>
        <v>275.19025476197027</v>
      </c>
      <c r="C30" s="2566">
        <v>232</v>
      </c>
      <c r="D30" s="2566">
        <f t="shared" si="9"/>
        <v>232</v>
      </c>
      <c r="E30" s="2534">
        <f t="shared" si="18"/>
        <v>375.65990977608692</v>
      </c>
      <c r="F30" s="2534">
        <f t="shared" si="18"/>
        <v>214.12518283971252</v>
      </c>
      <c r="G30" s="3459"/>
      <c r="H30" s="2524">
        <v>1</v>
      </c>
      <c r="I30" s="2524">
        <v>0.02</v>
      </c>
      <c r="J30" s="2524">
        <v>0.13</v>
      </c>
      <c r="K30" s="2524">
        <v>-0.04</v>
      </c>
      <c r="L30" s="2535">
        <v>0.46</v>
      </c>
      <c r="N30" s="2529">
        <f t="shared" si="11"/>
        <v>2.0000000000000001E-4</v>
      </c>
      <c r="O30" s="2530">
        <f t="shared" si="11"/>
        <v>1.2999999999999999E-3</v>
      </c>
      <c r="P30" s="2530">
        <f t="shared" si="11"/>
        <v>-4.0000000000000002E-4</v>
      </c>
      <c r="Q30" s="2530">
        <f t="shared" si="11"/>
        <v>4.5999999999999999E-3</v>
      </c>
      <c r="R30" s="2531"/>
      <c r="S30" s="2537">
        <f>B30/B31-1</f>
        <v>6.9183549807361189E-4</v>
      </c>
      <c r="T30" s="2538">
        <f>C30/C31-1</f>
        <v>0</v>
      </c>
      <c r="U30" s="2538">
        <f>E30/E31-1</f>
        <v>-9.0449527636460303E-4</v>
      </c>
      <c r="V30" s="2538">
        <f>F30/F31-1</f>
        <v>5.2825485432512753E-3</v>
      </c>
      <c r="X30" s="2539"/>
      <c r="Y30" s="2539"/>
      <c r="Z30" s="2539"/>
    </row>
    <row r="31" spans="1:34" ht="13.5" thickBot="1">
      <c r="A31" s="2520" t="s">
        <v>2519</v>
      </c>
      <c r="B31" s="2526">
        <v>275</v>
      </c>
      <c r="C31" s="2526">
        <v>232</v>
      </c>
      <c r="D31" s="2526">
        <f t="shared" si="9"/>
        <v>232</v>
      </c>
      <c r="E31" s="2526">
        <v>376</v>
      </c>
      <c r="F31" s="2527">
        <v>213</v>
      </c>
      <c r="G31" s="3457">
        <v>2011</v>
      </c>
      <c r="H31" s="2540">
        <v>4</v>
      </c>
      <c r="I31" s="2540">
        <v>-0.2</v>
      </c>
      <c r="J31" s="2540">
        <v>0.04</v>
      </c>
      <c r="K31" s="2540">
        <v>-0.34</v>
      </c>
      <c r="L31" s="2541">
        <v>0.46</v>
      </c>
      <c r="N31" s="2542">
        <f t="shared" si="11"/>
        <v>-2E-3</v>
      </c>
      <c r="O31" s="2543">
        <f t="shared" si="11"/>
        <v>4.0000000000000002E-4</v>
      </c>
      <c r="P31" s="2543">
        <f t="shared" si="11"/>
        <v>-3.4000000000000002E-3</v>
      </c>
      <c r="Q31" s="2543">
        <f t="shared" si="11"/>
        <v>4.5999999999999999E-3</v>
      </c>
      <c r="R31" s="2531"/>
      <c r="S31" s="2532"/>
      <c r="T31" s="2533"/>
      <c r="U31" s="2533"/>
      <c r="V31" s="2533"/>
      <c r="X31" s="2533"/>
      <c r="Y31" s="2533"/>
      <c r="Z31" s="2533"/>
    </row>
    <row r="32" spans="1:34">
      <c r="A32" s="2520" t="s">
        <v>2520</v>
      </c>
      <c r="B32" s="2534">
        <f t="shared" ref="B32:C34" si="19">B31/(1+N31)</f>
        <v>275.55110220440883</v>
      </c>
      <c r="C32" s="2534">
        <f t="shared" si="19"/>
        <v>231.90723710515795</v>
      </c>
      <c r="D32" s="2534">
        <f t="shared" si="9"/>
        <v>231.90723710515795</v>
      </c>
      <c r="E32" s="2534">
        <f t="shared" ref="E32:F34" si="20">E31/(1+P31)</f>
        <v>377.28276138872161</v>
      </c>
      <c r="F32" s="2534">
        <f t="shared" si="20"/>
        <v>212.02468644236512</v>
      </c>
      <c r="G32" s="3458">
        <v>2011</v>
      </c>
      <c r="H32" s="2545">
        <v>3</v>
      </c>
      <c r="I32" s="2545">
        <v>0.13</v>
      </c>
      <c r="J32" s="2545">
        <v>0.75</v>
      </c>
      <c r="K32" s="2545">
        <v>-0.08</v>
      </c>
      <c r="L32" s="2546">
        <v>0.53</v>
      </c>
      <c r="N32" s="2529">
        <f t="shared" si="11"/>
        <v>1.2999999999999999E-3</v>
      </c>
      <c r="O32" s="2547">
        <f t="shared" si="11"/>
        <v>7.4999999999999997E-3</v>
      </c>
      <c r="P32" s="2547">
        <f t="shared" si="11"/>
        <v>-8.0000000000000004E-4</v>
      </c>
      <c r="Q32" s="2547">
        <f t="shared" si="11"/>
        <v>5.3E-3</v>
      </c>
      <c r="R32" s="2531"/>
      <c r="S32" s="2529"/>
      <c r="T32" s="2530"/>
      <c r="U32" s="2530"/>
      <c r="V32" s="2530"/>
    </row>
    <row r="33" spans="1:26">
      <c r="A33" s="2520" t="s">
        <v>2521</v>
      </c>
      <c r="B33" s="2534">
        <f t="shared" si="19"/>
        <v>275.19335084830601</v>
      </c>
      <c r="C33" s="2534">
        <f t="shared" si="19"/>
        <v>230.18088050139744</v>
      </c>
      <c r="D33" s="2534">
        <f t="shared" si="9"/>
        <v>230.18088050139744</v>
      </c>
      <c r="E33" s="2534">
        <f t="shared" si="20"/>
        <v>377.58482925212331</v>
      </c>
      <c r="F33" s="2534">
        <f t="shared" si="20"/>
        <v>210.90687997847917</v>
      </c>
      <c r="G33" s="3458">
        <v>2011</v>
      </c>
      <c r="H33" s="2525">
        <v>2</v>
      </c>
      <c r="I33" s="2525">
        <v>-0.4</v>
      </c>
      <c r="J33" s="2525">
        <v>0.17</v>
      </c>
      <c r="K33" s="2525">
        <v>-0.57999999999999996</v>
      </c>
      <c r="L33" s="2536">
        <v>-0.2</v>
      </c>
      <c r="N33" s="2529">
        <f t="shared" si="11"/>
        <v>-4.0000000000000001E-3</v>
      </c>
      <c r="O33" s="2547">
        <f t="shared" si="11"/>
        <v>1.7000000000000001E-3</v>
      </c>
      <c r="P33" s="2547">
        <f t="shared" si="11"/>
        <v>-5.7999999999999996E-3</v>
      </c>
      <c r="Q33" s="2547">
        <f t="shared" si="11"/>
        <v>-2E-3</v>
      </c>
      <c r="R33" s="2531"/>
      <c r="S33" s="2529"/>
      <c r="T33" s="2530"/>
      <c r="U33" s="2530"/>
      <c r="V33" s="2530"/>
    </row>
    <row r="34" spans="1:26" ht="13.5" thickBot="1">
      <c r="A34" s="2520" t="s">
        <v>2522</v>
      </c>
      <c r="B34" s="2534">
        <f t="shared" si="19"/>
        <v>276.29854502841971</v>
      </c>
      <c r="C34" s="2534">
        <f t="shared" si="19"/>
        <v>229.79023709833027</v>
      </c>
      <c r="D34" s="2534">
        <f t="shared" si="9"/>
        <v>229.79023709833027</v>
      </c>
      <c r="E34" s="2534">
        <f t="shared" si="20"/>
        <v>379.78759731655936</v>
      </c>
      <c r="F34" s="2534">
        <f t="shared" si="20"/>
        <v>211.32953905659235</v>
      </c>
      <c r="G34" s="3459">
        <v>2011</v>
      </c>
      <c r="H34" s="2524">
        <v>1</v>
      </c>
      <c r="I34" s="2524">
        <v>2.65</v>
      </c>
      <c r="J34" s="2524">
        <v>3.76</v>
      </c>
      <c r="K34" s="2524">
        <v>1.89</v>
      </c>
      <c r="L34" s="2535">
        <v>7.95</v>
      </c>
      <c r="N34" s="2537">
        <f t="shared" si="11"/>
        <v>2.6499999999999999E-2</v>
      </c>
      <c r="O34" s="2538">
        <f t="shared" si="11"/>
        <v>3.7599999999999995E-2</v>
      </c>
      <c r="P34" s="2538">
        <f t="shared" si="11"/>
        <v>1.89E-2</v>
      </c>
      <c r="Q34" s="2538">
        <f t="shared" si="11"/>
        <v>7.9500000000000001E-2</v>
      </c>
      <c r="R34" s="2531"/>
      <c r="S34" s="2537">
        <f>B34/B35-1</f>
        <v>2.713213765211786E-2</v>
      </c>
      <c r="T34" s="2538">
        <f>C34/C35-1</f>
        <v>3.9774828499231862E-2</v>
      </c>
      <c r="U34" s="2538">
        <f>E34/E35-1</f>
        <v>1.8197311840641772E-2</v>
      </c>
      <c r="V34" s="2538">
        <f>F34/F35-1</f>
        <v>7.8211933962205826E-2</v>
      </c>
      <c r="X34" s="2539"/>
      <c r="Y34" s="2539"/>
      <c r="Z34" s="2539"/>
    </row>
    <row r="35" spans="1:26" ht="13.5" thickBot="1">
      <c r="A35" s="2520" t="s">
        <v>2523</v>
      </c>
      <c r="B35" s="2526">
        <v>269</v>
      </c>
      <c r="C35" s="2526">
        <v>221</v>
      </c>
      <c r="D35" s="2526">
        <f t="shared" si="9"/>
        <v>221</v>
      </c>
      <c r="E35" s="2526">
        <v>373</v>
      </c>
      <c r="F35" s="2527">
        <v>196</v>
      </c>
      <c r="G35" s="3457">
        <v>2010</v>
      </c>
      <c r="H35" s="2540">
        <v>4</v>
      </c>
      <c r="I35" s="2540">
        <v>5.72</v>
      </c>
      <c r="J35" s="2540">
        <v>6.57</v>
      </c>
      <c r="K35" s="2540">
        <v>5.72</v>
      </c>
      <c r="L35" s="2541">
        <v>2.72</v>
      </c>
      <c r="N35" s="2529">
        <f t="shared" si="11"/>
        <v>5.7200000000000001E-2</v>
      </c>
      <c r="O35" s="2530">
        <f t="shared" si="11"/>
        <v>6.5700000000000008E-2</v>
      </c>
      <c r="P35" s="2530">
        <f t="shared" si="11"/>
        <v>5.7200000000000001E-2</v>
      </c>
      <c r="Q35" s="2530">
        <f t="shared" si="11"/>
        <v>2.7200000000000002E-2</v>
      </c>
      <c r="R35" s="2531"/>
      <c r="S35" s="2532"/>
      <c r="T35" s="2533"/>
      <c r="U35" s="2533"/>
      <c r="V35" s="2533"/>
      <c r="X35" s="2533"/>
      <c r="Y35" s="2533"/>
      <c r="Z35" s="2533"/>
    </row>
    <row r="36" spans="1:26">
      <c r="A36" s="2520" t="s">
        <v>2524</v>
      </c>
      <c r="B36" s="2534">
        <f t="shared" ref="B36:C38" si="21">B35/(1+N35)</f>
        <v>254.44570563753314</v>
      </c>
      <c r="C36" s="2534">
        <f t="shared" si="21"/>
        <v>207.37543398705074</v>
      </c>
      <c r="D36" s="2534">
        <f t="shared" si="9"/>
        <v>207.37543398705074</v>
      </c>
      <c r="E36" s="2534">
        <f t="shared" ref="E36:F38" si="22">E35/(1+P35)</f>
        <v>352.81876655315932</v>
      </c>
      <c r="F36" s="2534">
        <f t="shared" si="22"/>
        <v>190.809968847352</v>
      </c>
      <c r="G36" s="3458">
        <v>2010</v>
      </c>
      <c r="H36" s="2545">
        <v>3</v>
      </c>
      <c r="I36" s="2545">
        <v>4.7300000000000004</v>
      </c>
      <c r="J36" s="2545">
        <v>3.9</v>
      </c>
      <c r="K36" s="2545">
        <v>5.03</v>
      </c>
      <c r="L36" s="2546">
        <v>4.21</v>
      </c>
      <c r="N36" s="2529">
        <f t="shared" si="11"/>
        <v>4.7300000000000002E-2</v>
      </c>
      <c r="O36" s="2530">
        <f t="shared" si="11"/>
        <v>3.9E-2</v>
      </c>
      <c r="P36" s="2530">
        <f t="shared" si="11"/>
        <v>5.0300000000000004E-2</v>
      </c>
      <c r="Q36" s="2530">
        <f t="shared" si="11"/>
        <v>4.2099999999999999E-2</v>
      </c>
      <c r="R36" s="2531"/>
      <c r="S36" s="2529"/>
      <c r="T36" s="2530"/>
      <c r="U36" s="2530"/>
      <c r="V36" s="2530"/>
    </row>
    <row r="37" spans="1:26">
      <c r="A37" s="2520" t="s">
        <v>2525</v>
      </c>
      <c r="B37" s="2534">
        <f t="shared" si="21"/>
        <v>242.95398227588385</v>
      </c>
      <c r="C37" s="2534">
        <f t="shared" si="21"/>
        <v>199.59137053614126</v>
      </c>
      <c r="D37" s="2534">
        <f t="shared" si="9"/>
        <v>199.59137053614126</v>
      </c>
      <c r="E37" s="2534">
        <f t="shared" si="22"/>
        <v>335.92189522342125</v>
      </c>
      <c r="F37" s="2534">
        <f t="shared" si="22"/>
        <v>183.10139991109489</v>
      </c>
      <c r="G37" s="3458">
        <v>2010</v>
      </c>
      <c r="H37" s="2525">
        <v>2</v>
      </c>
      <c r="I37" s="2525">
        <v>4.6900000000000004</v>
      </c>
      <c r="J37" s="2525">
        <v>3.55</v>
      </c>
      <c r="K37" s="2525">
        <v>5.07</v>
      </c>
      <c r="L37" s="2536">
        <v>4.2300000000000004</v>
      </c>
      <c r="N37" s="2529">
        <f t="shared" si="11"/>
        <v>4.6900000000000004E-2</v>
      </c>
      <c r="O37" s="2530">
        <f t="shared" si="11"/>
        <v>3.5499999999999997E-2</v>
      </c>
      <c r="P37" s="2530">
        <f t="shared" si="11"/>
        <v>5.0700000000000002E-2</v>
      </c>
      <c r="Q37" s="2530">
        <f t="shared" si="11"/>
        <v>4.2300000000000004E-2</v>
      </c>
      <c r="R37" s="2531"/>
      <c r="S37" s="2529"/>
      <c r="T37" s="2530"/>
      <c r="U37" s="2530"/>
      <c r="V37" s="2530"/>
    </row>
    <row r="38" spans="1:26" ht="13.5" thickBot="1">
      <c r="A38" s="2520" t="s">
        <v>2526</v>
      </c>
      <c r="B38" s="2534">
        <f t="shared" si="21"/>
        <v>232.06990378821649</v>
      </c>
      <c r="C38" s="2534">
        <f t="shared" si="21"/>
        <v>192.74878854286936</v>
      </c>
      <c r="D38" s="2534">
        <f t="shared" si="9"/>
        <v>192.74878854286936</v>
      </c>
      <c r="E38" s="2534">
        <f t="shared" si="22"/>
        <v>319.71247284992984</v>
      </c>
      <c r="F38" s="2534">
        <f t="shared" si="22"/>
        <v>175.67053622862409</v>
      </c>
      <c r="G38" s="3459">
        <v>2010</v>
      </c>
      <c r="H38" s="2524">
        <v>1</v>
      </c>
      <c r="I38" s="2524">
        <v>5.4</v>
      </c>
      <c r="J38" s="2524">
        <v>3.2</v>
      </c>
      <c r="K38" s="2524">
        <v>6.16</v>
      </c>
      <c r="L38" s="2535">
        <v>4.51</v>
      </c>
      <c r="N38" s="2529">
        <f t="shared" si="11"/>
        <v>5.4000000000000006E-2</v>
      </c>
      <c r="O38" s="2530">
        <f t="shared" si="11"/>
        <v>3.2000000000000001E-2</v>
      </c>
      <c r="P38" s="2530">
        <f t="shared" si="11"/>
        <v>6.1600000000000002E-2</v>
      </c>
      <c r="Q38" s="2530">
        <f t="shared" si="11"/>
        <v>4.5100000000000001E-2</v>
      </c>
      <c r="R38" s="2531"/>
      <c r="S38" s="2537">
        <f>B38/B39-1</f>
        <v>5.4863199037347599E-2</v>
      </c>
      <c r="T38" s="2538">
        <f>C38/C39-1</f>
        <v>3.0742184721226584E-2</v>
      </c>
      <c r="U38" s="2538">
        <f>E38/E39-1</f>
        <v>6.2167683886810154E-2</v>
      </c>
      <c r="V38" s="2538">
        <f>F38/F39-1</f>
        <v>4.5657953741810031E-2</v>
      </c>
      <c r="X38" s="2539"/>
      <c r="Y38" s="2539"/>
      <c r="Z38" s="2539"/>
    </row>
    <row r="39" spans="1:26" ht="13.5" thickBot="1">
      <c r="A39" s="2520" t="s">
        <v>2527</v>
      </c>
      <c r="B39" s="2526">
        <v>220</v>
      </c>
      <c r="C39" s="2526">
        <v>187</v>
      </c>
      <c r="D39" s="2526">
        <f t="shared" si="9"/>
        <v>187</v>
      </c>
      <c r="E39" s="2526">
        <v>301</v>
      </c>
      <c r="F39" s="2527">
        <v>168</v>
      </c>
      <c r="G39" s="3457">
        <v>2009</v>
      </c>
      <c r="H39" s="2540">
        <v>4</v>
      </c>
      <c r="I39" s="2540">
        <v>2.2999999999999998</v>
      </c>
      <c r="J39" s="2540">
        <v>1.04</v>
      </c>
      <c r="K39" s="2540">
        <v>2.84</v>
      </c>
      <c r="L39" s="2541">
        <v>0.67</v>
      </c>
      <c r="N39" s="2542">
        <f t="shared" si="11"/>
        <v>2.3E-2</v>
      </c>
      <c r="O39" s="2543">
        <f t="shared" si="11"/>
        <v>1.04E-2</v>
      </c>
      <c r="P39" s="2543">
        <f t="shared" si="11"/>
        <v>2.8399999999999998E-2</v>
      </c>
      <c r="Q39" s="2543">
        <f t="shared" si="11"/>
        <v>6.7000000000000002E-3</v>
      </c>
      <c r="R39" s="2531"/>
      <c r="S39" s="2532"/>
      <c r="T39" s="2533"/>
      <c r="U39" s="2533"/>
      <c r="V39" s="2533"/>
      <c r="X39" s="2533"/>
      <c r="Y39" s="2533"/>
      <c r="Z39" s="2533"/>
    </row>
    <row r="40" spans="1:26">
      <c r="A40" s="2520" t="s">
        <v>2528</v>
      </c>
      <c r="B40" s="2534">
        <f t="shared" ref="B40:C42" si="23">B39/(1+N39)</f>
        <v>215.05376344086022</v>
      </c>
      <c r="C40" s="2534">
        <f t="shared" si="23"/>
        <v>185.0752177355503</v>
      </c>
      <c r="D40" s="2534">
        <f t="shared" si="9"/>
        <v>185.0752177355503</v>
      </c>
      <c r="E40" s="2534">
        <f t="shared" ref="E40:F42" si="24">E39/(1+P39)</f>
        <v>292.68767016725008</v>
      </c>
      <c r="F40" s="2534">
        <f t="shared" si="24"/>
        <v>166.88189132810174</v>
      </c>
      <c r="G40" s="3458">
        <v>2009</v>
      </c>
      <c r="H40" s="2545">
        <v>3</v>
      </c>
      <c r="I40" s="2545">
        <v>2.1</v>
      </c>
      <c r="J40" s="2545">
        <v>1.86</v>
      </c>
      <c r="K40" s="2545">
        <v>2.29</v>
      </c>
      <c r="L40" s="2546">
        <v>0.85</v>
      </c>
      <c r="N40" s="2529">
        <f t="shared" si="11"/>
        <v>2.1000000000000001E-2</v>
      </c>
      <c r="O40" s="2547">
        <f t="shared" si="11"/>
        <v>1.8600000000000002E-2</v>
      </c>
      <c r="P40" s="2547">
        <f t="shared" si="11"/>
        <v>2.29E-2</v>
      </c>
      <c r="Q40" s="2547">
        <f t="shared" si="11"/>
        <v>8.5000000000000006E-3</v>
      </c>
      <c r="R40" s="2531"/>
      <c r="S40" s="2529"/>
      <c r="T40" s="2530"/>
      <c r="U40" s="2530"/>
      <c r="V40" s="2530"/>
    </row>
    <row r="41" spans="1:26">
      <c r="A41" s="2520" t="s">
        <v>2529</v>
      </c>
      <c r="B41" s="2534">
        <f t="shared" si="23"/>
        <v>210.630522469011</v>
      </c>
      <c r="C41" s="2534">
        <f t="shared" si="23"/>
        <v>181.69567812247232</v>
      </c>
      <c r="D41" s="2534">
        <f t="shared" si="9"/>
        <v>181.69567812247232</v>
      </c>
      <c r="E41" s="2534">
        <f t="shared" si="24"/>
        <v>286.13517466736738</v>
      </c>
      <c r="F41" s="2534">
        <f t="shared" si="24"/>
        <v>165.47535084591149</v>
      </c>
      <c r="G41" s="3458">
        <v>2009</v>
      </c>
      <c r="H41" s="2525">
        <v>2</v>
      </c>
      <c r="I41" s="2525">
        <v>0.86</v>
      </c>
      <c r="J41" s="2525">
        <v>-1.1299999999999999</v>
      </c>
      <c r="K41" s="2525">
        <v>1.79</v>
      </c>
      <c r="L41" s="2536">
        <v>-2.0699999999999998</v>
      </c>
      <c r="N41" s="2529">
        <f t="shared" si="11"/>
        <v>8.6E-3</v>
      </c>
      <c r="O41" s="2547">
        <f t="shared" si="11"/>
        <v>-1.1299999999999999E-2</v>
      </c>
      <c r="P41" s="2547">
        <f t="shared" si="11"/>
        <v>1.7899999999999999E-2</v>
      </c>
      <c r="Q41" s="2547">
        <f t="shared" si="11"/>
        <v>-2.07E-2</v>
      </c>
      <c r="R41" s="2531"/>
      <c r="S41" s="2529"/>
      <c r="T41" s="2530"/>
      <c r="U41" s="2530"/>
      <c r="V41" s="2530"/>
    </row>
    <row r="42" spans="1:26">
      <c r="A42" s="2520" t="s">
        <v>2530</v>
      </c>
      <c r="B42" s="2534">
        <f t="shared" si="23"/>
        <v>208.83454537875372</v>
      </c>
      <c r="C42" s="2534">
        <f t="shared" si="23"/>
        <v>183.77230517090351</v>
      </c>
      <c r="D42" s="2534">
        <f t="shared" si="9"/>
        <v>183.77230517090351</v>
      </c>
      <c r="E42" s="2534">
        <f t="shared" si="24"/>
        <v>281.10342338870947</v>
      </c>
      <c r="F42" s="2534">
        <f t="shared" si="24"/>
        <v>168.97309388942256</v>
      </c>
      <c r="G42" s="3459">
        <v>2009</v>
      </c>
      <c r="H42" s="2524">
        <v>1</v>
      </c>
      <c r="I42" s="2524">
        <v>-2.64</v>
      </c>
      <c r="J42" s="2524">
        <v>-2.5299999999999998</v>
      </c>
      <c r="K42" s="2524">
        <v>-3.02</v>
      </c>
      <c r="L42" s="2535">
        <v>1.52</v>
      </c>
      <c r="N42" s="2537">
        <f t="shared" si="11"/>
        <v>-2.64E-2</v>
      </c>
      <c r="O42" s="2538">
        <f t="shared" si="11"/>
        <v>-2.53E-2</v>
      </c>
      <c r="P42" s="2538">
        <f t="shared" si="11"/>
        <v>-3.0200000000000001E-2</v>
      </c>
      <c r="Q42" s="2538">
        <f t="shared" si="11"/>
        <v>1.52E-2</v>
      </c>
      <c r="R42" s="2531"/>
      <c r="S42" s="2537">
        <f>B42/B43-1</f>
        <v>-2.4137638417038754E-2</v>
      </c>
      <c r="T42" s="2538">
        <f>C42/C43-1</f>
        <v>-2.248773845264096E-2</v>
      </c>
      <c r="U42" s="2538">
        <f>E42/E43-1</f>
        <v>-2.7323794502735366E-2</v>
      </c>
      <c r="V42" s="2538">
        <f>F42/F43-1</f>
        <v>1.7910204153148035E-2</v>
      </c>
      <c r="X42" s="2539"/>
      <c r="Y42" s="2539"/>
      <c r="Z42" s="2539"/>
    </row>
    <row r="43" spans="1:26" ht="13.5" thickBot="1">
      <c r="A43" s="2520" t="s">
        <v>2531</v>
      </c>
      <c r="B43" s="2564">
        <v>214</v>
      </c>
      <c r="C43" s="2564">
        <v>188</v>
      </c>
      <c r="D43" s="2564">
        <f t="shared" si="9"/>
        <v>188</v>
      </c>
      <c r="E43" s="2564">
        <v>289</v>
      </c>
      <c r="F43" s="2565">
        <v>166</v>
      </c>
      <c r="G43" s="3457">
        <v>2008</v>
      </c>
      <c r="H43" s="2540">
        <v>4</v>
      </c>
      <c r="I43" s="2540">
        <v>1.73</v>
      </c>
      <c r="J43" s="2540">
        <v>0.03</v>
      </c>
      <c r="K43" s="2540">
        <v>2.59</v>
      </c>
      <c r="L43" s="2541">
        <v>-1.66</v>
      </c>
      <c r="N43" s="2529">
        <f t="shared" si="11"/>
        <v>1.7299999999999999E-2</v>
      </c>
      <c r="O43" s="2530">
        <f t="shared" si="11"/>
        <v>2.9999999999999997E-4</v>
      </c>
      <c r="P43" s="2530">
        <f t="shared" si="11"/>
        <v>2.5899999999999999E-2</v>
      </c>
      <c r="Q43" s="2530">
        <f t="shared" si="11"/>
        <v>-1.66E-2</v>
      </c>
      <c r="R43" s="2531"/>
      <c r="S43" s="2532"/>
      <c r="T43" s="2533"/>
      <c r="U43" s="2533"/>
      <c r="V43" s="2533"/>
      <c r="X43" s="2533"/>
      <c r="Y43" s="2533"/>
      <c r="Z43" s="2533"/>
    </row>
    <row r="44" spans="1:26">
      <c r="A44" s="2520" t="s">
        <v>2532</v>
      </c>
      <c r="B44" s="2534">
        <f t="shared" ref="B44:C46" si="25">B43/(1+N43)</f>
        <v>210.36075887152265</v>
      </c>
      <c r="C44" s="2534">
        <f t="shared" si="25"/>
        <v>187.94361691492554</v>
      </c>
      <c r="D44" s="2534">
        <f t="shared" si="9"/>
        <v>187.94361691492554</v>
      </c>
      <c r="E44" s="2534">
        <f t="shared" ref="E44:F46" si="26">E43/(1+P43)</f>
        <v>281.70386977288234</v>
      </c>
      <c r="F44" s="2534">
        <f t="shared" si="26"/>
        <v>168.80211511083994</v>
      </c>
      <c r="G44" s="3458">
        <v>2008</v>
      </c>
      <c r="H44" s="2545">
        <v>3</v>
      </c>
      <c r="I44" s="2545">
        <v>1.96</v>
      </c>
      <c r="J44" s="2545">
        <v>2.36</v>
      </c>
      <c r="K44" s="2545">
        <v>1.82</v>
      </c>
      <c r="L44" s="2546">
        <v>2.2200000000000002</v>
      </c>
      <c r="N44" s="2529">
        <f t="shared" si="11"/>
        <v>1.9599999999999999E-2</v>
      </c>
      <c r="O44" s="2530">
        <f t="shared" si="11"/>
        <v>2.3599999999999999E-2</v>
      </c>
      <c r="P44" s="2530">
        <f t="shared" si="11"/>
        <v>1.8200000000000001E-2</v>
      </c>
      <c r="Q44" s="2530">
        <f t="shared" si="11"/>
        <v>2.2200000000000001E-2</v>
      </c>
      <c r="R44" s="2531"/>
      <c r="S44" s="2529"/>
      <c r="T44" s="2530"/>
      <c r="U44" s="2530"/>
      <c r="V44" s="2530"/>
    </row>
    <row r="45" spans="1:26">
      <c r="A45" s="2520" t="s">
        <v>2533</v>
      </c>
      <c r="B45" s="2534">
        <f t="shared" si="25"/>
        <v>206.31694671589116</v>
      </c>
      <c r="C45" s="2534">
        <f t="shared" si="25"/>
        <v>183.61041121036101</v>
      </c>
      <c r="D45" s="2534">
        <f t="shared" si="9"/>
        <v>183.61041121036101</v>
      </c>
      <c r="E45" s="2534">
        <f t="shared" si="26"/>
        <v>276.66850301795557</v>
      </c>
      <c r="F45" s="2534">
        <f t="shared" si="26"/>
        <v>165.1360938278614</v>
      </c>
      <c r="G45" s="3458">
        <v>2008</v>
      </c>
      <c r="H45" s="2525">
        <v>2</v>
      </c>
      <c r="I45" s="2525">
        <v>4.93</v>
      </c>
      <c r="J45" s="2525">
        <v>7.38</v>
      </c>
      <c r="K45" s="2525">
        <v>3.98</v>
      </c>
      <c r="L45" s="2536">
        <v>6.86</v>
      </c>
      <c r="N45" s="2529">
        <f t="shared" si="11"/>
        <v>4.9299999999999997E-2</v>
      </c>
      <c r="O45" s="2530">
        <f t="shared" si="11"/>
        <v>7.3800000000000004E-2</v>
      </c>
      <c r="P45" s="2530">
        <f t="shared" si="11"/>
        <v>3.9800000000000002E-2</v>
      </c>
      <c r="Q45" s="2530">
        <f t="shared" si="11"/>
        <v>6.8600000000000008E-2</v>
      </c>
      <c r="R45" s="2531"/>
      <c r="S45" s="2529"/>
      <c r="T45" s="2530"/>
      <c r="U45" s="2530"/>
      <c r="V45" s="2530"/>
    </row>
    <row r="46" spans="1:26" s="2570" customFormat="1" ht="13.5" thickBot="1">
      <c r="A46" s="2520" t="s">
        <v>2534</v>
      </c>
      <c r="B46" s="2567">
        <f t="shared" si="25"/>
        <v>196.62341248059772</v>
      </c>
      <c r="C46" s="2567">
        <f t="shared" si="25"/>
        <v>170.99125648199012</v>
      </c>
      <c r="D46" s="2567">
        <f t="shared" si="9"/>
        <v>170.99125648199012</v>
      </c>
      <c r="E46" s="2567">
        <f t="shared" si="26"/>
        <v>266.07857570490052</v>
      </c>
      <c r="F46" s="2567">
        <f t="shared" si="26"/>
        <v>154.53499328828505</v>
      </c>
      <c r="G46" s="3459">
        <v>2008</v>
      </c>
      <c r="H46" s="2568">
        <v>1</v>
      </c>
      <c r="I46" s="2568">
        <v>4.1399999999999997</v>
      </c>
      <c r="J46" s="2568">
        <v>3.45</v>
      </c>
      <c r="K46" s="2568">
        <v>4.95</v>
      </c>
      <c r="L46" s="2569">
        <v>4.82</v>
      </c>
      <c r="N46" s="2571">
        <f t="shared" si="11"/>
        <v>4.1399999999999999E-2</v>
      </c>
      <c r="O46" s="2572">
        <f t="shared" si="11"/>
        <v>3.4500000000000003E-2</v>
      </c>
      <c r="P46" s="2572">
        <f t="shared" si="11"/>
        <v>4.9500000000000002E-2</v>
      </c>
      <c r="Q46" s="2572">
        <f t="shared" si="11"/>
        <v>4.82E-2</v>
      </c>
      <c r="R46" s="2573"/>
      <c r="S46" s="2571">
        <f>B46/B47-1</f>
        <v>4.5869215322328349E-2</v>
      </c>
      <c r="T46" s="2572">
        <f>C46/C47-1</f>
        <v>3.6310645345394743E-2</v>
      </c>
      <c r="U46" s="2572">
        <f>E46/E47-1</f>
        <v>4.7553447657088688E-2</v>
      </c>
      <c r="V46" s="2572">
        <f>F46/F47-1</f>
        <v>4.4155360055980086E-2</v>
      </c>
      <c r="X46" s="2574"/>
      <c r="Y46" s="2574"/>
      <c r="Z46" s="2574"/>
    </row>
    <row r="47" spans="1:26" ht="13.5" thickBot="1">
      <c r="A47" s="2520" t="s">
        <v>2535</v>
      </c>
      <c r="B47" s="2526">
        <v>188</v>
      </c>
      <c r="C47" s="2526">
        <v>165</v>
      </c>
      <c r="D47" s="2526">
        <f t="shared" si="9"/>
        <v>165</v>
      </c>
      <c r="E47" s="2526">
        <v>254</v>
      </c>
      <c r="F47" s="2527">
        <v>148</v>
      </c>
      <c r="G47" s="3457">
        <v>2007</v>
      </c>
      <c r="H47" s="2575">
        <v>4</v>
      </c>
      <c r="I47" s="2575">
        <v>5.51</v>
      </c>
      <c r="J47" s="2575">
        <v>4.8899999999999997</v>
      </c>
      <c r="K47" s="2575">
        <v>6.43</v>
      </c>
      <c r="L47" s="2576">
        <v>5.36</v>
      </c>
      <c r="N47" s="2577">
        <f t="shared" ref="N47:O50" si="27">B47/B48-1</f>
        <v>4.1339718365245526E-2</v>
      </c>
      <c r="O47" s="2578">
        <f t="shared" si="27"/>
        <v>4.0324492593776018E-2</v>
      </c>
      <c r="P47" s="2578">
        <f t="shared" ref="P47:Q50" si="28">E47/E48-1</f>
        <v>6.1625555347990968E-2</v>
      </c>
      <c r="Q47" s="2578">
        <f t="shared" si="28"/>
        <v>4.6757569250590603E-2</v>
      </c>
      <c r="R47" s="2531"/>
      <c r="S47" s="2532"/>
      <c r="T47" s="2533"/>
      <c r="U47" s="2533"/>
      <c r="V47" s="2533"/>
      <c r="X47" s="2533"/>
      <c r="Y47" s="2533"/>
      <c r="Z47" s="2533"/>
    </row>
    <row r="48" spans="1:26">
      <c r="A48" s="2520" t="s">
        <v>2536</v>
      </c>
      <c r="B48" s="2534">
        <f t="shared" ref="B48:C50" si="29">B49+(B$47-B$51)*I48/SUM(I$47:I$50)</f>
        <v>180.5366651097618</v>
      </c>
      <c r="C48" s="2534">
        <f t="shared" si="29"/>
        <v>158.60435967302453</v>
      </c>
      <c r="D48" s="2534">
        <f t="shared" si="9"/>
        <v>158.60435967302453</v>
      </c>
      <c r="E48" s="2534">
        <f t="shared" ref="E48:F50" si="30">E49+(E$47-E$51)*K48/SUM(K$47:K$50)</f>
        <v>239.25573260785075</v>
      </c>
      <c r="F48" s="2534">
        <f t="shared" si="30"/>
        <v>141.38899430740037</v>
      </c>
      <c r="G48" s="3458">
        <v>2007</v>
      </c>
      <c r="H48" s="2545">
        <v>3</v>
      </c>
      <c r="I48" s="2545">
        <v>8.65</v>
      </c>
      <c r="J48" s="2545">
        <v>8.06</v>
      </c>
      <c r="K48" s="2545">
        <v>9.94</v>
      </c>
      <c r="L48" s="2546">
        <v>5.8</v>
      </c>
      <c r="N48" s="2577">
        <f t="shared" si="27"/>
        <v>6.940217571740015E-2</v>
      </c>
      <c r="O48" s="2578">
        <f t="shared" si="27"/>
        <v>7.1197482471153428E-2</v>
      </c>
      <c r="P48" s="2578">
        <f t="shared" si="28"/>
        <v>0.10529679922579582</v>
      </c>
      <c r="Q48" s="2578">
        <f t="shared" si="28"/>
        <v>5.3292245059512133E-2</v>
      </c>
      <c r="R48" s="2531"/>
      <c r="S48" s="2529"/>
      <c r="T48" s="2530"/>
      <c r="U48" s="2530"/>
      <c r="V48" s="2530"/>
      <c r="X48" s="2579"/>
      <c r="Y48" s="2579"/>
      <c r="Z48" s="2579"/>
    </row>
    <row r="49" spans="1:26">
      <c r="A49" s="2520" t="s">
        <v>2537</v>
      </c>
      <c r="B49" s="2534">
        <f t="shared" si="29"/>
        <v>168.82017748715555</v>
      </c>
      <c r="C49" s="2534">
        <f t="shared" si="29"/>
        <v>148.06267029972753</v>
      </c>
      <c r="D49" s="2534">
        <f t="shared" si="9"/>
        <v>148.06267029972753</v>
      </c>
      <c r="E49" s="2534">
        <f t="shared" si="30"/>
        <v>216.46288379323747</v>
      </c>
      <c r="F49" s="2534">
        <f t="shared" si="30"/>
        <v>134.23529411764704</v>
      </c>
      <c r="G49" s="3458">
        <v>2007</v>
      </c>
      <c r="H49" s="2525">
        <v>2</v>
      </c>
      <c r="I49" s="2525">
        <v>3.67</v>
      </c>
      <c r="J49" s="2525">
        <v>2.3199999999999998</v>
      </c>
      <c r="K49" s="2525">
        <v>5.0199999999999996</v>
      </c>
      <c r="L49" s="2536">
        <v>6.71</v>
      </c>
      <c r="N49" s="2577">
        <f t="shared" si="27"/>
        <v>3.0339138143848032E-2</v>
      </c>
      <c r="O49" s="2578">
        <f t="shared" si="27"/>
        <v>2.0922341588790472E-2</v>
      </c>
      <c r="P49" s="2578">
        <f t="shared" si="28"/>
        <v>5.6164796592717003E-2</v>
      </c>
      <c r="Q49" s="2578">
        <f t="shared" si="28"/>
        <v>6.5704536723887319E-2</v>
      </c>
      <c r="R49" s="2531"/>
      <c r="S49" s="2529"/>
      <c r="T49" s="2530"/>
      <c r="U49" s="2530"/>
      <c r="V49" s="2530"/>
      <c r="X49" s="2579"/>
      <c r="Y49" s="2579"/>
      <c r="Z49" s="2579"/>
    </row>
    <row r="50" spans="1:26">
      <c r="A50" s="2520" t="s">
        <v>2538</v>
      </c>
      <c r="B50" s="2534">
        <f t="shared" si="29"/>
        <v>163.84913591779542</v>
      </c>
      <c r="C50" s="2534">
        <f t="shared" si="29"/>
        <v>145.0283378746594</v>
      </c>
      <c r="D50" s="2534">
        <f t="shared" si="9"/>
        <v>145.0283378746594</v>
      </c>
      <c r="E50" s="2534">
        <f t="shared" si="30"/>
        <v>204.95180722891567</v>
      </c>
      <c r="F50" s="2534">
        <f t="shared" si="30"/>
        <v>125.95920303605313</v>
      </c>
      <c r="G50" s="3459">
        <v>2007</v>
      </c>
      <c r="H50" s="2524">
        <v>1</v>
      </c>
      <c r="I50" s="2524">
        <v>3.58</v>
      </c>
      <c r="J50" s="2524">
        <v>3.08</v>
      </c>
      <c r="K50" s="2524">
        <v>4.34</v>
      </c>
      <c r="L50" s="2535">
        <v>3.21</v>
      </c>
      <c r="N50" s="2580">
        <f t="shared" si="27"/>
        <v>3.0497710174814063E-2</v>
      </c>
      <c r="O50" s="2581">
        <f t="shared" si="27"/>
        <v>2.8569772160704998E-2</v>
      </c>
      <c r="P50" s="2581">
        <f t="shared" si="28"/>
        <v>5.1034908866234296E-2</v>
      </c>
      <c r="Q50" s="2581">
        <f t="shared" si="28"/>
        <v>3.245248390207478E-2</v>
      </c>
      <c r="R50" s="2531"/>
      <c r="S50" s="2537">
        <f>B50/B51-1</f>
        <v>3.0497710174814063E-2</v>
      </c>
      <c r="T50" s="2538">
        <f>C50/C51-1</f>
        <v>2.8569772160704998E-2</v>
      </c>
      <c r="U50" s="2538">
        <f>E50/E51-1</f>
        <v>5.1034908866234296E-2</v>
      </c>
      <c r="V50" s="2538">
        <f>F50/F51-1</f>
        <v>3.245248390207478E-2</v>
      </c>
      <c r="X50" s="2579"/>
      <c r="Y50" s="2579"/>
      <c r="Z50" s="2579"/>
    </row>
    <row r="51" spans="1:26" ht="13.5" thickBot="1">
      <c r="A51" s="2520" t="s">
        <v>2539</v>
      </c>
      <c r="B51" s="2548">
        <v>159</v>
      </c>
      <c r="C51" s="2548">
        <v>141</v>
      </c>
      <c r="D51" s="2548">
        <f t="shared" si="9"/>
        <v>141</v>
      </c>
      <c r="E51" s="2548">
        <v>195</v>
      </c>
      <c r="F51" s="2549">
        <v>122</v>
      </c>
      <c r="G51" s="3457">
        <v>2006</v>
      </c>
      <c r="H51" s="2540">
        <v>4</v>
      </c>
      <c r="I51" s="2540">
        <v>3.79</v>
      </c>
      <c r="J51" s="2540">
        <v>2.21</v>
      </c>
      <c r="K51" s="2540">
        <v>5.65</v>
      </c>
      <c r="L51" s="2541">
        <v>5.41</v>
      </c>
      <c r="N51" s="2577">
        <f t="shared" ref="N51:O54" si="31">I51/SUM(I$51:I$54)*(B$51/B$55-1)</f>
        <v>7.245466462748526E-2</v>
      </c>
      <c r="O51" s="2578">
        <f t="shared" si="31"/>
        <v>2.3237230038062766E-2</v>
      </c>
      <c r="P51" s="2578">
        <f t="shared" ref="P51:Q54" si="32">K51/SUM(K$51:K$54)*(E$51/E$55-1)</f>
        <v>0.16146893866323722</v>
      </c>
      <c r="Q51" s="2578">
        <f t="shared" si="32"/>
        <v>5.0755230321793784E-2</v>
      </c>
      <c r="R51" s="2531"/>
      <c r="S51" s="2532"/>
      <c r="T51" s="2533"/>
      <c r="U51" s="2533"/>
      <c r="V51" s="2533"/>
      <c r="X51" s="2579"/>
      <c r="Y51" s="2579"/>
      <c r="Z51" s="2579"/>
    </row>
    <row r="52" spans="1:26">
      <c r="A52" s="2520" t="s">
        <v>2540</v>
      </c>
      <c r="B52" s="2534">
        <f t="shared" ref="B52:C54" si="33">B53+(B$51-B$55)*I52/SUM(I$51:I$54)</f>
        <v>149.00125628140702</v>
      </c>
      <c r="C52" s="2534">
        <f t="shared" si="33"/>
        <v>137.95592286501378</v>
      </c>
      <c r="D52" s="2534">
        <f t="shared" si="9"/>
        <v>137.95592286501378</v>
      </c>
      <c r="E52" s="2534">
        <f t="shared" ref="E52:F54" si="34">E53+(E$51-E$55)*K52/SUM(K$51:K$54)</f>
        <v>169.97231450719823</v>
      </c>
      <c r="F52" s="2534">
        <f t="shared" si="34"/>
        <v>116.21390374331551</v>
      </c>
      <c r="G52" s="3458">
        <v>2006</v>
      </c>
      <c r="H52" s="2545">
        <v>3</v>
      </c>
      <c r="I52" s="2545">
        <v>0.92</v>
      </c>
      <c r="J52" s="2545">
        <v>1.08</v>
      </c>
      <c r="K52" s="2545">
        <v>0.73</v>
      </c>
      <c r="L52" s="2546">
        <v>1.08</v>
      </c>
      <c r="N52" s="2577">
        <f t="shared" si="31"/>
        <v>1.7587939698492462E-2</v>
      </c>
      <c r="O52" s="2578">
        <f t="shared" si="31"/>
        <v>1.1355750425840628E-2</v>
      </c>
      <c r="P52" s="2578">
        <f t="shared" si="32"/>
        <v>2.0862358446754544E-2</v>
      </c>
      <c r="Q52" s="2578">
        <f t="shared" si="32"/>
        <v>1.0132282578103011E-2</v>
      </c>
      <c r="R52" s="2531"/>
      <c r="S52" s="2529"/>
      <c r="T52" s="2530"/>
      <c r="U52" s="2530"/>
      <c r="V52" s="2530"/>
      <c r="X52" s="2579"/>
      <c r="Y52" s="2579"/>
      <c r="Z52" s="2579"/>
    </row>
    <row r="53" spans="1:26">
      <c r="A53" s="2520" t="s">
        <v>2541</v>
      </c>
      <c r="B53" s="2534">
        <f t="shared" si="33"/>
        <v>146.57412060301507</v>
      </c>
      <c r="C53" s="2534">
        <f t="shared" si="33"/>
        <v>136.46831955922866</v>
      </c>
      <c r="D53" s="2534">
        <f t="shared" si="9"/>
        <v>136.46831955922866</v>
      </c>
      <c r="E53" s="2534">
        <f t="shared" si="34"/>
        <v>166.73864894795128</v>
      </c>
      <c r="F53" s="2534">
        <f t="shared" si="34"/>
        <v>115.05882352941177</v>
      </c>
      <c r="G53" s="3458">
        <v>2006</v>
      </c>
      <c r="H53" s="2525">
        <v>2</v>
      </c>
      <c r="I53" s="2525">
        <v>0.96</v>
      </c>
      <c r="J53" s="2525">
        <v>0.25</v>
      </c>
      <c r="K53" s="2525">
        <v>1.9</v>
      </c>
      <c r="L53" s="2536">
        <v>0.95</v>
      </c>
      <c r="N53" s="2577">
        <f t="shared" si="31"/>
        <v>1.8352632728861701E-2</v>
      </c>
      <c r="O53" s="2578">
        <f t="shared" si="31"/>
        <v>2.6286459319075526E-3</v>
      </c>
      <c r="P53" s="2578">
        <f t="shared" si="32"/>
        <v>5.4299289107991269E-2</v>
      </c>
      <c r="Q53" s="2578">
        <f t="shared" si="32"/>
        <v>8.9126559714794995E-3</v>
      </c>
      <c r="R53" s="2531"/>
      <c r="S53" s="2529"/>
      <c r="T53" s="2530"/>
      <c r="U53" s="2530"/>
      <c r="V53" s="2530"/>
      <c r="X53" s="2579"/>
      <c r="Y53" s="2579"/>
      <c r="Z53" s="2579"/>
    </row>
    <row r="54" spans="1:26">
      <c r="A54" s="2520" t="s">
        <v>2542</v>
      </c>
      <c r="B54" s="2534">
        <f t="shared" si="33"/>
        <v>144.04145728643215</v>
      </c>
      <c r="C54" s="2534">
        <f t="shared" si="33"/>
        <v>136.12396694214877</v>
      </c>
      <c r="D54" s="2534">
        <f t="shared" si="9"/>
        <v>136.12396694214877</v>
      </c>
      <c r="E54" s="2534">
        <f t="shared" si="34"/>
        <v>158.32225913621264</v>
      </c>
      <c r="F54" s="2534">
        <f t="shared" si="34"/>
        <v>114.04278074866311</v>
      </c>
      <c r="G54" s="3459">
        <v>2006</v>
      </c>
      <c r="H54" s="2524">
        <v>1</v>
      </c>
      <c r="I54" s="2524">
        <v>2.29</v>
      </c>
      <c r="J54" s="2524">
        <v>3.72</v>
      </c>
      <c r="K54" s="2524">
        <v>0.75</v>
      </c>
      <c r="L54" s="2535">
        <v>0.04</v>
      </c>
      <c r="N54" s="2580">
        <f t="shared" si="31"/>
        <v>4.3778675988638847E-2</v>
      </c>
      <c r="O54" s="2581">
        <f t="shared" si="31"/>
        <v>3.9114251466784385E-2</v>
      </c>
      <c r="P54" s="2581">
        <f t="shared" si="32"/>
        <v>2.1433929911049188E-2</v>
      </c>
      <c r="Q54" s="2581">
        <f t="shared" si="32"/>
        <v>3.7526972511492629E-4</v>
      </c>
      <c r="R54" s="2531"/>
      <c r="S54" s="2537">
        <f>B54/B55-1</f>
        <v>4.3778675988638716E-2</v>
      </c>
      <c r="T54" s="2538">
        <f>C54/C55-1</f>
        <v>3.91142514667846E-2</v>
      </c>
      <c r="U54" s="2538">
        <f>E54/E55-1</f>
        <v>2.143392991104931E-2</v>
      </c>
      <c r="V54" s="2538">
        <f>F54/F55-1</f>
        <v>3.7526972511492396E-4</v>
      </c>
      <c r="X54" s="2579"/>
      <c r="Y54" s="2579"/>
      <c r="Z54" s="2579"/>
    </row>
    <row r="55" spans="1:26" ht="13.5" thickBot="1">
      <c r="A55" s="2520" t="s">
        <v>2543</v>
      </c>
      <c r="B55" s="2548">
        <v>138</v>
      </c>
      <c r="C55" s="2548">
        <v>131</v>
      </c>
      <c r="D55" s="2548">
        <f t="shared" si="9"/>
        <v>131</v>
      </c>
      <c r="E55" s="2548">
        <v>155</v>
      </c>
      <c r="F55" s="2549">
        <v>114</v>
      </c>
      <c r="G55" s="3457">
        <v>2005</v>
      </c>
      <c r="H55" s="2540">
        <v>4</v>
      </c>
      <c r="I55" s="2540">
        <v>3.29</v>
      </c>
      <c r="J55" s="2540">
        <v>1.44</v>
      </c>
      <c r="K55" s="2540">
        <v>0.66</v>
      </c>
      <c r="L55" s="2541">
        <v>7.78</v>
      </c>
      <c r="N55" s="2577">
        <f t="shared" ref="N55:O58" si="35">I55/SUM(I$55:I$58)*(B$55/B$59-1)</f>
        <v>9.9404603216919935E-2</v>
      </c>
      <c r="O55" s="2578">
        <f t="shared" si="35"/>
        <v>4.7636550760861554E-2</v>
      </c>
      <c r="P55" s="2578">
        <f t="shared" ref="P55:Q58" si="36">K55/SUM(K$55:K$58)*(E$55/E$59-1)</f>
        <v>8.3756345177664976E-2</v>
      </c>
      <c r="Q55" s="2578">
        <f t="shared" si="36"/>
        <v>5.2148766661559584E-2</v>
      </c>
      <c r="R55" s="2531"/>
      <c r="S55" s="2532"/>
      <c r="T55" s="2533"/>
      <c r="U55" s="2533"/>
      <c r="V55" s="2533"/>
      <c r="X55" s="2579"/>
      <c r="Y55" s="2579"/>
      <c r="Z55" s="2579"/>
    </row>
    <row r="56" spans="1:26">
      <c r="A56" s="2520" t="s">
        <v>2544</v>
      </c>
      <c r="B56" s="2534">
        <f t="shared" ref="B56:C58" si="37">B57+(B$55-B$59)*I56/SUM(I$55:I$58)</f>
        <v>125.9720430107527</v>
      </c>
      <c r="C56" s="2534">
        <f t="shared" si="37"/>
        <v>125.1883408071749</v>
      </c>
      <c r="D56" s="2534">
        <f t="shared" si="9"/>
        <v>125.1883408071749</v>
      </c>
      <c r="E56" s="2534">
        <f t="shared" ref="E56:F58" si="38">E57+(E$55-E$59)*K56/SUM(K$55:K$58)</f>
        <v>144.61421319796952</v>
      </c>
      <c r="F56" s="2534">
        <f t="shared" si="38"/>
        <v>108.42008196721311</v>
      </c>
      <c r="G56" s="3458">
        <v>2005</v>
      </c>
      <c r="H56" s="2545">
        <v>3</v>
      </c>
      <c r="I56" s="2545">
        <v>0.46</v>
      </c>
      <c r="J56" s="2545">
        <v>0.32</v>
      </c>
      <c r="K56" s="2545">
        <v>0.42</v>
      </c>
      <c r="L56" s="2546">
        <v>0.64</v>
      </c>
      <c r="N56" s="2577">
        <f t="shared" si="35"/>
        <v>1.3898515951301874E-2</v>
      </c>
      <c r="O56" s="2578">
        <f t="shared" si="35"/>
        <v>1.0585900169080346E-2</v>
      </c>
      <c r="P56" s="2578">
        <f t="shared" si="36"/>
        <v>5.3299492385786795E-2</v>
      </c>
      <c r="Q56" s="2578">
        <f t="shared" si="36"/>
        <v>4.2898728359123568E-3</v>
      </c>
      <c r="R56" s="2531"/>
      <c r="S56" s="2529"/>
      <c r="T56" s="2530"/>
      <c r="U56" s="2530"/>
      <c r="V56" s="2530"/>
      <c r="X56" s="2579"/>
      <c r="Y56" s="2579"/>
      <c r="Z56" s="2579"/>
    </row>
    <row r="57" spans="1:26">
      <c r="A57" s="2520" t="s">
        <v>2545</v>
      </c>
      <c r="B57" s="2534">
        <f t="shared" si="37"/>
        <v>124.29032258064517</v>
      </c>
      <c r="C57" s="2534">
        <f t="shared" si="37"/>
        <v>123.8968609865471</v>
      </c>
      <c r="D57" s="2534">
        <f t="shared" si="9"/>
        <v>123.8968609865471</v>
      </c>
      <c r="E57" s="2534">
        <f t="shared" si="38"/>
        <v>138.00507614213197</v>
      </c>
      <c r="F57" s="2534">
        <f t="shared" si="38"/>
        <v>107.96106557377048</v>
      </c>
      <c r="G57" s="3458">
        <v>2005</v>
      </c>
      <c r="H57" s="2525">
        <v>2</v>
      </c>
      <c r="I57" s="2525">
        <v>0.47</v>
      </c>
      <c r="J57" s="2525">
        <v>0.1</v>
      </c>
      <c r="K57" s="2525">
        <v>0.52</v>
      </c>
      <c r="L57" s="2536">
        <v>0.79</v>
      </c>
      <c r="N57" s="2577">
        <f t="shared" si="35"/>
        <v>1.420065760241713E-2</v>
      </c>
      <c r="O57" s="2578">
        <f t="shared" si="35"/>
        <v>3.3080938028376083E-3</v>
      </c>
      <c r="P57" s="2578">
        <f t="shared" si="36"/>
        <v>6.598984771573603E-2</v>
      </c>
      <c r="Q57" s="2578">
        <f t="shared" si="36"/>
        <v>5.2953117818293153E-3</v>
      </c>
      <c r="R57" s="2531"/>
      <c r="S57" s="2529"/>
      <c r="T57" s="2530"/>
      <c r="U57" s="2530"/>
      <c r="V57" s="2530"/>
      <c r="X57" s="2579"/>
      <c r="Y57" s="2579"/>
      <c r="Z57" s="2579"/>
    </row>
    <row r="58" spans="1:26">
      <c r="A58" s="2520" t="s">
        <v>2546</v>
      </c>
      <c r="B58" s="2534">
        <f t="shared" si="37"/>
        <v>122.57204301075269</v>
      </c>
      <c r="C58" s="2534">
        <f t="shared" si="37"/>
        <v>123.4932735426009</v>
      </c>
      <c r="D58" s="2534">
        <f t="shared" si="9"/>
        <v>123.4932735426009</v>
      </c>
      <c r="E58" s="2534">
        <f t="shared" si="38"/>
        <v>129.82233502538071</v>
      </c>
      <c r="F58" s="2534">
        <f t="shared" si="38"/>
        <v>107.39446721311475</v>
      </c>
      <c r="G58" s="3459">
        <v>2005</v>
      </c>
      <c r="H58" s="2524">
        <v>1</v>
      </c>
      <c r="I58" s="2524">
        <v>0.43</v>
      </c>
      <c r="J58" s="2524">
        <v>0.37</v>
      </c>
      <c r="K58" s="2524">
        <v>0.37</v>
      </c>
      <c r="L58" s="2535">
        <v>0.55000000000000004</v>
      </c>
      <c r="N58" s="2580">
        <f t="shared" si="35"/>
        <v>1.2992090997956099E-2</v>
      </c>
      <c r="O58" s="2581">
        <f t="shared" si="35"/>
        <v>1.2239947070499151E-2</v>
      </c>
      <c r="P58" s="2581">
        <f t="shared" si="36"/>
        <v>4.6954314720812178E-2</v>
      </c>
      <c r="Q58" s="2581">
        <f t="shared" si="36"/>
        <v>3.6866094683621815E-3</v>
      </c>
      <c r="R58" s="2531"/>
      <c r="S58" s="2537">
        <f>B58/B59-1</f>
        <v>1.2992090997956174E-2</v>
      </c>
      <c r="T58" s="2538">
        <f>C58/C59-1</f>
        <v>1.2239947070499246E-2</v>
      </c>
      <c r="U58" s="2538">
        <f>E58/E59-1</f>
        <v>4.695431472081224E-2</v>
      </c>
      <c r="V58" s="2538">
        <f>F58/F59-1</f>
        <v>3.6866094683620787E-3</v>
      </c>
      <c r="X58" s="2579"/>
      <c r="Y58" s="2579"/>
      <c r="Z58" s="2579"/>
    </row>
    <row r="59" spans="1:26" ht="13.5" thickBot="1">
      <c r="A59" s="2520" t="s">
        <v>2547</v>
      </c>
      <c r="B59" s="2564">
        <v>121</v>
      </c>
      <c r="C59" s="2564">
        <v>122</v>
      </c>
      <c r="D59" s="2564">
        <f t="shared" si="9"/>
        <v>122</v>
      </c>
      <c r="E59" s="2564">
        <v>124</v>
      </c>
      <c r="F59" s="2565">
        <v>107</v>
      </c>
      <c r="G59" s="3457">
        <v>2004</v>
      </c>
      <c r="H59" s="2540">
        <v>4</v>
      </c>
      <c r="I59" s="2540">
        <v>0.33</v>
      </c>
      <c r="J59" s="2540">
        <v>0.5</v>
      </c>
      <c r="K59" s="2540">
        <v>0.5</v>
      </c>
      <c r="L59" s="2541">
        <v>0</v>
      </c>
      <c r="N59" s="2577">
        <f t="shared" ref="N59:O62" si="39">I59/SUM(I$59:I$62)*(B$59/B$63-1)</f>
        <v>1.3391770148526898E-2</v>
      </c>
      <c r="O59" s="2578">
        <f t="shared" si="39"/>
        <v>1.063264221158958E-2</v>
      </c>
      <c r="P59" s="2578">
        <f t="shared" ref="P59:Q62" si="40">K59/SUM(K$59:K$62)*(E$59/E$63-1)</f>
        <v>2.2244466688911134E-2</v>
      </c>
      <c r="Q59" s="2578">
        <f t="shared" si="40"/>
        <v>0</v>
      </c>
      <c r="R59" s="2531"/>
      <c r="S59" s="2532"/>
      <c r="T59" s="2533"/>
      <c r="U59" s="2533"/>
      <c r="V59" s="2533"/>
      <c r="X59" s="2579"/>
      <c r="Y59" s="2579"/>
      <c r="Z59" s="2579"/>
    </row>
    <row r="60" spans="1:26">
      <c r="A60" s="2520" t="s">
        <v>2548</v>
      </c>
      <c r="B60" s="2534">
        <f t="shared" ref="B60:C62" si="41">B61+(B$59-B$63)*I60/SUM(I$59:I$62)</f>
        <v>119.51351351351352</v>
      </c>
      <c r="C60" s="2534">
        <f t="shared" si="41"/>
        <v>120.7878787878788</v>
      </c>
      <c r="D60" s="2534">
        <f t="shared" si="9"/>
        <v>120.7878787878788</v>
      </c>
      <c r="E60" s="2534">
        <f t="shared" ref="E60:F62" si="42">E61+(E$59-E$63)*K60/SUM(K$59:K$62)</f>
        <v>121.5975975975976</v>
      </c>
      <c r="F60" s="2534">
        <f t="shared" si="42"/>
        <v>107</v>
      </c>
      <c r="G60" s="3458">
        <v>2004</v>
      </c>
      <c r="H60" s="2545">
        <v>3</v>
      </c>
      <c r="I60" s="2545">
        <v>0.56000000000000005</v>
      </c>
      <c r="J60" s="2545">
        <v>0.8</v>
      </c>
      <c r="K60" s="2545">
        <v>0.83</v>
      </c>
      <c r="L60" s="2546">
        <v>0.06</v>
      </c>
      <c r="N60" s="2577">
        <f t="shared" si="39"/>
        <v>2.2725428130833527E-2</v>
      </c>
      <c r="O60" s="2578">
        <f t="shared" si="39"/>
        <v>1.7012227538543329E-2</v>
      </c>
      <c r="P60" s="2578">
        <f t="shared" si="40"/>
        <v>3.6925814703592477E-2</v>
      </c>
      <c r="Q60" s="2578">
        <f t="shared" si="40"/>
        <v>2.8846153846153744E-2</v>
      </c>
      <c r="R60" s="2531"/>
      <c r="S60" s="2529"/>
      <c r="T60" s="2530"/>
      <c r="U60" s="2530"/>
      <c r="V60" s="2530"/>
      <c r="X60" s="2579"/>
      <c r="Y60" s="2579"/>
      <c r="Z60" s="2579"/>
    </row>
    <row r="61" spans="1:26">
      <c r="A61" s="2520" t="s">
        <v>2549</v>
      </c>
      <c r="B61" s="2534">
        <f t="shared" si="41"/>
        <v>116.99099099099099</v>
      </c>
      <c r="C61" s="2534">
        <f t="shared" si="41"/>
        <v>118.84848484848486</v>
      </c>
      <c r="D61" s="2534">
        <f t="shared" si="9"/>
        <v>118.84848484848486</v>
      </c>
      <c r="E61" s="2534">
        <f t="shared" si="42"/>
        <v>117.60960960960961</v>
      </c>
      <c r="F61" s="2534">
        <f t="shared" si="42"/>
        <v>104</v>
      </c>
      <c r="G61" s="3458">
        <v>2004</v>
      </c>
      <c r="H61" s="2525">
        <v>2</v>
      </c>
      <c r="I61" s="2525">
        <v>1</v>
      </c>
      <c r="J61" s="2525">
        <v>1.5</v>
      </c>
      <c r="K61" s="2525">
        <v>1.5</v>
      </c>
      <c r="L61" s="2536">
        <v>0</v>
      </c>
      <c r="N61" s="2577">
        <f t="shared" si="39"/>
        <v>4.0581121662202721E-2</v>
      </c>
      <c r="O61" s="2578">
        <f t="shared" si="39"/>
        <v>3.1897926634768738E-2</v>
      </c>
      <c r="P61" s="2578">
        <f t="shared" si="40"/>
        <v>6.6733400066733395E-2</v>
      </c>
      <c r="Q61" s="2578">
        <f t="shared" si="40"/>
        <v>0</v>
      </c>
      <c r="R61" s="2531"/>
      <c r="S61" s="2529"/>
      <c r="T61" s="2530"/>
      <c r="U61" s="2530"/>
      <c r="V61" s="2530"/>
      <c r="X61" s="2579"/>
      <c r="Y61" s="2579"/>
      <c r="Z61" s="2579"/>
    </row>
    <row r="62" spans="1:26" s="2570" customFormat="1" ht="13.5" thickBot="1">
      <c r="A62" s="2520" t="s">
        <v>2550</v>
      </c>
      <c r="B62" s="2567">
        <f t="shared" si="41"/>
        <v>112.48648648648648</v>
      </c>
      <c r="C62" s="2567">
        <f t="shared" si="41"/>
        <v>115.21212121212122</v>
      </c>
      <c r="D62" s="2567">
        <f t="shared" si="9"/>
        <v>115.21212121212122</v>
      </c>
      <c r="E62" s="2567">
        <f t="shared" si="42"/>
        <v>110.4024024024024</v>
      </c>
      <c r="F62" s="2567">
        <f t="shared" si="42"/>
        <v>104</v>
      </c>
      <c r="G62" s="3459">
        <v>2004</v>
      </c>
      <c r="H62" s="2568">
        <v>1</v>
      </c>
      <c r="I62" s="2568">
        <v>0.33</v>
      </c>
      <c r="J62" s="2568">
        <v>0.5</v>
      </c>
      <c r="K62" s="2568">
        <v>0.5</v>
      </c>
      <c r="L62" s="2569">
        <v>0</v>
      </c>
      <c r="N62" s="2582">
        <f t="shared" si="39"/>
        <v>1.3391770148526898E-2</v>
      </c>
      <c r="O62" s="2583">
        <f t="shared" si="39"/>
        <v>1.063264221158958E-2</v>
      </c>
      <c r="P62" s="2583">
        <f t="shared" si="40"/>
        <v>2.2244466688911134E-2</v>
      </c>
      <c r="Q62" s="2583">
        <f t="shared" si="40"/>
        <v>0</v>
      </c>
      <c r="R62" s="2573"/>
      <c r="S62" s="2571">
        <f>B62/B63-1</f>
        <v>1.3391770148526883E-2</v>
      </c>
      <c r="T62" s="2572">
        <f>C62/C63-1</f>
        <v>1.063264221158966E-2</v>
      </c>
      <c r="U62" s="2572">
        <f>E62/E63-1</f>
        <v>2.2244466688911224E-2</v>
      </c>
      <c r="V62" s="2572">
        <f>F62/F63-1</f>
        <v>0</v>
      </c>
      <c r="X62" s="2584"/>
      <c r="Y62" s="2584"/>
      <c r="Z62" s="2584"/>
    </row>
    <row r="63" spans="1:26" ht="13.5" thickBot="1">
      <c r="A63" s="2520" t="s">
        <v>2551</v>
      </c>
      <c r="B63" s="2585">
        <v>111</v>
      </c>
      <c r="C63" s="2585">
        <v>114</v>
      </c>
      <c r="D63" s="2585">
        <f t="shared" si="9"/>
        <v>114</v>
      </c>
      <c r="E63" s="2585">
        <v>108</v>
      </c>
      <c r="F63" s="2586">
        <v>104</v>
      </c>
      <c r="G63" s="3457">
        <v>2003</v>
      </c>
      <c r="H63" s="2575">
        <v>4</v>
      </c>
      <c r="I63" s="2587"/>
      <c r="J63" s="2587"/>
      <c r="K63" s="2587"/>
      <c r="L63" s="2587"/>
      <c r="N63" s="2588"/>
      <c r="O63" s="2587"/>
      <c r="P63" s="2587"/>
      <c r="Q63" s="2587"/>
      <c r="S63" s="2588"/>
      <c r="T63" s="2587"/>
      <c r="U63" s="2587"/>
      <c r="V63" s="2587"/>
      <c r="X63" s="2579"/>
      <c r="Y63" s="2579"/>
      <c r="Z63" s="2579"/>
    </row>
    <row r="64" spans="1:26">
      <c r="A64" s="2520" t="s">
        <v>2552</v>
      </c>
      <c r="B64" s="2589">
        <f t="shared" ref="B64:C66" si="43">B65+(B$63-B$67)/4</f>
        <v>109.75</v>
      </c>
      <c r="C64" s="2589">
        <f t="shared" si="43"/>
        <v>112.25</v>
      </c>
      <c r="D64" s="2589">
        <f t="shared" si="9"/>
        <v>112.25</v>
      </c>
      <c r="E64" s="2589">
        <f t="shared" ref="E64:F66" si="44">E65+(E$63-E$67)/4</f>
        <v>107.25</v>
      </c>
      <c r="F64" s="2589">
        <f t="shared" si="44"/>
        <v>103.5</v>
      </c>
      <c r="G64" s="3458">
        <v>2003</v>
      </c>
      <c r="H64" s="2545">
        <v>3</v>
      </c>
      <c r="I64" s="2587"/>
      <c r="J64" s="2587"/>
      <c r="K64" s="2587"/>
      <c r="L64" s="2587"/>
      <c r="X64" s="2579"/>
      <c r="Y64" s="2579"/>
      <c r="Z64" s="2579"/>
    </row>
    <row r="65" spans="1:26">
      <c r="A65" s="2520" t="s">
        <v>2553</v>
      </c>
      <c r="B65" s="2589">
        <f t="shared" si="43"/>
        <v>108.5</v>
      </c>
      <c r="C65" s="2589">
        <f t="shared" si="43"/>
        <v>110.5</v>
      </c>
      <c r="D65" s="2589">
        <f t="shared" si="9"/>
        <v>110.5</v>
      </c>
      <c r="E65" s="2589">
        <f t="shared" si="44"/>
        <v>106.5</v>
      </c>
      <c r="F65" s="2589">
        <f t="shared" si="44"/>
        <v>103</v>
      </c>
      <c r="G65" s="3458">
        <v>2003</v>
      </c>
      <c r="H65" s="2525">
        <v>2</v>
      </c>
      <c r="I65" s="2587"/>
      <c r="J65" s="2587"/>
      <c r="K65" s="2587"/>
      <c r="L65" s="2587"/>
      <c r="X65" s="2579"/>
      <c r="Y65" s="2579"/>
      <c r="Z65" s="2579"/>
    </row>
    <row r="66" spans="1:26" ht="13.5" thickBot="1">
      <c r="A66" s="2520" t="s">
        <v>2554</v>
      </c>
      <c r="B66" s="2589">
        <f t="shared" si="43"/>
        <v>107.25</v>
      </c>
      <c r="C66" s="2589">
        <f t="shared" si="43"/>
        <v>108.75</v>
      </c>
      <c r="D66" s="2589">
        <f t="shared" si="9"/>
        <v>108.75</v>
      </c>
      <c r="E66" s="2589">
        <f t="shared" si="44"/>
        <v>105.75</v>
      </c>
      <c r="F66" s="2589">
        <f t="shared" si="44"/>
        <v>102.5</v>
      </c>
      <c r="G66" s="3459">
        <v>2003</v>
      </c>
      <c r="H66" s="2590">
        <v>1</v>
      </c>
      <c r="I66" s="2587"/>
      <c r="J66" s="2587"/>
      <c r="K66" s="2587"/>
      <c r="L66" s="2587"/>
      <c r="S66" s="2529"/>
      <c r="T66" s="2530"/>
      <c r="U66" s="2530"/>
      <c r="X66" s="2579"/>
      <c r="Y66" s="2579"/>
      <c r="Z66" s="2579"/>
    </row>
    <row r="67" spans="1:26" ht="13.5" thickBot="1">
      <c r="A67" s="2520" t="s">
        <v>2555</v>
      </c>
      <c r="B67" s="2591">
        <v>106</v>
      </c>
      <c r="C67" s="2591">
        <v>107</v>
      </c>
      <c r="D67" s="2591">
        <f t="shared" si="9"/>
        <v>107</v>
      </c>
      <c r="E67" s="2591">
        <v>105</v>
      </c>
      <c r="F67" s="2592">
        <v>102</v>
      </c>
      <c r="G67" s="3457">
        <v>2002</v>
      </c>
      <c r="H67" s="2540">
        <v>4</v>
      </c>
      <c r="I67" s="2587"/>
      <c r="J67" s="2587"/>
      <c r="K67" s="2587"/>
      <c r="L67" s="2587"/>
      <c r="N67" s="2588"/>
      <c r="O67" s="2587"/>
      <c r="P67" s="2587"/>
      <c r="Q67" s="2587"/>
      <c r="S67" s="2588"/>
      <c r="T67" s="2587"/>
      <c r="U67" s="2587"/>
      <c r="V67" s="2587"/>
      <c r="X67" s="2579"/>
      <c r="Y67" s="2579"/>
      <c r="Z67" s="2579"/>
    </row>
    <row r="68" spans="1:26">
      <c r="A68" s="2520" t="s">
        <v>2556</v>
      </c>
      <c r="B68" s="2589">
        <f t="shared" ref="B68:C70" si="45">B69+(B$67-B$71)/4</f>
        <v>105</v>
      </c>
      <c r="C68" s="2589">
        <f t="shared" si="45"/>
        <v>106</v>
      </c>
      <c r="D68" s="2589">
        <f t="shared" si="9"/>
        <v>106</v>
      </c>
      <c r="E68" s="2589">
        <f t="shared" ref="E68:F70" si="46">E69+(E$67-E$71)/4</f>
        <v>104.5</v>
      </c>
      <c r="F68" s="2589">
        <f t="shared" si="46"/>
        <v>101.5</v>
      </c>
      <c r="G68" s="3458">
        <v>2002</v>
      </c>
      <c r="H68" s="2545">
        <v>3</v>
      </c>
      <c r="I68" s="2587"/>
      <c r="J68" s="2587"/>
      <c r="K68" s="2587"/>
      <c r="L68" s="2587"/>
      <c r="X68" s="2579"/>
      <c r="Y68" s="2579"/>
      <c r="Z68" s="2579"/>
    </row>
    <row r="69" spans="1:26">
      <c r="A69" s="2520" t="s">
        <v>2557</v>
      </c>
      <c r="B69" s="2589">
        <f t="shared" si="45"/>
        <v>104</v>
      </c>
      <c r="C69" s="2589">
        <f t="shared" si="45"/>
        <v>105</v>
      </c>
      <c r="D69" s="2589">
        <f t="shared" si="9"/>
        <v>105</v>
      </c>
      <c r="E69" s="2589">
        <f t="shared" si="46"/>
        <v>104</v>
      </c>
      <c r="F69" s="2589">
        <f t="shared" si="46"/>
        <v>101</v>
      </c>
      <c r="G69" s="3458">
        <v>2002</v>
      </c>
      <c r="H69" s="2525">
        <v>2</v>
      </c>
      <c r="I69" s="2587"/>
      <c r="J69" s="2587"/>
      <c r="K69" s="2587"/>
      <c r="L69" s="2587"/>
      <c r="X69" s="2579"/>
      <c r="Y69" s="2579"/>
      <c r="Z69" s="2579"/>
    </row>
    <row r="70" spans="1:26" s="2556" customFormat="1" ht="13.5" thickBot="1">
      <c r="A70" s="2552" t="s">
        <v>2558</v>
      </c>
      <c r="B70" s="2593">
        <f t="shared" si="45"/>
        <v>103</v>
      </c>
      <c r="C70" s="2593">
        <f t="shared" si="45"/>
        <v>104</v>
      </c>
      <c r="D70" s="2593">
        <f t="shared" si="9"/>
        <v>104</v>
      </c>
      <c r="E70" s="2593">
        <f t="shared" si="46"/>
        <v>103.5</v>
      </c>
      <c r="F70" s="2593">
        <f t="shared" si="46"/>
        <v>100.5</v>
      </c>
      <c r="G70" s="3459">
        <v>2002</v>
      </c>
      <c r="H70" s="2594">
        <v>1</v>
      </c>
      <c r="I70" s="2595"/>
      <c r="J70" s="2595"/>
      <c r="K70" s="2595"/>
      <c r="L70" s="2595"/>
      <c r="N70" s="2596"/>
      <c r="S70" s="2596"/>
      <c r="X70" s="2597"/>
      <c r="Y70" s="2597"/>
      <c r="Z70" s="2597"/>
    </row>
    <row r="71" spans="1:26" ht="13.5" thickBot="1">
      <c r="B71" s="2598">
        <v>102</v>
      </c>
      <c r="C71" s="2599">
        <v>103</v>
      </c>
      <c r="D71" s="2599">
        <f t="shared" si="9"/>
        <v>103</v>
      </c>
      <c r="E71" s="2599">
        <v>103</v>
      </c>
      <c r="F71" s="2600">
        <v>100</v>
      </c>
      <c r="I71" s="2587"/>
      <c r="J71" s="2587"/>
      <c r="K71" s="2587"/>
      <c r="L71" s="2587"/>
      <c r="N71" s="2588"/>
      <c r="O71" s="2587"/>
      <c r="P71" s="2587"/>
      <c r="Q71" s="2587"/>
      <c r="S71" s="2588"/>
      <c r="T71" s="2587"/>
      <c r="U71" s="2587"/>
      <c r="V71" s="2587"/>
      <c r="X71" s="2533"/>
      <c r="Y71" s="2533"/>
      <c r="Z71" s="2533"/>
    </row>
    <row r="73" spans="1:26" s="2602" customFormat="1">
      <c r="A73" s="2601" t="s">
        <v>2559</v>
      </c>
      <c r="G73" s="2603"/>
      <c r="N73" s="2603"/>
      <c r="S73" s="2603"/>
    </row>
    <row r="74" spans="1:26" s="2602" customFormat="1">
      <c r="A74" s="2602" t="s">
        <v>2560</v>
      </c>
      <c r="G74" s="2603"/>
      <c r="N74" s="2603"/>
      <c r="S74" s="2603"/>
    </row>
    <row r="75" spans="1:26" s="2602" customFormat="1">
      <c r="A75" s="2602" t="s">
        <v>2561</v>
      </c>
      <c r="G75" s="2603"/>
      <c r="I75" s="2604"/>
      <c r="J75" s="2604"/>
      <c r="K75" s="2604"/>
      <c r="L75" s="2604"/>
      <c r="N75" s="2605"/>
      <c r="O75" s="2604"/>
      <c r="P75" s="2604"/>
      <c r="Q75" s="2604"/>
      <c r="S75" s="2605"/>
      <c r="T75" s="2604"/>
      <c r="U75" s="2604"/>
      <c r="V75" s="2604"/>
    </row>
    <row r="76" spans="1:26" s="2602" customFormat="1">
      <c r="A76" s="2602" t="s">
        <v>2562</v>
      </c>
      <c r="G76" s="2603"/>
      <c r="N76" s="2603"/>
      <c r="S76" s="2603"/>
    </row>
    <row r="83" spans="7:22" ht="13.5" thickBot="1"/>
    <row r="84" spans="7:22">
      <c r="G84" s="2528"/>
      <c r="S84" s="2606" t="s">
        <v>2563</v>
      </c>
      <c r="T84" s="2607" t="s">
        <v>2564</v>
      </c>
      <c r="U84" s="2607" t="s">
        <v>2565</v>
      </c>
      <c r="V84" s="2607" t="s">
        <v>2566</v>
      </c>
    </row>
    <row r="85" spans="7:22">
      <c r="G85" s="2528"/>
      <c r="N85" s="2532"/>
      <c r="O85" s="2533"/>
      <c r="P85" s="2533"/>
      <c r="Q85" s="2533"/>
      <c r="S85" s="2608">
        <v>2006</v>
      </c>
      <c r="T85" s="2609">
        <v>15.1</v>
      </c>
      <c r="U85" s="2609">
        <v>7.43</v>
      </c>
      <c r="V85" s="2609">
        <v>26.26</v>
      </c>
    </row>
    <row r="86" spans="7:22">
      <c r="G86" s="2528"/>
      <c r="N86" s="2532"/>
      <c r="O86" s="2533"/>
      <c r="P86" s="2533"/>
      <c r="Q86" s="2533"/>
      <c r="S86" s="2611">
        <v>2005</v>
      </c>
      <c r="T86" s="2610">
        <v>13.9</v>
      </c>
      <c r="U86" s="2610">
        <v>7.49</v>
      </c>
      <c r="V86" s="2610">
        <v>24.92</v>
      </c>
    </row>
    <row r="87" spans="7:22">
      <c r="G87" s="2528"/>
      <c r="N87" s="2532"/>
      <c r="O87" s="2533"/>
      <c r="P87" s="2533"/>
      <c r="Q87" s="2533"/>
      <c r="S87" s="2608">
        <v>2004</v>
      </c>
      <c r="T87" s="2609">
        <v>9.48</v>
      </c>
      <c r="U87" s="2609">
        <v>7.2</v>
      </c>
      <c r="V87" s="2609">
        <v>14.68</v>
      </c>
    </row>
    <row r="88" spans="7:22">
      <c r="G88" s="2528"/>
      <c r="N88" s="2532"/>
      <c r="O88" s="2533"/>
      <c r="P88" s="2533"/>
      <c r="Q88" s="2533"/>
      <c r="S88" s="2611">
        <v>2003</v>
      </c>
      <c r="T88" s="2610">
        <v>4.5</v>
      </c>
      <c r="U88" s="2610">
        <v>6.12</v>
      </c>
      <c r="V88" s="2610">
        <v>2.34</v>
      </c>
    </row>
    <row r="89" spans="7:22" ht="13.5" thickBot="1">
      <c r="G89" s="2528"/>
      <c r="N89" s="2532"/>
      <c r="O89" s="2533"/>
      <c r="P89" s="2533"/>
      <c r="Q89" s="2533"/>
      <c r="S89" s="2612">
        <v>2002</v>
      </c>
      <c r="T89" s="2613">
        <v>3.59</v>
      </c>
      <c r="U89" s="2613">
        <v>4.54</v>
      </c>
      <c r="V89" s="2613">
        <v>2.5499999999999998</v>
      </c>
    </row>
    <row r="90" spans="7:22">
      <c r="G90" s="2528"/>
      <c r="N90" s="2532"/>
      <c r="O90" s="2533"/>
      <c r="P90" s="2533"/>
      <c r="Q90" s="2533"/>
    </row>
    <row r="91" spans="7:22">
      <c r="G91" s="2528"/>
      <c r="N91" s="2532"/>
      <c r="O91" s="2533"/>
      <c r="P91" s="2533"/>
      <c r="Q91" s="2533"/>
    </row>
    <row r="92" spans="7:22">
      <c r="G92" s="2528"/>
      <c r="N92" s="2532"/>
      <c r="O92" s="2533"/>
      <c r="P92" s="2533"/>
      <c r="Q92" s="2533"/>
    </row>
    <row r="93" spans="7:22">
      <c r="G93" s="2528"/>
      <c r="N93" s="2532"/>
      <c r="O93" s="2533"/>
      <c r="P93" s="2533"/>
      <c r="Q93" s="2533"/>
    </row>
    <row r="94" spans="7:22">
      <c r="G94" s="2528"/>
      <c r="N94" s="2532"/>
      <c r="O94" s="2533"/>
      <c r="P94" s="2533"/>
      <c r="Q94" s="2533"/>
    </row>
    <row r="95" spans="7:22">
      <c r="G95" s="2528"/>
      <c r="N95" s="2532"/>
      <c r="O95" s="2533"/>
      <c r="P95" s="2533"/>
      <c r="Q95" s="2533"/>
    </row>
    <row r="96" spans="7:22">
      <c r="G96" s="2528"/>
      <c r="N96" s="2532"/>
      <c r="O96" s="2533"/>
      <c r="P96" s="2533"/>
      <c r="Q96" s="2533"/>
    </row>
    <row r="97" spans="7:19">
      <c r="G97" s="2528"/>
      <c r="N97" s="2532"/>
      <c r="O97" s="2533"/>
      <c r="P97" s="2533"/>
      <c r="Q97" s="2533"/>
    </row>
    <row r="98" spans="7:19">
      <c r="G98" s="2528"/>
      <c r="N98" s="2532"/>
      <c r="O98" s="2533"/>
      <c r="P98" s="2533"/>
      <c r="Q98" s="2533"/>
    </row>
    <row r="99" spans="7:19">
      <c r="G99" s="2528"/>
      <c r="N99" s="2532"/>
      <c r="O99" s="2533"/>
      <c r="P99" s="2533"/>
      <c r="Q99" s="2533"/>
    </row>
    <row r="100" spans="7:19">
      <c r="G100" s="2528"/>
      <c r="N100" s="2532"/>
      <c r="O100" s="2533"/>
      <c r="P100" s="2533"/>
      <c r="Q100" s="2533"/>
      <c r="S100" s="2528"/>
    </row>
    <row r="101" spans="7:19">
      <c r="G101" s="2528"/>
      <c r="N101" s="2532"/>
      <c r="O101" s="2533"/>
      <c r="P101" s="2533"/>
      <c r="Q101" s="2533"/>
      <c r="S101" s="2528"/>
    </row>
    <row r="102" spans="7:19">
      <c r="G102" s="2528"/>
      <c r="N102" s="2532"/>
      <c r="O102" s="2533"/>
      <c r="P102" s="2533"/>
      <c r="Q102" s="2533"/>
      <c r="S102" s="2528"/>
    </row>
    <row r="103" spans="7:19">
      <c r="G103" s="2528"/>
      <c r="N103" s="2532"/>
      <c r="O103" s="2533"/>
      <c r="P103" s="2533"/>
      <c r="Q103" s="2533"/>
      <c r="S103" s="2528"/>
    </row>
    <row r="104" spans="7:19">
      <c r="G104" s="2528"/>
      <c r="N104" s="2532"/>
      <c r="O104" s="2533"/>
      <c r="P104" s="2533"/>
      <c r="Q104" s="2533"/>
      <c r="S104" s="2528"/>
    </row>
    <row r="105" spans="7:19">
      <c r="G105" s="2528"/>
      <c r="N105" s="2532"/>
      <c r="O105" s="2533"/>
      <c r="P105" s="2533"/>
      <c r="Q105" s="2533"/>
      <c r="S105" s="2528"/>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7" t="s">
        <v>2399</v>
      </c>
      <c r="B1" s="3468"/>
      <c r="C1" s="3469"/>
      <c r="D1" s="3470">
        <f>SUM(I10,I15,I20,I21,I23)</f>
        <v>0</v>
      </c>
      <c r="E1" s="3470"/>
      <c r="F1" s="3470"/>
      <c r="G1" s="3470"/>
      <c r="H1" s="3470"/>
      <c r="I1" s="3471"/>
    </row>
    <row r="2" spans="1:9">
      <c r="A2" s="3472" t="s">
        <v>2400</v>
      </c>
      <c r="B2" s="3473" t="s">
        <v>2401</v>
      </c>
      <c r="C2" s="3473"/>
      <c r="D2" s="2373" t="s">
        <v>2402</v>
      </c>
      <c r="E2" s="2373" t="s">
        <v>2403</v>
      </c>
      <c r="F2" s="2373" t="s">
        <v>2404</v>
      </c>
      <c r="G2" s="2373" t="s">
        <v>2405</v>
      </c>
      <c r="H2" s="2373" t="s">
        <v>2406</v>
      </c>
      <c r="I2" s="2374" t="s">
        <v>2407</v>
      </c>
    </row>
    <row r="3" spans="1:9">
      <c r="A3" s="3472"/>
      <c r="B3" s="3473" t="s">
        <v>2408</v>
      </c>
      <c r="C3" s="3473"/>
      <c r="D3" s="2375"/>
      <c r="E3" s="2373"/>
      <c r="F3" s="2376"/>
      <c r="G3" s="2376"/>
      <c r="H3" s="2377"/>
      <c r="I3" s="2378">
        <f>ROUND(D3*E3*F3*G3*H3/10000,0)</f>
        <v>0</v>
      </c>
    </row>
    <row r="4" spans="1:9">
      <c r="A4" s="3472"/>
      <c r="B4" s="3473" t="s">
        <v>2409</v>
      </c>
      <c r="C4" s="3473"/>
      <c r="D4" s="2375"/>
      <c r="E4" s="2373"/>
      <c r="F4" s="2376"/>
      <c r="G4" s="2376"/>
      <c r="H4" s="2377"/>
      <c r="I4" s="2378">
        <f t="shared" ref="I4:I9" si="0">ROUND(D4*E4*F4*G4*H4/10000,0)</f>
        <v>0</v>
      </c>
    </row>
    <row r="5" spans="1:9">
      <c r="A5" s="3472"/>
      <c r="B5" s="3473" t="s">
        <v>2410</v>
      </c>
      <c r="C5" s="3473"/>
      <c r="D5" s="2375"/>
      <c r="E5" s="2373"/>
      <c r="F5" s="2376"/>
      <c r="G5" s="2376"/>
      <c r="H5" s="2377"/>
      <c r="I5" s="2378">
        <f t="shared" si="0"/>
        <v>0</v>
      </c>
    </row>
    <row r="6" spans="1:9">
      <c r="A6" s="3472"/>
      <c r="B6" s="3473" t="s">
        <v>2411</v>
      </c>
      <c r="C6" s="3473"/>
      <c r="D6" s="2375"/>
      <c r="E6" s="2373"/>
      <c r="F6" s="2376"/>
      <c r="G6" s="2376"/>
      <c r="H6" s="2377"/>
      <c r="I6" s="2378">
        <f t="shared" si="0"/>
        <v>0</v>
      </c>
    </row>
    <row r="7" spans="1:9">
      <c r="A7" s="3472"/>
      <c r="B7" s="3473" t="s">
        <v>2412</v>
      </c>
      <c r="C7" s="3473"/>
      <c r="D7" s="2375"/>
      <c r="E7" s="2373"/>
      <c r="F7" s="2376"/>
      <c r="G7" s="2376"/>
      <c r="H7" s="2377"/>
      <c r="I7" s="2378">
        <f t="shared" si="0"/>
        <v>0</v>
      </c>
    </row>
    <row r="8" spans="1:9">
      <c r="A8" s="3472"/>
      <c r="B8" s="3473" t="s">
        <v>2413</v>
      </c>
      <c r="C8" s="3473"/>
      <c r="D8" s="2375"/>
      <c r="E8" s="2373"/>
      <c r="F8" s="2376"/>
      <c r="G8" s="2376"/>
      <c r="H8" s="2377"/>
      <c r="I8" s="2378">
        <f t="shared" si="0"/>
        <v>0</v>
      </c>
    </row>
    <row r="9" spans="1:9">
      <c r="A9" s="3472"/>
      <c r="B9" s="3473" t="s">
        <v>2414</v>
      </c>
      <c r="C9" s="3473"/>
      <c r="D9" s="2375"/>
      <c r="E9" s="2373"/>
      <c r="F9" s="2376"/>
      <c r="G9" s="2376"/>
      <c r="H9" s="2377"/>
      <c r="I9" s="2378">
        <f t="shared" si="0"/>
        <v>0</v>
      </c>
    </row>
    <row r="10" spans="1:9">
      <c r="A10" s="3472"/>
      <c r="B10" s="3474" t="s">
        <v>2415</v>
      </c>
      <c r="C10" s="3474"/>
      <c r="D10" s="2379">
        <v>527</v>
      </c>
      <c r="E10" s="2379" t="e">
        <f>ROUND(D1*10000/D10/H9,0)</f>
        <v>#DIV/0!</v>
      </c>
      <c r="F10" s="2380"/>
      <c r="G10" s="2380"/>
      <c r="H10" s="2381"/>
      <c r="I10" s="2382">
        <f>SUM(I3:I9)</f>
        <v>0</v>
      </c>
    </row>
    <row r="11" spans="1:9" ht="14.25">
      <c r="A11" s="3472" t="s">
        <v>2416</v>
      </c>
      <c r="B11" s="3473" t="s">
        <v>2417</v>
      </c>
      <c r="C11" s="3473"/>
      <c r="D11" s="2375" t="s">
        <v>2418</v>
      </c>
      <c r="E11" s="2375" t="s">
        <v>2419</v>
      </c>
      <c r="F11" s="2376" t="s">
        <v>2420</v>
      </c>
      <c r="G11" s="2376" t="s">
        <v>2421</v>
      </c>
      <c r="H11" s="2383" t="s">
        <v>2422</v>
      </c>
      <c r="I11" s="2374" t="s">
        <v>2423</v>
      </c>
    </row>
    <row r="12" spans="1:9">
      <c r="A12" s="3472"/>
      <c r="B12" s="3473" t="s">
        <v>2424</v>
      </c>
      <c r="C12" s="3473"/>
      <c r="D12" s="2375"/>
      <c r="E12" s="2375"/>
      <c r="F12" s="2376"/>
      <c r="G12" s="2377"/>
      <c r="H12" s="2384"/>
      <c r="I12" s="2374">
        <f>ROUND(D12*E12*F12*G12/10000,0)</f>
        <v>0</v>
      </c>
    </row>
    <row r="13" spans="1:9">
      <c r="A13" s="3472"/>
      <c r="B13" s="3473" t="s">
        <v>2425</v>
      </c>
      <c r="C13" s="3473"/>
      <c r="D13" s="2375"/>
      <c r="E13" s="2375"/>
      <c r="F13" s="2376"/>
      <c r="G13" s="2377"/>
      <c r="H13" s="2384"/>
      <c r="I13" s="2374">
        <f>ROUND(D13*E13*F13*G13/10000,0)</f>
        <v>0</v>
      </c>
    </row>
    <row r="14" spans="1:9">
      <c r="A14" s="3472"/>
      <c r="B14" s="3473" t="s">
        <v>2426</v>
      </c>
      <c r="C14" s="3473"/>
      <c r="D14" s="2375"/>
      <c r="E14" s="2375"/>
      <c r="F14" s="2376"/>
      <c r="G14" s="2377"/>
      <c r="H14" s="2384"/>
      <c r="I14" s="2374">
        <f>ROUND(D14*E14*F14*G14/10000,0)</f>
        <v>0</v>
      </c>
    </row>
    <row r="15" spans="1:9">
      <c r="A15" s="3472"/>
      <c r="B15" s="3474" t="s">
        <v>2415</v>
      </c>
      <c r="C15" s="3474"/>
      <c r="D15" s="2379"/>
      <c r="E15" s="2379">
        <f>SUM(E12:E14)</f>
        <v>0</v>
      </c>
      <c r="F15" s="2380"/>
      <c r="G15" s="2377"/>
      <c r="H15" s="2384"/>
      <c r="I15" s="2385">
        <f>SUM(I12:I14)</f>
        <v>0</v>
      </c>
    </row>
    <row r="16" spans="1:9" ht="24">
      <c r="A16" s="3472" t="s">
        <v>2427</v>
      </c>
      <c r="B16" s="3473" t="s">
        <v>2428</v>
      </c>
      <c r="C16" s="3473"/>
      <c r="D16" s="2375" t="s">
        <v>2429</v>
      </c>
      <c r="E16" s="2386" t="s">
        <v>2430</v>
      </c>
      <c r="F16" s="2376" t="s">
        <v>2431</v>
      </c>
      <c r="G16" s="2377" t="s">
        <v>2421</v>
      </c>
      <c r="H16" s="2383" t="s">
        <v>2422</v>
      </c>
      <c r="I16" s="2374" t="s">
        <v>2423</v>
      </c>
    </row>
    <row r="17" spans="1:9" ht="14.25">
      <c r="A17" s="3472"/>
      <c r="B17" s="3473" t="s">
        <v>2432</v>
      </c>
      <c r="C17" s="3473"/>
      <c r="D17" s="2375"/>
      <c r="E17" s="2375"/>
      <c r="F17" s="2376"/>
      <c r="G17" s="2377"/>
      <c r="H17" s="2387"/>
      <c r="I17" s="2388">
        <f>ROUND(D17*E17*F17*G17/10000,0)</f>
        <v>0</v>
      </c>
    </row>
    <row r="18" spans="1:9" ht="14.25">
      <c r="A18" s="3472"/>
      <c r="B18" s="3473" t="s">
        <v>2433</v>
      </c>
      <c r="C18" s="3473"/>
      <c r="D18" s="2375"/>
      <c r="E18" s="2375"/>
      <c r="F18" s="2376"/>
      <c r="G18" s="2377"/>
      <c r="H18" s="2387"/>
      <c r="I18" s="2388">
        <f>ROUND(D18*E18*F18*G18/10000,0)</f>
        <v>0</v>
      </c>
    </row>
    <row r="19" spans="1:9" ht="14.25">
      <c r="A19" s="3472"/>
      <c r="B19" s="3473" t="s">
        <v>2434</v>
      </c>
      <c r="C19" s="3473"/>
      <c r="D19" s="2375"/>
      <c r="E19" s="2375"/>
      <c r="F19" s="2376"/>
      <c r="G19" s="2377"/>
      <c r="H19" s="2387"/>
      <c r="I19" s="2388">
        <f>ROUND(D19*E19*F19*G19/10000,0)</f>
        <v>0</v>
      </c>
    </row>
    <row r="20" spans="1:9">
      <c r="A20" s="3472"/>
      <c r="B20" s="3474" t="s">
        <v>2415</v>
      </c>
      <c r="C20" s="3474"/>
      <c r="D20" s="2379">
        <f>SUM(D17:D19)</f>
        <v>0</v>
      </c>
      <c r="E20" s="2379"/>
      <c r="F20" s="2380"/>
      <c r="G20" s="2377"/>
      <c r="H20" s="2384"/>
      <c r="I20" s="2385">
        <f>SUM(I17:I19)</f>
        <v>0</v>
      </c>
    </row>
    <row r="21" spans="1:9">
      <c r="A21" s="3472" t="s">
        <v>2435</v>
      </c>
      <c r="B21" s="3476"/>
      <c r="C21" s="3476"/>
      <c r="D21" s="3476"/>
      <c r="E21" s="3476"/>
      <c r="F21" s="3476"/>
      <c r="G21" s="3476"/>
      <c r="H21" s="2389">
        <v>0.1</v>
      </c>
      <c r="I21" s="2382">
        <f>ROUND(I10*H21,0)</f>
        <v>0</v>
      </c>
    </row>
    <row r="22" spans="1:9" ht="14.25">
      <c r="A22" s="3477" t="s">
        <v>2436</v>
      </c>
      <c r="B22" s="3478"/>
      <c r="C22" s="3479"/>
      <c r="D22" s="2390" t="s">
        <v>2437</v>
      </c>
      <c r="E22" s="2390" t="s">
        <v>2438</v>
      </c>
      <c r="F22" s="2391" t="s">
        <v>2439</v>
      </c>
      <c r="G22" s="2391" t="s">
        <v>2440</v>
      </c>
      <c r="H22" s="2383" t="s">
        <v>2441</v>
      </c>
      <c r="I22" s="2374" t="s">
        <v>2442</v>
      </c>
    </row>
    <row r="23" spans="1:9" ht="14.25" thickBot="1">
      <c r="A23" s="3480"/>
      <c r="B23" s="3481"/>
      <c r="C23" s="3482"/>
      <c r="D23" s="2392"/>
      <c r="E23" s="2392"/>
      <c r="F23" s="2392"/>
      <c r="G23" s="2393"/>
      <c r="H23" s="2394"/>
      <c r="I23" s="2395">
        <f>ROUND(E23*D23*F23*(1-G23)/10000,0)</f>
        <v>0</v>
      </c>
    </row>
    <row r="26" spans="1:9">
      <c r="A26" s="2396" t="s">
        <v>2443</v>
      </c>
      <c r="B26" s="2396"/>
      <c r="C26" s="2396"/>
      <c r="D26" s="2396"/>
      <c r="E26" s="3483">
        <f>C27-C30-C31-C32</f>
        <v>0</v>
      </c>
      <c r="F26" s="3483"/>
      <c r="G26" s="3483"/>
      <c r="H26" s="2908" t="s">
        <v>2771</v>
      </c>
    </row>
    <row r="27" spans="1:9">
      <c r="A27" s="2397">
        <v>1</v>
      </c>
      <c r="B27" s="2398" t="s">
        <v>2444</v>
      </c>
      <c r="C27" s="2398"/>
      <c r="D27" s="2398"/>
      <c r="E27" s="3484"/>
      <c r="F27" s="3484"/>
      <c r="G27" s="3484"/>
    </row>
    <row r="28" spans="1:9">
      <c r="A28" s="2399" t="s">
        <v>2445</v>
      </c>
      <c r="B28" s="2398" t="s">
        <v>2446</v>
      </c>
      <c r="C28" s="2398"/>
      <c r="D28" s="2398"/>
      <c r="E28" s="3484"/>
      <c r="F28" s="3484"/>
      <c r="G28" s="3484"/>
    </row>
    <row r="29" spans="1:9">
      <c r="A29" s="2399" t="s">
        <v>2447</v>
      </c>
      <c r="B29" s="2398" t="s">
        <v>2388</v>
      </c>
      <c r="C29" s="2398"/>
      <c r="D29" s="2398"/>
      <c r="E29" s="2398" t="s">
        <v>2448</v>
      </c>
      <c r="F29" s="2398"/>
      <c r="G29" s="2398"/>
    </row>
    <row r="30" spans="1:9">
      <c r="A30" s="2397">
        <v>2</v>
      </c>
      <c r="B30" s="2398" t="s">
        <v>2449</v>
      </c>
      <c r="C30" s="2398">
        <f>C27*D30</f>
        <v>0</v>
      </c>
      <c r="D30" s="2400">
        <v>0.2</v>
      </c>
      <c r="E30" s="2398" t="s">
        <v>2450</v>
      </c>
      <c r="F30" s="2398"/>
      <c r="G30" s="2398"/>
    </row>
    <row r="31" spans="1:9">
      <c r="A31" s="2397">
        <v>3</v>
      </c>
      <c r="B31" s="2398" t="s">
        <v>2451</v>
      </c>
      <c r="C31" s="2398">
        <f>C25*D31</f>
        <v>0</v>
      </c>
      <c r="D31" s="2400">
        <v>0.15</v>
      </c>
      <c r="E31" s="2398" t="s">
        <v>2452</v>
      </c>
      <c r="F31" s="2398"/>
      <c r="G31" s="2398"/>
    </row>
    <row r="32" spans="1:9">
      <c r="A32" s="2397">
        <v>4</v>
      </c>
      <c r="B32" s="2398" t="s">
        <v>2453</v>
      </c>
      <c r="C32" s="2398">
        <f>C27*D32</f>
        <v>0</v>
      </c>
      <c r="D32" s="2400">
        <v>0.05</v>
      </c>
      <c r="E32" s="3475"/>
      <c r="F32" s="3475"/>
      <c r="G32" s="3475"/>
    </row>
    <row r="33" spans="1:7" hidden="1">
      <c r="A33" s="3485" t="s">
        <v>2454</v>
      </c>
      <c r="B33" s="3486"/>
      <c r="C33" s="3486"/>
      <c r="D33" s="3487"/>
      <c r="E33" s="3483"/>
      <c r="F33" s="3483"/>
      <c r="G33" s="3483"/>
    </row>
    <row r="34" spans="1:7" hidden="1">
      <c r="A34" s="2401">
        <v>1</v>
      </c>
      <c r="B34" s="2398" t="s">
        <v>2455</v>
      </c>
      <c r="C34" s="2398"/>
      <c r="D34" s="2398"/>
      <c r="E34" s="3484"/>
      <c r="F34" s="3484"/>
      <c r="G34" s="3484"/>
    </row>
    <row r="35" spans="1:7" hidden="1">
      <c r="A35" s="2401">
        <v>2</v>
      </c>
      <c r="B35" s="2398" t="s">
        <v>2456</v>
      </c>
      <c r="C35" s="2398"/>
      <c r="D35" s="2398"/>
      <c r="E35" s="3484"/>
      <c r="F35" s="3484"/>
      <c r="G35" s="3484"/>
    </row>
    <row r="36" spans="1:7" hidden="1">
      <c r="A36" s="2401">
        <v>3</v>
      </c>
      <c r="B36" s="2398" t="s">
        <v>2457</v>
      </c>
      <c r="C36" s="2398"/>
      <c r="D36" s="2398"/>
      <c r="E36" s="3484"/>
      <c r="F36" s="3484"/>
      <c r="G36" s="3484"/>
    </row>
    <row r="37" spans="1:7" hidden="1">
      <c r="A37" s="2401">
        <v>4</v>
      </c>
      <c r="B37" s="2398" t="s">
        <v>2458</v>
      </c>
      <c r="C37" s="2398"/>
      <c r="D37" s="2398"/>
      <c r="E37" s="3484"/>
      <c r="F37" s="3484"/>
      <c r="G37" s="3484"/>
    </row>
    <row r="38" spans="1:7" hidden="1">
      <c r="A38" s="3485" t="s">
        <v>2459</v>
      </c>
      <c r="B38" s="3486"/>
      <c r="C38" s="3486"/>
      <c r="D38" s="3487"/>
      <c r="E38" s="3483"/>
      <c r="F38" s="3483"/>
      <c r="G38" s="348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060" customWidth="1"/>
    <col min="2" max="2" width="26.625" style="2061" customWidth="1"/>
    <col min="3" max="3" width="11.125" style="2061" customWidth="1"/>
    <col min="4" max="5" width="11.125" style="2062" customWidth="1"/>
    <col min="6" max="6" width="9.5" style="2061" customWidth="1"/>
    <col min="7" max="7" width="31.875" style="2061" customWidth="1"/>
    <col min="8" max="25" width="9" style="2063" customWidth="1"/>
    <col min="26" max="254" width="9" style="2061" customWidth="1"/>
    <col min="255" max="16384" width="8.375" style="2061"/>
  </cols>
  <sheetData>
    <row r="1" spans="1:25" s="1934" customFormat="1" ht="20.25">
      <c r="A1" s="321" t="s">
        <v>543</v>
      </c>
      <c r="B1" s="642"/>
      <c r="C1" s="2057"/>
      <c r="D1" s="2057"/>
      <c r="E1" s="2057"/>
      <c r="F1" s="2057"/>
      <c r="G1" s="1983"/>
    </row>
    <row r="2" spans="1:25" s="1934" customFormat="1" ht="18" customHeight="1">
      <c r="A2" s="323" t="s">
        <v>407</v>
      </c>
      <c r="B2" s="325">
        <f ca="1">C23</f>
        <v>0</v>
      </c>
      <c r="C2" s="1983"/>
      <c r="D2" s="1983"/>
      <c r="E2" s="1983"/>
      <c r="F2" s="1983"/>
      <c r="G2" s="1983"/>
    </row>
    <row r="3" spans="1:25" s="1934" customFormat="1" ht="18" customHeight="1">
      <c r="A3" s="1267" t="s">
        <v>1618</v>
      </c>
      <c r="B3" s="325">
        <f ca="1">ROUND(B2*10000/'数据-汇总表'!E3,0)</f>
        <v>0</v>
      </c>
      <c r="C3" s="1983"/>
      <c r="D3" s="1983"/>
      <c r="E3" s="1983"/>
      <c r="F3" s="1983"/>
      <c r="G3" s="1983"/>
    </row>
    <row r="4" spans="1:25" s="1934" customFormat="1" ht="18" customHeight="1">
      <c r="A4" s="326" t="s">
        <v>408</v>
      </c>
      <c r="B4" s="327">
        <f ca="1">ROUND(B2*10000/'数据-汇总表'!D3,0)</f>
        <v>0</v>
      </c>
      <c r="C4" s="1936"/>
      <c r="D4" s="1983"/>
      <c r="E4" s="1983"/>
      <c r="F4" s="1983"/>
      <c r="G4" s="1983"/>
    </row>
    <row r="5" spans="1:25" s="1934" customFormat="1" ht="18" customHeight="1" thickBot="1">
      <c r="A5" s="329"/>
      <c r="B5" s="330">
        <f ca="1">ROUND(B2/('数据-汇总表'!D3/666.67),0)</f>
        <v>0</v>
      </c>
      <c r="C5" s="331" t="s">
        <v>409</v>
      </c>
      <c r="D5" s="1983"/>
      <c r="E5" s="1983"/>
      <c r="F5" s="1983"/>
      <c r="G5" s="1983"/>
    </row>
    <row r="6" spans="1:25" s="2058" customFormat="1" ht="13.5" customHeight="1">
      <c r="A6" s="643"/>
      <c r="B6" s="644" t="s">
        <v>544</v>
      </c>
      <c r="C6" s="645" t="s">
        <v>545</v>
      </c>
      <c r="D6" s="645" t="s">
        <v>546</v>
      </c>
      <c r="E6" s="646" t="s">
        <v>547</v>
      </c>
      <c r="F6" s="646" t="s">
        <v>548</v>
      </c>
      <c r="G6" s="647"/>
    </row>
    <row r="7" spans="1:25" s="2058" customFormat="1" ht="13.5" customHeight="1">
      <c r="A7" s="2336">
        <v>1</v>
      </c>
      <c r="B7" s="648" t="s">
        <v>549</v>
      </c>
      <c r="C7" s="649">
        <f>C8+C9</f>
        <v>0</v>
      </c>
      <c r="D7" s="649"/>
      <c r="E7" s="650"/>
      <c r="F7" s="650"/>
      <c r="G7" s="2346"/>
    </row>
    <row r="8" spans="1:25" s="2058" customFormat="1" ht="13.5" customHeight="1">
      <c r="A8" s="2336" t="s">
        <v>2368</v>
      </c>
      <c r="B8" s="2339" t="s">
        <v>2370</v>
      </c>
      <c r="C8" s="2340"/>
      <c r="D8" s="649"/>
      <c r="E8" s="650"/>
      <c r="F8" s="650"/>
      <c r="G8" s="651"/>
    </row>
    <row r="9" spans="1:25" s="2058" customFormat="1" ht="13.5" customHeight="1">
      <c r="A9" s="2336" t="s">
        <v>2369</v>
      </c>
      <c r="B9" s="2339" t="s">
        <v>2371</v>
      </c>
      <c r="C9" s="2340"/>
      <c r="D9" s="649"/>
      <c r="E9" s="650"/>
      <c r="F9" s="650"/>
      <c r="G9" s="651"/>
    </row>
    <row r="10" spans="1:25" s="2058" customFormat="1" ht="36">
      <c r="A10" s="2336">
        <v>2</v>
      </c>
      <c r="B10" s="648" t="s">
        <v>553</v>
      </c>
      <c r="C10" s="649">
        <f>C11+C14+C15</f>
        <v>0</v>
      </c>
      <c r="D10" s="660">
        <f>'数据-汇总表'!E3</f>
        <v>78389</v>
      </c>
      <c r="E10" s="649">
        <f>'数据-取费表'!B31</f>
        <v>100</v>
      </c>
      <c r="F10" s="661"/>
      <c r="G10" s="659" t="s">
        <v>554</v>
      </c>
    </row>
    <row r="11" spans="1:25" s="2058" customFormat="1" ht="13.5" customHeight="1">
      <c r="A11" s="2336" t="s">
        <v>2368</v>
      </c>
      <c r="B11" s="652" t="s">
        <v>550</v>
      </c>
      <c r="C11" s="653">
        <f>'数据-取费表'!B29</f>
        <v>0</v>
      </c>
      <c r="D11" s="654"/>
      <c r="E11" s="653"/>
      <c r="F11" s="655"/>
      <c r="G11" s="2345" t="s">
        <v>2379</v>
      </c>
    </row>
    <row r="12" spans="1:25" s="2058" customFormat="1" ht="13.5" customHeight="1">
      <c r="A12" s="2343" t="s">
        <v>2376</v>
      </c>
      <c r="B12" s="656" t="s">
        <v>551</v>
      </c>
      <c r="C12" s="657">
        <f>ROUND(D12*E12/10000,0)</f>
        <v>173</v>
      </c>
      <c r="D12" s="658">
        <f>'数据-汇总表'!E5</f>
        <v>57637</v>
      </c>
      <c r="E12" s="657">
        <f>'数据-取费表'!B27</f>
        <v>30</v>
      </c>
      <c r="F12" s="655"/>
      <c r="G12" s="659"/>
    </row>
    <row r="13" spans="1:25" s="2058" customFormat="1" ht="13.5" customHeight="1">
      <c r="A13" s="2343" t="s">
        <v>2375</v>
      </c>
      <c r="B13" s="656" t="s">
        <v>552</v>
      </c>
      <c r="C13" s="657">
        <f>ROUND(D13*E13/10000,0)</f>
        <v>166</v>
      </c>
      <c r="D13" s="658">
        <f>'数据-汇总表'!E6</f>
        <v>20752</v>
      </c>
      <c r="E13" s="657">
        <f>'数据-取费表'!B28</f>
        <v>80</v>
      </c>
      <c r="F13" s="655"/>
      <c r="G13" s="659"/>
    </row>
    <row r="14" spans="1:25" s="2058" customFormat="1" ht="13.5" customHeight="1">
      <c r="A14" s="2336" t="s">
        <v>2369</v>
      </c>
      <c r="B14" s="2342" t="s">
        <v>2372</v>
      </c>
      <c r="C14" s="2340"/>
      <c r="D14" s="658"/>
      <c r="E14" s="657"/>
      <c r="F14" s="2341"/>
      <c r="G14" s="2344" t="s">
        <v>2377</v>
      </c>
    </row>
    <row r="15" spans="1:25" s="2058" customFormat="1" ht="13.5" customHeight="1">
      <c r="A15" s="2336" t="s">
        <v>2374</v>
      </c>
      <c r="B15" s="2342" t="s">
        <v>2373</v>
      </c>
      <c r="C15" s="2340"/>
      <c r="D15" s="658"/>
      <c r="E15" s="657"/>
      <c r="F15" s="2341"/>
      <c r="G15" s="2344" t="s">
        <v>2378</v>
      </c>
    </row>
    <row r="16" spans="1:25" s="2059" customFormat="1" ht="48">
      <c r="A16" s="2336">
        <v>3</v>
      </c>
      <c r="B16" s="648" t="s">
        <v>555</v>
      </c>
      <c r="C16" s="2340"/>
      <c r="D16" s="660"/>
      <c r="E16" s="649"/>
      <c r="F16" s="661"/>
      <c r="G16" s="659" t="s">
        <v>2380</v>
      </c>
      <c r="H16" s="2058"/>
      <c r="I16" s="2058"/>
      <c r="J16" s="2058"/>
      <c r="K16" s="2058"/>
      <c r="L16" s="2058"/>
      <c r="M16" s="2058"/>
      <c r="N16" s="2058"/>
      <c r="O16" s="2058"/>
      <c r="P16" s="2058"/>
      <c r="Q16" s="2058"/>
      <c r="R16" s="2058"/>
      <c r="S16" s="2058"/>
      <c r="T16" s="2058"/>
      <c r="U16" s="2058"/>
      <c r="V16" s="2058"/>
      <c r="W16" s="2058"/>
      <c r="X16" s="2058"/>
      <c r="Y16" s="2058"/>
    </row>
    <row r="17" spans="1:25" s="2059" customFormat="1" ht="25.5">
      <c r="A17" s="2337">
        <v>4</v>
      </c>
      <c r="B17" s="648" t="s">
        <v>556</v>
      </c>
      <c r="C17" s="2439">
        <f ca="1">ROUND(IF('数据-取费表'!B19&lt;=1,((C7+C16)*'数据-取费表'!B19+C10*'数据-取费表'!B19/2)*F17,((C7+C16)*(POWER((1+F17),'数据-取费表'!B19)-1)+C10*(POWER((1+F17),'数据-取费表'!B19/2)-1))),0)</f>
        <v>0</v>
      </c>
      <c r="D17" s="662"/>
      <c r="E17" s="663"/>
      <c r="F17" s="664">
        <f ca="1">存贷款利率!E3</f>
        <v>0</v>
      </c>
      <c r="G17" s="665" t="str">
        <f>IF('数据-取费表'!B19&lt;=1,"((１＋３)×土地开发期+２×(土地开发期÷２))×利率","((１＋３)×((1+利率)^土地开发期-1)+２×((1+利率)^(土地开发期÷２)-1)")</f>
        <v>((１＋３)×土地开发期+２×(土地开发期÷２))×利率</v>
      </c>
      <c r="H17" s="2348"/>
      <c r="I17" s="2058"/>
      <c r="J17" s="2058"/>
      <c r="K17" s="2058"/>
      <c r="L17" s="2058"/>
      <c r="M17" s="2058"/>
      <c r="N17" s="2058"/>
      <c r="O17" s="2058"/>
      <c r="P17" s="2058"/>
      <c r="Q17" s="2058"/>
      <c r="R17" s="2058"/>
      <c r="S17" s="2058"/>
      <c r="T17" s="2058"/>
      <c r="U17" s="2058"/>
      <c r="V17" s="2058"/>
      <c r="W17" s="2058"/>
      <c r="X17" s="2058"/>
      <c r="Y17" s="2058"/>
    </row>
    <row r="18" spans="1:25" s="2059" customFormat="1" ht="13.5" customHeight="1">
      <c r="A18" s="2337">
        <v>5</v>
      </c>
      <c r="B18" s="648" t="s">
        <v>557</v>
      </c>
      <c r="C18" s="649">
        <f>ROUND((C7+C10+C16)*F18,0)</f>
        <v>0</v>
      </c>
      <c r="D18" s="662"/>
      <c r="E18" s="663"/>
      <c r="F18" s="661">
        <f>'数据-取费表'!Q16</f>
        <v>0.05</v>
      </c>
      <c r="G18" s="665" t="s">
        <v>558</v>
      </c>
      <c r="H18" s="2058"/>
      <c r="I18" s="2058"/>
      <c r="J18" s="2058"/>
      <c r="K18" s="2058"/>
      <c r="L18" s="2058"/>
      <c r="M18" s="2058"/>
      <c r="N18" s="2058"/>
      <c r="O18" s="2058"/>
      <c r="P18" s="2058"/>
      <c r="Q18" s="2058"/>
      <c r="R18" s="2058"/>
      <c r="S18" s="2058"/>
      <c r="T18" s="2058"/>
      <c r="U18" s="2058"/>
      <c r="V18" s="2058"/>
      <c r="W18" s="2058"/>
      <c r="X18" s="2058"/>
      <c r="Y18" s="2058"/>
    </row>
    <row r="19" spans="1:25" s="2059" customFormat="1" ht="13.5" customHeight="1">
      <c r="A19" s="2336">
        <v>6</v>
      </c>
      <c r="B19" s="648" t="s">
        <v>559</v>
      </c>
      <c r="C19" s="649">
        <f ca="1">C7+C10+C16+C17+C18</f>
        <v>0</v>
      </c>
      <c r="D19" s="660"/>
      <c r="E19" s="649"/>
      <c r="F19" s="661"/>
      <c r="G19" s="665" t="s">
        <v>560</v>
      </c>
      <c r="H19" s="2058"/>
      <c r="I19" s="2058"/>
      <c r="J19" s="2058"/>
      <c r="K19" s="2058"/>
      <c r="L19" s="2058"/>
      <c r="M19" s="2058"/>
      <c r="N19" s="2058"/>
      <c r="O19" s="2058"/>
      <c r="P19" s="2058"/>
      <c r="Q19" s="2058"/>
      <c r="R19" s="2058"/>
      <c r="S19" s="2058"/>
      <c r="T19" s="2058"/>
      <c r="U19" s="2058"/>
      <c r="V19" s="2058"/>
      <c r="W19" s="2058"/>
      <c r="X19" s="2058"/>
      <c r="Y19" s="2058"/>
    </row>
    <row r="20" spans="1:25" s="2059" customFormat="1" ht="24.75">
      <c r="A20" s="2336">
        <v>7</v>
      </c>
      <c r="B20" s="648" t="s">
        <v>561</v>
      </c>
      <c r="C20" s="649">
        <f ca="1">ROUND(C19*F20,0)</f>
        <v>0</v>
      </c>
      <c r="D20" s="660"/>
      <c r="E20" s="649"/>
      <c r="F20" s="1237"/>
      <c r="G20" s="665" t="s">
        <v>562</v>
      </c>
      <c r="H20" s="2058"/>
      <c r="I20" s="2058"/>
      <c r="J20" s="2058"/>
      <c r="K20" s="2058"/>
      <c r="L20" s="2058"/>
      <c r="M20" s="2058"/>
      <c r="N20" s="2058"/>
      <c r="O20" s="2058"/>
      <c r="P20" s="2058"/>
      <c r="Q20" s="2058"/>
      <c r="R20" s="2058"/>
      <c r="S20" s="2058"/>
      <c r="T20" s="2058"/>
      <c r="U20" s="2058"/>
      <c r="V20" s="2058"/>
      <c r="W20" s="2058"/>
      <c r="X20" s="2058"/>
      <c r="Y20" s="2058"/>
    </row>
    <row r="21" spans="1:25" s="2059" customFormat="1">
      <c r="A21" s="2336">
        <v>8</v>
      </c>
      <c r="B21" s="648" t="s">
        <v>563</v>
      </c>
      <c r="C21" s="649">
        <f ca="1">C19+C20</f>
        <v>0</v>
      </c>
      <c r="D21" s="660"/>
      <c r="E21" s="649"/>
      <c r="F21" s="661"/>
      <c r="G21" s="665" t="s">
        <v>564</v>
      </c>
      <c r="H21" s="2058"/>
      <c r="I21" s="2058"/>
      <c r="J21" s="2058"/>
      <c r="K21" s="2058"/>
      <c r="L21" s="2058"/>
      <c r="M21" s="2058"/>
      <c r="N21" s="2058"/>
      <c r="O21" s="2058"/>
      <c r="P21" s="2058"/>
      <c r="Q21" s="2058"/>
      <c r="R21" s="2058"/>
      <c r="S21" s="2058"/>
      <c r="T21" s="2058"/>
      <c r="U21" s="2058"/>
      <c r="V21" s="2058"/>
      <c r="W21" s="2058"/>
      <c r="X21" s="2058"/>
      <c r="Y21" s="2058"/>
    </row>
    <row r="22" spans="1:25" s="2059" customFormat="1" ht="13.5" customHeight="1">
      <c r="A22" s="2336">
        <v>9</v>
      </c>
      <c r="B22" s="648" t="s">
        <v>565</v>
      </c>
      <c r="C22" s="649">
        <f ca="1">ROUND(C21*F22,0)</f>
        <v>0</v>
      </c>
      <c r="D22" s="660"/>
      <c r="E22" s="649"/>
      <c r="F22" s="666">
        <f>'数据-取费表'!AP16</f>
        <v>0.91400000000000003</v>
      </c>
      <c r="G22" s="665" t="s">
        <v>566</v>
      </c>
      <c r="H22" s="2058"/>
      <c r="I22" s="2058"/>
      <c r="J22" s="2058"/>
      <c r="K22" s="2058"/>
      <c r="L22" s="2058"/>
      <c r="M22" s="2058"/>
      <c r="N22" s="2058"/>
      <c r="O22" s="2058"/>
      <c r="P22" s="2058"/>
      <c r="Q22" s="2058"/>
      <c r="R22" s="2058"/>
      <c r="S22" s="2058"/>
      <c r="T22" s="2058"/>
      <c r="U22" s="2058"/>
      <c r="V22" s="2058"/>
      <c r="W22" s="2058"/>
      <c r="X22" s="2058"/>
      <c r="Y22" s="2058"/>
    </row>
    <row r="23" spans="1:25" s="2059" customFormat="1" ht="13.5" customHeight="1" thickBot="1">
      <c r="A23" s="2338">
        <v>10</v>
      </c>
      <c r="B23" s="667" t="s">
        <v>567</v>
      </c>
      <c r="C23" s="668">
        <f ca="1">C22</f>
        <v>0</v>
      </c>
      <c r="D23" s="669"/>
      <c r="E23" s="668"/>
      <c r="F23" s="670"/>
      <c r="G23" s="671"/>
      <c r="H23" s="2058"/>
      <c r="I23" s="2058"/>
      <c r="J23" s="2058"/>
      <c r="K23" s="2058"/>
      <c r="L23" s="2058"/>
      <c r="M23" s="2058"/>
      <c r="N23" s="2058"/>
      <c r="O23" s="2058"/>
      <c r="P23" s="2058"/>
      <c r="Q23" s="2058"/>
      <c r="R23" s="2058"/>
      <c r="S23" s="2058"/>
      <c r="T23" s="2058"/>
      <c r="U23" s="2058"/>
      <c r="V23" s="2058"/>
      <c r="W23" s="2058"/>
      <c r="X23" s="2058"/>
      <c r="Y23" s="205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518"/>
  <sheetViews>
    <sheetView view="pageBreakPreview" topLeftCell="B1" zoomScale="60" zoomScaleNormal="100" workbookViewId="0">
      <selection activeCell="P15" sqref="P15"/>
    </sheetView>
  </sheetViews>
  <sheetFormatPr defaultRowHeight="13.5"/>
  <cols>
    <col min="1" max="1" width="60.375" customWidth="1"/>
    <col min="11" max="11" width="21.25" customWidth="1"/>
    <col min="13" max="13" width="40.75" customWidth="1"/>
    <col min="16" max="16" width="25.125" bestFit="1" customWidth="1"/>
  </cols>
  <sheetData>
    <row r="1" spans="1:18" s="3161" customFormat="1" ht="12.75">
      <c r="A1" s="3161" t="s">
        <v>3030</v>
      </c>
      <c r="B1" s="3161" t="s">
        <v>3031</v>
      </c>
      <c r="C1" s="3161" t="s">
        <v>3032</v>
      </c>
      <c r="D1" s="3161" t="s">
        <v>3033</v>
      </c>
      <c r="E1" s="3161" t="s">
        <v>3034</v>
      </c>
      <c r="F1" s="3161" t="s">
        <v>3035</v>
      </c>
      <c r="G1" s="3161" t="s">
        <v>3036</v>
      </c>
      <c r="H1" s="3161" t="s">
        <v>1964</v>
      </c>
      <c r="I1" s="3161" t="s">
        <v>3037</v>
      </c>
      <c r="J1" s="3161" t="s">
        <v>3038</v>
      </c>
      <c r="K1" s="3161" t="s">
        <v>3039</v>
      </c>
      <c r="L1" s="3161" t="s">
        <v>3040</v>
      </c>
      <c r="M1" s="3161" t="s">
        <v>3041</v>
      </c>
      <c r="N1" s="3161" t="s">
        <v>3042</v>
      </c>
      <c r="O1" s="3161" t="s">
        <v>3043</v>
      </c>
      <c r="P1" s="3161" t="s">
        <v>3044</v>
      </c>
      <c r="Q1" s="3161" t="s">
        <v>3045</v>
      </c>
      <c r="R1" s="3161" t="s">
        <v>3046</v>
      </c>
    </row>
    <row r="2" spans="1:18" s="3161" customFormat="1" ht="12.75">
      <c r="A2" s="3161" t="s">
        <v>3047</v>
      </c>
      <c r="B2" s="3161" t="s">
        <v>3048</v>
      </c>
      <c r="C2" s="3161" t="s">
        <v>3049</v>
      </c>
      <c r="D2" s="3161" t="s">
        <v>3050</v>
      </c>
      <c r="E2" s="3161" t="s">
        <v>3189</v>
      </c>
      <c r="F2" s="3161">
        <v>43077.2</v>
      </c>
      <c r="G2" s="3161">
        <v>107693</v>
      </c>
      <c r="H2" s="3161" t="s">
        <v>3051</v>
      </c>
      <c r="I2" s="3161" t="s">
        <v>2746</v>
      </c>
      <c r="J2" s="3161" t="s">
        <v>3052</v>
      </c>
      <c r="K2" s="3161" t="s">
        <v>3053</v>
      </c>
      <c r="L2" s="3161" t="s">
        <v>3054</v>
      </c>
      <c r="M2" s="3161" t="s">
        <v>3055</v>
      </c>
      <c r="N2" s="3161">
        <v>76000</v>
      </c>
      <c r="O2" s="3161">
        <v>7057.1</v>
      </c>
      <c r="P2" s="3161" t="s">
        <v>2746</v>
      </c>
      <c r="Q2" s="3161">
        <v>14.12</v>
      </c>
      <c r="R2" s="3161" t="s">
        <v>3056</v>
      </c>
    </row>
    <row r="3" spans="1:18" s="3161" customFormat="1" ht="12.75">
      <c r="A3" s="3161" t="s">
        <v>3057</v>
      </c>
      <c r="B3" s="3161" t="s">
        <v>3048</v>
      </c>
      <c r="C3" s="3161" t="s">
        <v>3049</v>
      </c>
      <c r="D3" s="3161" t="s">
        <v>3058</v>
      </c>
      <c r="E3" s="3161" t="s">
        <v>3059</v>
      </c>
      <c r="F3" s="3161">
        <v>53441.599999999999</v>
      </c>
      <c r="G3" s="3161">
        <v>106883.2</v>
      </c>
      <c r="H3" s="3161" t="s">
        <v>3060</v>
      </c>
      <c r="I3" s="3161" t="s">
        <v>2746</v>
      </c>
      <c r="J3" s="3161" t="s">
        <v>3061</v>
      </c>
      <c r="K3" s="3161" t="s">
        <v>3062</v>
      </c>
      <c r="L3" s="3161" t="s">
        <v>3054</v>
      </c>
      <c r="M3" s="3161" t="s">
        <v>3063</v>
      </c>
      <c r="N3" s="3161">
        <v>54296.66</v>
      </c>
      <c r="O3" s="3161">
        <v>5080</v>
      </c>
      <c r="P3" s="3161" t="s">
        <v>2746</v>
      </c>
      <c r="Q3" s="3161">
        <v>12.89</v>
      </c>
      <c r="R3" s="3161" t="s">
        <v>3056</v>
      </c>
    </row>
    <row r="4" spans="1:18" s="3161" customFormat="1" ht="12.75">
      <c r="A4" s="3161" t="s">
        <v>3064</v>
      </c>
      <c r="B4" s="3161" t="s">
        <v>3048</v>
      </c>
      <c r="C4" s="3161" t="s">
        <v>3049</v>
      </c>
      <c r="D4" s="3161" t="s">
        <v>3058</v>
      </c>
      <c r="E4" s="3161" t="s">
        <v>3065</v>
      </c>
      <c r="F4" s="3161">
        <v>41123</v>
      </c>
      <c r="G4" s="3161">
        <v>82246</v>
      </c>
      <c r="H4" s="3161" t="s">
        <v>3060</v>
      </c>
      <c r="I4" s="3161" t="s">
        <v>3066</v>
      </c>
      <c r="J4" s="3161" t="s">
        <v>3061</v>
      </c>
      <c r="K4" s="3161" t="s">
        <v>3067</v>
      </c>
      <c r="L4" s="3161" t="s">
        <v>3054</v>
      </c>
      <c r="M4" s="3161" t="s">
        <v>3068</v>
      </c>
      <c r="N4" s="3161">
        <v>12336.89</v>
      </c>
      <c r="O4" s="3161">
        <v>1500</v>
      </c>
      <c r="P4" s="3161" t="s">
        <v>2746</v>
      </c>
      <c r="Q4" s="3161">
        <v>3.09</v>
      </c>
      <c r="R4" s="3161" t="s">
        <v>3056</v>
      </c>
    </row>
    <row r="5" spans="1:18" s="3161" customFormat="1" ht="12.75">
      <c r="A5" s="3161" t="s">
        <v>3069</v>
      </c>
      <c r="B5" s="3161" t="s">
        <v>3048</v>
      </c>
      <c r="C5" s="3161" t="s">
        <v>3049</v>
      </c>
      <c r="D5" s="3161" t="s">
        <v>3058</v>
      </c>
      <c r="E5" s="3161" t="s">
        <v>3070</v>
      </c>
      <c r="F5" s="3161">
        <v>57661.3</v>
      </c>
      <c r="G5" s="3161">
        <v>144153.29999999999</v>
      </c>
      <c r="H5" s="3161" t="s">
        <v>3051</v>
      </c>
      <c r="I5" s="3161" t="s">
        <v>3066</v>
      </c>
      <c r="J5" s="3161" t="s">
        <v>3061</v>
      </c>
      <c r="K5" s="3161" t="s">
        <v>3071</v>
      </c>
      <c r="L5" s="3161" t="s">
        <v>3054</v>
      </c>
      <c r="M5" s="3161" t="s">
        <v>3072</v>
      </c>
      <c r="N5" s="3161">
        <v>102060.5</v>
      </c>
      <c r="O5" s="3161">
        <v>7080</v>
      </c>
      <c r="P5" s="3161" t="s">
        <v>2746</v>
      </c>
      <c r="Q5" s="3161">
        <v>35.01</v>
      </c>
      <c r="R5" s="3161" t="s">
        <v>3056</v>
      </c>
    </row>
    <row r="6" spans="1:18" s="3161" customFormat="1" ht="12.75">
      <c r="A6" s="3161" t="s">
        <v>3073</v>
      </c>
      <c r="B6" s="3161" t="s">
        <v>3048</v>
      </c>
      <c r="C6" s="3161" t="s">
        <v>3049</v>
      </c>
      <c r="D6" s="3161" t="s">
        <v>3050</v>
      </c>
      <c r="E6" s="3161" t="s">
        <v>3074</v>
      </c>
      <c r="F6" s="3161">
        <v>48040.800000000003</v>
      </c>
      <c r="G6" s="3161">
        <v>120102</v>
      </c>
      <c r="H6" s="3161" t="s">
        <v>3075</v>
      </c>
      <c r="I6" s="3161" t="s">
        <v>2746</v>
      </c>
      <c r="J6" s="3161" t="s">
        <v>3076</v>
      </c>
      <c r="K6" s="3161" t="s">
        <v>3077</v>
      </c>
      <c r="L6" s="3161" t="s">
        <v>3054</v>
      </c>
      <c r="M6" s="3161" t="s">
        <v>3078</v>
      </c>
      <c r="N6" s="3161">
        <v>85032.22</v>
      </c>
      <c r="O6" s="3161">
        <v>7080</v>
      </c>
      <c r="P6" s="3161" t="s">
        <v>2746</v>
      </c>
      <c r="Q6" s="3161">
        <v>42.74</v>
      </c>
      <c r="R6" s="3161" t="s">
        <v>3056</v>
      </c>
    </row>
    <row r="7" spans="1:18" s="3161" customFormat="1" ht="12.75">
      <c r="A7" s="3161" t="s">
        <v>3079</v>
      </c>
      <c r="B7" s="3161" t="s">
        <v>3048</v>
      </c>
      <c r="C7" s="3161" t="s">
        <v>3049</v>
      </c>
      <c r="D7" s="3161" t="s">
        <v>3050</v>
      </c>
      <c r="E7" s="3161" t="s">
        <v>3080</v>
      </c>
      <c r="F7" s="3161">
        <v>35635.4</v>
      </c>
      <c r="G7" s="3161">
        <v>89088.5</v>
      </c>
      <c r="H7" s="3161" t="s">
        <v>3075</v>
      </c>
      <c r="I7" s="3161" t="s">
        <v>2746</v>
      </c>
      <c r="J7" s="3161" t="s">
        <v>3076</v>
      </c>
      <c r="K7" s="3161" t="s">
        <v>3077</v>
      </c>
      <c r="L7" s="3161" t="s">
        <v>3054</v>
      </c>
      <c r="M7" s="3161" t="s">
        <v>3078</v>
      </c>
      <c r="N7" s="3161">
        <v>63074.66</v>
      </c>
      <c r="O7" s="3161">
        <v>7080</v>
      </c>
      <c r="P7" s="3161" t="s">
        <v>2746</v>
      </c>
      <c r="Q7" s="3161">
        <v>27.34</v>
      </c>
      <c r="R7" s="3161" t="s">
        <v>3056</v>
      </c>
    </row>
    <row r="8" spans="1:18" s="3173" customFormat="1" ht="12.75">
      <c r="A8" s="3172" t="s">
        <v>3193</v>
      </c>
      <c r="B8" s="3173" t="s">
        <v>3048</v>
      </c>
      <c r="C8" s="3173" t="s">
        <v>3081</v>
      </c>
      <c r="D8" s="3173" t="s">
        <v>3058</v>
      </c>
      <c r="E8" s="3173" t="s">
        <v>3196</v>
      </c>
      <c r="F8" s="3173">
        <v>20126.3</v>
      </c>
      <c r="G8" s="3173">
        <v>40252.6</v>
      </c>
      <c r="H8" s="3173" t="s">
        <v>3060</v>
      </c>
      <c r="I8" s="3173" t="s">
        <v>2746</v>
      </c>
      <c r="J8" s="3173" t="s">
        <v>3082</v>
      </c>
      <c r="K8" s="3173" t="s">
        <v>3083</v>
      </c>
      <c r="L8" s="3173" t="s">
        <v>3054</v>
      </c>
      <c r="M8" s="3172" t="s">
        <v>3195</v>
      </c>
      <c r="N8" s="3173">
        <v>37102.83</v>
      </c>
      <c r="O8" s="3173">
        <v>9217.5</v>
      </c>
      <c r="P8" s="3173" t="s">
        <v>2746</v>
      </c>
      <c r="Q8" s="3173" t="s">
        <v>2746</v>
      </c>
      <c r="R8" s="3173" t="s">
        <v>3084</v>
      </c>
    </row>
    <row r="9" spans="1:18" s="3162" customFormat="1" ht="12.75">
      <c r="A9" s="3162" t="s">
        <v>2902</v>
      </c>
      <c r="B9" s="3162" t="s">
        <v>3048</v>
      </c>
      <c r="C9" s="3162" t="s">
        <v>3081</v>
      </c>
      <c r="D9" s="3162" t="s">
        <v>3058</v>
      </c>
      <c r="E9" s="3162" t="s">
        <v>3085</v>
      </c>
      <c r="F9" s="3162">
        <v>33431.800000000003</v>
      </c>
      <c r="G9" s="3162">
        <v>60177.24</v>
      </c>
      <c r="H9" s="3162" t="s">
        <v>3086</v>
      </c>
      <c r="I9" s="3162" t="s">
        <v>2746</v>
      </c>
      <c r="J9" s="3162" t="s">
        <v>3082</v>
      </c>
      <c r="K9" s="3162" t="s">
        <v>3087</v>
      </c>
      <c r="L9" s="3162" t="s">
        <v>3054</v>
      </c>
      <c r="M9" s="3162" t="s">
        <v>3088</v>
      </c>
      <c r="N9" s="3162">
        <v>49479.05</v>
      </c>
      <c r="O9" s="3162">
        <v>8222.2099999999991</v>
      </c>
      <c r="P9" s="3162" t="s">
        <v>2746</v>
      </c>
      <c r="Q9" s="3162">
        <v>9.6300000000000008</v>
      </c>
      <c r="R9" s="3162" t="s">
        <v>3084</v>
      </c>
    </row>
    <row r="10" spans="1:18" s="3161" customFormat="1" ht="12.75">
      <c r="A10" s="3161" t="s">
        <v>3089</v>
      </c>
      <c r="B10" s="3161" t="s">
        <v>3048</v>
      </c>
      <c r="C10" s="3161" t="s">
        <v>3049</v>
      </c>
      <c r="D10" s="3161" t="s">
        <v>3058</v>
      </c>
      <c r="E10" s="3161" t="s">
        <v>3090</v>
      </c>
      <c r="F10" s="3161">
        <v>4329</v>
      </c>
      <c r="G10" s="3161">
        <v>5194.8</v>
      </c>
      <c r="H10" s="3161" t="s">
        <v>3091</v>
      </c>
      <c r="I10" s="3161" t="s">
        <v>2746</v>
      </c>
      <c r="J10" s="3161" t="s">
        <v>3092</v>
      </c>
      <c r="K10" s="3161" t="s">
        <v>3093</v>
      </c>
      <c r="L10" s="3161" t="s">
        <v>3054</v>
      </c>
      <c r="M10" s="3161" t="s">
        <v>3094</v>
      </c>
      <c r="N10" s="3161">
        <v>3191.17</v>
      </c>
      <c r="O10" s="3161">
        <v>6143.01</v>
      </c>
      <c r="P10" s="3161" t="s">
        <v>2746</v>
      </c>
      <c r="Q10" s="3161">
        <v>33.229999999999997</v>
      </c>
      <c r="R10" s="3161" t="s">
        <v>3056</v>
      </c>
    </row>
    <row r="11" spans="1:18" s="3161" customFormat="1" ht="12.75">
      <c r="A11" s="3163" t="s">
        <v>3095</v>
      </c>
      <c r="B11" s="3161" t="s">
        <v>3048</v>
      </c>
      <c r="C11" s="3161" t="s">
        <v>3081</v>
      </c>
      <c r="D11" s="3161" t="s">
        <v>3058</v>
      </c>
      <c r="E11" s="3161" t="s">
        <v>3096</v>
      </c>
      <c r="F11" s="3161">
        <v>38881.199999999997</v>
      </c>
      <c r="G11" s="3161">
        <v>46657.440000000002</v>
      </c>
      <c r="H11" s="3161" t="s">
        <v>3091</v>
      </c>
      <c r="I11" s="3161" t="s">
        <v>2746</v>
      </c>
      <c r="J11" s="3161" t="s">
        <v>3092</v>
      </c>
      <c r="K11" s="3161" t="s">
        <v>3097</v>
      </c>
      <c r="L11" s="3161" t="s">
        <v>3054</v>
      </c>
      <c r="M11" s="3161" t="s">
        <v>3098</v>
      </c>
      <c r="N11" s="3161">
        <v>35459.660000000003</v>
      </c>
      <c r="O11" s="3161">
        <v>7600</v>
      </c>
      <c r="P11" s="3161" t="s">
        <v>2746</v>
      </c>
      <c r="Q11" s="3161">
        <v>52</v>
      </c>
      <c r="R11" s="3161" t="s">
        <v>3099</v>
      </c>
    </row>
    <row r="12" spans="1:18" s="3161" customFormat="1" ht="12.75">
      <c r="A12" s="3161" t="s">
        <v>3100</v>
      </c>
      <c r="B12" s="3161" t="s">
        <v>3048</v>
      </c>
      <c r="C12" s="3161" t="s">
        <v>3081</v>
      </c>
      <c r="D12" s="3161" t="s">
        <v>3058</v>
      </c>
      <c r="E12" s="3161" t="s">
        <v>3101</v>
      </c>
      <c r="F12" s="3161">
        <v>35758.300000000003</v>
      </c>
      <c r="G12" s="3161">
        <v>53637.45</v>
      </c>
      <c r="H12" s="3161" t="s">
        <v>3102</v>
      </c>
      <c r="I12" s="3161" t="s">
        <v>2746</v>
      </c>
      <c r="J12" s="3161" t="s">
        <v>3092</v>
      </c>
      <c r="K12" s="3161" t="s">
        <v>3103</v>
      </c>
      <c r="L12" s="3161" t="s">
        <v>3054</v>
      </c>
      <c r="M12" s="3161" t="s">
        <v>3104</v>
      </c>
      <c r="N12" s="3161">
        <v>31377.9</v>
      </c>
      <c r="O12" s="3161">
        <v>5850</v>
      </c>
      <c r="P12" s="3161" t="s">
        <v>2746</v>
      </c>
      <c r="Q12" s="3161">
        <v>183.06</v>
      </c>
      <c r="R12" s="3161" t="s">
        <v>3099</v>
      </c>
    </row>
    <row r="13" spans="1:18" s="3173" customFormat="1" ht="12.75">
      <c r="A13" s="3172" t="s">
        <v>3194</v>
      </c>
      <c r="B13" s="3173" t="s">
        <v>3048</v>
      </c>
      <c r="C13" s="3173" t="s">
        <v>3081</v>
      </c>
      <c r="D13" s="3173" t="s">
        <v>3058</v>
      </c>
      <c r="E13" s="3173" t="s">
        <v>3106</v>
      </c>
      <c r="F13" s="3173">
        <v>48994.7</v>
      </c>
      <c r="G13" s="3173">
        <v>97989.4</v>
      </c>
      <c r="H13" s="3173" t="s">
        <v>3060</v>
      </c>
      <c r="I13" s="3173" t="s">
        <v>2746</v>
      </c>
      <c r="J13" s="3173" t="s">
        <v>3107</v>
      </c>
      <c r="K13" s="3173" t="s">
        <v>3108</v>
      </c>
      <c r="L13" s="3173" t="s">
        <v>3054</v>
      </c>
      <c r="M13" s="3173" t="s">
        <v>3109</v>
      </c>
      <c r="N13" s="3173">
        <v>73492.05</v>
      </c>
      <c r="O13" s="3173">
        <v>7500</v>
      </c>
      <c r="P13" s="3173" t="s">
        <v>2746</v>
      </c>
      <c r="Q13" s="3173">
        <v>0</v>
      </c>
      <c r="R13" s="3173" t="s">
        <v>3099</v>
      </c>
    </row>
    <row r="14" spans="1:18" s="3173" customFormat="1" ht="12.75">
      <c r="A14" s="3173" t="s">
        <v>3105</v>
      </c>
      <c r="B14" s="3173" t="s">
        <v>3048</v>
      </c>
      <c r="C14" s="3173" t="s">
        <v>3081</v>
      </c>
      <c r="D14" s="3173" t="s">
        <v>3058</v>
      </c>
      <c r="E14" s="3173" t="s">
        <v>3110</v>
      </c>
      <c r="F14" s="3173">
        <v>58321.2</v>
      </c>
      <c r="G14" s="3173">
        <v>116642.4</v>
      </c>
      <c r="H14" s="3173" t="s">
        <v>3060</v>
      </c>
      <c r="I14" s="3173" t="s">
        <v>2746</v>
      </c>
      <c r="J14" s="3173" t="s">
        <v>3107</v>
      </c>
      <c r="K14" s="3173" t="s">
        <v>3111</v>
      </c>
      <c r="L14" s="3173" t="s">
        <v>3054</v>
      </c>
      <c r="M14" s="3173" t="s">
        <v>3109</v>
      </c>
      <c r="N14" s="3173">
        <v>87481.8</v>
      </c>
      <c r="O14" s="3173">
        <v>7500</v>
      </c>
      <c r="P14" s="3173" t="s">
        <v>2746</v>
      </c>
      <c r="Q14" s="3173">
        <v>0</v>
      </c>
      <c r="R14" s="3173" t="s">
        <v>3099</v>
      </c>
    </row>
    <row r="15" spans="1:18" s="3173" customFormat="1" ht="12.75">
      <c r="A15" s="3172" t="s">
        <v>3197</v>
      </c>
      <c r="B15" s="3173" t="s">
        <v>3048</v>
      </c>
      <c r="C15" s="3173" t="s">
        <v>3049</v>
      </c>
      <c r="D15" s="3173" t="s">
        <v>3058</v>
      </c>
      <c r="E15" s="3173" t="s">
        <v>3112</v>
      </c>
      <c r="F15" s="3173">
        <v>58900.2</v>
      </c>
      <c r="G15" s="3173">
        <v>106020.4</v>
      </c>
      <c r="H15" s="3173" t="s">
        <v>3086</v>
      </c>
      <c r="I15" s="3174" t="s">
        <v>3198</v>
      </c>
      <c r="J15" s="3173" t="s">
        <v>3107</v>
      </c>
      <c r="K15" s="3173" t="s">
        <v>3113</v>
      </c>
      <c r="L15" s="3173" t="s">
        <v>3054</v>
      </c>
      <c r="M15" s="3173" t="s">
        <v>3114</v>
      </c>
      <c r="N15" s="3173">
        <v>78926.27</v>
      </c>
      <c r="O15" s="3173">
        <v>7444.43</v>
      </c>
      <c r="P15" s="3173">
        <v>7632</v>
      </c>
      <c r="Q15" s="3173">
        <v>11.11</v>
      </c>
      <c r="R15" s="3173" t="s">
        <v>3056</v>
      </c>
    </row>
    <row r="16" spans="1:18" s="3161" customFormat="1" ht="12.75">
      <c r="A16" s="3161" t="s">
        <v>3115</v>
      </c>
      <c r="B16" s="3161" t="s">
        <v>3048</v>
      </c>
      <c r="C16" s="3161" t="s">
        <v>3049</v>
      </c>
      <c r="D16" s="3161" t="s">
        <v>3058</v>
      </c>
      <c r="E16" s="3161" t="s">
        <v>3116</v>
      </c>
      <c r="F16" s="3161">
        <v>29573.8</v>
      </c>
      <c r="G16" s="3161">
        <v>59147.6</v>
      </c>
      <c r="H16" s="3161" t="s">
        <v>3060</v>
      </c>
      <c r="I16" s="3161" t="s">
        <v>2746</v>
      </c>
      <c r="J16" s="3161" t="s">
        <v>3107</v>
      </c>
      <c r="K16" s="3161" t="s">
        <v>3117</v>
      </c>
      <c r="L16" s="3161" t="s">
        <v>3054</v>
      </c>
      <c r="M16" s="3161" t="s">
        <v>3118</v>
      </c>
      <c r="N16" s="3161">
        <v>41403.31</v>
      </c>
      <c r="O16" s="3161">
        <v>7000</v>
      </c>
      <c r="P16" s="3161">
        <v>9731</v>
      </c>
      <c r="Q16" s="3161">
        <v>0</v>
      </c>
      <c r="R16" s="3161" t="s">
        <v>3056</v>
      </c>
    </row>
    <row r="17" spans="1:18" s="3161" customFormat="1" ht="12.75">
      <c r="A17" s="3161" t="s">
        <v>3119</v>
      </c>
      <c r="B17" s="3161" t="s">
        <v>3048</v>
      </c>
      <c r="C17" s="3161" t="s">
        <v>3081</v>
      </c>
      <c r="D17" s="3161" t="s">
        <v>3050</v>
      </c>
      <c r="E17" s="3161" t="s">
        <v>3120</v>
      </c>
      <c r="F17" s="3161">
        <v>53555</v>
      </c>
      <c r="G17" s="3161">
        <v>133887.5</v>
      </c>
      <c r="H17" s="3161" t="s">
        <v>3051</v>
      </c>
      <c r="I17" s="3161" t="s">
        <v>2746</v>
      </c>
      <c r="J17" s="3161" t="s">
        <v>3121</v>
      </c>
      <c r="K17" s="3161" t="s">
        <v>3122</v>
      </c>
      <c r="L17" s="3161" t="s">
        <v>3054</v>
      </c>
      <c r="M17" s="3161" t="s">
        <v>3088</v>
      </c>
      <c r="N17" s="3161">
        <v>86759.1</v>
      </c>
      <c r="O17" s="3161">
        <v>6480</v>
      </c>
      <c r="P17" s="3161" t="s">
        <v>2746</v>
      </c>
      <c r="Q17" s="3161" t="s">
        <v>2746</v>
      </c>
      <c r="R17" s="3161" t="s">
        <v>3099</v>
      </c>
    </row>
    <row r="18" spans="1:18" s="3161" customFormat="1" ht="12.75">
      <c r="A18" s="3161" t="s">
        <v>3123</v>
      </c>
      <c r="B18" s="3161" t="s">
        <v>3048</v>
      </c>
      <c r="C18" s="3161" t="s">
        <v>3049</v>
      </c>
      <c r="D18" s="3161" t="s">
        <v>3058</v>
      </c>
      <c r="E18" s="3161" t="s">
        <v>3124</v>
      </c>
      <c r="F18" s="3161">
        <v>64861.1</v>
      </c>
      <c r="G18" s="3161">
        <v>142694.39999999999</v>
      </c>
      <c r="H18" s="3161" t="s">
        <v>3125</v>
      </c>
      <c r="I18" s="3161" t="s">
        <v>2746</v>
      </c>
      <c r="J18" s="3161" t="s">
        <v>3126</v>
      </c>
      <c r="K18" s="3161" t="s">
        <v>3127</v>
      </c>
      <c r="L18" s="3161" t="s">
        <v>3054</v>
      </c>
      <c r="M18" s="3161" t="s">
        <v>3128</v>
      </c>
      <c r="N18" s="3161">
        <v>103777.8</v>
      </c>
      <c r="O18" s="3161">
        <v>7272.72</v>
      </c>
      <c r="P18" s="3161" t="s">
        <v>2746</v>
      </c>
      <c r="Q18" s="3161">
        <v>100</v>
      </c>
      <c r="R18" s="3161" t="s">
        <v>3056</v>
      </c>
    </row>
    <row r="19" spans="1:18" s="3161" customFormat="1" ht="12.75">
      <c r="A19" s="3163" t="s">
        <v>3129</v>
      </c>
      <c r="B19" s="3161" t="s">
        <v>3048</v>
      </c>
      <c r="C19" s="3161" t="s">
        <v>3049</v>
      </c>
      <c r="D19" s="3161" t="s">
        <v>3058</v>
      </c>
      <c r="E19" s="3161" t="s">
        <v>3130</v>
      </c>
      <c r="F19" s="3161">
        <v>14504.9</v>
      </c>
      <c r="G19" s="3161">
        <v>29009.8</v>
      </c>
      <c r="H19" s="3161" t="s">
        <v>3060</v>
      </c>
      <c r="I19" s="3161" t="s">
        <v>2746</v>
      </c>
      <c r="J19" s="3161" t="s">
        <v>3126</v>
      </c>
      <c r="K19" s="3161" t="s">
        <v>3131</v>
      </c>
      <c r="L19" s="3161" t="s">
        <v>3054</v>
      </c>
      <c r="M19" s="3163" t="s">
        <v>3114</v>
      </c>
      <c r="N19" s="3161">
        <v>23207.84</v>
      </c>
      <c r="O19" s="3161">
        <v>8000</v>
      </c>
      <c r="P19" s="3161" t="s">
        <v>2746</v>
      </c>
      <c r="Q19" s="3161">
        <v>100</v>
      </c>
      <c r="R19" s="3161" t="s">
        <v>3056</v>
      </c>
    </row>
    <row r="20" spans="1:18" s="3161" customFormat="1" ht="12.75">
      <c r="A20" s="3161" t="s">
        <v>3132</v>
      </c>
      <c r="B20" s="3161" t="s">
        <v>3048</v>
      </c>
      <c r="C20" s="3161" t="s">
        <v>3081</v>
      </c>
      <c r="D20" s="3161" t="s">
        <v>3058</v>
      </c>
      <c r="E20" s="3161" t="s">
        <v>3133</v>
      </c>
      <c r="F20" s="3161">
        <v>34873.800000000003</v>
      </c>
      <c r="G20" s="3161">
        <v>69747.600000000006</v>
      </c>
      <c r="H20" s="3161" t="s">
        <v>3060</v>
      </c>
      <c r="I20" s="3161" t="s">
        <v>2746</v>
      </c>
      <c r="J20" s="3161" t="s">
        <v>3126</v>
      </c>
      <c r="K20" s="3161" t="s">
        <v>3134</v>
      </c>
      <c r="L20" s="3161" t="s">
        <v>3054</v>
      </c>
      <c r="M20" s="3161" t="s">
        <v>3088</v>
      </c>
      <c r="N20" s="3161">
        <v>51264.480000000003</v>
      </c>
      <c r="O20" s="3161">
        <v>7350</v>
      </c>
      <c r="P20" s="3161" t="s">
        <v>2746</v>
      </c>
      <c r="Q20" s="3161">
        <v>50</v>
      </c>
      <c r="R20" s="3161" t="s">
        <v>3099</v>
      </c>
    </row>
    <row r="21" spans="1:18" s="3161" customFormat="1" ht="12.75">
      <c r="A21" s="3163" t="s">
        <v>3135</v>
      </c>
      <c r="B21" s="3161" t="s">
        <v>3048</v>
      </c>
      <c r="C21" s="3161" t="s">
        <v>3049</v>
      </c>
      <c r="D21" s="3161" t="s">
        <v>3058</v>
      </c>
      <c r="E21" s="3161" t="s">
        <v>3136</v>
      </c>
      <c r="F21" s="3161">
        <v>25115.4</v>
      </c>
      <c r="G21" s="3161">
        <v>45207.72</v>
      </c>
      <c r="H21" s="3161" t="s">
        <v>3086</v>
      </c>
      <c r="I21" s="3161" t="s">
        <v>2746</v>
      </c>
      <c r="J21" s="3161" t="s">
        <v>3126</v>
      </c>
      <c r="K21" s="3161" t="s">
        <v>3137</v>
      </c>
      <c r="L21" s="3161" t="s">
        <v>3054</v>
      </c>
      <c r="M21" s="3161" t="s">
        <v>3114</v>
      </c>
      <c r="N21" s="3161">
        <v>40184.629999999997</v>
      </c>
      <c r="O21" s="3161">
        <v>8888.8799999999992</v>
      </c>
      <c r="P21" s="3161" t="s">
        <v>2746</v>
      </c>
      <c r="Q21" s="3161">
        <v>100</v>
      </c>
      <c r="R21" s="3161" t="s">
        <v>3056</v>
      </c>
    </row>
    <row r="22" spans="1:18" s="3161" customFormat="1" ht="12.75">
      <c r="A22" s="3161" t="s">
        <v>3138</v>
      </c>
      <c r="B22" s="3161" t="s">
        <v>3048</v>
      </c>
      <c r="C22" s="3161" t="s">
        <v>3049</v>
      </c>
      <c r="D22" s="3161" t="s">
        <v>3058</v>
      </c>
      <c r="E22" s="3161" t="s">
        <v>3139</v>
      </c>
      <c r="F22" s="3161">
        <v>46114.3</v>
      </c>
      <c r="G22" s="3161">
        <v>69171.45</v>
      </c>
      <c r="H22" s="3161" t="s">
        <v>3140</v>
      </c>
      <c r="I22" s="3161" t="s">
        <v>2746</v>
      </c>
      <c r="J22" s="3161" t="s">
        <v>3141</v>
      </c>
      <c r="K22" s="3161" t="s">
        <v>3142</v>
      </c>
      <c r="L22" s="3161" t="s">
        <v>3054</v>
      </c>
      <c r="M22" s="3161" t="s">
        <v>3143</v>
      </c>
      <c r="N22" s="3161">
        <v>47036.58</v>
      </c>
      <c r="O22" s="3161">
        <v>6800</v>
      </c>
      <c r="P22" s="3161" t="s">
        <v>2746</v>
      </c>
      <c r="Q22" s="3161">
        <v>70</v>
      </c>
      <c r="R22" s="3161" t="s">
        <v>3056</v>
      </c>
    </row>
    <row r="23" spans="1:18" s="3161" customFormat="1" ht="12.75">
      <c r="A23" s="3161" t="s">
        <v>3144</v>
      </c>
      <c r="B23" s="3161" t="s">
        <v>3048</v>
      </c>
      <c r="C23" s="3161" t="s">
        <v>3081</v>
      </c>
      <c r="D23" s="3161" t="s">
        <v>3058</v>
      </c>
      <c r="E23" s="3161" t="s">
        <v>3145</v>
      </c>
      <c r="F23" s="3161">
        <v>18084.099999999999</v>
      </c>
      <c r="G23" s="3161">
        <v>36168.199999999997</v>
      </c>
      <c r="H23" s="3161" t="s">
        <v>3146</v>
      </c>
      <c r="I23" s="3161" t="s">
        <v>2746</v>
      </c>
      <c r="J23" s="3161" t="s">
        <v>3141</v>
      </c>
      <c r="K23" s="3161" t="s">
        <v>3147</v>
      </c>
      <c r="L23" s="3161" t="s">
        <v>3054</v>
      </c>
      <c r="M23" s="3161" t="s">
        <v>3148</v>
      </c>
      <c r="N23" s="3161">
        <v>24594.38</v>
      </c>
      <c r="O23" s="3161">
        <v>6800</v>
      </c>
      <c r="P23" s="3161" t="s">
        <v>2746</v>
      </c>
      <c r="Q23" s="3161">
        <v>70</v>
      </c>
      <c r="R23" s="3161" t="s">
        <v>3149</v>
      </c>
    </row>
    <row r="24" spans="1:18" s="3161" customFormat="1" ht="12.75">
      <c r="A24" s="3161" t="s">
        <v>3150</v>
      </c>
      <c r="B24" s="3161" t="s">
        <v>3048</v>
      </c>
      <c r="C24" s="3161" t="s">
        <v>3081</v>
      </c>
      <c r="D24" s="3161" t="s">
        <v>3058</v>
      </c>
      <c r="E24" s="3161" t="s">
        <v>3151</v>
      </c>
      <c r="F24" s="3161">
        <v>35678.199999999997</v>
      </c>
      <c r="G24" s="3161">
        <v>53517.3</v>
      </c>
      <c r="H24" s="3161" t="s">
        <v>3140</v>
      </c>
      <c r="I24" s="3161" t="s">
        <v>2746</v>
      </c>
      <c r="J24" s="3161" t="s">
        <v>3141</v>
      </c>
      <c r="K24" s="3161" t="s">
        <v>3152</v>
      </c>
      <c r="L24" s="3161" t="s">
        <v>3054</v>
      </c>
      <c r="M24" s="3161" t="s">
        <v>3143</v>
      </c>
      <c r="N24" s="3161">
        <v>36391.760000000002</v>
      </c>
      <c r="O24" s="3161">
        <v>6800</v>
      </c>
      <c r="P24" s="3161" t="s">
        <v>2746</v>
      </c>
      <c r="Q24" s="3161">
        <v>70</v>
      </c>
      <c r="R24" s="3161" t="s">
        <v>3149</v>
      </c>
    </row>
    <row r="25" spans="1:18" s="3161" customFormat="1" ht="12.75">
      <c r="A25" s="3161" t="s">
        <v>3153</v>
      </c>
      <c r="B25" s="3161" t="s">
        <v>3048</v>
      </c>
      <c r="C25" s="3161" t="s">
        <v>3081</v>
      </c>
      <c r="D25" s="3161" t="s">
        <v>3050</v>
      </c>
      <c r="E25" s="3161" t="s">
        <v>3154</v>
      </c>
      <c r="F25" s="3161">
        <v>51381.8</v>
      </c>
      <c r="G25" s="3161">
        <v>128454.5</v>
      </c>
      <c r="H25" s="3161" t="s">
        <v>3051</v>
      </c>
      <c r="I25" s="3161" t="s">
        <v>2746</v>
      </c>
      <c r="J25" s="3161" t="s">
        <v>3155</v>
      </c>
      <c r="K25" s="3161" t="s">
        <v>3156</v>
      </c>
      <c r="L25" s="3161" t="s">
        <v>3054</v>
      </c>
      <c r="M25" s="3161" t="s">
        <v>3088</v>
      </c>
      <c r="N25" s="3161">
        <v>45354.7</v>
      </c>
      <c r="O25" s="3161">
        <v>3530.8</v>
      </c>
      <c r="P25" s="3161" t="s">
        <v>2746</v>
      </c>
      <c r="Q25" s="3161">
        <v>53.86</v>
      </c>
      <c r="R25" s="3161" t="s">
        <v>3099</v>
      </c>
    </row>
    <row r="26" spans="1:18" s="3161" customFormat="1" ht="12.75">
      <c r="A26" s="3161" t="s">
        <v>3157</v>
      </c>
      <c r="B26" s="3161" t="s">
        <v>3048</v>
      </c>
      <c r="C26" s="3161" t="s">
        <v>3081</v>
      </c>
      <c r="D26" s="3161" t="s">
        <v>3050</v>
      </c>
      <c r="E26" s="3161" t="s">
        <v>3158</v>
      </c>
      <c r="F26" s="3161">
        <v>49479.5</v>
      </c>
      <c r="G26" s="3161">
        <v>86589.13</v>
      </c>
      <c r="H26" s="3161" t="s">
        <v>3159</v>
      </c>
      <c r="I26" s="3161" t="s">
        <v>2746</v>
      </c>
      <c r="J26" s="3161" t="s">
        <v>3155</v>
      </c>
      <c r="K26" s="3161" t="s">
        <v>3160</v>
      </c>
      <c r="L26" s="3161" t="s">
        <v>3054</v>
      </c>
      <c r="M26" s="3161" t="s">
        <v>3088</v>
      </c>
      <c r="N26" s="3161">
        <v>35847.9</v>
      </c>
      <c r="O26" s="3161">
        <v>4140</v>
      </c>
      <c r="P26" s="3161" t="s">
        <v>2746</v>
      </c>
      <c r="Q26" s="3161">
        <v>66.36</v>
      </c>
      <c r="R26" s="3161" t="s">
        <v>3099</v>
      </c>
    </row>
    <row r="27" spans="1:18" s="3161" customFormat="1" ht="12.75">
      <c r="A27" s="3161" t="s">
        <v>3161</v>
      </c>
      <c r="B27" s="3161" t="s">
        <v>3048</v>
      </c>
      <c r="C27" s="3161" t="s">
        <v>3081</v>
      </c>
      <c r="D27" s="3161" t="s">
        <v>3050</v>
      </c>
      <c r="E27" s="3161" t="s">
        <v>3162</v>
      </c>
      <c r="F27" s="3161">
        <v>43479.8</v>
      </c>
      <c r="G27" s="3161">
        <v>108699.5</v>
      </c>
      <c r="H27" s="3161" t="s">
        <v>3051</v>
      </c>
      <c r="I27" s="3161" t="s">
        <v>2746</v>
      </c>
      <c r="J27" s="3161" t="s">
        <v>3155</v>
      </c>
      <c r="K27" s="3161" t="s">
        <v>3163</v>
      </c>
      <c r="L27" s="3161" t="s">
        <v>3054</v>
      </c>
      <c r="M27" s="3161" t="s">
        <v>3088</v>
      </c>
      <c r="N27" s="3161">
        <v>38379.620000000003</v>
      </c>
      <c r="O27" s="3161">
        <v>3530.8</v>
      </c>
      <c r="P27" s="3161" t="s">
        <v>2746</v>
      </c>
      <c r="Q27" s="3161">
        <v>53.86</v>
      </c>
      <c r="R27" s="3161" t="s">
        <v>3099</v>
      </c>
    </row>
    <row r="28" spans="1:18" s="3161" customFormat="1" ht="12.75">
      <c r="A28" s="3161" t="s">
        <v>3164</v>
      </c>
      <c r="B28" s="3161" t="s">
        <v>3048</v>
      </c>
      <c r="C28" s="3161" t="s">
        <v>3049</v>
      </c>
      <c r="D28" s="3161" t="s">
        <v>3050</v>
      </c>
      <c r="E28" s="3161" t="s">
        <v>3165</v>
      </c>
      <c r="F28" s="3161">
        <v>36458</v>
      </c>
      <c r="G28" s="3161">
        <v>80207.600000000006</v>
      </c>
      <c r="H28" s="3161" t="s">
        <v>3125</v>
      </c>
      <c r="I28" s="3161" t="s">
        <v>2746</v>
      </c>
      <c r="J28" s="3161" t="s">
        <v>3155</v>
      </c>
      <c r="K28" s="3161" t="s">
        <v>3166</v>
      </c>
      <c r="L28" s="3161" t="s">
        <v>3054</v>
      </c>
      <c r="M28" s="3161" t="s">
        <v>3167</v>
      </c>
      <c r="N28" s="3161">
        <v>21911.25</v>
      </c>
      <c r="O28" s="3161">
        <v>2731.82</v>
      </c>
      <c r="P28" s="3161" t="s">
        <v>2746</v>
      </c>
      <c r="Q28" s="3161">
        <v>50.25</v>
      </c>
      <c r="R28" s="3161" t="s">
        <v>3056</v>
      </c>
    </row>
    <row r="29" spans="1:18" s="3161" customFormat="1" ht="12.75">
      <c r="A29" s="3161" t="s">
        <v>3168</v>
      </c>
      <c r="B29" s="3161" t="s">
        <v>3048</v>
      </c>
      <c r="C29" s="3161" t="s">
        <v>3081</v>
      </c>
      <c r="D29" s="3161" t="s">
        <v>3058</v>
      </c>
      <c r="E29" s="3161" t="s">
        <v>3169</v>
      </c>
      <c r="F29" s="3161">
        <v>68687.3</v>
      </c>
      <c r="G29" s="3161">
        <v>123637.1</v>
      </c>
      <c r="H29" s="3161" t="s">
        <v>3086</v>
      </c>
      <c r="I29" s="3161" t="s">
        <v>2746</v>
      </c>
      <c r="J29" s="3161" t="s">
        <v>3170</v>
      </c>
      <c r="K29" s="3161" t="s">
        <v>3171</v>
      </c>
      <c r="L29" s="3161" t="s">
        <v>3054</v>
      </c>
      <c r="M29" s="3161" t="s">
        <v>3172</v>
      </c>
      <c r="N29" s="3161">
        <v>31925.86</v>
      </c>
      <c r="O29" s="3161">
        <v>2582.21</v>
      </c>
      <c r="P29" s="3161" t="s">
        <v>2746</v>
      </c>
      <c r="Q29" s="3161">
        <v>94.64</v>
      </c>
      <c r="R29" s="3161" t="s">
        <v>3149</v>
      </c>
    </row>
    <row r="30" spans="1:18" s="3161" customFormat="1" ht="12.75">
      <c r="A30" s="3161" t="s">
        <v>3173</v>
      </c>
      <c r="B30" s="3161" t="s">
        <v>3048</v>
      </c>
      <c r="C30" s="3161" t="s">
        <v>3081</v>
      </c>
      <c r="D30" s="3161" t="s">
        <v>3058</v>
      </c>
      <c r="E30" s="3161" t="s">
        <v>3174</v>
      </c>
      <c r="F30" s="3161">
        <v>9090.2000000000007</v>
      </c>
      <c r="G30" s="3161">
        <v>19998.439999999999</v>
      </c>
      <c r="H30" s="3161" t="s">
        <v>3125</v>
      </c>
      <c r="I30" s="3161" t="s">
        <v>2746</v>
      </c>
      <c r="J30" s="3161" t="s">
        <v>3170</v>
      </c>
      <c r="K30" s="3161" t="s">
        <v>3175</v>
      </c>
      <c r="L30" s="3161" t="s">
        <v>3054</v>
      </c>
      <c r="M30" s="3161" t="s">
        <v>3176</v>
      </c>
      <c r="N30" s="3161">
        <v>3427.01</v>
      </c>
      <c r="O30" s="3161">
        <v>1713.64</v>
      </c>
      <c r="P30" s="3161" t="s">
        <v>2746</v>
      </c>
      <c r="Q30" s="3161">
        <v>109.44</v>
      </c>
      <c r="R30" s="3161" t="s">
        <v>3149</v>
      </c>
    </row>
    <row r="31" spans="1:18" s="3161" customFormat="1" ht="12.75">
      <c r="A31" s="3161" t="s">
        <v>3177</v>
      </c>
      <c r="B31" s="3161" t="s">
        <v>3048</v>
      </c>
      <c r="C31" s="3161" t="s">
        <v>3049</v>
      </c>
      <c r="D31" s="3161" t="s">
        <v>3058</v>
      </c>
      <c r="E31" s="3161" t="s">
        <v>3178</v>
      </c>
      <c r="F31" s="3161">
        <v>55305.2</v>
      </c>
      <c r="G31" s="3161">
        <v>66366.240000000005</v>
      </c>
      <c r="H31" s="3161" t="s">
        <v>3091</v>
      </c>
      <c r="I31" s="3161" t="s">
        <v>2746</v>
      </c>
      <c r="J31" s="3161" t="s">
        <v>3179</v>
      </c>
      <c r="K31" s="3161" t="s">
        <v>3180</v>
      </c>
      <c r="L31" s="3161" t="s">
        <v>3054</v>
      </c>
      <c r="M31" s="3161" t="s">
        <v>3181</v>
      </c>
      <c r="N31" s="3161">
        <v>6304.78</v>
      </c>
      <c r="O31" s="3161">
        <v>950</v>
      </c>
      <c r="P31" s="3161" t="s">
        <v>2746</v>
      </c>
      <c r="Q31" s="3161">
        <v>3.64</v>
      </c>
      <c r="R31" s="3161" t="s">
        <v>3056</v>
      </c>
    </row>
    <row r="32" spans="1:18" s="3161" customFormat="1" ht="12.75">
      <c r="A32" s="3161" t="s">
        <v>3177</v>
      </c>
      <c r="B32" s="3161" t="s">
        <v>3048</v>
      </c>
      <c r="C32" s="3161" t="s">
        <v>3049</v>
      </c>
      <c r="D32" s="3161" t="s">
        <v>3058</v>
      </c>
      <c r="E32" s="3161" t="s">
        <v>3182</v>
      </c>
      <c r="F32" s="3161">
        <v>35263.800000000003</v>
      </c>
      <c r="G32" s="3161">
        <v>42316.56</v>
      </c>
      <c r="H32" s="3161" t="s">
        <v>3091</v>
      </c>
      <c r="I32" s="3161" t="s">
        <v>2746</v>
      </c>
      <c r="J32" s="3161" t="s">
        <v>3179</v>
      </c>
      <c r="K32" s="3161" t="s">
        <v>3183</v>
      </c>
      <c r="L32" s="3161" t="s">
        <v>3054</v>
      </c>
      <c r="M32" s="3161" t="s">
        <v>3181</v>
      </c>
      <c r="N32" s="3161">
        <v>4020.07</v>
      </c>
      <c r="O32" s="3161">
        <v>950</v>
      </c>
      <c r="P32" s="3161" t="s">
        <v>2746</v>
      </c>
      <c r="Q32" s="3161">
        <v>3.64</v>
      </c>
      <c r="R32" s="3161" t="s">
        <v>3056</v>
      </c>
    </row>
    <row r="33" spans="1:18" s="3161" customFormat="1" ht="12.75">
      <c r="A33" s="3161" t="s">
        <v>3184</v>
      </c>
      <c r="B33" s="3161" t="s">
        <v>3048</v>
      </c>
      <c r="C33" s="3161" t="s">
        <v>3049</v>
      </c>
      <c r="D33" s="3161" t="s">
        <v>3058</v>
      </c>
      <c r="E33" s="3161" t="s">
        <v>3185</v>
      </c>
      <c r="F33" s="3161">
        <v>67255.8</v>
      </c>
      <c r="G33" s="3161">
        <v>134511.6</v>
      </c>
      <c r="H33" s="3161" t="s">
        <v>3060</v>
      </c>
      <c r="I33" s="3161" t="s">
        <v>2746</v>
      </c>
      <c r="J33" s="3161" t="s">
        <v>3186</v>
      </c>
      <c r="K33" s="3161" t="s">
        <v>3187</v>
      </c>
      <c r="L33" s="3161" t="s">
        <v>3054</v>
      </c>
      <c r="M33" s="3161" t="s">
        <v>3088</v>
      </c>
      <c r="N33" s="3161">
        <v>98866.02</v>
      </c>
      <c r="O33" s="3161">
        <v>7350</v>
      </c>
      <c r="P33" s="3161" t="s">
        <v>2746</v>
      </c>
      <c r="Q33" s="3161">
        <v>145</v>
      </c>
      <c r="R33" s="3161" t="s">
        <v>3056</v>
      </c>
    </row>
    <row r="34" spans="1:18" s="3161" customFormat="1" ht="12.75"/>
    <row r="35" spans="1:18" s="3161" customFormat="1" ht="12.75"/>
    <row r="36" spans="1:18" s="3161" customFormat="1" ht="12.75"/>
    <row r="37" spans="1:18" s="3161" customFormat="1" ht="12.75"/>
    <row r="38" spans="1:18" s="3161" customFormat="1" ht="12.75"/>
    <row r="39" spans="1:18" s="3161" customFormat="1" ht="12.75"/>
    <row r="40" spans="1:18" s="3161" customFormat="1" ht="12.75"/>
    <row r="41" spans="1:18" s="3161" customFormat="1" ht="12.75"/>
    <row r="42" spans="1:18" s="3161" customFormat="1" ht="12.75"/>
    <row r="43" spans="1:18" s="3161" customFormat="1" ht="12.75"/>
    <row r="44" spans="1:18" s="3161" customFormat="1" ht="12.75"/>
    <row r="45" spans="1:18" s="3161" customFormat="1" ht="12.75"/>
    <row r="46" spans="1:18" s="3161" customFormat="1" ht="12.75"/>
    <row r="47" spans="1:18" s="3161" customFormat="1" ht="12.75"/>
    <row r="48" spans="1:18" s="3161" customFormat="1" ht="12.75"/>
    <row r="49" s="3161" customFormat="1" ht="12.75"/>
    <row r="50" s="3161" customFormat="1" ht="12.75"/>
    <row r="51" s="3161" customFormat="1" ht="12.75"/>
    <row r="52" s="3161" customFormat="1" ht="12.75"/>
    <row r="53" s="3161" customFormat="1" ht="12.75"/>
    <row r="54" s="3161" customFormat="1" ht="12.75"/>
    <row r="55" s="3161" customFormat="1" ht="12.75"/>
    <row r="56" s="3161" customFormat="1" ht="12.75"/>
    <row r="57" s="3161" customFormat="1" ht="12.75"/>
    <row r="58" s="3161" customFormat="1" ht="12.75"/>
    <row r="59" s="3161" customFormat="1" ht="12.75"/>
    <row r="60" s="3161" customFormat="1" ht="12.75"/>
    <row r="61" s="3161" customFormat="1" ht="12.75"/>
    <row r="62" s="3161" customFormat="1" ht="12.75"/>
    <row r="63" s="3161" customFormat="1" ht="12.75"/>
    <row r="64" s="3161" customFormat="1" ht="12.75"/>
    <row r="65" s="3161" customFormat="1" ht="12.75"/>
    <row r="66" s="3161" customFormat="1" ht="12.75"/>
    <row r="67" s="3161" customFormat="1" ht="12.75"/>
    <row r="68" s="3161" customFormat="1" ht="12.75"/>
    <row r="69" s="3161" customFormat="1" ht="12.75"/>
    <row r="70" s="3161" customFormat="1" ht="12.75"/>
    <row r="71" s="3161" customFormat="1" ht="12.75"/>
    <row r="72" s="3161" customFormat="1" ht="12.75"/>
    <row r="73" s="3161" customFormat="1" ht="12.75"/>
    <row r="74" s="3161" customFormat="1" ht="12.75"/>
    <row r="75" s="3161" customFormat="1" ht="12.75"/>
    <row r="76" s="3161" customFormat="1" ht="12.75"/>
    <row r="77" s="3161" customFormat="1" ht="12.75"/>
    <row r="78" s="3161" customFormat="1" ht="12.75"/>
    <row r="79" s="3161" customFormat="1" ht="12.75"/>
    <row r="80" s="3161" customFormat="1" ht="12.75"/>
    <row r="81" s="3161" customFormat="1" ht="12.75"/>
    <row r="82" s="3161" customFormat="1" ht="12.75"/>
    <row r="83" s="3161" customFormat="1" ht="12.75"/>
    <row r="84" s="3161" customFormat="1" ht="12.75"/>
    <row r="85" s="3161" customFormat="1" ht="12.75"/>
    <row r="86" s="3161" customFormat="1" ht="12.75"/>
    <row r="87" s="3161" customFormat="1" ht="12.75"/>
    <row r="88" s="3161" customFormat="1" ht="12.75"/>
    <row r="89" s="3161" customFormat="1" ht="12.75"/>
    <row r="90" s="3161" customFormat="1" ht="12.75"/>
    <row r="91" s="3161" customFormat="1" ht="12.75"/>
    <row r="92" s="3161" customFormat="1" ht="12.75"/>
    <row r="93" s="3161" customFormat="1" ht="12.75"/>
    <row r="94" s="3161" customFormat="1" ht="12.75"/>
    <row r="95" s="3161" customFormat="1" ht="12.75"/>
    <row r="96" s="3161" customFormat="1" ht="12.75"/>
    <row r="97" s="3161" customFormat="1" ht="12.75"/>
    <row r="98" s="3161" customFormat="1" ht="12.75"/>
    <row r="99" s="3161" customFormat="1" ht="12.75"/>
    <row r="100" s="3161" customFormat="1" ht="12.75"/>
    <row r="101" s="3161" customFormat="1" ht="12.75"/>
    <row r="102" s="3161" customFormat="1" ht="12.75"/>
    <row r="103" s="3161" customFormat="1" ht="12.75"/>
    <row r="104" s="3161" customFormat="1" ht="12.75"/>
    <row r="105" s="3161" customFormat="1" ht="12.75"/>
    <row r="106" s="3161" customFormat="1" ht="12.75"/>
    <row r="107" s="3161" customFormat="1" ht="12.75"/>
    <row r="108" s="3161" customFormat="1" ht="12.75"/>
    <row r="109" s="3161" customFormat="1" ht="12.75"/>
    <row r="110" s="3161" customFormat="1" ht="12.75"/>
    <row r="111" s="3161" customFormat="1" ht="12.75"/>
    <row r="112" s="3161" customFormat="1" ht="12.75"/>
    <row r="113" s="3161" customFormat="1" ht="12.75"/>
    <row r="114" s="3161" customFormat="1" ht="12.75"/>
    <row r="115" s="3161" customFormat="1" ht="12.75"/>
    <row r="116" s="3161" customFormat="1" ht="12.75"/>
    <row r="117" s="3161" customFormat="1" ht="12.75"/>
    <row r="118" s="3161" customFormat="1" ht="12.75"/>
    <row r="119" s="3161" customFormat="1" ht="12.75"/>
    <row r="120" s="3161" customFormat="1" ht="12.75"/>
    <row r="121" s="3161" customFormat="1" ht="12.75"/>
    <row r="122" s="3161" customFormat="1" ht="12.75"/>
    <row r="123" s="3161" customFormat="1" ht="12.75"/>
    <row r="124" s="3161" customFormat="1" ht="12.75"/>
    <row r="125" s="3161" customFormat="1" ht="12.75"/>
    <row r="126" s="3161" customFormat="1" ht="12.75"/>
    <row r="127" s="3161" customFormat="1" ht="12.75"/>
    <row r="128" s="3161" customFormat="1" ht="12.75"/>
    <row r="129" s="3161" customFormat="1" ht="12.75"/>
    <row r="130" s="3161" customFormat="1" ht="12.75"/>
    <row r="131" s="3161" customFormat="1" ht="12.75"/>
    <row r="132" s="3161" customFormat="1" ht="12.75"/>
    <row r="133" s="3161" customFormat="1" ht="12.75"/>
    <row r="134" s="3161" customFormat="1" ht="12.75"/>
    <row r="135" s="3161" customFormat="1" ht="12.75"/>
    <row r="136" s="3161" customFormat="1" ht="12.75"/>
    <row r="137" s="3161" customFormat="1" ht="12.75"/>
    <row r="138" s="3161" customFormat="1" ht="12.75"/>
    <row r="139" s="3161" customFormat="1" ht="12.75"/>
    <row r="140" s="3161" customFormat="1" ht="12.75"/>
    <row r="141" s="3161" customFormat="1" ht="12.75"/>
    <row r="142" s="3161" customFormat="1" ht="12.75"/>
    <row r="143" s="3161" customFormat="1" ht="12.75"/>
    <row r="144" s="3161" customFormat="1" ht="12.75"/>
    <row r="145" s="3161" customFormat="1" ht="12.75"/>
    <row r="146" s="3161" customFormat="1" ht="12.75"/>
    <row r="147" s="3161" customFormat="1" ht="12.75"/>
    <row r="148" s="3161" customFormat="1" ht="12.75"/>
    <row r="149" s="3161" customFormat="1" ht="12.75"/>
    <row r="150" s="3161" customFormat="1" ht="12.75"/>
    <row r="151" s="3161" customFormat="1" ht="12.75"/>
    <row r="152" s="3161" customFormat="1" ht="12.75"/>
    <row r="153" s="3161" customFormat="1" ht="12.75"/>
    <row r="154" s="3161" customFormat="1" ht="12.75"/>
    <row r="155" s="3161" customFormat="1" ht="12.75"/>
    <row r="156" s="3161" customFormat="1" ht="12.75"/>
    <row r="157" s="3161" customFormat="1" ht="12.75"/>
    <row r="158" s="3161" customFormat="1" ht="12.75"/>
    <row r="159" s="3161" customFormat="1" ht="12.75"/>
    <row r="160" s="3161" customFormat="1" ht="12.75"/>
    <row r="161" s="3161" customFormat="1" ht="12.75"/>
    <row r="162" s="3161" customFormat="1" ht="12.75"/>
    <row r="163" s="3161" customFormat="1" ht="12.75"/>
    <row r="164" s="3161" customFormat="1" ht="12.75"/>
    <row r="165" s="3161" customFormat="1" ht="12.75"/>
    <row r="166" s="3161" customFormat="1" ht="12.75"/>
    <row r="167" s="3161" customFormat="1" ht="12.75"/>
    <row r="168" s="3161" customFormat="1" ht="12.75"/>
    <row r="169" s="3161" customFormat="1" ht="12.75"/>
    <row r="170" s="3161" customFormat="1" ht="12.75"/>
    <row r="171" s="3161" customFormat="1" ht="12.75"/>
    <row r="172" s="3161" customFormat="1" ht="12.75"/>
    <row r="173" s="3161" customFormat="1" ht="12.75"/>
    <row r="174" s="3161" customFormat="1" ht="12.75"/>
    <row r="175" s="3161" customFormat="1" ht="12.75"/>
    <row r="176" s="3161" customFormat="1" ht="12.75"/>
    <row r="177" s="3161" customFormat="1" ht="12.75"/>
    <row r="178" s="3161" customFormat="1" ht="12.75"/>
    <row r="179" s="3161" customFormat="1" ht="12.75"/>
    <row r="180" s="3161" customFormat="1" ht="12.75"/>
    <row r="181" s="3161" customFormat="1" ht="12.75"/>
    <row r="182" s="3161" customFormat="1" ht="12.75"/>
    <row r="183" s="3161" customFormat="1" ht="12.75"/>
    <row r="184" s="3161" customFormat="1" ht="12.75"/>
    <row r="185" s="3161" customFormat="1" ht="12.75"/>
    <row r="186" s="3161" customFormat="1" ht="12.75"/>
    <row r="187" s="3161" customFormat="1" ht="12.75"/>
    <row r="188" s="3161" customFormat="1" ht="12.75"/>
    <row r="189" s="3161" customFormat="1" ht="12.75"/>
    <row r="190" s="3161" customFormat="1" ht="12.75"/>
    <row r="191" s="3161" customFormat="1" ht="12.75"/>
    <row r="192" s="3161" customFormat="1" ht="12.75"/>
    <row r="193" s="3161" customFormat="1" ht="12.75"/>
    <row r="194" s="3161" customFormat="1" ht="12.75"/>
    <row r="195" s="3161" customFormat="1" ht="12.75"/>
    <row r="196" s="3161" customFormat="1" ht="12.75"/>
    <row r="197" s="3161" customFormat="1" ht="12.75"/>
    <row r="198" s="3161" customFormat="1" ht="12.75"/>
    <row r="199" s="3161" customFormat="1" ht="12.75"/>
    <row r="200" s="3161" customFormat="1" ht="12.75"/>
    <row r="201" s="3161" customFormat="1" ht="12.75"/>
    <row r="202" s="3161" customFormat="1" ht="12.75"/>
    <row r="203" s="3161" customFormat="1" ht="12.75"/>
    <row r="204" s="3161" customFormat="1" ht="12.75"/>
    <row r="205" s="3161" customFormat="1" ht="12.75"/>
    <row r="206" s="3161" customFormat="1" ht="12.75"/>
    <row r="207" s="3161" customFormat="1" ht="12.75"/>
    <row r="208" s="3161" customFormat="1" ht="12.75"/>
    <row r="209" s="3161" customFormat="1" ht="12.75"/>
    <row r="210" s="3161" customFormat="1" ht="12.75"/>
    <row r="211" s="3161" customFormat="1" ht="12.75"/>
    <row r="212" s="3161" customFormat="1" ht="12.75"/>
    <row r="213" s="3161" customFormat="1" ht="12.75"/>
    <row r="214" s="3161" customFormat="1" ht="12.75"/>
    <row r="215" s="3161" customFormat="1" ht="12.75"/>
    <row r="216" s="3161" customFormat="1" ht="12.75"/>
    <row r="217" s="3161" customFormat="1" ht="12.75"/>
    <row r="218" s="3161" customFormat="1" ht="12.75"/>
    <row r="219" s="3161" customFormat="1" ht="12.75"/>
    <row r="220" s="3161" customFormat="1" ht="12.75"/>
    <row r="221" s="3161" customFormat="1" ht="12.75"/>
    <row r="222" s="3161" customFormat="1" ht="12.75"/>
    <row r="223" s="3161" customFormat="1" ht="12.75"/>
    <row r="224" s="3161" customFormat="1" ht="12.75"/>
    <row r="225" s="3161" customFormat="1" ht="12.75"/>
    <row r="226" s="3161" customFormat="1" ht="12.75"/>
    <row r="227" s="3161" customFormat="1" ht="12.75"/>
    <row r="228" s="3161" customFormat="1" ht="12.75"/>
    <row r="229" s="3161" customFormat="1" ht="12.75"/>
    <row r="230" s="3161" customFormat="1" ht="12.75"/>
    <row r="231" s="3161" customFormat="1" ht="12.75"/>
    <row r="232" s="3161" customFormat="1" ht="12.75"/>
    <row r="233" s="3161" customFormat="1" ht="12.75"/>
    <row r="234" s="3161" customFormat="1" ht="12.75"/>
    <row r="235" s="3161" customFormat="1" ht="12.75"/>
    <row r="236" s="3161" customFormat="1" ht="12.75"/>
    <row r="237" s="3161" customFormat="1" ht="12.75"/>
    <row r="238" s="3161" customFormat="1" ht="12.75"/>
    <row r="239" s="3161" customFormat="1" ht="12.75"/>
    <row r="240" s="3161" customFormat="1" ht="12.75"/>
    <row r="241" s="3161" customFormat="1" ht="12.75"/>
    <row r="242" s="3161" customFormat="1" ht="12.75"/>
    <row r="243" s="3161" customFormat="1" ht="12.75"/>
    <row r="244" s="3161" customFormat="1" ht="12.75"/>
    <row r="245" s="3161" customFormat="1" ht="12.75"/>
    <row r="246" s="3161" customFormat="1" ht="12.75"/>
    <row r="247" s="3161" customFormat="1" ht="12.75"/>
    <row r="248" s="3161" customFormat="1" ht="12.75"/>
    <row r="249" s="3161" customFormat="1" ht="12.75"/>
    <row r="250" s="3161" customFormat="1" ht="12.75"/>
    <row r="251" s="3161" customFormat="1" ht="12.75"/>
    <row r="252" s="3161" customFormat="1" ht="12.75"/>
    <row r="253" s="3161" customFormat="1" ht="12.75"/>
    <row r="254" s="3161" customFormat="1" ht="12.75"/>
    <row r="255" s="3161" customFormat="1" ht="12.75"/>
    <row r="256" s="3161" customFormat="1" ht="12.75"/>
    <row r="257" s="3161" customFormat="1" ht="12.75"/>
    <row r="258" s="3161" customFormat="1" ht="12.75"/>
    <row r="259" s="3161" customFormat="1" ht="12.75"/>
    <row r="260" s="3161" customFormat="1" ht="12.75"/>
    <row r="261" s="3161" customFormat="1" ht="12.75"/>
    <row r="262" s="3161" customFormat="1" ht="12.75"/>
    <row r="263" s="3161" customFormat="1" ht="12.75"/>
    <row r="264" s="3161" customFormat="1" ht="12.75"/>
    <row r="265" s="3161" customFormat="1" ht="12.75"/>
    <row r="266" s="3161" customFormat="1" ht="12.75"/>
    <row r="267" s="3161" customFormat="1" ht="12.75"/>
    <row r="268" s="3161" customFormat="1" ht="12.75"/>
    <row r="269" s="3161" customFormat="1" ht="12.75"/>
    <row r="270" s="3161" customFormat="1" ht="12.75"/>
    <row r="271" s="3161" customFormat="1" ht="12.75"/>
    <row r="272" s="3161" customFormat="1" ht="12.75"/>
    <row r="273" s="3161" customFormat="1" ht="12.75"/>
    <row r="274" s="3161" customFormat="1" ht="12.75"/>
    <row r="275" s="3161" customFormat="1" ht="12.75"/>
    <row r="276" s="3161" customFormat="1" ht="12.75"/>
    <row r="277" s="3161" customFormat="1" ht="12.75"/>
    <row r="278" s="3161" customFormat="1" ht="12.75"/>
    <row r="279" s="3161" customFormat="1" ht="12.75"/>
    <row r="280" s="3161" customFormat="1" ht="12.75"/>
    <row r="281" s="3161" customFormat="1" ht="12.75"/>
    <row r="282" s="3161" customFormat="1" ht="12.75"/>
    <row r="283" s="3161" customFormat="1" ht="12.75"/>
    <row r="284" s="3161" customFormat="1" ht="12.75"/>
    <row r="285" s="3161" customFormat="1" ht="12.75"/>
    <row r="286" s="3161" customFormat="1" ht="12.75"/>
    <row r="287" s="3161" customFormat="1" ht="12.75"/>
    <row r="288" s="3161" customFormat="1" ht="12.75"/>
    <row r="289" s="3161" customFormat="1" ht="12.75"/>
    <row r="290" s="3161" customFormat="1" ht="12.75"/>
    <row r="291" s="3161" customFormat="1" ht="12.75"/>
    <row r="292" s="3161" customFormat="1" ht="12.75"/>
    <row r="293" s="3161" customFormat="1" ht="12.75"/>
    <row r="294" s="3161" customFormat="1" ht="12.75"/>
    <row r="295" s="3161" customFormat="1" ht="12.75"/>
    <row r="296" s="3161" customFormat="1" ht="12.75"/>
    <row r="297" s="3161" customFormat="1" ht="12.75"/>
    <row r="298" s="3161" customFormat="1" ht="12.75"/>
    <row r="299" s="3161" customFormat="1" ht="12.75"/>
    <row r="300" s="3161" customFormat="1" ht="12.75"/>
    <row r="301" s="3161" customFormat="1" ht="12.75"/>
    <row r="302" s="3161" customFormat="1" ht="12.75"/>
    <row r="303" s="3161" customFormat="1" ht="12.75"/>
    <row r="304" s="3161" customFormat="1" ht="12.75"/>
    <row r="305" s="3161" customFormat="1" ht="12.75"/>
    <row r="306" s="3161" customFormat="1" ht="12.75"/>
    <row r="307" s="3161" customFormat="1" ht="12.75"/>
    <row r="308" s="3161" customFormat="1" ht="12.75"/>
    <row r="309" s="3161" customFormat="1" ht="12.75"/>
    <row r="310" s="3161" customFormat="1" ht="12.75"/>
    <row r="311" s="3161" customFormat="1" ht="12.75"/>
    <row r="312" s="3161" customFormat="1" ht="12.75"/>
    <row r="313" s="3161" customFormat="1" ht="12.75"/>
    <row r="314" s="3161" customFormat="1" ht="12.75"/>
    <row r="315" s="3161" customFormat="1" ht="12.75"/>
    <row r="316" s="3161" customFormat="1" ht="12.75"/>
    <row r="317" s="3161" customFormat="1" ht="12.75"/>
    <row r="318" s="3161" customFormat="1" ht="12.75"/>
    <row r="319" s="3161" customFormat="1" ht="12.75"/>
    <row r="320" s="3161" customFormat="1" ht="12.75"/>
    <row r="321" s="3161" customFormat="1" ht="12.75"/>
    <row r="322" s="3161" customFormat="1" ht="12.75"/>
    <row r="323" s="3161" customFormat="1" ht="12.75"/>
    <row r="324" s="3161" customFormat="1" ht="12.75"/>
    <row r="325" s="3161" customFormat="1" ht="12.75"/>
    <row r="326" s="3161" customFormat="1" ht="12.75"/>
    <row r="327" s="3161" customFormat="1" ht="12.75"/>
    <row r="328" s="3161" customFormat="1" ht="12.75"/>
    <row r="329" s="3161" customFormat="1" ht="12.75"/>
    <row r="330" s="3161" customFormat="1" ht="12.75"/>
    <row r="331" s="3161" customFormat="1" ht="12.75"/>
    <row r="332" s="3161" customFormat="1" ht="12.75"/>
    <row r="333" s="3161" customFormat="1" ht="12.75"/>
    <row r="334" s="3161" customFormat="1" ht="12.75"/>
    <row r="335" s="3161" customFormat="1" ht="12.75"/>
    <row r="336" s="3161" customFormat="1" ht="12.75"/>
    <row r="337" s="3161" customFormat="1" ht="12.75"/>
    <row r="338" s="3161" customFormat="1" ht="12.75"/>
    <row r="339" s="3161" customFormat="1" ht="12.75"/>
    <row r="340" s="3161" customFormat="1" ht="12.75"/>
    <row r="341" s="3161" customFormat="1" ht="12.75"/>
    <row r="342" s="3161" customFormat="1" ht="12.75"/>
    <row r="343" s="3161" customFormat="1" ht="12.75"/>
    <row r="344" s="3161" customFormat="1" ht="12.75"/>
    <row r="345" s="3161" customFormat="1" ht="12.75"/>
    <row r="346" s="3161" customFormat="1" ht="12.75"/>
    <row r="347" s="3161" customFormat="1" ht="12.75"/>
    <row r="348" s="3161" customFormat="1" ht="12.75"/>
    <row r="349" s="3161" customFormat="1" ht="12.75"/>
    <row r="350" s="3161" customFormat="1" ht="12.75"/>
    <row r="351" s="3161" customFormat="1" ht="12.75"/>
    <row r="352" s="3161" customFormat="1" ht="12.75"/>
    <row r="353" s="3161" customFormat="1" ht="12.75"/>
    <row r="354" s="3161" customFormat="1" ht="12.75"/>
    <row r="355" s="3161" customFormat="1" ht="12.75"/>
    <row r="356" s="3161" customFormat="1" ht="12.75"/>
    <row r="357" s="3161" customFormat="1" ht="12.75"/>
    <row r="358" s="3161" customFormat="1" ht="12.75"/>
    <row r="359" s="3161" customFormat="1" ht="12.75"/>
    <row r="360" s="3161" customFormat="1" ht="12.75"/>
    <row r="361" s="3161" customFormat="1" ht="12.75"/>
    <row r="362" s="3161" customFormat="1" ht="12.75"/>
    <row r="363" s="3161" customFormat="1" ht="12.75"/>
    <row r="364" s="3161" customFormat="1" ht="12.75"/>
    <row r="365" s="3161" customFormat="1" ht="12.75"/>
    <row r="366" s="3161" customFormat="1" ht="12.75"/>
    <row r="367" s="3161" customFormat="1" ht="12.75"/>
    <row r="368" s="3161" customFormat="1" ht="12.75"/>
    <row r="369" s="3161" customFormat="1" ht="12.75"/>
    <row r="370" s="3161" customFormat="1" ht="12.75"/>
    <row r="371" s="3161" customFormat="1" ht="12.75"/>
    <row r="372" s="3161" customFormat="1" ht="12.75"/>
    <row r="373" s="3161" customFormat="1" ht="12.75"/>
    <row r="374" s="3161" customFormat="1" ht="12.75"/>
    <row r="375" s="3161" customFormat="1" ht="12.75"/>
    <row r="376" s="3161" customFormat="1" ht="12.75"/>
    <row r="377" s="3161" customFormat="1" ht="12.75"/>
    <row r="378" s="3161" customFormat="1" ht="12.75"/>
    <row r="379" s="3161" customFormat="1" ht="12.75"/>
    <row r="380" s="3161" customFormat="1" ht="12.75"/>
    <row r="381" s="3161" customFormat="1" ht="12.75"/>
    <row r="382" s="3161" customFormat="1" ht="12.75"/>
    <row r="383" s="3161" customFormat="1" ht="12.75"/>
    <row r="384" s="3161" customFormat="1" ht="12.75"/>
    <row r="385" s="3161" customFormat="1" ht="12.75"/>
    <row r="386" s="3161" customFormat="1" ht="12.75"/>
    <row r="387" s="3161" customFormat="1" ht="12.75"/>
    <row r="388" s="3161" customFormat="1" ht="12.75"/>
    <row r="389" s="3161" customFormat="1" ht="12.75"/>
    <row r="390" s="3161" customFormat="1" ht="12.75"/>
    <row r="391" s="3161" customFormat="1" ht="12.75"/>
    <row r="392" s="3161" customFormat="1" ht="12.75"/>
    <row r="393" s="3161" customFormat="1" ht="12.75"/>
    <row r="394" s="3161" customFormat="1" ht="12.75"/>
    <row r="395" s="3161" customFormat="1" ht="12.75"/>
    <row r="396" s="3161" customFormat="1" ht="12.75"/>
    <row r="397" s="3161" customFormat="1" ht="12.75"/>
    <row r="398" s="3161" customFormat="1" ht="12.75"/>
    <row r="399" s="3161" customFormat="1" ht="12.75"/>
    <row r="400" s="3161" customFormat="1" ht="12.75"/>
    <row r="401" s="3161" customFormat="1" ht="12.75"/>
    <row r="402" s="3161" customFormat="1" ht="12.75"/>
    <row r="403" s="3161" customFormat="1" ht="12.75"/>
    <row r="404" s="3161" customFormat="1" ht="12.75"/>
    <row r="405" s="3161" customFormat="1" ht="12.75"/>
    <row r="406" s="3161" customFormat="1" ht="12.75"/>
    <row r="407" s="3161" customFormat="1" ht="12.75"/>
    <row r="408" s="3161" customFormat="1" ht="12.75"/>
    <row r="409" s="3161" customFormat="1" ht="12.75"/>
    <row r="410" s="3161" customFormat="1" ht="12.75"/>
    <row r="411" s="3161" customFormat="1" ht="12.75"/>
    <row r="412" s="3161" customFormat="1" ht="12.75"/>
    <row r="413" s="3161" customFormat="1" ht="12.75"/>
    <row r="414" s="3161" customFormat="1" ht="12.75"/>
    <row r="415" s="3161" customFormat="1" ht="12.75"/>
    <row r="416" s="3161" customFormat="1" ht="12.75"/>
    <row r="417" s="3161" customFormat="1" ht="12.75"/>
    <row r="418" s="3161" customFormat="1" ht="12.75"/>
    <row r="419" s="3161" customFormat="1" ht="12.75"/>
    <row r="420" s="3161" customFormat="1" ht="12.75"/>
    <row r="421" s="3161" customFormat="1" ht="12.75"/>
    <row r="422" s="3161" customFormat="1" ht="12.75"/>
    <row r="423" s="3161" customFormat="1" ht="12.75"/>
    <row r="424" s="3161" customFormat="1" ht="12.75"/>
    <row r="425" s="3161" customFormat="1" ht="12.75"/>
    <row r="426" s="3161" customFormat="1" ht="12.75"/>
    <row r="427" s="3161" customFormat="1" ht="12.75"/>
    <row r="428" s="3161" customFormat="1" ht="12.75"/>
    <row r="429" s="3161" customFormat="1" ht="12.75"/>
    <row r="430" s="3161" customFormat="1" ht="12.75"/>
    <row r="431" s="3161" customFormat="1" ht="12.75"/>
    <row r="432" s="3161" customFormat="1" ht="12.75"/>
    <row r="433" s="3161" customFormat="1" ht="12.75"/>
    <row r="434" s="3161" customFormat="1" ht="12.75"/>
    <row r="435" s="3161" customFormat="1" ht="12.75"/>
    <row r="436" s="3161" customFormat="1" ht="12.75"/>
    <row r="437" s="3161" customFormat="1" ht="12.75"/>
    <row r="438" s="3161" customFormat="1" ht="12.75"/>
    <row r="439" s="3161" customFormat="1" ht="12.75"/>
    <row r="440" s="3161" customFormat="1" ht="12.75"/>
    <row r="441" s="3161" customFormat="1" ht="12.75"/>
    <row r="442" s="3161" customFormat="1" ht="12.75"/>
    <row r="443" s="3161" customFormat="1" ht="12.75"/>
    <row r="444" s="3161" customFormat="1" ht="12.75"/>
    <row r="445" s="3161" customFormat="1" ht="12.75"/>
    <row r="446" s="3161" customFormat="1" ht="12.75"/>
    <row r="447" s="3161" customFormat="1" ht="12.75"/>
    <row r="448" s="3161" customFormat="1" ht="12.75"/>
    <row r="449" s="3161" customFormat="1" ht="12.75"/>
    <row r="450" s="3161" customFormat="1" ht="12.75"/>
    <row r="451" s="3161" customFormat="1" ht="12.75"/>
    <row r="452" s="3161" customFormat="1" ht="12.75"/>
    <row r="453" s="3161" customFormat="1" ht="12.75"/>
    <row r="454" s="3161" customFormat="1" ht="12.75"/>
    <row r="455" s="3161" customFormat="1" ht="12.75"/>
    <row r="456" s="3161" customFormat="1" ht="12.75"/>
    <row r="457" s="3161" customFormat="1" ht="12.75"/>
    <row r="458" s="3161" customFormat="1" ht="12.75"/>
    <row r="459" s="3161" customFormat="1" ht="12.75"/>
    <row r="460" s="3161" customFormat="1" ht="12.75"/>
    <row r="461" s="3161" customFormat="1" ht="12.75"/>
    <row r="462" s="3161" customFormat="1" ht="12.75"/>
    <row r="463" s="3161" customFormat="1" ht="12.75"/>
    <row r="464" s="3161" customFormat="1" ht="12.75"/>
    <row r="465" s="3161" customFormat="1" ht="12.75"/>
    <row r="466" s="3161" customFormat="1" ht="12.75"/>
    <row r="467" s="3161" customFormat="1" ht="12.75"/>
    <row r="468" s="3161" customFormat="1" ht="12.75"/>
    <row r="469" s="3161" customFormat="1" ht="12.75"/>
    <row r="470" s="3161" customFormat="1" ht="12.75"/>
    <row r="471" s="3161" customFormat="1" ht="12.75"/>
    <row r="472" s="3161" customFormat="1" ht="12.75"/>
    <row r="473" s="3161" customFormat="1" ht="12.75"/>
    <row r="474" s="3161" customFormat="1" ht="12.75"/>
    <row r="475" s="3161" customFormat="1" ht="12.75"/>
    <row r="476" s="3161" customFormat="1" ht="12.75"/>
    <row r="477" s="3161" customFormat="1" ht="12.75"/>
    <row r="478" s="3161" customFormat="1" ht="12.75"/>
    <row r="479" s="3161" customFormat="1" ht="12.75"/>
    <row r="480" s="3161" customFormat="1" ht="12.75"/>
    <row r="481" s="3161" customFormat="1" ht="12.75"/>
    <row r="482" s="3161" customFormat="1" ht="12.75"/>
    <row r="483" s="3161" customFormat="1" ht="12.75"/>
    <row r="484" s="3161" customFormat="1" ht="12.75"/>
    <row r="485" s="3161" customFormat="1" ht="12.75"/>
    <row r="486" s="3161" customFormat="1" ht="12.75"/>
    <row r="487" s="3161" customFormat="1" ht="12.75"/>
    <row r="488" s="3161" customFormat="1" ht="12.75"/>
    <row r="489" s="3161" customFormat="1" ht="12.75"/>
    <row r="490" s="3161" customFormat="1" ht="12.75"/>
    <row r="491" s="3161" customFormat="1" ht="12.75"/>
    <row r="492" s="3161" customFormat="1" ht="12.75"/>
    <row r="493" s="3161" customFormat="1" ht="12.75"/>
    <row r="494" s="3161" customFormat="1" ht="12.75"/>
    <row r="495" s="3161" customFormat="1" ht="12.75"/>
    <row r="496" s="3161" customFormat="1" ht="12.75"/>
    <row r="497" s="3161" customFormat="1" ht="12.75"/>
    <row r="498" s="3161" customFormat="1" ht="12.75"/>
    <row r="499" s="3161" customFormat="1" ht="12.75"/>
    <row r="500" s="3161" customFormat="1" ht="12.75"/>
    <row r="501" s="3161" customFormat="1" ht="12.75"/>
    <row r="502" s="3161" customFormat="1" ht="12.75"/>
    <row r="503" s="3161" customFormat="1" ht="12.75"/>
    <row r="504" s="3161" customFormat="1" ht="12.75"/>
    <row r="505" s="3161" customFormat="1" ht="12.75"/>
    <row r="506" s="3161" customFormat="1" ht="12.75"/>
    <row r="507" s="3161" customFormat="1" ht="12.75"/>
    <row r="508" s="3161" customFormat="1" ht="12.75"/>
    <row r="509" s="3161" customFormat="1" ht="12.75"/>
    <row r="510" s="3161" customFormat="1" ht="12.75"/>
    <row r="511" s="3161" customFormat="1" ht="12.75"/>
    <row r="512" s="3161" customFormat="1" ht="12.75"/>
    <row r="513" s="3161" customFormat="1" ht="12.75"/>
    <row r="514" s="3161" customFormat="1" ht="12.75"/>
    <row r="515" s="3161" customFormat="1" ht="12.75"/>
    <row r="516" s="3161" customFormat="1" ht="12.75"/>
    <row r="517" s="3161" customFormat="1" ht="12.75"/>
    <row r="518" s="3161" customFormat="1" ht="12.75"/>
    <row r="519" s="3161" customFormat="1" ht="12.75"/>
    <row r="520" s="3161" customFormat="1" ht="12.75"/>
    <row r="521" s="3161" customFormat="1" ht="12.75"/>
    <row r="522" s="3161" customFormat="1" ht="12.75"/>
    <row r="523" s="3161" customFormat="1" ht="12.75"/>
    <row r="524" s="3161" customFormat="1" ht="12.75"/>
    <row r="525" s="3161" customFormat="1" ht="12.75"/>
    <row r="526" s="3161" customFormat="1" ht="12.75"/>
    <row r="527" s="3161" customFormat="1" ht="12.75"/>
    <row r="528" s="3161" customFormat="1" ht="12.75"/>
    <row r="529" s="3161" customFormat="1" ht="12.75"/>
    <row r="530" s="3161" customFormat="1" ht="12.75"/>
    <row r="531" s="3161" customFormat="1" ht="12.75"/>
    <row r="532" s="3161" customFormat="1" ht="12.75"/>
    <row r="533" s="3161" customFormat="1" ht="12.75"/>
    <row r="534" s="3161" customFormat="1" ht="12.75"/>
    <row r="535" s="3161" customFormat="1" ht="12.75"/>
    <row r="536" s="3161" customFormat="1" ht="12.75"/>
    <row r="537" s="3161" customFormat="1" ht="12.75"/>
    <row r="538" s="3161" customFormat="1" ht="12.75"/>
    <row r="539" s="3161" customFormat="1" ht="12.75"/>
    <row r="540" s="3161" customFormat="1" ht="12.75"/>
    <row r="541" s="3161" customFormat="1" ht="12.75"/>
    <row r="542" s="3161" customFormat="1" ht="12.75"/>
    <row r="543" s="3161" customFormat="1" ht="12.75"/>
    <row r="544" s="3161" customFormat="1" ht="12.75"/>
    <row r="545" s="3161" customFormat="1" ht="12.75"/>
    <row r="546" s="3161" customFormat="1" ht="12.75"/>
    <row r="547" s="3161" customFormat="1" ht="12.75"/>
    <row r="548" s="3161" customFormat="1" ht="12.75"/>
    <row r="549" s="3161" customFormat="1" ht="12.75"/>
    <row r="550" s="3161" customFormat="1" ht="12.75"/>
    <row r="551" s="3161" customFormat="1" ht="12.75"/>
    <row r="552" s="3161" customFormat="1" ht="12.75"/>
    <row r="553" s="3161" customFormat="1" ht="12.75"/>
    <row r="554" s="3161" customFormat="1" ht="12.75"/>
    <row r="555" s="3161" customFormat="1" ht="12.75"/>
    <row r="556" s="3161" customFormat="1" ht="12.75"/>
    <row r="557" s="3161" customFormat="1" ht="12.75"/>
    <row r="558" s="3161" customFormat="1" ht="12.75"/>
    <row r="559" s="3161" customFormat="1" ht="12.75"/>
    <row r="560" s="3161" customFormat="1" ht="12.75"/>
    <row r="561" s="3161" customFormat="1" ht="12.75"/>
    <row r="562" s="3161" customFormat="1" ht="12.75"/>
    <row r="563" s="3161" customFormat="1" ht="12.75"/>
    <row r="564" s="3161" customFormat="1" ht="12.75"/>
    <row r="565" s="3161" customFormat="1" ht="12.75"/>
    <row r="566" s="3161" customFormat="1" ht="12.75"/>
    <row r="567" s="3161" customFormat="1" ht="12.75"/>
    <row r="568" s="3161" customFormat="1" ht="12.75"/>
    <row r="569" s="3161" customFormat="1" ht="12.75"/>
    <row r="570" s="3161" customFormat="1" ht="12.75"/>
    <row r="571" s="3161" customFormat="1" ht="12.75"/>
    <row r="572" s="3161" customFormat="1" ht="12.75"/>
    <row r="573" s="3161" customFormat="1" ht="12.75"/>
    <row r="574" s="3161" customFormat="1" ht="12.75"/>
    <row r="575" s="3161" customFormat="1" ht="12.75"/>
    <row r="576" s="3161" customFormat="1" ht="12.75"/>
    <row r="577" s="3161" customFormat="1" ht="12.75"/>
    <row r="578" s="3161" customFormat="1" ht="12.75"/>
    <row r="579" s="3161" customFormat="1" ht="12.75"/>
    <row r="580" s="3161" customFormat="1" ht="12.75"/>
    <row r="581" s="3161" customFormat="1" ht="12.75"/>
    <row r="582" s="3161" customFormat="1" ht="12.75"/>
    <row r="583" s="3161" customFormat="1" ht="12.75"/>
    <row r="584" s="3161" customFormat="1" ht="12.75"/>
    <row r="585" s="3161" customFormat="1" ht="12.75"/>
    <row r="586" s="3161" customFormat="1" ht="12.75"/>
    <row r="587" s="3161" customFormat="1" ht="12.75"/>
    <row r="588" s="3161" customFormat="1" ht="12.75"/>
    <row r="589" s="3161" customFormat="1" ht="12.75"/>
    <row r="590" s="3161" customFormat="1" ht="12.75"/>
    <row r="591" s="3161" customFormat="1" ht="12.75"/>
    <row r="592" s="3161" customFormat="1" ht="12.75"/>
    <row r="593" s="3161" customFormat="1" ht="12.75"/>
    <row r="594" s="3161" customFormat="1" ht="12.75"/>
    <row r="595" s="3161" customFormat="1" ht="12.75"/>
    <row r="596" s="3161" customFormat="1" ht="12.75"/>
    <row r="597" s="3161" customFormat="1" ht="12.75"/>
    <row r="598" s="3161" customFormat="1" ht="12.75"/>
    <row r="599" s="3161" customFormat="1" ht="12.75"/>
    <row r="600" s="3161" customFormat="1" ht="12.75"/>
    <row r="601" s="3161" customFormat="1" ht="12.75"/>
    <row r="602" s="3161" customFormat="1" ht="12.75"/>
    <row r="603" s="3161" customFormat="1" ht="12.75"/>
    <row r="604" s="3161" customFormat="1" ht="12.75"/>
    <row r="605" s="3161" customFormat="1" ht="12.75"/>
    <row r="606" s="3161" customFormat="1" ht="12.75"/>
    <row r="607" s="3161" customFormat="1" ht="12.75"/>
    <row r="608" s="3161" customFormat="1" ht="12.75"/>
    <row r="609" s="3161" customFormat="1" ht="12.75"/>
    <row r="610" s="3161" customFormat="1" ht="12.75"/>
    <row r="611" s="3161" customFormat="1" ht="12.75"/>
    <row r="612" s="3161" customFormat="1" ht="12.75"/>
    <row r="613" s="3161" customFormat="1" ht="12.75"/>
    <row r="614" s="3161" customFormat="1" ht="12.75"/>
    <row r="615" s="3161" customFormat="1" ht="12.75"/>
    <row r="616" s="3161" customFormat="1" ht="12.75"/>
    <row r="617" s="3161" customFormat="1" ht="12.75"/>
    <row r="618" s="3161" customFormat="1" ht="12.75"/>
    <row r="619" s="3161" customFormat="1" ht="12.75"/>
    <row r="620" s="3161" customFormat="1" ht="12.75"/>
    <row r="621" s="3161" customFormat="1" ht="12.75"/>
    <row r="622" s="3161" customFormat="1" ht="12.75"/>
    <row r="623" s="3161" customFormat="1" ht="12.75"/>
    <row r="624" s="3161" customFormat="1" ht="12.75"/>
    <row r="625" s="3161" customFormat="1" ht="12.75"/>
    <row r="626" s="3161" customFormat="1" ht="12.75"/>
    <row r="627" s="3161" customFormat="1" ht="12.75"/>
    <row r="628" s="3161" customFormat="1" ht="12.75"/>
    <row r="629" s="3161" customFormat="1" ht="12.75"/>
    <row r="630" s="3161" customFormat="1" ht="12.75"/>
    <row r="631" s="3161" customFormat="1" ht="12.75"/>
    <row r="632" s="3161" customFormat="1" ht="12.75"/>
    <row r="633" s="3161" customFormat="1" ht="12.75"/>
    <row r="634" s="3161" customFormat="1" ht="12.75"/>
    <row r="635" s="3161" customFormat="1" ht="12.75"/>
    <row r="636" s="3161" customFormat="1" ht="12.75"/>
    <row r="637" s="3161" customFormat="1" ht="12.75"/>
    <row r="638" s="3161" customFormat="1" ht="12.75"/>
    <row r="639" s="3161" customFormat="1" ht="12.75"/>
    <row r="640" s="3161" customFormat="1" ht="12.75"/>
    <row r="641" s="3161" customFormat="1" ht="12.75"/>
    <row r="642" s="3161" customFormat="1" ht="12.75"/>
    <row r="643" s="3161" customFormat="1" ht="12.75"/>
    <row r="644" s="3161" customFormat="1" ht="12.75"/>
    <row r="645" s="3161" customFormat="1" ht="12.75"/>
    <row r="646" s="3161" customFormat="1" ht="12.75"/>
    <row r="647" s="3161" customFormat="1" ht="12.75"/>
    <row r="648" s="3161" customFormat="1" ht="12.75"/>
    <row r="649" s="3161" customFormat="1" ht="12.75"/>
    <row r="650" s="3161" customFormat="1" ht="12.75"/>
    <row r="651" s="3161" customFormat="1" ht="12.75"/>
    <row r="652" s="3161" customFormat="1" ht="12.75"/>
    <row r="653" s="3161" customFormat="1" ht="12.75"/>
    <row r="654" s="3161" customFormat="1" ht="12.75"/>
    <row r="655" s="3161" customFormat="1" ht="12.75"/>
    <row r="656" s="3161" customFormat="1" ht="12.75"/>
    <row r="657" s="3161" customFormat="1" ht="12.75"/>
    <row r="658" s="3161" customFormat="1" ht="12.75"/>
    <row r="659" s="3161" customFormat="1" ht="12.75"/>
    <row r="660" s="3161" customFormat="1" ht="12.75"/>
    <row r="661" s="3161" customFormat="1" ht="12.75"/>
    <row r="662" s="3161" customFormat="1" ht="12.75"/>
    <row r="663" s="3161" customFormat="1" ht="12.75"/>
    <row r="664" s="3161" customFormat="1" ht="12.75"/>
    <row r="665" s="3161" customFormat="1" ht="12.75"/>
    <row r="666" s="3161" customFormat="1" ht="12.75"/>
    <row r="667" s="3161" customFormat="1" ht="12.75"/>
    <row r="668" s="3161" customFormat="1" ht="12.75"/>
    <row r="669" s="3161" customFormat="1" ht="12.75"/>
    <row r="670" s="3161" customFormat="1" ht="12.75"/>
    <row r="671" s="3161" customFormat="1" ht="12.75"/>
    <row r="672" s="3161" customFormat="1" ht="12.75"/>
    <row r="673" s="3161" customFormat="1" ht="12.75"/>
    <row r="674" s="3161" customFormat="1" ht="12.75"/>
    <row r="675" s="3161" customFormat="1" ht="12.75"/>
    <row r="676" s="3161" customFormat="1" ht="12.75"/>
    <row r="677" s="3161" customFormat="1" ht="12.75"/>
    <row r="678" s="3161" customFormat="1" ht="12.75"/>
    <row r="679" s="3161" customFormat="1" ht="12.75"/>
    <row r="680" s="3161" customFormat="1" ht="12.75"/>
    <row r="681" s="3161" customFormat="1" ht="12.75"/>
    <row r="682" s="3161" customFormat="1" ht="12.75"/>
    <row r="683" s="3161" customFormat="1" ht="12.75"/>
    <row r="684" s="3161" customFormat="1" ht="12.75"/>
    <row r="685" s="3161" customFormat="1" ht="12.75"/>
    <row r="686" s="3161" customFormat="1" ht="12.75"/>
    <row r="687" s="3161" customFormat="1" ht="12.75"/>
    <row r="688" s="3161" customFormat="1" ht="12.75"/>
    <row r="689" s="3161" customFormat="1" ht="12.75"/>
    <row r="690" s="3161" customFormat="1" ht="12.75"/>
    <row r="691" s="3161" customFormat="1" ht="12.75"/>
    <row r="692" s="3161" customFormat="1" ht="12.75"/>
    <row r="693" s="3161" customFormat="1" ht="12.75"/>
    <row r="694" s="3161" customFormat="1" ht="12.75"/>
    <row r="695" s="3161" customFormat="1" ht="12.75"/>
    <row r="696" s="3161" customFormat="1" ht="12.75"/>
    <row r="697" s="3161" customFormat="1" ht="12.75"/>
    <row r="698" s="3161" customFormat="1" ht="12.75"/>
    <row r="699" s="3161" customFormat="1" ht="12.75"/>
    <row r="700" s="3161" customFormat="1" ht="12.75"/>
    <row r="701" s="3161" customFormat="1" ht="12.75"/>
    <row r="702" s="3161" customFormat="1" ht="12.75"/>
    <row r="703" s="3161" customFormat="1" ht="12.75"/>
    <row r="704" s="3161" customFormat="1" ht="12.75"/>
    <row r="705" s="3161" customFormat="1" ht="12.75"/>
    <row r="706" s="3161" customFormat="1" ht="12.75"/>
    <row r="707" s="3161" customFormat="1" ht="12.75"/>
    <row r="708" s="3161" customFormat="1" ht="12.75"/>
    <row r="709" s="3161" customFormat="1" ht="12.75"/>
    <row r="710" s="3161" customFormat="1" ht="12.75"/>
    <row r="711" s="3161" customFormat="1" ht="12.75"/>
    <row r="712" s="3161" customFormat="1" ht="12.75"/>
    <row r="713" s="3161" customFormat="1" ht="12.75"/>
    <row r="714" s="3161" customFormat="1" ht="12.75"/>
    <row r="715" s="3161" customFormat="1" ht="12.75"/>
    <row r="716" s="3161" customFormat="1" ht="12.75"/>
    <row r="717" s="3161" customFormat="1" ht="12.75"/>
    <row r="718" s="3161" customFormat="1" ht="12.75"/>
    <row r="719" s="3161" customFormat="1" ht="12.75"/>
    <row r="720" s="3161" customFormat="1" ht="12.75"/>
    <row r="721" s="3161" customFormat="1" ht="12.75"/>
    <row r="722" s="3161" customFormat="1" ht="12.75"/>
    <row r="723" s="3161" customFormat="1" ht="12.75"/>
    <row r="724" s="3161" customFormat="1" ht="12.75"/>
    <row r="725" s="3161" customFormat="1" ht="12.75"/>
    <row r="726" s="3161" customFormat="1" ht="12.75"/>
    <row r="727" s="3161" customFormat="1" ht="12.75"/>
    <row r="728" s="3161" customFormat="1" ht="12.75"/>
    <row r="729" s="3161" customFormat="1" ht="12.75"/>
    <row r="730" s="3161" customFormat="1" ht="12.75"/>
    <row r="731" s="3161" customFormat="1" ht="12.75"/>
    <row r="732" s="3161" customFormat="1" ht="12.75"/>
    <row r="733" s="3161" customFormat="1" ht="12.75"/>
    <row r="734" s="3161" customFormat="1" ht="12.75"/>
    <row r="735" s="3161" customFormat="1" ht="12.75"/>
    <row r="736" s="3161" customFormat="1" ht="12.75"/>
    <row r="737" s="3161" customFormat="1" ht="12.75"/>
    <row r="738" s="3161" customFormat="1" ht="12.75"/>
    <row r="739" s="3161" customFormat="1" ht="12.75"/>
    <row r="740" s="3161" customFormat="1" ht="12.75"/>
    <row r="741" s="3161" customFormat="1" ht="12.75"/>
    <row r="742" s="3161" customFormat="1" ht="12.75"/>
    <row r="743" s="3161" customFormat="1" ht="12.75"/>
    <row r="744" s="3161" customFormat="1" ht="12.75"/>
    <row r="745" s="3161" customFormat="1" ht="12.75"/>
    <row r="746" s="3161" customFormat="1" ht="12.75"/>
    <row r="747" s="3161" customFormat="1" ht="12.75"/>
    <row r="748" s="3161" customFormat="1" ht="12.75"/>
    <row r="749" s="3161" customFormat="1" ht="12.75"/>
    <row r="750" s="3161" customFormat="1" ht="12.75"/>
    <row r="751" s="3161" customFormat="1" ht="12.75"/>
    <row r="752" s="3161" customFormat="1" ht="12.75"/>
    <row r="753" s="3161" customFormat="1" ht="12.75"/>
    <row r="754" s="3161" customFormat="1" ht="12.75"/>
    <row r="755" s="3161" customFormat="1" ht="12.75"/>
    <row r="756" s="3161" customFormat="1" ht="12.75"/>
    <row r="757" s="3161" customFormat="1" ht="12.75"/>
    <row r="758" s="3161" customFormat="1" ht="12.75"/>
    <row r="759" s="3161" customFormat="1" ht="12.75"/>
    <row r="760" s="3161" customFormat="1" ht="12.75"/>
    <row r="761" s="3161" customFormat="1" ht="12.75"/>
    <row r="762" s="3161" customFormat="1" ht="12.75"/>
    <row r="763" s="3161" customFormat="1" ht="12.75"/>
    <row r="764" s="3161" customFormat="1" ht="12.75"/>
    <row r="765" s="3161" customFormat="1" ht="12.75"/>
    <row r="766" s="3161" customFormat="1" ht="12.75"/>
    <row r="767" s="3161" customFormat="1" ht="12.75"/>
    <row r="768" s="3161" customFormat="1" ht="12.75"/>
    <row r="769" s="3161" customFormat="1" ht="12.75"/>
    <row r="770" s="3161" customFormat="1" ht="12.75"/>
    <row r="771" s="3161" customFormat="1" ht="12.75"/>
    <row r="772" s="3161" customFormat="1" ht="12.75"/>
    <row r="773" s="3161" customFormat="1" ht="12.75"/>
    <row r="774" s="3161" customFormat="1" ht="12.75"/>
    <row r="775" s="3161" customFormat="1" ht="12.75"/>
    <row r="776" s="3161" customFormat="1" ht="12.75"/>
    <row r="777" s="3161" customFormat="1" ht="12.75"/>
    <row r="778" s="3161" customFormat="1" ht="12.75"/>
    <row r="779" s="3161" customFormat="1" ht="12.75"/>
    <row r="780" s="3161" customFormat="1" ht="12.75"/>
    <row r="781" s="3161" customFormat="1" ht="12.75"/>
    <row r="782" s="3161" customFormat="1" ht="12.75"/>
    <row r="783" s="3161" customFormat="1" ht="12.75"/>
    <row r="784" s="3161" customFormat="1" ht="12.75"/>
    <row r="785" s="3161" customFormat="1" ht="12.75"/>
    <row r="786" s="3161" customFormat="1" ht="12.75"/>
    <row r="787" s="3161" customFormat="1" ht="12.75"/>
    <row r="788" s="3161" customFormat="1" ht="12.75"/>
    <row r="789" s="3161" customFormat="1" ht="12.75"/>
    <row r="790" s="3161" customFormat="1" ht="12.75"/>
    <row r="791" s="3161" customFormat="1" ht="12.75"/>
    <row r="792" s="3161" customFormat="1" ht="12.75"/>
    <row r="793" s="3161" customFormat="1" ht="12.75"/>
    <row r="794" s="3161" customFormat="1" ht="12.75"/>
    <row r="795" s="3161" customFormat="1" ht="12.75"/>
    <row r="796" s="3161" customFormat="1" ht="12.75"/>
    <row r="797" s="3161" customFormat="1" ht="12.75"/>
    <row r="798" s="3161" customFormat="1" ht="12.75"/>
    <row r="799" s="3161" customFormat="1" ht="12.75"/>
    <row r="800" s="3161" customFormat="1" ht="12.75"/>
    <row r="801" s="3161" customFormat="1" ht="12.75"/>
    <row r="802" s="3161" customFormat="1" ht="12.75"/>
    <row r="803" s="3161" customFormat="1" ht="12.75"/>
    <row r="804" s="3161" customFormat="1" ht="12.75"/>
    <row r="805" s="3161" customFormat="1" ht="12.75"/>
    <row r="806" s="3161" customFormat="1" ht="12.75"/>
    <row r="807" s="3161" customFormat="1" ht="12.75"/>
    <row r="808" s="3161" customFormat="1" ht="12.75"/>
    <row r="809" s="3161" customFormat="1" ht="12.75"/>
    <row r="810" s="3161" customFormat="1" ht="12.75"/>
    <row r="811" s="3161" customFormat="1" ht="12.75"/>
    <row r="812" s="3161" customFormat="1" ht="12.75"/>
    <row r="813" s="3161" customFormat="1" ht="12.75"/>
    <row r="814" s="3161" customFormat="1" ht="12.75"/>
    <row r="815" s="3161" customFormat="1" ht="12.75"/>
    <row r="816" s="3161" customFormat="1" ht="12.75"/>
    <row r="817" s="3161" customFormat="1" ht="12.75"/>
    <row r="818" s="3161" customFormat="1" ht="12.75"/>
    <row r="819" s="3161" customFormat="1" ht="12.75"/>
    <row r="820" s="3161" customFormat="1" ht="12.75"/>
    <row r="821" s="3161" customFormat="1" ht="12.75"/>
    <row r="822" s="3161" customFormat="1" ht="12.75"/>
    <row r="823" s="3161" customFormat="1" ht="12.75"/>
    <row r="824" s="3161" customFormat="1" ht="12.75"/>
    <row r="825" s="3161" customFormat="1" ht="12.75"/>
    <row r="826" s="3161" customFormat="1" ht="12.75"/>
    <row r="827" s="3161" customFormat="1" ht="12.75"/>
    <row r="828" s="3161" customFormat="1" ht="12.75"/>
    <row r="829" s="3161" customFormat="1" ht="12.75"/>
    <row r="830" s="3161" customFormat="1" ht="12.75"/>
    <row r="831" s="3161" customFormat="1" ht="12.75"/>
    <row r="832" s="3161" customFormat="1" ht="12.75"/>
    <row r="833" s="3161" customFormat="1" ht="12.75"/>
    <row r="834" s="3161" customFormat="1" ht="12.75"/>
    <row r="835" s="3161" customFormat="1" ht="12.75"/>
    <row r="836" s="3161" customFormat="1" ht="12.75"/>
    <row r="837" s="3161" customFormat="1" ht="12.75"/>
    <row r="838" s="3161" customFormat="1" ht="12.75"/>
    <row r="839" s="3161" customFormat="1" ht="12.75"/>
    <row r="840" s="3161" customFormat="1" ht="12.75"/>
    <row r="841" s="3161" customFormat="1" ht="12.75"/>
    <row r="842" s="3161" customFormat="1" ht="12.75"/>
    <row r="843" s="3161" customFormat="1" ht="12.75"/>
    <row r="844" s="3161" customFormat="1" ht="12.75"/>
    <row r="845" s="3161" customFormat="1" ht="12.75"/>
    <row r="846" s="3161" customFormat="1" ht="12.75"/>
    <row r="847" s="3161" customFormat="1" ht="12.75"/>
    <row r="848" s="3161" customFormat="1" ht="12.75"/>
    <row r="849" s="3161" customFormat="1" ht="12.75"/>
    <row r="850" s="3161" customFormat="1" ht="12.75"/>
    <row r="851" s="3161" customFormat="1" ht="12.75"/>
    <row r="852" s="3161" customFormat="1" ht="12.75"/>
    <row r="853" s="3161" customFormat="1" ht="12.75"/>
    <row r="854" s="3161" customFormat="1" ht="12.75"/>
    <row r="855" s="3161" customFormat="1" ht="12.75"/>
    <row r="856" s="3161" customFormat="1" ht="12.75"/>
    <row r="857" s="3161" customFormat="1" ht="12.75"/>
    <row r="858" s="3161" customFormat="1" ht="12.75"/>
    <row r="859" s="3161" customFormat="1" ht="12.75"/>
    <row r="860" s="3161" customFormat="1" ht="12.75"/>
    <row r="861" s="3161" customFormat="1" ht="12.75"/>
    <row r="862" s="3161" customFormat="1" ht="12.75"/>
    <row r="863" s="3161" customFormat="1" ht="12.75"/>
    <row r="864" s="3161" customFormat="1" ht="12.75"/>
    <row r="865" s="3161" customFormat="1" ht="12.75"/>
    <row r="866" s="3161" customFormat="1" ht="12.75"/>
    <row r="867" s="3161" customFormat="1" ht="12.75"/>
    <row r="868" s="3161" customFormat="1" ht="12.75"/>
    <row r="869" s="3161" customFormat="1" ht="12.75"/>
    <row r="870" s="3161" customFormat="1" ht="12.75"/>
    <row r="871" s="3161" customFormat="1" ht="12.75"/>
    <row r="872" s="3161" customFormat="1" ht="12.75"/>
    <row r="873" s="3161" customFormat="1" ht="12.75"/>
    <row r="874" s="3161" customFormat="1" ht="12.75"/>
    <row r="875" s="3161" customFormat="1" ht="12.75"/>
    <row r="876" s="3161" customFormat="1" ht="12.75"/>
    <row r="877" s="3161" customFormat="1" ht="12.75"/>
    <row r="878" s="3161" customFormat="1" ht="12.75"/>
    <row r="879" s="3161" customFormat="1" ht="12.75"/>
    <row r="880" s="3161" customFormat="1" ht="12.75"/>
    <row r="881" s="3161" customFormat="1" ht="12.75"/>
    <row r="882" s="3161" customFormat="1" ht="12.75"/>
    <row r="883" s="3161" customFormat="1" ht="12.75"/>
    <row r="884" s="3161" customFormat="1" ht="12.75"/>
    <row r="885" s="3161" customFormat="1" ht="12.75"/>
    <row r="886" s="3161" customFormat="1" ht="12.75"/>
    <row r="887" s="3161" customFormat="1" ht="12.75"/>
    <row r="888" s="3161" customFormat="1" ht="12.75"/>
    <row r="889" s="3161" customFormat="1" ht="12.75"/>
    <row r="890" s="3161" customFormat="1" ht="12.75"/>
    <row r="891" s="3161" customFormat="1" ht="12.75"/>
    <row r="892" s="3161" customFormat="1" ht="12.75"/>
    <row r="893" s="3161" customFormat="1" ht="12.75"/>
    <row r="894" s="3161" customFormat="1" ht="12.75"/>
    <row r="895" s="3161" customFormat="1" ht="12.75"/>
    <row r="896" s="3161" customFormat="1" ht="12.75"/>
    <row r="897" s="3161" customFormat="1" ht="12.75"/>
    <row r="898" s="3161" customFormat="1" ht="12.75"/>
    <row r="899" s="3161" customFormat="1" ht="12.75"/>
    <row r="900" s="3161" customFormat="1" ht="12.75"/>
    <row r="901" s="3161" customFormat="1" ht="12.75"/>
    <row r="902" s="3161" customFormat="1" ht="12.75"/>
    <row r="903" s="3161" customFormat="1" ht="12.75"/>
    <row r="904" s="3161" customFormat="1" ht="12.75"/>
    <row r="905" s="3161" customFormat="1" ht="12.75"/>
    <row r="906" s="3161" customFormat="1" ht="12.75"/>
    <row r="907" s="3161" customFormat="1" ht="12.75"/>
    <row r="908" s="3161" customFormat="1" ht="12.75"/>
    <row r="909" s="3161" customFormat="1" ht="12.75"/>
    <row r="910" s="3161" customFormat="1" ht="12.75"/>
    <row r="911" s="3161" customFormat="1" ht="12.75"/>
    <row r="912" s="3161" customFormat="1" ht="12.75"/>
    <row r="913" s="3161" customFormat="1" ht="12.75"/>
    <row r="914" s="3161" customFormat="1" ht="12.75"/>
    <row r="915" s="3161" customFormat="1" ht="12.75"/>
    <row r="916" s="3161" customFormat="1" ht="12.75"/>
    <row r="917" s="3161" customFormat="1" ht="12.75"/>
    <row r="918" s="3161" customFormat="1" ht="12.75"/>
    <row r="919" s="3161" customFormat="1" ht="12.75"/>
    <row r="920" s="3161" customFormat="1" ht="12.75"/>
    <row r="921" s="3161" customFormat="1" ht="12.75"/>
    <row r="922" s="3161" customFormat="1" ht="12.75"/>
    <row r="923" s="3161" customFormat="1" ht="12.75"/>
    <row r="924" s="3161" customFormat="1" ht="12.75"/>
    <row r="925" s="3161" customFormat="1" ht="12.75"/>
    <row r="926" s="3161" customFormat="1" ht="12.75"/>
    <row r="927" s="3161" customFormat="1" ht="12.75"/>
    <row r="928" s="3161" customFormat="1" ht="12.75"/>
    <row r="929" s="3161" customFormat="1" ht="12.75"/>
    <row r="930" s="3161" customFormat="1" ht="12.75"/>
    <row r="931" s="3161" customFormat="1" ht="12.75"/>
    <row r="932" s="3161" customFormat="1" ht="12.75"/>
    <row r="933" s="3161" customFormat="1" ht="12.75"/>
    <row r="934" s="3161" customFormat="1" ht="12.75"/>
    <row r="935" s="3161" customFormat="1" ht="12.75"/>
    <row r="936" s="3161" customFormat="1" ht="12.75"/>
    <row r="937" s="3161" customFormat="1" ht="12.75"/>
    <row r="938" s="3161" customFormat="1" ht="12.75"/>
    <row r="939" s="3161" customFormat="1" ht="12.75"/>
    <row r="940" s="3161" customFormat="1" ht="12.75"/>
    <row r="941" s="3161" customFormat="1" ht="12.75"/>
    <row r="942" s="3161" customFormat="1" ht="12.75"/>
    <row r="943" s="3161" customFormat="1" ht="12.75"/>
    <row r="944" s="3161" customFormat="1" ht="12.75"/>
    <row r="945" s="3161" customFormat="1" ht="12.75"/>
    <row r="946" s="3161" customFormat="1" ht="12.75"/>
    <row r="947" s="3161" customFormat="1" ht="12.75"/>
    <row r="948" s="3161" customFormat="1" ht="12.75"/>
    <row r="949" s="3161" customFormat="1" ht="12.75"/>
    <row r="950" s="3161" customFormat="1" ht="12.75"/>
    <row r="951" s="3161" customFormat="1" ht="12.75"/>
    <row r="952" s="3161" customFormat="1" ht="12.75"/>
    <row r="953" s="3161" customFormat="1" ht="12.75"/>
    <row r="954" s="3161" customFormat="1" ht="12.75"/>
    <row r="955" s="3161" customFormat="1" ht="12.75"/>
    <row r="956" s="3161" customFormat="1" ht="12.75"/>
    <row r="957" s="3161" customFormat="1" ht="12.75"/>
    <row r="958" s="3161" customFormat="1" ht="12.75"/>
    <row r="959" s="3161" customFormat="1" ht="12.75"/>
    <row r="960" s="3161" customFormat="1" ht="12.75"/>
    <row r="961" s="3161" customFormat="1" ht="12.75"/>
    <row r="962" s="3161" customFormat="1" ht="12.75"/>
    <row r="963" s="3161" customFormat="1" ht="12.75"/>
    <row r="964" s="3161" customFormat="1" ht="12.75"/>
    <row r="965" s="3161" customFormat="1" ht="12.75"/>
    <row r="966" s="3161" customFormat="1" ht="12.75"/>
    <row r="967" s="3161" customFormat="1" ht="12.75"/>
    <row r="968" s="3161" customFormat="1" ht="12.75"/>
    <row r="969" s="3161" customFormat="1" ht="12.75"/>
    <row r="970" s="3161" customFormat="1" ht="12.75"/>
    <row r="971" s="3161" customFormat="1" ht="12.75"/>
    <row r="972" s="3161" customFormat="1" ht="12.75"/>
    <row r="973" s="3161" customFormat="1" ht="12.75"/>
    <row r="974" s="3161" customFormat="1" ht="12.75"/>
    <row r="975" s="3161" customFormat="1" ht="12.75"/>
    <row r="976" s="3161" customFormat="1" ht="12.75"/>
    <row r="977" s="3161" customFormat="1" ht="12.75"/>
    <row r="978" s="3161" customFormat="1" ht="12.75"/>
    <row r="979" s="3161" customFormat="1" ht="12.75"/>
    <row r="980" s="3161" customFormat="1" ht="12.75"/>
    <row r="981" s="3161" customFormat="1" ht="12.75"/>
    <row r="982" s="3161" customFormat="1" ht="12.75"/>
    <row r="983" s="3161" customFormat="1" ht="12.75"/>
    <row r="984" s="3161" customFormat="1" ht="12.75"/>
    <row r="985" s="3161" customFormat="1" ht="12.75"/>
    <row r="986" s="3161" customFormat="1" ht="12.75"/>
    <row r="987" s="3161" customFormat="1" ht="12.75"/>
    <row r="988" s="3161" customFormat="1" ht="12.75"/>
    <row r="989" s="3161" customFormat="1" ht="12.75"/>
    <row r="990" s="3161" customFormat="1" ht="12.75"/>
    <row r="991" s="3161" customFormat="1" ht="12.75"/>
    <row r="992" s="3161" customFormat="1" ht="12.75"/>
    <row r="993" s="3161" customFormat="1" ht="12.75"/>
    <row r="994" s="3161" customFormat="1" ht="12.75"/>
    <row r="995" s="3161" customFormat="1" ht="12.75"/>
    <row r="996" s="3161" customFormat="1" ht="12.75"/>
    <row r="997" s="3161" customFormat="1" ht="12.75"/>
    <row r="998" s="3161" customFormat="1" ht="12.75"/>
    <row r="999" s="3161" customFormat="1" ht="12.75"/>
    <row r="1000" s="3161" customFormat="1" ht="12.75"/>
    <row r="1001" s="3161" customFormat="1" ht="12.75"/>
    <row r="1002" s="3161" customFormat="1" ht="12.75"/>
    <row r="1003" s="3161" customFormat="1" ht="12.75"/>
    <row r="1004" s="3161" customFormat="1" ht="12.75"/>
    <row r="1005" s="3161" customFormat="1" ht="12.75"/>
    <row r="1006" s="3161" customFormat="1" ht="12.75"/>
    <row r="1007" s="3161" customFormat="1" ht="12.75"/>
    <row r="1008" s="3161" customFormat="1" ht="12.75"/>
    <row r="1009" s="3161" customFormat="1" ht="12.75"/>
    <row r="1010" s="3161" customFormat="1" ht="12.75"/>
    <row r="1011" s="3161" customFormat="1" ht="12.75"/>
    <row r="1012" s="3161" customFormat="1" ht="12.75"/>
    <row r="1013" s="3161" customFormat="1" ht="12.75"/>
    <row r="1014" s="3161" customFormat="1" ht="12.75"/>
    <row r="1015" s="3161" customFormat="1" ht="12.75"/>
    <row r="1016" s="3161" customFormat="1" ht="12.75"/>
    <row r="1017" s="3161" customFormat="1" ht="12.75"/>
    <row r="1018" s="3161" customFormat="1" ht="12.75"/>
    <row r="1019" s="3161" customFormat="1" ht="12.75"/>
    <row r="1020" s="3161" customFormat="1" ht="12.75"/>
    <row r="1021" s="3161" customFormat="1" ht="12.75"/>
    <row r="1022" s="3161" customFormat="1" ht="12.75"/>
    <row r="1023" s="3161" customFormat="1" ht="12.75"/>
    <row r="1024" s="3161" customFormat="1" ht="12.75"/>
    <row r="1025" s="3161" customFormat="1" ht="12.75"/>
    <row r="1026" s="3161" customFormat="1" ht="12.75"/>
    <row r="1027" s="3161" customFormat="1" ht="12.75"/>
    <row r="1028" s="3161" customFormat="1" ht="12.75"/>
    <row r="1029" s="3161" customFormat="1" ht="12.75"/>
    <row r="1030" s="3161" customFormat="1" ht="12.75"/>
    <row r="1031" s="3161" customFormat="1" ht="12.75"/>
    <row r="1032" s="3161" customFormat="1" ht="12.75"/>
    <row r="1033" s="3161" customFormat="1" ht="12.75"/>
    <row r="1034" s="3161" customFormat="1" ht="12.75"/>
    <row r="1035" s="3161" customFormat="1" ht="12.75"/>
    <row r="1036" s="3161" customFormat="1" ht="12.75"/>
    <row r="1037" s="3161" customFormat="1" ht="12.75"/>
    <row r="1038" s="3161" customFormat="1" ht="12.75"/>
    <row r="1039" s="3161" customFormat="1" ht="12.75"/>
    <row r="1040" s="3161" customFormat="1" ht="12.75"/>
    <row r="1041" s="3161" customFormat="1" ht="12.75"/>
    <row r="1042" s="3161" customFormat="1" ht="12.75"/>
    <row r="1043" s="3161" customFormat="1" ht="12.75"/>
    <row r="1044" s="3161" customFormat="1" ht="12.75"/>
    <row r="1045" s="3161" customFormat="1" ht="12.75"/>
    <row r="1046" s="3161" customFormat="1" ht="12.75"/>
    <row r="1047" s="3161" customFormat="1" ht="12.75"/>
    <row r="1048" s="3161" customFormat="1" ht="12.75"/>
    <row r="1049" s="3161" customFormat="1" ht="12.75"/>
    <row r="1050" s="3161" customFormat="1" ht="12.75"/>
    <row r="1051" s="3161" customFormat="1" ht="12.75"/>
    <row r="1052" s="3161" customFormat="1" ht="12.75"/>
    <row r="1053" s="3161" customFormat="1" ht="12.75"/>
    <row r="1054" s="3161" customFormat="1" ht="12.75"/>
    <row r="1055" s="3161" customFormat="1" ht="12.75"/>
    <row r="1056" s="3161" customFormat="1" ht="12.75"/>
    <row r="1057" s="3161" customFormat="1" ht="12.75"/>
    <row r="1058" s="3161" customFormat="1" ht="12.75"/>
    <row r="1059" s="3161" customFormat="1" ht="12.75"/>
    <row r="1060" s="3161" customFormat="1" ht="12.75"/>
    <row r="1061" s="3161" customFormat="1" ht="12.75"/>
    <row r="1062" s="3161" customFormat="1" ht="12.75"/>
    <row r="1063" s="3161" customFormat="1" ht="12.75"/>
    <row r="1064" s="3161" customFormat="1" ht="12.75"/>
    <row r="1065" s="3161" customFormat="1" ht="12.75"/>
    <row r="1066" s="3161" customFormat="1" ht="12.75"/>
    <row r="1067" s="3161" customFormat="1" ht="12.75"/>
    <row r="1068" s="3161" customFormat="1" ht="12.75"/>
    <row r="1069" s="3161" customFormat="1" ht="12.75"/>
    <row r="1070" s="3161" customFormat="1" ht="12.75"/>
    <row r="1071" s="3161" customFormat="1" ht="12.75"/>
    <row r="1072" s="3161" customFormat="1" ht="12.75"/>
    <row r="1073" s="3161" customFormat="1" ht="12.75"/>
    <row r="1074" s="3161" customFormat="1" ht="12.75"/>
    <row r="1075" s="3161" customFormat="1" ht="12.75"/>
    <row r="1076" s="3161" customFormat="1" ht="12.75"/>
    <row r="1077" s="3161" customFormat="1" ht="12.75"/>
    <row r="1078" s="3161" customFormat="1" ht="12.75"/>
    <row r="1079" s="3161" customFormat="1" ht="12.75"/>
    <row r="1080" s="3161" customFormat="1" ht="12.75"/>
    <row r="1081" s="3161" customFormat="1" ht="12.75"/>
    <row r="1082" s="3161" customFormat="1" ht="12.75"/>
    <row r="1083" s="3161" customFormat="1" ht="12.75"/>
    <row r="1084" s="3161" customFormat="1" ht="12.75"/>
    <row r="1085" s="3161" customFormat="1" ht="12.75"/>
    <row r="1086" s="3161" customFormat="1" ht="12.75"/>
    <row r="1087" s="3161" customFormat="1" ht="12.75"/>
    <row r="1088" s="3161" customFormat="1" ht="12.75"/>
    <row r="1089" s="3161" customFormat="1" ht="12.75"/>
    <row r="1090" s="3161" customFormat="1" ht="12.75"/>
    <row r="1091" s="3161" customFormat="1" ht="12.75"/>
    <row r="1092" s="3161" customFormat="1" ht="12.75"/>
    <row r="1093" s="3161" customFormat="1" ht="12.75"/>
    <row r="1094" s="3161" customFormat="1" ht="12.75"/>
    <row r="1095" s="3161" customFormat="1" ht="12.75"/>
    <row r="1096" s="3161" customFormat="1" ht="12.75"/>
    <row r="1097" s="3161" customFormat="1" ht="12.75"/>
    <row r="1098" s="3161" customFormat="1" ht="12.75"/>
    <row r="1099" s="3161" customFormat="1" ht="12.75"/>
    <row r="1100" s="3161" customFormat="1" ht="12.75"/>
    <row r="1101" s="3161" customFormat="1" ht="12.75"/>
    <row r="1102" s="3161" customFormat="1" ht="12.75"/>
    <row r="1103" s="3161" customFormat="1" ht="12.75"/>
    <row r="1104" s="3161" customFormat="1" ht="12.75"/>
    <row r="1105" s="3161" customFormat="1" ht="12.75"/>
    <row r="1106" s="3161" customFormat="1" ht="12.75"/>
    <row r="1107" s="3161" customFormat="1" ht="12.75"/>
    <row r="1108" s="3161" customFormat="1" ht="12.75"/>
    <row r="1109" s="3161" customFormat="1" ht="12.75"/>
    <row r="1110" s="3161" customFormat="1" ht="12.75"/>
    <row r="1111" s="3161" customFormat="1" ht="12.75"/>
    <row r="1112" s="3161" customFormat="1" ht="12.75"/>
    <row r="1113" s="3161" customFormat="1" ht="12.75"/>
    <row r="1114" s="3161" customFormat="1" ht="12.75"/>
    <row r="1115" s="3161" customFormat="1" ht="12.75"/>
    <row r="1116" s="3161" customFormat="1" ht="12.75"/>
    <row r="1117" s="3161" customFormat="1" ht="12.75"/>
    <row r="1118" s="3161" customFormat="1" ht="12.75"/>
    <row r="1119" s="3161" customFormat="1" ht="12.75"/>
    <row r="1120" s="3161" customFormat="1" ht="12.75"/>
    <row r="1121" s="3161" customFormat="1" ht="12.75"/>
    <row r="1122" s="3161" customFormat="1" ht="12.75"/>
    <row r="1123" s="3161" customFormat="1" ht="12.75"/>
    <row r="1124" s="3161" customFormat="1" ht="12.75"/>
    <row r="1125" s="3161" customFormat="1" ht="12.75"/>
    <row r="1126" s="3161" customFormat="1" ht="12.75"/>
    <row r="1127" s="3161" customFormat="1" ht="12.75"/>
    <row r="1128" s="3161" customFormat="1" ht="12.75"/>
    <row r="1129" s="3161" customFormat="1" ht="12.75"/>
    <row r="1130" s="3161" customFormat="1" ht="12.75"/>
    <row r="1131" s="3161" customFormat="1" ht="12.75"/>
    <row r="1132" s="3161" customFormat="1" ht="12.75"/>
    <row r="1133" s="3161" customFormat="1" ht="12.75"/>
    <row r="1134" s="3161" customFormat="1" ht="12.75"/>
    <row r="1135" s="3161" customFormat="1" ht="12.75"/>
    <row r="1136" s="3161" customFormat="1" ht="12.75"/>
    <row r="1137" s="3161" customFormat="1" ht="12.75"/>
    <row r="1138" s="3161" customFormat="1" ht="12.75"/>
    <row r="1139" s="3161" customFormat="1" ht="12.75"/>
    <row r="1140" s="3161" customFormat="1" ht="12.75"/>
    <row r="1141" s="3161" customFormat="1" ht="12.75"/>
    <row r="1142" s="3161" customFormat="1" ht="12.75"/>
    <row r="1143" s="3161" customFormat="1" ht="12.75"/>
    <row r="1144" s="3161" customFormat="1" ht="12.75"/>
    <row r="1145" s="3161" customFormat="1" ht="12.75"/>
    <row r="1146" s="3161" customFormat="1" ht="12.75"/>
    <row r="1147" s="3161" customFormat="1" ht="12.75"/>
    <row r="1148" s="3161" customFormat="1" ht="12.75"/>
    <row r="1149" s="3161" customFormat="1" ht="12.75"/>
    <row r="1150" s="3161" customFormat="1" ht="12.75"/>
    <row r="1151" s="3161" customFormat="1" ht="12.75"/>
    <row r="1152" s="3161" customFormat="1" ht="12.75"/>
    <row r="1153" s="3161" customFormat="1" ht="12.75"/>
    <row r="1154" s="3161" customFormat="1" ht="12.75"/>
    <row r="1155" s="3161" customFormat="1" ht="12.75"/>
    <row r="1156" s="3161" customFormat="1" ht="12.75"/>
    <row r="1157" s="3161" customFormat="1" ht="12.75"/>
    <row r="1158" s="3161" customFormat="1" ht="12.75"/>
    <row r="1159" s="3161" customFormat="1" ht="12.75"/>
    <row r="1160" s="3161" customFormat="1" ht="12.75"/>
    <row r="1161" s="3161" customFormat="1" ht="12.75"/>
    <row r="1162" s="3161" customFormat="1" ht="12.75"/>
    <row r="1163" s="3161" customFormat="1" ht="12.75"/>
    <row r="1164" s="3161" customFormat="1" ht="12.75"/>
    <row r="1165" s="3161" customFormat="1" ht="12.75"/>
    <row r="1166" s="3161" customFormat="1" ht="12.75"/>
    <row r="1167" s="3161" customFormat="1" ht="12.75"/>
    <row r="1168" s="3161" customFormat="1" ht="12.75"/>
    <row r="1169" s="3161" customFormat="1" ht="12.75"/>
    <row r="1170" s="3161" customFormat="1" ht="12.75"/>
    <row r="1171" s="3161" customFormat="1" ht="12.75"/>
    <row r="1172" s="3161" customFormat="1" ht="12.75"/>
    <row r="1173" s="3161" customFormat="1" ht="12.75"/>
    <row r="1174" s="3161" customFormat="1" ht="12.75"/>
    <row r="1175" s="3161" customFormat="1" ht="12.75"/>
    <row r="1176" s="3161" customFormat="1" ht="12.75"/>
    <row r="1177" s="3161" customFormat="1" ht="12.75"/>
    <row r="1178" s="3161" customFormat="1" ht="12.75"/>
    <row r="1179" s="3161" customFormat="1" ht="12.75"/>
    <row r="1180" s="3161" customFormat="1" ht="12.75"/>
    <row r="1181" s="3161" customFormat="1" ht="12.75"/>
    <row r="1182" s="3161" customFormat="1" ht="12.75"/>
    <row r="1183" s="3161" customFormat="1" ht="12.75"/>
    <row r="1184" s="3161" customFormat="1" ht="12.75"/>
    <row r="1185" s="3161" customFormat="1" ht="12.75"/>
    <row r="1186" s="3161" customFormat="1" ht="12.75"/>
    <row r="1187" s="3161" customFormat="1" ht="12.75"/>
    <row r="1188" s="3161" customFormat="1" ht="12.75"/>
    <row r="1189" s="3161" customFormat="1" ht="12.75"/>
    <row r="1190" s="3161" customFormat="1" ht="12.75"/>
    <row r="1191" s="3161" customFormat="1" ht="12.75"/>
    <row r="1192" s="3161" customFormat="1" ht="12.75"/>
    <row r="1193" s="3161" customFormat="1" ht="12.75"/>
    <row r="1194" s="3161" customFormat="1" ht="12.75"/>
    <row r="1195" s="3161" customFormat="1" ht="12.75"/>
    <row r="1196" s="3161" customFormat="1" ht="12.75"/>
    <row r="1197" s="3161" customFormat="1" ht="12.75"/>
    <row r="1198" s="3161" customFormat="1" ht="12.75"/>
    <row r="1199" s="3161" customFormat="1" ht="12.75"/>
    <row r="1200" s="3161" customFormat="1" ht="12.75"/>
    <row r="1201" s="3161" customFormat="1" ht="12.75"/>
    <row r="1202" s="3161" customFormat="1" ht="12.75"/>
    <row r="1203" s="3161" customFormat="1" ht="12.75"/>
    <row r="1204" s="3161" customFormat="1" ht="12.75"/>
    <row r="1205" s="3161" customFormat="1" ht="12.75"/>
    <row r="1206" s="3161" customFormat="1" ht="12.75"/>
    <row r="1207" s="3161" customFormat="1" ht="12.75"/>
    <row r="1208" s="3161" customFormat="1" ht="12.75"/>
    <row r="1209" s="3161" customFormat="1" ht="12.75"/>
    <row r="1210" s="3161" customFormat="1" ht="12.75"/>
    <row r="1211" s="3161" customFormat="1" ht="12.75"/>
    <row r="1212" s="3161" customFormat="1" ht="12.75"/>
    <row r="1213" s="3161" customFormat="1" ht="12.75"/>
    <row r="1214" s="3161" customFormat="1" ht="12.75"/>
    <row r="1215" s="3161" customFormat="1" ht="12.75"/>
    <row r="1216" s="3161" customFormat="1" ht="12.75"/>
    <row r="1217" s="3161" customFormat="1" ht="12.75"/>
    <row r="1218" s="3161" customFormat="1" ht="12.75"/>
    <row r="1219" s="3161" customFormat="1" ht="12.75"/>
    <row r="1220" s="3161" customFormat="1" ht="12.75"/>
    <row r="1221" s="3161" customFormat="1" ht="12.75"/>
    <row r="1222" s="3161" customFormat="1" ht="12.75"/>
    <row r="1223" s="3161" customFormat="1" ht="12.75"/>
    <row r="1224" s="3161" customFormat="1" ht="12.75"/>
    <row r="1225" s="3161" customFormat="1" ht="12.75"/>
    <row r="1226" s="3161" customFormat="1" ht="12.75"/>
    <row r="1227" s="3161" customFormat="1" ht="12.75"/>
    <row r="1228" s="3161" customFormat="1" ht="12.75"/>
    <row r="1229" s="3161" customFormat="1" ht="12.75"/>
    <row r="1230" s="3161" customFormat="1" ht="12.75"/>
    <row r="1231" s="3161" customFormat="1" ht="12.75"/>
    <row r="1232" s="3161" customFormat="1" ht="12.75"/>
    <row r="1233" s="3161" customFormat="1" ht="12.75"/>
    <row r="1234" s="3161" customFormat="1" ht="12.75"/>
    <row r="1235" s="3161" customFormat="1" ht="12.75"/>
    <row r="1236" s="3161" customFormat="1" ht="12.75"/>
    <row r="1237" s="3161" customFormat="1" ht="12.75"/>
    <row r="1238" s="3161" customFormat="1" ht="12.75"/>
    <row r="1239" s="3161" customFormat="1" ht="12.75"/>
    <row r="1240" s="3161" customFormat="1" ht="12.75"/>
    <row r="1241" s="3161" customFormat="1" ht="12.75"/>
    <row r="1242" s="3161" customFormat="1" ht="12.75"/>
    <row r="1243" s="3161" customFormat="1" ht="12.75"/>
    <row r="1244" s="3161" customFormat="1" ht="12.75"/>
    <row r="1245" s="3161" customFormat="1" ht="12.75"/>
    <row r="1246" s="3161" customFormat="1" ht="12.75"/>
    <row r="1247" s="3161" customFormat="1" ht="12.75"/>
    <row r="1248" s="3161" customFormat="1" ht="12.75"/>
    <row r="1249" s="3161" customFormat="1" ht="12.75"/>
    <row r="1250" s="3161" customFormat="1" ht="12.75"/>
    <row r="1251" s="3161" customFormat="1" ht="12.75"/>
    <row r="1252" s="3161" customFormat="1" ht="12.75"/>
    <row r="1253" s="3161" customFormat="1" ht="12.75"/>
    <row r="1254" s="3161" customFormat="1" ht="12.75"/>
    <row r="1255" s="3161" customFormat="1" ht="12.75"/>
    <row r="1256" s="3161" customFormat="1" ht="12.75"/>
    <row r="1257" s="3161" customFormat="1" ht="12.75"/>
    <row r="1258" s="3161" customFormat="1" ht="12.75"/>
    <row r="1259" s="3161" customFormat="1" ht="12.75"/>
    <row r="1260" s="3161" customFormat="1" ht="12.75"/>
    <row r="1261" s="3161" customFormat="1" ht="12.75"/>
    <row r="1262" s="3161" customFormat="1" ht="12.75"/>
    <row r="1263" s="3161" customFormat="1" ht="12.75"/>
    <row r="1264" s="3161" customFormat="1" ht="12.75"/>
    <row r="1265" s="3161" customFormat="1" ht="12.75"/>
    <row r="1266" s="3161" customFormat="1" ht="12.75"/>
    <row r="1267" s="3161" customFormat="1" ht="12.75"/>
    <row r="1268" s="3161" customFormat="1" ht="12.75"/>
    <row r="1269" s="3161" customFormat="1" ht="12.75"/>
    <row r="1270" s="3161" customFormat="1" ht="12.75"/>
    <row r="1271" s="3161" customFormat="1" ht="12.75"/>
    <row r="1272" s="3161" customFormat="1" ht="12.75"/>
    <row r="1273" s="3161" customFormat="1" ht="12.75"/>
    <row r="1274" s="3161" customFormat="1" ht="12.75"/>
    <row r="1275" s="3161" customFormat="1" ht="12.75"/>
    <row r="1276" s="3161" customFormat="1" ht="12.75"/>
    <row r="1277" s="3161" customFormat="1" ht="12.75"/>
    <row r="1278" s="3161" customFormat="1" ht="12.75"/>
    <row r="1279" s="3161" customFormat="1" ht="12.75"/>
    <row r="1280" s="3161" customFormat="1" ht="12.75"/>
    <row r="1281" s="3161" customFormat="1" ht="12.75"/>
    <row r="1282" s="3161" customFormat="1" ht="12.75"/>
    <row r="1283" s="3161" customFormat="1" ht="12.75"/>
    <row r="1284" s="3161" customFormat="1" ht="12.75"/>
    <row r="1285" s="3161" customFormat="1" ht="12.75"/>
    <row r="1286" s="3161" customFormat="1" ht="12.75"/>
    <row r="1287" s="3161" customFormat="1" ht="12.75"/>
    <row r="1288" s="3161" customFormat="1" ht="12.75"/>
    <row r="1289" s="3161" customFormat="1" ht="12.75"/>
    <row r="1290" s="3161" customFormat="1" ht="12.75"/>
    <row r="1291" s="3161" customFormat="1" ht="12.75"/>
    <row r="1292" s="3161" customFormat="1" ht="12.75"/>
    <row r="1293" s="3161" customFormat="1" ht="12.75"/>
    <row r="1294" s="3161" customFormat="1" ht="12.75"/>
    <row r="1295" s="3161" customFormat="1" ht="12.75"/>
    <row r="1296" s="3161" customFormat="1" ht="12.75"/>
    <row r="1297" s="3161" customFormat="1" ht="12.75"/>
    <row r="1298" s="3161" customFormat="1" ht="12.75"/>
    <row r="1299" s="3161" customFormat="1" ht="12.75"/>
    <row r="1300" s="3161" customFormat="1" ht="12.75"/>
    <row r="1301" s="3161" customFormat="1" ht="12.75"/>
    <row r="1302" s="3161" customFormat="1" ht="12.75"/>
    <row r="1303" s="3161" customFormat="1" ht="12.75"/>
    <row r="1304" s="3161" customFormat="1" ht="12.75"/>
    <row r="1305" s="3161" customFormat="1" ht="12.75"/>
    <row r="1306" s="3161" customFormat="1" ht="12.75"/>
    <row r="1307" s="3161" customFormat="1" ht="12.75"/>
    <row r="1308" s="3161" customFormat="1" ht="12.75"/>
    <row r="1309" s="3161" customFormat="1" ht="12.75"/>
    <row r="1310" s="3161" customFormat="1" ht="12.75"/>
    <row r="1311" s="3161" customFormat="1" ht="12.75"/>
    <row r="1312" s="3161" customFormat="1" ht="12.75"/>
    <row r="1313" s="3161" customFormat="1" ht="12.75"/>
    <row r="1314" s="3161" customFormat="1" ht="12.75"/>
    <row r="1315" s="3161" customFormat="1" ht="12.75"/>
    <row r="1316" s="3161" customFormat="1" ht="12.75"/>
    <row r="1317" s="3161" customFormat="1" ht="12.75"/>
    <row r="1318" s="3161" customFormat="1" ht="12.75"/>
    <row r="1319" s="3161" customFormat="1" ht="12.75"/>
    <row r="1320" s="3161" customFormat="1" ht="12.75"/>
    <row r="1321" s="3161" customFormat="1" ht="12.75"/>
    <row r="1322" s="3161" customFormat="1" ht="12.75"/>
    <row r="1323" s="3161" customFormat="1" ht="12.75"/>
    <row r="1324" s="3161" customFormat="1" ht="12.75"/>
    <row r="1325" s="3161" customFormat="1" ht="12.75"/>
    <row r="1326" s="3161" customFormat="1" ht="12.75"/>
    <row r="1327" s="3161" customFormat="1" ht="12.75"/>
    <row r="1328" s="3161" customFormat="1" ht="12.75"/>
    <row r="1329" s="3161" customFormat="1" ht="12.75"/>
    <row r="1330" s="3161" customFormat="1" ht="12.75"/>
    <row r="1331" s="3161" customFormat="1" ht="12.75"/>
    <row r="1332" s="3161" customFormat="1" ht="12.75"/>
    <row r="1333" s="3161" customFormat="1" ht="12.75"/>
    <row r="1334" s="3161" customFormat="1" ht="12.75"/>
    <row r="1335" s="3161" customFormat="1" ht="12.75"/>
    <row r="1336" s="3161" customFormat="1" ht="12.75"/>
    <row r="1337" s="3161" customFormat="1" ht="12.75"/>
    <row r="1338" s="3161" customFormat="1" ht="12.75"/>
    <row r="1339" s="3161" customFormat="1" ht="12.75"/>
    <row r="1340" s="3161" customFormat="1" ht="12.75"/>
    <row r="1341" s="3161" customFormat="1" ht="12.75"/>
    <row r="1342" s="3161" customFormat="1" ht="12.75"/>
    <row r="1343" s="3161" customFormat="1" ht="12.75"/>
    <row r="1344" s="3161" customFormat="1" ht="12.75"/>
    <row r="1345" s="3161" customFormat="1" ht="12.75"/>
    <row r="1346" s="3161" customFormat="1" ht="12.75"/>
    <row r="1347" s="3161" customFormat="1" ht="12.75"/>
    <row r="1348" s="3161" customFormat="1" ht="12.75"/>
    <row r="1349" s="3161" customFormat="1" ht="12.75"/>
    <row r="1350" s="3161" customFormat="1" ht="12.75"/>
    <row r="1351" s="3161" customFormat="1" ht="12.75"/>
    <row r="1352" s="3161" customFormat="1" ht="12.75"/>
    <row r="1353" s="3161" customFormat="1" ht="12.75"/>
    <row r="1354" s="3161" customFormat="1" ht="12.75"/>
    <row r="1355" s="3161" customFormat="1" ht="12.75"/>
    <row r="1356" s="3161" customFormat="1" ht="12.75"/>
    <row r="1357" s="3161" customFormat="1" ht="12.75"/>
    <row r="1358" s="3161" customFormat="1" ht="12.75"/>
    <row r="1359" s="3161" customFormat="1" ht="12.75"/>
    <row r="1360" s="3161" customFormat="1" ht="12.75"/>
    <row r="1361" s="3161" customFormat="1" ht="12.75"/>
    <row r="1362" s="3161" customFormat="1" ht="12.75"/>
    <row r="1363" s="3161" customFormat="1" ht="12.75"/>
    <row r="1364" s="3161" customFormat="1" ht="12.75"/>
    <row r="1365" s="3161" customFormat="1" ht="12.75"/>
    <row r="1366" s="3161" customFormat="1" ht="12.75"/>
    <row r="1367" s="3161" customFormat="1" ht="12.75"/>
    <row r="1368" s="3161" customFormat="1" ht="12.75"/>
    <row r="1369" s="3161" customFormat="1" ht="12.75"/>
    <row r="1370" s="3161" customFormat="1" ht="12.75"/>
    <row r="1371" s="3161" customFormat="1" ht="12.75"/>
    <row r="1372" s="3161" customFormat="1" ht="12.75"/>
    <row r="1373" s="3161" customFormat="1" ht="12.75"/>
    <row r="1374" s="3161" customFormat="1" ht="12.75"/>
    <row r="1375" s="3161" customFormat="1" ht="12.75"/>
    <row r="1376" s="3161" customFormat="1" ht="12.75"/>
    <row r="1377" s="3161" customFormat="1" ht="12.75"/>
    <row r="1378" s="3161" customFormat="1" ht="12.75"/>
    <row r="1379" s="3161" customFormat="1" ht="12.75"/>
    <row r="1380" s="3161" customFormat="1" ht="12.75"/>
    <row r="1381" s="3161" customFormat="1" ht="12.75"/>
    <row r="1382" s="3161" customFormat="1" ht="12.75"/>
    <row r="1383" s="3161" customFormat="1" ht="12.75"/>
    <row r="1384" s="3161" customFormat="1" ht="12.75"/>
    <row r="1385" s="3161" customFormat="1" ht="12.75"/>
    <row r="1386" s="3161" customFormat="1" ht="12.75"/>
    <row r="1387" s="3161" customFormat="1" ht="12.75"/>
    <row r="1388" s="3161" customFormat="1" ht="12.75"/>
    <row r="1389" s="3161" customFormat="1" ht="12.75"/>
    <row r="1390" s="3161" customFormat="1" ht="12.75"/>
    <row r="1391" s="3161" customFormat="1" ht="12.75"/>
    <row r="1392" s="3161" customFormat="1" ht="12.75"/>
    <row r="1393" s="3161" customFormat="1" ht="12.75"/>
    <row r="1394" s="3161" customFormat="1" ht="12.75"/>
    <row r="1395" s="3161" customFormat="1" ht="12.75"/>
    <row r="1396" s="3161" customFormat="1" ht="12.75"/>
    <row r="1397" s="3161" customFormat="1" ht="12.75"/>
    <row r="1398" s="3161" customFormat="1" ht="12.75"/>
    <row r="1399" s="3161" customFormat="1" ht="12.75"/>
    <row r="1400" s="3161" customFormat="1" ht="12.75"/>
    <row r="1401" s="3161" customFormat="1" ht="12.75"/>
    <row r="1402" s="3161" customFormat="1" ht="12.75"/>
    <row r="1403" s="3161" customFormat="1" ht="12.75"/>
    <row r="1404" s="3161" customFormat="1" ht="12.75"/>
    <row r="1405" s="3161" customFormat="1" ht="12.75"/>
    <row r="1406" s="3161" customFormat="1" ht="12.75"/>
    <row r="1407" s="3161" customFormat="1" ht="12.75"/>
    <row r="1408" s="3161" customFormat="1" ht="12.75"/>
    <row r="1409" s="3161" customFormat="1" ht="12.75"/>
    <row r="1410" s="3161" customFormat="1" ht="12.75"/>
    <row r="1411" s="3161" customFormat="1" ht="12.75"/>
    <row r="1412" s="3161" customFormat="1" ht="12.75"/>
    <row r="1413" s="3161" customFormat="1" ht="12.75"/>
    <row r="1414" s="3161" customFormat="1" ht="12.75"/>
    <row r="1415" s="3161" customFormat="1" ht="12.75"/>
    <row r="1416" s="3161" customFormat="1" ht="12.75"/>
    <row r="1417" s="3161" customFormat="1" ht="12.75"/>
    <row r="1418" s="3161" customFormat="1" ht="12.75"/>
    <row r="1419" s="3161" customFormat="1" ht="12.75"/>
    <row r="1420" s="3161" customFormat="1" ht="12.75"/>
    <row r="1421" s="3161" customFormat="1" ht="12.75"/>
    <row r="1422" s="3161" customFormat="1" ht="12.75"/>
    <row r="1423" s="3161" customFormat="1" ht="12.75"/>
    <row r="1424" s="3161" customFormat="1" ht="12.75"/>
    <row r="1425" s="3161" customFormat="1" ht="12.75"/>
    <row r="1426" s="3161" customFormat="1" ht="12.75"/>
    <row r="1427" s="3161" customFormat="1" ht="12.75"/>
    <row r="1428" s="3161" customFormat="1" ht="12.75"/>
    <row r="1429" s="3161" customFormat="1" ht="12.75"/>
    <row r="1430" s="3161" customFormat="1" ht="12.75"/>
    <row r="1431" s="3161" customFormat="1" ht="12.75"/>
    <row r="1432" s="3161" customFormat="1" ht="12.75"/>
    <row r="1433" s="3161" customFormat="1" ht="12.75"/>
    <row r="1434" s="3161" customFormat="1" ht="12.75"/>
    <row r="1435" s="3161" customFormat="1" ht="12.75"/>
    <row r="1436" s="3161" customFormat="1" ht="12.75"/>
    <row r="1437" s="3161" customFormat="1" ht="12.75"/>
    <row r="1438" s="3161" customFormat="1" ht="12.75"/>
    <row r="1439" s="3161" customFormat="1" ht="12.75"/>
    <row r="1440" s="3161" customFormat="1" ht="12.75"/>
    <row r="1441" s="3161" customFormat="1" ht="12.75"/>
    <row r="1442" s="3161" customFormat="1" ht="12.75"/>
    <row r="1443" s="3161" customFormat="1" ht="12.75"/>
    <row r="1444" s="3161" customFormat="1" ht="12.75"/>
    <row r="1445" s="3161" customFormat="1" ht="12.75"/>
    <row r="1446" s="3161" customFormat="1" ht="12.75"/>
    <row r="1447" s="3161" customFormat="1" ht="12.75"/>
    <row r="1448" s="3161" customFormat="1" ht="12.75"/>
    <row r="1449" s="3161" customFormat="1" ht="12.75"/>
    <row r="1450" s="3161" customFormat="1" ht="12.75"/>
    <row r="1451" s="3161" customFormat="1" ht="12.75"/>
    <row r="1452" s="3161" customFormat="1" ht="12.75"/>
    <row r="1453" s="3161" customFormat="1" ht="12.75"/>
    <row r="1454" s="3161" customFormat="1" ht="12.75"/>
    <row r="1455" s="3161" customFormat="1" ht="12.75"/>
    <row r="1456" s="3161" customFormat="1" ht="12.75"/>
    <row r="1457" s="3161" customFormat="1" ht="12.75"/>
    <row r="1458" s="3161" customFormat="1" ht="12.75"/>
    <row r="1459" s="3161" customFormat="1" ht="12.75"/>
    <row r="1460" s="3161" customFormat="1" ht="12.75"/>
    <row r="1461" s="3161" customFormat="1" ht="12.75"/>
    <row r="1462" s="3161" customFormat="1" ht="12.75"/>
    <row r="1463" s="3161" customFormat="1" ht="12.75"/>
    <row r="1464" s="3161" customFormat="1" ht="12.75"/>
    <row r="1465" s="3161" customFormat="1" ht="12.75"/>
    <row r="1466" s="3161" customFormat="1" ht="12.75"/>
    <row r="1467" s="3161" customFormat="1" ht="12.75"/>
    <row r="1468" s="3161" customFormat="1" ht="12.75"/>
    <row r="1469" s="3161" customFormat="1" ht="12.75"/>
    <row r="1470" s="3161" customFormat="1" ht="12.75"/>
    <row r="1471" s="3161" customFormat="1" ht="12.75"/>
    <row r="1472" s="3161" customFormat="1" ht="12.75"/>
    <row r="1473" s="3161" customFormat="1" ht="12.75"/>
    <row r="1474" s="3161" customFormat="1" ht="12.75"/>
    <row r="1475" s="3161" customFormat="1" ht="12.75"/>
    <row r="1476" s="3161" customFormat="1" ht="12.75"/>
    <row r="1477" s="3161" customFormat="1" ht="12.75"/>
    <row r="1478" s="3161" customFormat="1" ht="12.75"/>
    <row r="1479" s="3161" customFormat="1" ht="12.75"/>
    <row r="1480" s="3161" customFormat="1" ht="12.75"/>
    <row r="1481" s="3161" customFormat="1" ht="12.75"/>
    <row r="1482" s="3161" customFormat="1" ht="12.75"/>
    <row r="1483" s="3161" customFormat="1" ht="12.75"/>
    <row r="1484" s="3161" customFormat="1" ht="12.75"/>
    <row r="1485" s="3161" customFormat="1" ht="12.75"/>
    <row r="1486" s="3161" customFormat="1" ht="12.75"/>
    <row r="1487" s="3161" customFormat="1" ht="12.75"/>
    <row r="1488" s="3161" customFormat="1" ht="12.75"/>
    <row r="1489" s="3161" customFormat="1" ht="12.75"/>
    <row r="1490" s="3161" customFormat="1" ht="12.75"/>
    <row r="1491" s="3161" customFormat="1" ht="12.75"/>
    <row r="1492" s="3161" customFormat="1" ht="12.75"/>
    <row r="1493" s="3161" customFormat="1" ht="12.75"/>
    <row r="1494" s="3161" customFormat="1" ht="12.75"/>
    <row r="1495" s="3161" customFormat="1" ht="12.75"/>
    <row r="1496" s="3161" customFormat="1" ht="12.75"/>
    <row r="1497" s="3161" customFormat="1" ht="12.75"/>
    <row r="1498" s="3161" customFormat="1" ht="12.75"/>
    <row r="1499" s="3161" customFormat="1" ht="12.75"/>
    <row r="1500" s="3161" customFormat="1" ht="12.75"/>
    <row r="1501" s="3161" customFormat="1" ht="12.75"/>
    <row r="1502" s="3161" customFormat="1" ht="12.75"/>
    <row r="1503" s="3161" customFormat="1" ht="12.75"/>
    <row r="1504" s="3161" customFormat="1" ht="12.75"/>
    <row r="1505" s="3161" customFormat="1" ht="12.75"/>
    <row r="1506" s="3161" customFormat="1" ht="12.75"/>
    <row r="1507" s="3161" customFormat="1" ht="12.75"/>
    <row r="1508" s="3161" customFormat="1" ht="12.75"/>
    <row r="1509" s="3161" customFormat="1" ht="12.75"/>
    <row r="1510" s="3161" customFormat="1" ht="12.75"/>
    <row r="1511" s="3161" customFormat="1" ht="12.75"/>
    <row r="1512" s="3161" customFormat="1" ht="12.75"/>
    <row r="1513" s="3161" customFormat="1" ht="12.75"/>
    <row r="1514" s="3161" customFormat="1" ht="12.75"/>
    <row r="1515" s="3161" customFormat="1" ht="12.75"/>
    <row r="1516" s="3161" customFormat="1" ht="12.75"/>
    <row r="1517" s="3161" customFormat="1" ht="12.75"/>
    <row r="1518" s="3161" customFormat="1" ht="12.75"/>
    <row r="1519" s="3161" customFormat="1" ht="12.75"/>
    <row r="1520" s="3161" customFormat="1" ht="12.75"/>
    <row r="1521" s="3161" customFormat="1" ht="12.75"/>
    <row r="1522" s="3161" customFormat="1" ht="12.75"/>
    <row r="1523" s="3161" customFormat="1" ht="12.75"/>
    <row r="1524" s="3161" customFormat="1" ht="12.75"/>
    <row r="1525" s="3161" customFormat="1" ht="12.75"/>
    <row r="1526" s="3161" customFormat="1" ht="12.75"/>
    <row r="1527" s="3161" customFormat="1" ht="12.75"/>
    <row r="1528" s="3161" customFormat="1" ht="12.75"/>
    <row r="1529" s="3161" customFormat="1" ht="12.75"/>
    <row r="1530" s="3161" customFormat="1" ht="12.75"/>
    <row r="1531" s="3161" customFormat="1" ht="12.75"/>
    <row r="1532" s="3161" customFormat="1" ht="12.75"/>
    <row r="1533" s="3161" customFormat="1" ht="12.75"/>
    <row r="1534" s="3161" customFormat="1" ht="12.75"/>
    <row r="1535" s="3161" customFormat="1" ht="12.75"/>
    <row r="1536" s="3161" customFormat="1" ht="12.75"/>
    <row r="1537" s="3161" customFormat="1" ht="12.75"/>
    <row r="1538" s="3161" customFormat="1" ht="12.75"/>
    <row r="1539" s="3161" customFormat="1" ht="12.75"/>
    <row r="1540" s="3161" customFormat="1" ht="12.75"/>
    <row r="1541" s="3161" customFormat="1" ht="12.75"/>
    <row r="1542" s="3161" customFormat="1" ht="12.75"/>
    <row r="1543" s="3161" customFormat="1" ht="12.75"/>
    <row r="1544" s="3161" customFormat="1" ht="12.75"/>
    <row r="1545" s="3161" customFormat="1" ht="12.75"/>
    <row r="1546" s="3161" customFormat="1" ht="12.75"/>
    <row r="1547" s="3161" customFormat="1" ht="12.75"/>
    <row r="1548" s="3161" customFormat="1" ht="12.75"/>
    <row r="1549" s="3161" customFormat="1" ht="12.75"/>
    <row r="1550" s="3161" customFormat="1" ht="12.75"/>
    <row r="1551" s="3161" customFormat="1" ht="12.75"/>
    <row r="1552" s="3161" customFormat="1" ht="12.75"/>
    <row r="1553" s="3161" customFormat="1" ht="12.75"/>
    <row r="1554" s="3161" customFormat="1" ht="12.75"/>
    <row r="1555" s="3161" customFormat="1" ht="12.75"/>
    <row r="1556" s="3161" customFormat="1" ht="12.75"/>
    <row r="1557" s="3161" customFormat="1" ht="12.75"/>
    <row r="1558" s="3161" customFormat="1" ht="12.75"/>
    <row r="1559" s="3161" customFormat="1" ht="12.75"/>
    <row r="1560" s="3161" customFormat="1" ht="12.75"/>
    <row r="1561" s="3161" customFormat="1" ht="12.75"/>
    <row r="1562" s="3161" customFormat="1" ht="12.75"/>
    <row r="1563" s="3161" customFormat="1" ht="12.75"/>
    <row r="1564" s="3161" customFormat="1" ht="12.75"/>
    <row r="1565" s="3161" customFormat="1" ht="12.75"/>
    <row r="1566" s="3161" customFormat="1" ht="12.75"/>
    <row r="1567" s="3161" customFormat="1" ht="12.75"/>
    <row r="1568" s="3161" customFormat="1" ht="12.75"/>
    <row r="1569" s="3161" customFormat="1" ht="12.75"/>
    <row r="1570" s="3161" customFormat="1" ht="12.75"/>
    <row r="1571" s="3161" customFormat="1" ht="12.75"/>
    <row r="1572" s="3161" customFormat="1" ht="12.75"/>
    <row r="1573" s="3161" customFormat="1" ht="12.75"/>
    <row r="1574" s="3161" customFormat="1" ht="12.75"/>
    <row r="1575" s="3161" customFormat="1" ht="12.75"/>
    <row r="1576" s="3161" customFormat="1" ht="12.75"/>
    <row r="1577" s="3161" customFormat="1" ht="12.75"/>
    <row r="1578" s="3161" customFormat="1" ht="12.75"/>
    <row r="1579" s="3161" customFormat="1" ht="12.75"/>
    <row r="1580" s="3161" customFormat="1" ht="12.75"/>
    <row r="1581" s="3161" customFormat="1" ht="12.75"/>
    <row r="1582" s="3161" customFormat="1" ht="12.75"/>
    <row r="1583" s="3161" customFormat="1" ht="12.75"/>
    <row r="1584" s="3161" customFormat="1" ht="12.75"/>
    <row r="1585" s="3161" customFormat="1" ht="12.75"/>
    <row r="1586" s="3161" customFormat="1" ht="12.75"/>
    <row r="1587" s="3161" customFormat="1" ht="12.75"/>
    <row r="1588" s="3161" customFormat="1" ht="12.75"/>
    <row r="1589" s="3161" customFormat="1" ht="12.75"/>
    <row r="1590" s="3161" customFormat="1" ht="12.75"/>
    <row r="1591" s="3161" customFormat="1" ht="12.75"/>
    <row r="1592" s="3161" customFormat="1" ht="12.75"/>
    <row r="1593" s="3161" customFormat="1" ht="12.75"/>
    <row r="1594" s="3161" customFormat="1" ht="12.75"/>
    <row r="1595" s="3161" customFormat="1" ht="12.75"/>
    <row r="1596" s="3161" customFormat="1" ht="12.75"/>
    <row r="1597" s="3161" customFormat="1" ht="12.75"/>
    <row r="1598" s="3161" customFormat="1" ht="12.75"/>
    <row r="1599" s="3161" customFormat="1" ht="12.75"/>
    <row r="1600" s="3161" customFormat="1" ht="12.75"/>
    <row r="1601" s="3161" customFormat="1" ht="12.75"/>
    <row r="1602" s="3161" customFormat="1" ht="12.75"/>
    <row r="1603" s="3161" customFormat="1" ht="12.75"/>
    <row r="1604" s="3161" customFormat="1" ht="12.75"/>
    <row r="1605" s="3161" customFormat="1" ht="12.75"/>
    <row r="1606" s="3161" customFormat="1" ht="12.75"/>
    <row r="1607" s="3161" customFormat="1" ht="12.75"/>
    <row r="1608" s="3161" customFormat="1" ht="12.75"/>
    <row r="1609" s="3161" customFormat="1" ht="12.75"/>
    <row r="1610" s="3161" customFormat="1" ht="12.75"/>
    <row r="1611" s="3161" customFormat="1" ht="12.75"/>
    <row r="1612" s="3161" customFormat="1" ht="12.75"/>
    <row r="1613" s="3161" customFormat="1" ht="12.75"/>
    <row r="1614" s="3161" customFormat="1" ht="12.75"/>
    <row r="1615" s="3161" customFormat="1" ht="12.75"/>
    <row r="1616" s="3161" customFormat="1" ht="12.75"/>
    <row r="1617" s="3161" customFormat="1" ht="12.75"/>
    <row r="1618" s="3161" customFormat="1" ht="12.75"/>
    <row r="1619" s="3161" customFormat="1" ht="12.75"/>
    <row r="1620" s="3161" customFormat="1" ht="12.75"/>
    <row r="1621" s="3161" customFormat="1" ht="12.75"/>
    <row r="1622" s="3161" customFormat="1" ht="12.75"/>
    <row r="1623" s="3161" customFormat="1" ht="12.75"/>
    <row r="1624" s="3161" customFormat="1" ht="12.75"/>
    <row r="1625" s="3161" customFormat="1" ht="12.75"/>
    <row r="1626" s="3161" customFormat="1" ht="12.75"/>
    <row r="1627" s="3161" customFormat="1" ht="12.75"/>
    <row r="1628" s="3161" customFormat="1" ht="12.75"/>
    <row r="1629" s="3161" customFormat="1" ht="12.75"/>
    <row r="1630" s="3161" customFormat="1" ht="12.75"/>
    <row r="1631" s="3161" customFormat="1" ht="12.75"/>
    <row r="1632" s="3161" customFormat="1" ht="12.75"/>
    <row r="1633" s="3161" customFormat="1" ht="12.75"/>
    <row r="1634" s="3161" customFormat="1" ht="12.75"/>
    <row r="1635" s="3161" customFormat="1" ht="12.75"/>
    <row r="1636" s="3161" customFormat="1" ht="12.75"/>
    <row r="1637" s="3161" customFormat="1" ht="12.75"/>
    <row r="1638" s="3161" customFormat="1" ht="12.75"/>
    <row r="1639" s="3161" customFormat="1" ht="12.75"/>
    <row r="1640" s="3161" customFormat="1" ht="12.75"/>
    <row r="1641" s="3161" customFormat="1" ht="12.75"/>
    <row r="1642" s="3161" customFormat="1" ht="12.75"/>
    <row r="1643" s="3161" customFormat="1" ht="12.75"/>
    <row r="1644" s="3161" customFormat="1" ht="12.75"/>
    <row r="1645" s="3161" customFormat="1" ht="12.75"/>
    <row r="1646" s="3161" customFormat="1" ht="12.75"/>
    <row r="1647" s="3161" customFormat="1" ht="12.75"/>
    <row r="1648" s="3161" customFormat="1" ht="12.75"/>
    <row r="1649" s="3161" customFormat="1" ht="12.75"/>
    <row r="1650" s="3161" customFormat="1" ht="12.75"/>
    <row r="1651" s="3161" customFormat="1" ht="12.75"/>
    <row r="1652" s="3161" customFormat="1" ht="12.75"/>
    <row r="1653" s="3161" customFormat="1" ht="12.75"/>
    <row r="1654" s="3161" customFormat="1" ht="12.75"/>
    <row r="1655" s="3161" customFormat="1" ht="12.75"/>
    <row r="1656" s="3161" customFormat="1" ht="12.75"/>
    <row r="1657" s="3161" customFormat="1" ht="12.75"/>
    <row r="1658" s="3161" customFormat="1" ht="12.75"/>
    <row r="1659" s="3161" customFormat="1" ht="12.75"/>
    <row r="1660" s="3161" customFormat="1" ht="12.75"/>
    <row r="1661" s="3161" customFormat="1" ht="12.75"/>
    <row r="1662" s="3161" customFormat="1" ht="12.75"/>
    <row r="1663" s="3161" customFormat="1" ht="12.75"/>
    <row r="1664" s="3161" customFormat="1" ht="12.75"/>
    <row r="1665" s="3161" customFormat="1" ht="12.75"/>
    <row r="1666" s="3161" customFormat="1" ht="12.75"/>
    <row r="1667" s="3161" customFormat="1" ht="12.75"/>
    <row r="1668" s="3161" customFormat="1" ht="12.75"/>
    <row r="1669" s="3161" customFormat="1" ht="12.75"/>
    <row r="1670" s="3161" customFormat="1" ht="12.75"/>
    <row r="1671" s="3161" customFormat="1" ht="12.75"/>
    <row r="1672" s="3161" customFormat="1" ht="12.75"/>
    <row r="1673" s="3161" customFormat="1" ht="12.75"/>
    <row r="1674" s="3161" customFormat="1" ht="12.75"/>
    <row r="1675" s="3161" customFormat="1" ht="12.75"/>
    <row r="1676" s="3161" customFormat="1" ht="12.75"/>
    <row r="1677" s="3161" customFormat="1" ht="12.75"/>
    <row r="1678" s="3161" customFormat="1" ht="12.75"/>
    <row r="1679" s="3161" customFormat="1" ht="12.75"/>
    <row r="1680" s="3161" customFormat="1" ht="12.75"/>
    <row r="1681" s="3161" customFormat="1" ht="12.75"/>
    <row r="1682" s="3161" customFormat="1" ht="12.75"/>
    <row r="1683" s="3161" customFormat="1" ht="12.75"/>
    <row r="1684" s="3161" customFormat="1" ht="12.75"/>
    <row r="1685" s="3161" customFormat="1" ht="12.75"/>
    <row r="1686" s="3161" customFormat="1" ht="12.75"/>
    <row r="1687" s="3161" customFormat="1" ht="12.75"/>
    <row r="1688" s="3161" customFormat="1" ht="12.75"/>
    <row r="1689" s="3161" customFormat="1" ht="12.75"/>
    <row r="1690" s="3161" customFormat="1" ht="12.75"/>
    <row r="1691" s="3161" customFormat="1" ht="12.75"/>
    <row r="1692" s="3161" customFormat="1" ht="12.75"/>
    <row r="1693" s="3161" customFormat="1" ht="12.75"/>
    <row r="1694" s="3161" customFormat="1" ht="12.75"/>
    <row r="1695" s="3161" customFormat="1" ht="12.75"/>
    <row r="1696" s="3161" customFormat="1" ht="12.75"/>
    <row r="1697" s="3161" customFormat="1" ht="12.75"/>
    <row r="1698" s="3161" customFormat="1" ht="12.75"/>
    <row r="1699" s="3161" customFormat="1" ht="12.75"/>
    <row r="1700" s="3161" customFormat="1" ht="12.75"/>
    <row r="1701" s="3161" customFormat="1" ht="12.75"/>
    <row r="1702" s="3161" customFormat="1" ht="12.75"/>
    <row r="1703" s="3161" customFormat="1" ht="12.75"/>
    <row r="1704" s="3161" customFormat="1" ht="12.75"/>
    <row r="1705" s="3161" customFormat="1" ht="12.75"/>
    <row r="1706" s="3161" customFormat="1" ht="12.75"/>
    <row r="1707" s="3161" customFormat="1" ht="12.75"/>
    <row r="1708" s="3161" customFormat="1" ht="12.75"/>
    <row r="1709" s="3161" customFormat="1" ht="12.75"/>
    <row r="1710" s="3161" customFormat="1" ht="12.75"/>
    <row r="1711" s="3161" customFormat="1" ht="12.75"/>
    <row r="1712" s="3161" customFormat="1" ht="12.75"/>
    <row r="1713" s="3161" customFormat="1" ht="12.75"/>
    <row r="1714" s="3161" customFormat="1" ht="12.75"/>
    <row r="1715" s="3161" customFormat="1" ht="12.75"/>
    <row r="1716" s="3161" customFormat="1" ht="12.75"/>
    <row r="1717" s="3161" customFormat="1" ht="12.75"/>
    <row r="1718" s="3161" customFormat="1" ht="12.75"/>
    <row r="1719" s="3161" customFormat="1" ht="12.75"/>
    <row r="1720" s="3161" customFormat="1" ht="12.75"/>
    <row r="1721" s="3161" customFormat="1" ht="12.75"/>
    <row r="1722" s="3161" customFormat="1" ht="12.75"/>
    <row r="1723" s="3161" customFormat="1" ht="12.75"/>
    <row r="1724" s="3161" customFormat="1" ht="12.75"/>
    <row r="1725" s="3161" customFormat="1" ht="12.75"/>
    <row r="1726" s="3161" customFormat="1" ht="12.75"/>
    <row r="1727" s="3161" customFormat="1" ht="12.75"/>
    <row r="1728" s="3161" customFormat="1" ht="12.75"/>
    <row r="1729" s="3161" customFormat="1" ht="12.75"/>
    <row r="1730" s="3161" customFormat="1" ht="12.75"/>
    <row r="1731" s="3161" customFormat="1" ht="12.75"/>
    <row r="1732" s="3161" customFormat="1" ht="12.75"/>
    <row r="1733" s="3161" customFormat="1" ht="12.75"/>
    <row r="1734" s="3161" customFormat="1" ht="12.75"/>
    <row r="1735" s="3161" customFormat="1" ht="12.75"/>
    <row r="1736" s="3161" customFormat="1" ht="12.75"/>
    <row r="1737" s="3161" customFormat="1" ht="12.75"/>
    <row r="1738" s="3161" customFormat="1" ht="12.75"/>
    <row r="1739" s="3161" customFormat="1" ht="12.75"/>
    <row r="1740" s="3161" customFormat="1" ht="12.75"/>
    <row r="1741" s="3161" customFormat="1" ht="12.75"/>
    <row r="1742" s="3161" customFormat="1" ht="12.75"/>
    <row r="1743" s="3161" customFormat="1" ht="12.75"/>
    <row r="1744" s="3161" customFormat="1" ht="12.75"/>
    <row r="1745" s="3161" customFormat="1" ht="12.75"/>
    <row r="1746" s="3161" customFormat="1" ht="12.75"/>
    <row r="1747" s="3161" customFormat="1" ht="12.75"/>
    <row r="1748" s="3161" customFormat="1" ht="12.75"/>
    <row r="1749" s="3161" customFormat="1" ht="12.75"/>
    <row r="1750" s="3161" customFormat="1" ht="12.75"/>
    <row r="1751" s="3161" customFormat="1" ht="12.75"/>
    <row r="1752" s="3161" customFormat="1" ht="12.75"/>
    <row r="1753" s="3161" customFormat="1" ht="12.75"/>
    <row r="1754" s="3161" customFormat="1" ht="12.75"/>
    <row r="1755" s="3161" customFormat="1" ht="12.75"/>
    <row r="1756" s="3161" customFormat="1" ht="12.75"/>
    <row r="1757" s="3161" customFormat="1" ht="12.75"/>
    <row r="1758" s="3161" customFormat="1" ht="12.75"/>
    <row r="1759" s="3161" customFormat="1" ht="12.75"/>
    <row r="1760" s="3161" customFormat="1" ht="12.75"/>
    <row r="1761" s="3161" customFormat="1" ht="12.75"/>
    <row r="1762" s="3161" customFormat="1" ht="12.75"/>
    <row r="1763" s="3161" customFormat="1" ht="12.75"/>
    <row r="1764" s="3161" customFormat="1" ht="12.75"/>
    <row r="1765" s="3161" customFormat="1" ht="12.75"/>
    <row r="1766" s="3161" customFormat="1" ht="12.75"/>
    <row r="1767" s="3161" customFormat="1" ht="12.75"/>
    <row r="1768" s="3161" customFormat="1" ht="12.75"/>
    <row r="1769" s="3161" customFormat="1" ht="12.75"/>
    <row r="1770" s="3161" customFormat="1" ht="12.75"/>
    <row r="1771" s="3161" customFormat="1" ht="12.75"/>
    <row r="1772" s="3161" customFormat="1" ht="12.75"/>
    <row r="1773" s="3161" customFormat="1" ht="12.75"/>
    <row r="1774" s="3161" customFormat="1" ht="12.75"/>
    <row r="1775" s="3161" customFormat="1" ht="12.75"/>
    <row r="1776" s="3161" customFormat="1" ht="12.75"/>
    <row r="1777" s="3161" customFormat="1" ht="12.75"/>
    <row r="1778" s="3161" customFormat="1" ht="12.75"/>
    <row r="1779" s="3161" customFormat="1" ht="12.75"/>
    <row r="1780" s="3161" customFormat="1" ht="12.75"/>
    <row r="1781" s="3161" customFormat="1" ht="12.75"/>
    <row r="1782" s="3161" customFormat="1" ht="12.75"/>
    <row r="1783" s="3161" customFormat="1" ht="12.75"/>
    <row r="1784" s="3161" customFormat="1" ht="12.75"/>
    <row r="1785" s="3161" customFormat="1" ht="12.75"/>
    <row r="1786" s="3161" customFormat="1" ht="12.75"/>
    <row r="1787" s="3161" customFormat="1" ht="12.75"/>
    <row r="1788" s="3161" customFormat="1" ht="12.75"/>
    <row r="1789" s="3161" customFormat="1" ht="12.75"/>
    <row r="1790" s="3161" customFormat="1" ht="12.75"/>
    <row r="1791" s="3161" customFormat="1" ht="12.75"/>
    <row r="1792" s="3161" customFormat="1" ht="12.75"/>
    <row r="1793" s="3161" customFormat="1" ht="12.75"/>
    <row r="1794" s="3161" customFormat="1" ht="12.75"/>
    <row r="1795" s="3161" customFormat="1" ht="12.75"/>
    <row r="1796" s="3161" customFormat="1" ht="12.75"/>
    <row r="1797" s="3161" customFormat="1" ht="12.75"/>
    <row r="1798" s="3161" customFormat="1" ht="12.75"/>
    <row r="1799" s="3161" customFormat="1" ht="12.75"/>
    <row r="1800" s="3161" customFormat="1" ht="12.75"/>
    <row r="1801" s="3161" customFormat="1" ht="12.75"/>
    <row r="1802" s="3161" customFormat="1" ht="12.75"/>
    <row r="1803" s="3161" customFormat="1" ht="12.75"/>
    <row r="1804" s="3161" customFormat="1" ht="12.75"/>
    <row r="1805" s="3161" customFormat="1" ht="12.75"/>
    <row r="1806" s="3161" customFormat="1" ht="12.75"/>
    <row r="1807" s="3161" customFormat="1" ht="12.75"/>
    <row r="1808" s="3161" customFormat="1" ht="12.75"/>
    <row r="1809" s="3161" customFormat="1" ht="12.75"/>
    <row r="1810" s="3161" customFormat="1" ht="12.75"/>
    <row r="1811" s="3161" customFormat="1" ht="12.75"/>
    <row r="1812" s="3161" customFormat="1" ht="12.75"/>
    <row r="1813" s="3161" customFormat="1" ht="12.75"/>
    <row r="1814" s="3161" customFormat="1" ht="12.75"/>
    <row r="1815" s="3161" customFormat="1" ht="12.75"/>
    <row r="1816" s="3161" customFormat="1" ht="12.75"/>
    <row r="1817" s="3161" customFormat="1" ht="12.75"/>
    <row r="1818" s="3161" customFormat="1" ht="12.75"/>
    <row r="1819" s="3161" customFormat="1" ht="12.75"/>
    <row r="1820" s="3161" customFormat="1" ht="12.75"/>
    <row r="1821" s="3161" customFormat="1" ht="12.75"/>
    <row r="1822" s="3161" customFormat="1" ht="12.75"/>
    <row r="1823" s="3161" customFormat="1" ht="12.75"/>
    <row r="1824" s="3161" customFormat="1" ht="12.75"/>
    <row r="1825" s="3161" customFormat="1" ht="12.75"/>
    <row r="1826" s="3161" customFormat="1" ht="12.75"/>
    <row r="1827" s="3161" customFormat="1" ht="12.75"/>
    <row r="1828" s="3161" customFormat="1" ht="12.75"/>
    <row r="1829" s="3161" customFormat="1" ht="12.75"/>
    <row r="1830" s="3161" customFormat="1" ht="12.75"/>
    <row r="1831" s="3161" customFormat="1" ht="12.75"/>
    <row r="1832" s="3161" customFormat="1" ht="12.75"/>
    <row r="1833" s="3161" customFormat="1" ht="12.75"/>
    <row r="1834" s="3161" customFormat="1" ht="12.75"/>
    <row r="1835" s="3161" customFormat="1" ht="12.75"/>
    <row r="1836" s="3161" customFormat="1" ht="12.75"/>
    <row r="1837" s="3161" customFormat="1" ht="12.75"/>
    <row r="1838" s="3161" customFormat="1" ht="12.75"/>
    <row r="1839" s="3161" customFormat="1" ht="12.75"/>
    <row r="1840" s="3161" customFormat="1" ht="12.75"/>
    <row r="1841" s="3161" customFormat="1" ht="12.75"/>
    <row r="1842" s="3161" customFormat="1" ht="12.75"/>
    <row r="1843" s="3161" customFormat="1" ht="12.75"/>
    <row r="1844" s="3161" customFormat="1" ht="12.75"/>
    <row r="1845" s="3161" customFormat="1" ht="12.75"/>
    <row r="1846" s="3161" customFormat="1" ht="12.75"/>
    <row r="1847" s="3161" customFormat="1" ht="12.75"/>
    <row r="1848" s="3161" customFormat="1" ht="12.75"/>
    <row r="1849" s="3161" customFormat="1" ht="12.75"/>
    <row r="1850" s="3161" customFormat="1" ht="12.75"/>
    <row r="1851" s="3161" customFormat="1" ht="12.75"/>
    <row r="1852" s="3161" customFormat="1" ht="12.75"/>
    <row r="1853" s="3161" customFormat="1" ht="12.75"/>
    <row r="1854" s="3161" customFormat="1" ht="12.75"/>
    <row r="1855" s="3161" customFormat="1" ht="12.75"/>
    <row r="1856" s="3161" customFormat="1" ht="12.75"/>
    <row r="1857" s="3161" customFormat="1" ht="12.75"/>
    <row r="1858" s="3161" customFormat="1" ht="12.75"/>
    <row r="1859" s="3161" customFormat="1" ht="12.75"/>
    <row r="1860" s="3161" customFormat="1" ht="12.75"/>
    <row r="1861" s="3161" customFormat="1" ht="12.75"/>
    <row r="1862" s="3161" customFormat="1" ht="12.75"/>
    <row r="1863" s="3161" customFormat="1" ht="12.75"/>
    <row r="1864" s="3161" customFormat="1" ht="12.75"/>
    <row r="1865" s="3161" customFormat="1" ht="12.75"/>
    <row r="1866" s="3161" customFormat="1" ht="12.75"/>
    <row r="1867" s="3161" customFormat="1" ht="12.75"/>
    <row r="1868" s="3161" customFormat="1" ht="12.75"/>
    <row r="1869" s="3161" customFormat="1" ht="12.75"/>
    <row r="1870" s="3161" customFormat="1" ht="12.75"/>
    <row r="1871" s="3161" customFormat="1" ht="12.75"/>
    <row r="1872" s="3161" customFormat="1" ht="12.75"/>
    <row r="1873" s="3161" customFormat="1" ht="12.75"/>
    <row r="1874" s="3161" customFormat="1" ht="12.75"/>
    <row r="1875" s="3161" customFormat="1" ht="12.75"/>
    <row r="1876" s="3161" customFormat="1" ht="12.75"/>
    <row r="1877" s="3161" customFormat="1" ht="12.75"/>
    <row r="1878" s="3161" customFormat="1" ht="12.75"/>
    <row r="1879" s="3161" customFormat="1" ht="12.75"/>
    <row r="1880" s="3161" customFormat="1" ht="12.75"/>
    <row r="1881" s="3161" customFormat="1" ht="12.75"/>
    <row r="1882" s="3161" customFormat="1" ht="12.75"/>
    <row r="1883" s="3161" customFormat="1" ht="12.75"/>
    <row r="1884" s="3161" customFormat="1" ht="12.75"/>
    <row r="1885" s="3161" customFormat="1" ht="12.75"/>
    <row r="1886" s="3161" customFormat="1" ht="12.75"/>
    <row r="1887" s="3161" customFormat="1" ht="12.75"/>
    <row r="1888" s="3161" customFormat="1" ht="12.75"/>
    <row r="1889" s="3161" customFormat="1" ht="12.75"/>
    <row r="1890" s="3161" customFormat="1" ht="12.75"/>
    <row r="1891" s="3161" customFormat="1" ht="12.75"/>
    <row r="1892" s="3161" customFormat="1" ht="12.75"/>
    <row r="1893" s="3161" customFormat="1" ht="12.75"/>
    <row r="1894" s="3161" customFormat="1" ht="12.75"/>
    <row r="1895" s="3161" customFormat="1" ht="12.75"/>
    <row r="1896" s="3161" customFormat="1" ht="12.75"/>
    <row r="1897" s="3161" customFormat="1" ht="12.75"/>
    <row r="1898" s="3161" customFormat="1" ht="12.75"/>
    <row r="1899" s="3161" customFormat="1" ht="12.75"/>
    <row r="1900" s="3161" customFormat="1" ht="12.75"/>
    <row r="1901" s="3161" customFormat="1" ht="12.75"/>
    <row r="1902" s="3161" customFormat="1" ht="12.75"/>
    <row r="1903" s="3161" customFormat="1" ht="12.75"/>
    <row r="1904" s="3161" customFormat="1" ht="12.75"/>
    <row r="1905" s="3161" customFormat="1" ht="12.75"/>
    <row r="1906" s="3161" customFormat="1" ht="12.75"/>
    <row r="1907" s="3161" customFormat="1" ht="12.75"/>
    <row r="1908" s="3161" customFormat="1" ht="12.75"/>
    <row r="1909" s="3161" customFormat="1" ht="12.75"/>
    <row r="1910" s="3161" customFormat="1" ht="12.75"/>
    <row r="1911" s="3161" customFormat="1" ht="12.75"/>
    <row r="1912" s="3161" customFormat="1" ht="12.75"/>
    <row r="1913" s="3161" customFormat="1" ht="12.75"/>
    <row r="1914" s="3161" customFormat="1" ht="12.75"/>
    <row r="1915" s="3161" customFormat="1" ht="12.75"/>
    <row r="1916" s="3161" customFormat="1" ht="12.75"/>
    <row r="1917" s="3161" customFormat="1" ht="12.75"/>
    <row r="1918" s="3161" customFormat="1" ht="12.75"/>
    <row r="1919" s="3161" customFormat="1" ht="12.75"/>
    <row r="1920" s="3161" customFormat="1" ht="12.75"/>
    <row r="1921" s="3161" customFormat="1" ht="12.75"/>
    <row r="1922" s="3161" customFormat="1" ht="12.75"/>
    <row r="1923" s="3161" customFormat="1" ht="12.75"/>
    <row r="1924" s="3161" customFormat="1" ht="12.75"/>
    <row r="1925" s="3161" customFormat="1" ht="12.75"/>
    <row r="1926" s="3161" customFormat="1" ht="12.75"/>
    <row r="1927" s="3161" customFormat="1" ht="12.75"/>
    <row r="1928" s="3161" customFormat="1" ht="12.75"/>
    <row r="1929" s="3161" customFormat="1" ht="12.75"/>
    <row r="1930" s="3161" customFormat="1" ht="12.75"/>
    <row r="1931" s="3161" customFormat="1" ht="12.75"/>
    <row r="1932" s="3161" customFormat="1" ht="12.75"/>
    <row r="1933" s="3161" customFormat="1" ht="12.75"/>
    <row r="1934" s="3161" customFormat="1" ht="12.75"/>
    <row r="1935" s="3161" customFormat="1" ht="12.75"/>
    <row r="1936" s="3161" customFormat="1" ht="12.75"/>
    <row r="1937" s="3161" customFormat="1" ht="12.75"/>
    <row r="1938" s="3161" customFormat="1" ht="12.75"/>
    <row r="1939" s="3161" customFormat="1" ht="12.75"/>
    <row r="1940" s="3161" customFormat="1" ht="12.75"/>
    <row r="1941" s="3161" customFormat="1" ht="12.75"/>
    <row r="1942" s="3161" customFormat="1" ht="12.75"/>
    <row r="1943" s="3161" customFormat="1" ht="12.75"/>
    <row r="1944" s="3161" customFormat="1" ht="12.75"/>
    <row r="1945" s="3161" customFormat="1" ht="12.75"/>
    <row r="1946" s="3161" customFormat="1" ht="12.75"/>
    <row r="1947" s="3161" customFormat="1" ht="12.75"/>
    <row r="1948" s="3161" customFormat="1" ht="12.75"/>
    <row r="1949" s="3161" customFormat="1" ht="12.75"/>
    <row r="1950" s="3161" customFormat="1" ht="12.75"/>
    <row r="1951" s="3161" customFormat="1" ht="12.75"/>
    <row r="1952" s="3161" customFormat="1" ht="12.75"/>
    <row r="1953" s="3161" customFormat="1" ht="12.75"/>
    <row r="1954" s="3161" customFormat="1" ht="12.75"/>
    <row r="1955" s="3161" customFormat="1" ht="12.75"/>
    <row r="1956" s="3161" customFormat="1" ht="12.75"/>
    <row r="1957" s="3161" customFormat="1" ht="12.75"/>
    <row r="1958" s="3161" customFormat="1" ht="12.75"/>
    <row r="1959" s="3161" customFormat="1" ht="12.75"/>
    <row r="1960" s="3161" customFormat="1" ht="12.75"/>
    <row r="1961" s="3161" customFormat="1" ht="12.75"/>
    <row r="1962" s="3161" customFormat="1" ht="12.75"/>
    <row r="1963" s="3161" customFormat="1" ht="12.75"/>
    <row r="1964" s="3161" customFormat="1" ht="12.75"/>
    <row r="1965" s="3161" customFormat="1" ht="12.75"/>
    <row r="1966" s="3161" customFormat="1" ht="12.75"/>
    <row r="1967" s="3161" customFormat="1" ht="12.75"/>
    <row r="1968" s="3161" customFormat="1" ht="12.75"/>
    <row r="1969" s="3161" customFormat="1" ht="12.75"/>
    <row r="1970" s="3161" customFormat="1" ht="12.75"/>
    <row r="1971" s="3161" customFormat="1" ht="12.75"/>
    <row r="1972" s="3161" customFormat="1" ht="12.75"/>
    <row r="1973" s="3161" customFormat="1" ht="12.75"/>
    <row r="1974" s="3161" customFormat="1" ht="12.75"/>
    <row r="1975" s="3161" customFormat="1" ht="12.75"/>
    <row r="1976" s="3161" customFormat="1" ht="12.75"/>
    <row r="1977" s="3161" customFormat="1" ht="12.75"/>
    <row r="1978" s="3161" customFormat="1" ht="12.75"/>
    <row r="1979" s="3161" customFormat="1" ht="12.75"/>
    <row r="1980" s="3161" customFormat="1" ht="12.75"/>
    <row r="1981" s="3161" customFormat="1" ht="12.75"/>
    <row r="1982" s="3161" customFormat="1" ht="12.75"/>
    <row r="1983" s="3161" customFormat="1" ht="12.75"/>
    <row r="1984" s="3161" customFormat="1" ht="12.75"/>
    <row r="1985" s="3161" customFormat="1" ht="12.75"/>
    <row r="1986" s="3161" customFormat="1" ht="12.75"/>
    <row r="1987" s="3161" customFormat="1" ht="12.75"/>
    <row r="1988" s="3161" customFormat="1" ht="12.75"/>
    <row r="1989" s="3161" customFormat="1" ht="12.75"/>
    <row r="1990" s="3161" customFormat="1" ht="12.75"/>
    <row r="1991" s="3161" customFormat="1" ht="12.75"/>
    <row r="1992" s="3161" customFormat="1" ht="12.75"/>
    <row r="1993" s="3161" customFormat="1" ht="12.75"/>
    <row r="1994" s="3161" customFormat="1" ht="12.75"/>
    <row r="1995" s="3161" customFormat="1" ht="12.75"/>
    <row r="1996" s="3161" customFormat="1" ht="12.75"/>
    <row r="1997" s="3161" customFormat="1" ht="12.75"/>
    <row r="1998" s="3161" customFormat="1" ht="12.75"/>
    <row r="1999" s="3161" customFormat="1" ht="12.75"/>
    <row r="2000" s="3161" customFormat="1" ht="12.75"/>
    <row r="2001" s="3161" customFormat="1" ht="12.75"/>
    <row r="2002" s="3161" customFormat="1" ht="12.75"/>
    <row r="2003" s="3161" customFormat="1" ht="12.75"/>
    <row r="2004" s="3161" customFormat="1" ht="12.75"/>
    <row r="2005" s="3161" customFormat="1" ht="12.75"/>
    <row r="2006" s="3161" customFormat="1" ht="12.75"/>
    <row r="2007" s="3161" customFormat="1" ht="12.75"/>
    <row r="2008" s="3161" customFormat="1" ht="12.75"/>
    <row r="2009" s="3161" customFormat="1" ht="12.75"/>
    <row r="2010" s="3161" customFormat="1" ht="12.75"/>
    <row r="2011" s="3161" customFormat="1" ht="12.75"/>
    <row r="2012" s="3161" customFormat="1" ht="12.75"/>
    <row r="2013" s="3161" customFormat="1" ht="12.75"/>
    <row r="2014" s="3161" customFormat="1" ht="12.75"/>
    <row r="2015" s="3161" customFormat="1" ht="12.75"/>
    <row r="2016" s="3161" customFormat="1" ht="12.75"/>
    <row r="2017" s="3161" customFormat="1" ht="12.75"/>
    <row r="2018" s="3161" customFormat="1" ht="12.75"/>
    <row r="2019" s="3161" customFormat="1" ht="12.75"/>
    <row r="2020" s="3161" customFormat="1" ht="12.75"/>
    <row r="2021" s="3161" customFormat="1" ht="12.75"/>
    <row r="2022" s="3161" customFormat="1" ht="12.75"/>
    <row r="2023" s="3161" customFormat="1" ht="12.75"/>
    <row r="2024" s="3161" customFormat="1" ht="12.75"/>
    <row r="2025" s="3161" customFormat="1" ht="12.75"/>
    <row r="2026" s="3161" customFormat="1" ht="12.75"/>
    <row r="2027" s="3161" customFormat="1" ht="12.75"/>
    <row r="2028" s="3161" customFormat="1" ht="12.75"/>
    <row r="2029" s="3161" customFormat="1" ht="12.75"/>
    <row r="2030" s="3161" customFormat="1" ht="12.75"/>
    <row r="2031" s="3161" customFormat="1" ht="12.75"/>
    <row r="2032" s="3161" customFormat="1" ht="12.75"/>
    <row r="2033" s="3161" customFormat="1" ht="12.75"/>
    <row r="2034" s="3161" customFormat="1" ht="12.75"/>
    <row r="2035" s="3161" customFormat="1" ht="12.75"/>
    <row r="2036" s="3161" customFormat="1" ht="12.75"/>
    <row r="2037" s="3161" customFormat="1" ht="12.75"/>
    <row r="2038" s="3161" customFormat="1" ht="12.75"/>
    <row r="2039" s="3161" customFormat="1" ht="12.75"/>
    <row r="2040" s="3161" customFormat="1" ht="12.75"/>
    <row r="2041" s="3161" customFormat="1" ht="12.75"/>
    <row r="2042" s="3161" customFormat="1" ht="12.75"/>
    <row r="2043" s="3161" customFormat="1" ht="12.75"/>
    <row r="2044" s="3161" customFormat="1" ht="12.75"/>
    <row r="2045" s="3161" customFormat="1" ht="12.75"/>
    <row r="2046" s="3161" customFormat="1" ht="12.75"/>
    <row r="2047" s="3161" customFormat="1" ht="12.75"/>
    <row r="2048" s="3161" customFormat="1" ht="12.75"/>
    <row r="2049" s="3161" customFormat="1" ht="12.75"/>
    <row r="2050" s="3161" customFormat="1" ht="12.75"/>
    <row r="2051" s="3161" customFormat="1" ht="12.75"/>
    <row r="2052" s="3161" customFormat="1" ht="12.75"/>
    <row r="2053" s="3161" customFormat="1" ht="12.75"/>
    <row r="2054" s="3161" customFormat="1" ht="12.75"/>
    <row r="2055" s="3161" customFormat="1" ht="12.75"/>
    <row r="2056" s="3161" customFormat="1" ht="12.75"/>
    <row r="2057" s="3161" customFormat="1" ht="12.75"/>
    <row r="2058" s="3161" customFormat="1" ht="12.75"/>
    <row r="2059" s="3161" customFormat="1" ht="12.75"/>
    <row r="2060" s="3161" customFormat="1" ht="12.75"/>
    <row r="2061" s="3161" customFormat="1" ht="12.75"/>
    <row r="2062" s="3161" customFormat="1" ht="12.75"/>
    <row r="2063" s="3161" customFormat="1" ht="12.75"/>
    <row r="2064" s="3161" customFormat="1" ht="12.75"/>
    <row r="2065" s="3161" customFormat="1" ht="12.75"/>
    <row r="2066" s="3161" customFormat="1" ht="12.75"/>
    <row r="2067" s="3161" customFormat="1" ht="12.75"/>
    <row r="2068" s="3161" customFormat="1" ht="12.75"/>
    <row r="2069" s="3161" customFormat="1" ht="12.75"/>
    <row r="2070" s="3161" customFormat="1" ht="12.75"/>
    <row r="2071" s="3161" customFormat="1" ht="12.75"/>
    <row r="2072" s="3161" customFormat="1" ht="12.75"/>
    <row r="2073" s="3161" customFormat="1" ht="12.75"/>
    <row r="2074" s="3161" customFormat="1" ht="12.75"/>
    <row r="2075" s="3161" customFormat="1" ht="12.75"/>
    <row r="2076" s="3161" customFormat="1" ht="12.75"/>
    <row r="2077" s="3161" customFormat="1" ht="12.75"/>
    <row r="2078" s="3161" customFormat="1" ht="12.75"/>
    <row r="2079" s="3161" customFormat="1" ht="12.75"/>
    <row r="2080" s="3161" customFormat="1" ht="12.75"/>
    <row r="2081" s="3161" customFormat="1" ht="12.75"/>
    <row r="2082" s="3161" customFormat="1" ht="12.75"/>
    <row r="2083" s="3161" customFormat="1" ht="12.75"/>
    <row r="2084" s="3161" customFormat="1" ht="12.75"/>
    <row r="2085" s="3161" customFormat="1" ht="12.75"/>
    <row r="2086" s="3161" customFormat="1" ht="12.75"/>
    <row r="2087" s="3161" customFormat="1" ht="12.75"/>
    <row r="2088" s="3161" customFormat="1" ht="12.75"/>
    <row r="2089" s="3161" customFormat="1" ht="12.75"/>
    <row r="2090" s="3161" customFormat="1" ht="12.75"/>
    <row r="2091" s="3161" customFormat="1" ht="12.75"/>
    <row r="2092" s="3161" customFormat="1" ht="12.75"/>
    <row r="2093" s="3161" customFormat="1" ht="12.75"/>
    <row r="2094" s="3161" customFormat="1" ht="12.75"/>
    <row r="2095" s="3161" customFormat="1" ht="12.75"/>
    <row r="2096" s="3161" customFormat="1" ht="12.75"/>
    <row r="2097" s="3161" customFormat="1" ht="12.75"/>
    <row r="2098" s="3161" customFormat="1" ht="12.75"/>
    <row r="2099" s="3161" customFormat="1" ht="12.75"/>
    <row r="2100" s="3161" customFormat="1" ht="12.75"/>
    <row r="2101" s="3161" customFormat="1" ht="12.75"/>
    <row r="2102" s="3161" customFormat="1" ht="12.75"/>
    <row r="2103" s="3161" customFormat="1" ht="12.75"/>
    <row r="2104" s="3161" customFormat="1" ht="12.75"/>
    <row r="2105" s="3161" customFormat="1" ht="12.75"/>
    <row r="2106" s="3161" customFormat="1" ht="12.75"/>
    <row r="2107" s="3161" customFormat="1" ht="12.75"/>
    <row r="2108" s="3161" customFormat="1" ht="12.75"/>
    <row r="2109" s="3161" customFormat="1" ht="12.75"/>
    <row r="2110" s="3161" customFormat="1" ht="12.75"/>
    <row r="2111" s="3161" customFormat="1" ht="12.75"/>
    <row r="2112" s="3161" customFormat="1" ht="12.75"/>
    <row r="2113" s="3161" customFormat="1" ht="12.75"/>
    <row r="2114" s="3161" customFormat="1" ht="12.75"/>
    <row r="2115" s="3161" customFormat="1" ht="12.75"/>
    <row r="2116" s="3161" customFormat="1" ht="12.75"/>
    <row r="2117" s="3161" customFormat="1" ht="12.75"/>
    <row r="2118" s="3161" customFormat="1" ht="12.75"/>
    <row r="2119" s="3161" customFormat="1" ht="12.75"/>
    <row r="2120" s="3161" customFormat="1" ht="12.75"/>
    <row r="2121" s="3161" customFormat="1" ht="12.75"/>
    <row r="2122" s="3161" customFormat="1" ht="12.75"/>
    <row r="2123" s="3161" customFormat="1" ht="12.75"/>
    <row r="2124" s="3161" customFormat="1" ht="12.75"/>
    <row r="2125" s="3161" customFormat="1" ht="12.75"/>
    <row r="2126" s="3161" customFormat="1" ht="12.75"/>
    <row r="2127" s="3161" customFormat="1" ht="12.75"/>
    <row r="2128" s="3161" customFormat="1" ht="12.75"/>
    <row r="2129" s="3161" customFormat="1" ht="12.75"/>
    <row r="2130" s="3161" customFormat="1" ht="12.75"/>
    <row r="2131" s="3161" customFormat="1" ht="12.75"/>
    <row r="2132" s="3161" customFormat="1" ht="12.75"/>
    <row r="2133" s="3161" customFormat="1" ht="12.75"/>
    <row r="2134" s="3161" customFormat="1" ht="12.75"/>
    <row r="2135" s="3161" customFormat="1" ht="12.75"/>
    <row r="2136" s="3161" customFormat="1" ht="12.75"/>
    <row r="2137" s="3161" customFormat="1" ht="12.75"/>
    <row r="2138" s="3161" customFormat="1" ht="12.75"/>
    <row r="2139" s="3161" customFormat="1" ht="12.75"/>
    <row r="2140" s="3161" customFormat="1" ht="12.75"/>
    <row r="2141" s="3161" customFormat="1" ht="12.75"/>
    <row r="2142" s="3161" customFormat="1" ht="12.75"/>
    <row r="2143" s="3161" customFormat="1" ht="12.75"/>
    <row r="2144" s="3161" customFormat="1" ht="12.75"/>
    <row r="2145" s="3161" customFormat="1" ht="12.75"/>
    <row r="2146" s="3161" customFormat="1" ht="12.75"/>
    <row r="2147" s="3161" customFormat="1" ht="12.75"/>
    <row r="2148" s="3161" customFormat="1" ht="12.75"/>
    <row r="2149" s="3161" customFormat="1" ht="12.75"/>
    <row r="2150" s="3161" customFormat="1" ht="12.75"/>
    <row r="2151" s="3161" customFormat="1" ht="12.75"/>
    <row r="2152" s="3161" customFormat="1" ht="12.75"/>
    <row r="2153" s="3161" customFormat="1" ht="12.75"/>
    <row r="2154" s="3161" customFormat="1" ht="12.75"/>
    <row r="2155" s="3161" customFormat="1" ht="12.75"/>
    <row r="2156" s="3161" customFormat="1" ht="12.75"/>
    <row r="2157" s="3161" customFormat="1" ht="12.75"/>
    <row r="2158" s="3161" customFormat="1" ht="12.75"/>
    <row r="2159" s="3161" customFormat="1" ht="12.75"/>
    <row r="2160" s="3161" customFormat="1" ht="12.75"/>
    <row r="2161" s="3161" customFormat="1" ht="12.75"/>
    <row r="2162" s="3161" customFormat="1" ht="12.75"/>
    <row r="2163" s="3161" customFormat="1" ht="12.75"/>
    <row r="2164" s="3161" customFormat="1" ht="12.75"/>
    <row r="2165" s="3161" customFormat="1" ht="12.75"/>
    <row r="2166" s="3161" customFormat="1" ht="12.75"/>
    <row r="2167" s="3161" customFormat="1" ht="12.75"/>
    <row r="2168" s="3161" customFormat="1" ht="12.75"/>
    <row r="2169" s="3161" customFormat="1" ht="12.75"/>
    <row r="2170" s="3161" customFormat="1" ht="12.75"/>
    <row r="2171" s="3161" customFormat="1" ht="12.75"/>
    <row r="2172" s="3161" customFormat="1" ht="12.75"/>
    <row r="2173" s="3161" customFormat="1" ht="12.75"/>
    <row r="2174" s="3161" customFormat="1" ht="12.75"/>
    <row r="2175" s="3161" customFormat="1" ht="12.75"/>
    <row r="2176" s="3161" customFormat="1" ht="12.75"/>
    <row r="2177" s="3161" customFormat="1" ht="12.75"/>
    <row r="2178" s="3161" customFormat="1" ht="12.75"/>
    <row r="2179" s="3161" customFormat="1" ht="12.75"/>
    <row r="2180" s="3161" customFormat="1" ht="12.75"/>
    <row r="2181" s="3161" customFormat="1" ht="12.75"/>
    <row r="2182" s="3161" customFormat="1" ht="12.75"/>
    <row r="2183" s="3161" customFormat="1" ht="12.75"/>
    <row r="2184" s="3161" customFormat="1" ht="12.75"/>
    <row r="2185" s="3161" customFormat="1" ht="12.75"/>
    <row r="2186" s="3161" customFormat="1" ht="12.75"/>
    <row r="2187" s="3161" customFormat="1" ht="12.75"/>
    <row r="2188" s="3161" customFormat="1" ht="12.75"/>
    <row r="2189" s="3161" customFormat="1" ht="12.75"/>
    <row r="2190" s="3161" customFormat="1" ht="12.75"/>
    <row r="2191" s="3161" customFormat="1" ht="12.75"/>
    <row r="2192" s="3161" customFormat="1" ht="12.75"/>
    <row r="2193" s="3161" customFormat="1" ht="12.75"/>
    <row r="2194" s="3161" customFormat="1" ht="12.75"/>
    <row r="2195" s="3161" customFormat="1" ht="12.75"/>
    <row r="2196" s="3161" customFormat="1" ht="12.75"/>
    <row r="2197" s="3161" customFormat="1" ht="12.75"/>
    <row r="2198" s="3161" customFormat="1" ht="12.75"/>
    <row r="2199" s="3161" customFormat="1" ht="12.75"/>
    <row r="2200" s="3161" customFormat="1" ht="12.75"/>
    <row r="2201" s="3161" customFormat="1" ht="12.75"/>
    <row r="2202" s="3161" customFormat="1" ht="12.75"/>
    <row r="2203" s="3161" customFormat="1" ht="12.75"/>
    <row r="2204" s="3161" customFormat="1" ht="12.75"/>
    <row r="2205" s="3161" customFormat="1" ht="12.75"/>
    <row r="2206" s="3161" customFormat="1" ht="12.75"/>
    <row r="2207" s="3161" customFormat="1" ht="12.75"/>
    <row r="2208" s="3161" customFormat="1" ht="12.75"/>
    <row r="2209" s="3161" customFormat="1" ht="12.75"/>
    <row r="2210" s="3161" customFormat="1" ht="12.75"/>
    <row r="2211" s="3161" customFormat="1" ht="12.75"/>
    <row r="2212" s="3161" customFormat="1" ht="12.75"/>
    <row r="2213" s="3161" customFormat="1" ht="12.75"/>
    <row r="2214" s="3161" customFormat="1" ht="12.75"/>
    <row r="2215" s="3161" customFormat="1" ht="12.75"/>
    <row r="2216" s="3161" customFormat="1" ht="12.75"/>
    <row r="2217" s="3161" customFormat="1" ht="12.75"/>
    <row r="2218" s="3161" customFormat="1" ht="12.75"/>
    <row r="2219" s="3161" customFormat="1" ht="12.75"/>
    <row r="2220" s="3161" customFormat="1" ht="12.75"/>
    <row r="2221" s="3161" customFormat="1" ht="12.75"/>
    <row r="2222" s="3161" customFormat="1" ht="12.75"/>
    <row r="2223" s="3161" customFormat="1" ht="12.75"/>
    <row r="2224" s="3161" customFormat="1" ht="12.75"/>
    <row r="2225" s="3161" customFormat="1" ht="12.75"/>
    <row r="2226" s="3161" customFormat="1" ht="12.75"/>
    <row r="2227" s="3161" customFormat="1" ht="12.75"/>
    <row r="2228" s="3161" customFormat="1" ht="12.75"/>
    <row r="2229" s="3161" customFormat="1" ht="12.75"/>
    <row r="2230" s="3161" customFormat="1" ht="12.75"/>
    <row r="2231" s="3161" customFormat="1" ht="12.75"/>
    <row r="2232" s="3161" customFormat="1" ht="12.75"/>
    <row r="2233" s="3161" customFormat="1" ht="12.75"/>
    <row r="2234" s="3161" customFormat="1" ht="12.75"/>
    <row r="2235" s="3161" customFormat="1" ht="12.75"/>
    <row r="2236" s="3161" customFormat="1" ht="12.75"/>
    <row r="2237" s="3161" customFormat="1" ht="12.75"/>
    <row r="2238" s="3161" customFormat="1" ht="12.75"/>
    <row r="2239" s="3161" customFormat="1" ht="12.75"/>
    <row r="2240" s="3161" customFormat="1" ht="12.75"/>
    <row r="2241" s="3161" customFormat="1" ht="12.75"/>
    <row r="2242" s="3161" customFormat="1" ht="12.75"/>
    <row r="2243" s="3161" customFormat="1" ht="12.75"/>
    <row r="2244" s="3161" customFormat="1" ht="12.75"/>
    <row r="2245" s="3161" customFormat="1" ht="12.75"/>
    <row r="2246" s="3161" customFormat="1" ht="12.75"/>
    <row r="2247" s="3161" customFormat="1" ht="12.75"/>
    <row r="2248" s="3161" customFormat="1" ht="12.75"/>
    <row r="2249" s="3161" customFormat="1" ht="12.75"/>
    <row r="2250" s="3161" customFormat="1" ht="12.75"/>
    <row r="2251" s="3161" customFormat="1" ht="12.75"/>
    <row r="2252" s="3161" customFormat="1" ht="12.75"/>
    <row r="2253" s="3161" customFormat="1" ht="12.75"/>
    <row r="2254" s="3161" customFormat="1" ht="12.75"/>
    <row r="2255" s="3161" customFormat="1" ht="12.75"/>
    <row r="2256" s="3161" customFormat="1" ht="12.75"/>
    <row r="2257" s="3161" customFormat="1" ht="12.75"/>
    <row r="2258" s="3161" customFormat="1" ht="12.75"/>
    <row r="2259" s="3161" customFormat="1" ht="12.75"/>
    <row r="2260" s="3161" customFormat="1" ht="12.75"/>
    <row r="2261" s="3161" customFormat="1" ht="12.75"/>
    <row r="2262" s="3161" customFormat="1" ht="12.75"/>
    <row r="2263" s="3161" customFormat="1" ht="12.75"/>
    <row r="2264" s="3161" customFormat="1" ht="12.75"/>
    <row r="2265" s="3161" customFormat="1" ht="12.75"/>
    <row r="2266" s="3161" customFormat="1" ht="12.75"/>
    <row r="2267" s="3161" customFormat="1" ht="12.75"/>
    <row r="2268" s="3161" customFormat="1" ht="12.75"/>
    <row r="2269" s="3161" customFormat="1" ht="12.75"/>
    <row r="2270" s="3161" customFormat="1" ht="12.75"/>
    <row r="2271" s="3161" customFormat="1" ht="12.75"/>
    <row r="2272" s="3161" customFormat="1" ht="12.75"/>
    <row r="2273" s="3161" customFormat="1" ht="12.75"/>
    <row r="2274" s="3161" customFormat="1" ht="12.75"/>
    <row r="2275" s="3161" customFormat="1" ht="12.75"/>
    <row r="2276" s="3161" customFormat="1" ht="12.75"/>
    <row r="2277" s="3161" customFormat="1" ht="12.75"/>
    <row r="2278" s="3161" customFormat="1" ht="12.75"/>
    <row r="2279" s="3161" customFormat="1" ht="12.75"/>
    <row r="2280" s="3161" customFormat="1" ht="12.75"/>
    <row r="2281" s="3161" customFormat="1" ht="12.75"/>
    <row r="2282" s="3161" customFormat="1" ht="12.75"/>
    <row r="2283" s="3161" customFormat="1" ht="12.75"/>
    <row r="2284" s="3161" customFormat="1" ht="12.75"/>
    <row r="2285" s="3161" customFormat="1" ht="12.75"/>
    <row r="2286" s="3161" customFormat="1" ht="12.75"/>
    <row r="2287" s="3161" customFormat="1" ht="12.75"/>
    <row r="2288" s="3161" customFormat="1" ht="12.75"/>
    <row r="2289" s="3161" customFormat="1" ht="12.75"/>
    <row r="2290" s="3161" customFormat="1" ht="12.75"/>
    <row r="2291" s="3161" customFormat="1" ht="12.75"/>
    <row r="2292" s="3161" customFormat="1" ht="12.75"/>
    <row r="2293" s="3161" customFormat="1" ht="12.75"/>
    <row r="2294" s="3161" customFormat="1" ht="12.75"/>
    <row r="2295" s="3161" customFormat="1" ht="12.75"/>
    <row r="2296" s="3161" customFormat="1" ht="12.75"/>
    <row r="2297" s="3161" customFormat="1" ht="12.75"/>
    <row r="2298" s="3161" customFormat="1" ht="12.75"/>
    <row r="2299" s="3161" customFormat="1" ht="12.75"/>
    <row r="2300" s="3161" customFormat="1" ht="12.75"/>
    <row r="2301" s="3161" customFormat="1" ht="12.75"/>
    <row r="2302" s="3161" customFormat="1" ht="12.75"/>
    <row r="2303" s="3161" customFormat="1" ht="12.75"/>
    <row r="2304" s="3161" customFormat="1" ht="12.75"/>
    <row r="2305" s="3161" customFormat="1" ht="12.75"/>
    <row r="2306" s="3161" customFormat="1" ht="12.75"/>
    <row r="2307" s="3161" customFormat="1" ht="12.75"/>
    <row r="2308" s="3161" customFormat="1" ht="12.75"/>
    <row r="2309" s="3161" customFormat="1" ht="12.75"/>
    <row r="2310" s="3161" customFormat="1" ht="12.75"/>
    <row r="2311" s="3161" customFormat="1" ht="12.75"/>
    <row r="2312" s="3161" customFormat="1" ht="12.75"/>
    <row r="2313" s="3161" customFormat="1" ht="12.75"/>
    <row r="2314" s="3161" customFormat="1" ht="12.75"/>
    <row r="2315" s="3161" customFormat="1" ht="12.75"/>
    <row r="2316" s="3161" customFormat="1" ht="12.75"/>
    <row r="2317" s="3161" customFormat="1" ht="12.75"/>
    <row r="2318" s="3161" customFormat="1" ht="12.75"/>
    <row r="2319" s="3161" customFormat="1" ht="12.75"/>
    <row r="2320" s="3161" customFormat="1" ht="12.75"/>
    <row r="2321" s="3161" customFormat="1" ht="12.75"/>
    <row r="2322" s="3161" customFormat="1" ht="12.75"/>
    <row r="2323" s="3161" customFormat="1" ht="12.75"/>
    <row r="2324" s="3161" customFormat="1" ht="12.75"/>
    <row r="2325" s="3161" customFormat="1" ht="12.75"/>
    <row r="2326" s="3161" customFormat="1" ht="12.75"/>
    <row r="2327" s="3161" customFormat="1" ht="12.75"/>
    <row r="2328" s="3161" customFormat="1" ht="12.75"/>
    <row r="2329" s="3161" customFormat="1" ht="12.75"/>
    <row r="2330" s="3161" customFormat="1" ht="12.75"/>
    <row r="2331" s="3161" customFormat="1" ht="12.75"/>
    <row r="2332" s="3161" customFormat="1" ht="12.75"/>
    <row r="2333" s="3161" customFormat="1" ht="12.75"/>
    <row r="2334" s="3161" customFormat="1" ht="12.75"/>
    <row r="2335" s="3161" customFormat="1" ht="12.75"/>
    <row r="2336" s="3161" customFormat="1" ht="12.75"/>
    <row r="2337" s="3161" customFormat="1" ht="12.75"/>
    <row r="2338" s="3161" customFormat="1" ht="12.75"/>
    <row r="2339" s="3161" customFormat="1" ht="12.75"/>
    <row r="2340" s="3161" customFormat="1" ht="12.75"/>
    <row r="2341" s="3161" customFormat="1" ht="12.75"/>
    <row r="2342" s="3161" customFormat="1" ht="12.75"/>
    <row r="2343" s="3161" customFormat="1" ht="12.75"/>
    <row r="2344" s="3161" customFormat="1" ht="12.75"/>
    <row r="2345" s="3161" customFormat="1" ht="12.75"/>
    <row r="2346" s="3161" customFormat="1" ht="12.75"/>
    <row r="2347" s="3161" customFormat="1" ht="12.75"/>
    <row r="2348" s="3161" customFormat="1" ht="12.75"/>
    <row r="2349" s="3161" customFormat="1" ht="12.75"/>
    <row r="2350" s="3161" customFormat="1" ht="12.75"/>
    <row r="2351" s="3161" customFormat="1" ht="12.75"/>
    <row r="2352" s="3161" customFormat="1" ht="12.75"/>
    <row r="2353" s="3161" customFormat="1" ht="12.75"/>
    <row r="2354" s="3161" customFormat="1" ht="12.75"/>
    <row r="2355" s="3161" customFormat="1" ht="12.75"/>
    <row r="2356" s="3161" customFormat="1" ht="12.75"/>
    <row r="2357" s="3161" customFormat="1" ht="12.75"/>
    <row r="2358" s="3161" customFormat="1" ht="12.75"/>
    <row r="2359" s="3161" customFormat="1" ht="12.75"/>
    <row r="2360" s="3161" customFormat="1" ht="12.75"/>
    <row r="2361" s="3161" customFormat="1" ht="12.75"/>
    <row r="2362" s="3161" customFormat="1" ht="12.75"/>
    <row r="2363" s="3161" customFormat="1" ht="12.75"/>
    <row r="2364" s="3161" customFormat="1" ht="12.75"/>
    <row r="2365" s="3161" customFormat="1" ht="12.75"/>
    <row r="2366" s="3161" customFormat="1" ht="12.75"/>
    <row r="2367" s="3161" customFormat="1" ht="12.75"/>
    <row r="2368" s="3161" customFormat="1" ht="12.75"/>
    <row r="2369" s="3161" customFormat="1" ht="12.75"/>
    <row r="2370" s="3161" customFormat="1" ht="12.75"/>
    <row r="2371" s="3161" customFormat="1" ht="12.75"/>
    <row r="2372" s="3161" customFormat="1" ht="12.75"/>
    <row r="2373" s="3161" customFormat="1" ht="12.75"/>
    <row r="2374" s="3161" customFormat="1" ht="12.75"/>
    <row r="2375" s="3161" customFormat="1" ht="12.75"/>
    <row r="2376" s="3161" customFormat="1" ht="12.75"/>
    <row r="2377" s="3161" customFormat="1" ht="12.75"/>
    <row r="2378" s="3161" customFormat="1" ht="12.75"/>
    <row r="2379" s="3161" customFormat="1" ht="12.75"/>
    <row r="2380" s="3161" customFormat="1" ht="12.75"/>
    <row r="2381" s="3161" customFormat="1" ht="12.75"/>
    <row r="2382" s="3161" customFormat="1" ht="12.75"/>
    <row r="2383" s="3161" customFormat="1" ht="12.75"/>
    <row r="2384" s="3161" customFormat="1" ht="12.75"/>
    <row r="2385" s="3161" customFormat="1" ht="12.75"/>
    <row r="2386" s="3161" customFormat="1" ht="12.75"/>
    <row r="2387" s="3161" customFormat="1" ht="12.75"/>
    <row r="2388" s="3161" customFormat="1" ht="12.75"/>
    <row r="2389" s="3161" customFormat="1" ht="12.75"/>
    <row r="2390" s="3161" customFormat="1" ht="12.75"/>
    <row r="2391" s="3161" customFormat="1" ht="12.75"/>
    <row r="2392" s="3161" customFormat="1" ht="12.75"/>
    <row r="2393" s="3161" customFormat="1" ht="12.75"/>
    <row r="2394" s="3161" customFormat="1" ht="12.75"/>
    <row r="2395" s="3161" customFormat="1" ht="12.75"/>
    <row r="2396" s="3161" customFormat="1" ht="12.75"/>
    <row r="2397" s="3161" customFormat="1" ht="12.75"/>
    <row r="2398" s="3161" customFormat="1" ht="12.75"/>
    <row r="2399" s="3161" customFormat="1" ht="12.75"/>
    <row r="2400" s="3161" customFormat="1" ht="12.75"/>
    <row r="2401" s="3161" customFormat="1" ht="12.75"/>
    <row r="2402" s="3161" customFormat="1" ht="12.75"/>
    <row r="2403" s="3161" customFormat="1" ht="12.75"/>
    <row r="2404" s="3161" customFormat="1" ht="12.75"/>
    <row r="2405" s="3161" customFormat="1" ht="12.75"/>
    <row r="2406" s="3161" customFormat="1" ht="12.75"/>
    <row r="2407" s="3161" customFormat="1" ht="12.75"/>
    <row r="2408" s="3161" customFormat="1" ht="12.75"/>
    <row r="2409" s="3161" customFormat="1" ht="12.75"/>
    <row r="2410" s="3161" customFormat="1" ht="12.75"/>
    <row r="2411" s="3161" customFormat="1" ht="12.75"/>
    <row r="2412" s="3161" customFormat="1" ht="12.75"/>
    <row r="2413" s="3161" customFormat="1" ht="12.75"/>
    <row r="2414" s="3161" customFormat="1" ht="12.75"/>
    <row r="2415" s="3161" customFormat="1" ht="12.75"/>
    <row r="2416" s="3161" customFormat="1" ht="12.75"/>
    <row r="2417" s="3161" customFormat="1" ht="12.75"/>
    <row r="2418" s="3161" customFormat="1" ht="12.75"/>
    <row r="2419" s="3161" customFormat="1" ht="12.75"/>
    <row r="2420" s="3161" customFormat="1" ht="12.75"/>
    <row r="2421" s="3161" customFormat="1" ht="12.75"/>
    <row r="2422" s="3161" customFormat="1" ht="12.75"/>
    <row r="2423" s="3161" customFormat="1" ht="12.75"/>
    <row r="2424" s="3161" customFormat="1" ht="12.75"/>
    <row r="2425" s="3161" customFormat="1" ht="12.75"/>
    <row r="2426" s="3161" customFormat="1" ht="12.75"/>
    <row r="2427" s="3161" customFormat="1" ht="12.75"/>
    <row r="2428" s="3161" customFormat="1" ht="12.75"/>
    <row r="2429" s="3161" customFormat="1" ht="12.75"/>
    <row r="2430" s="3161" customFormat="1" ht="12.75"/>
    <row r="2431" s="3161" customFormat="1" ht="12.75"/>
    <row r="2432" s="3161" customFormat="1" ht="12.75"/>
    <row r="2433" s="3161" customFormat="1" ht="12.75"/>
    <row r="2434" s="3161" customFormat="1" ht="12.75"/>
    <row r="2435" s="3161" customFormat="1" ht="12.75"/>
    <row r="2436" s="3161" customFormat="1" ht="12.75"/>
    <row r="2437" s="3161" customFormat="1" ht="12.75"/>
    <row r="2438" s="3161" customFormat="1" ht="12.75"/>
    <row r="2439" s="3161" customFormat="1" ht="12.75"/>
    <row r="2440" s="3161" customFormat="1" ht="12.75"/>
    <row r="2441" s="3161" customFormat="1" ht="12.75"/>
    <row r="2442" s="3161" customFormat="1" ht="12.75"/>
    <row r="2443" s="3161" customFormat="1" ht="12.75"/>
    <row r="2444" s="3161" customFormat="1" ht="12.75"/>
    <row r="2445" s="3161" customFormat="1" ht="12.75"/>
    <row r="2446" s="3161" customFormat="1" ht="12.75"/>
    <row r="2447" s="3161" customFormat="1" ht="12.75"/>
    <row r="2448" s="3161" customFormat="1" ht="12.75"/>
    <row r="2449" s="3161" customFormat="1" ht="12.75"/>
    <row r="2450" s="3161" customFormat="1" ht="12.75"/>
    <row r="2451" s="3161" customFormat="1" ht="12.75"/>
    <row r="2452" s="3161" customFormat="1" ht="12.75"/>
    <row r="2453" s="3161" customFormat="1" ht="12.75"/>
    <row r="2454" s="3161" customFormat="1" ht="12.75"/>
    <row r="2455" s="3161" customFormat="1" ht="12.75"/>
    <row r="2456" s="3161" customFormat="1" ht="12.75"/>
    <row r="2457" s="3161" customFormat="1" ht="12.75"/>
    <row r="2458" s="3161" customFormat="1" ht="12.75"/>
    <row r="2459" s="3161" customFormat="1" ht="12.75"/>
    <row r="2460" s="3161" customFormat="1" ht="12.75"/>
    <row r="2461" s="3161" customFormat="1" ht="12.75"/>
    <row r="2462" s="3161" customFormat="1" ht="12.75"/>
    <row r="2463" s="3161" customFormat="1" ht="12.75"/>
    <row r="2464" s="3161" customFormat="1" ht="12.75"/>
    <row r="2465" s="3161" customFormat="1" ht="12.75"/>
    <row r="2466" s="3161" customFormat="1" ht="12.75"/>
    <row r="2467" s="3161" customFormat="1" ht="12.75"/>
    <row r="2468" s="3161" customFormat="1" ht="12.75"/>
    <row r="2469" s="3161" customFormat="1" ht="12.75"/>
    <row r="2470" s="3161" customFormat="1" ht="12.75"/>
    <row r="2471" s="3161" customFormat="1" ht="12.75"/>
    <row r="2472" s="3161" customFormat="1" ht="12.75"/>
    <row r="2473" s="3161" customFormat="1" ht="12.75"/>
    <row r="2474" s="3161" customFormat="1" ht="12.75"/>
    <row r="2475" s="3161" customFormat="1" ht="12.75"/>
    <row r="2476" s="3161" customFormat="1" ht="12.75"/>
    <row r="2477" s="3161" customFormat="1" ht="12.75"/>
    <row r="2478" s="3161" customFormat="1" ht="12.75"/>
    <row r="2479" s="3161" customFormat="1" ht="12.75"/>
    <row r="2480" s="3161" customFormat="1" ht="12.75"/>
    <row r="2481" s="3161" customFormat="1" ht="12.75"/>
    <row r="2482" s="3161" customFormat="1" ht="12.75"/>
    <row r="2483" s="3161" customFormat="1" ht="12.75"/>
    <row r="2484" s="3161" customFormat="1" ht="12.75"/>
    <row r="2485" s="3161" customFormat="1" ht="12.75"/>
    <row r="2486" s="3161" customFormat="1" ht="12.75"/>
    <row r="2487" s="3161" customFormat="1" ht="12.75"/>
    <row r="2488" s="3161" customFormat="1" ht="12.75"/>
    <row r="2489" s="3161" customFormat="1" ht="12.75"/>
    <row r="2490" s="3161" customFormat="1" ht="12.75"/>
    <row r="2491" s="3161" customFormat="1" ht="12.75"/>
    <row r="2492" s="3161" customFormat="1" ht="12.75"/>
    <row r="2493" s="3161" customFormat="1" ht="12.75"/>
    <row r="2494" s="3161" customFormat="1" ht="12.75"/>
    <row r="2495" s="3161" customFormat="1" ht="12.75"/>
    <row r="2496" s="3161" customFormat="1" ht="12.75"/>
    <row r="2497" s="3161" customFormat="1" ht="12.75"/>
    <row r="2498" s="3161" customFormat="1" ht="12.75"/>
    <row r="2499" s="3161" customFormat="1" ht="12.75"/>
    <row r="2500" s="3161" customFormat="1" ht="12.75"/>
    <row r="2501" s="3161" customFormat="1" ht="12.75"/>
    <row r="2502" s="3161" customFormat="1" ht="12.75"/>
    <row r="2503" s="3161" customFormat="1" ht="12.75"/>
    <row r="2504" s="3161" customFormat="1" ht="12.75"/>
    <row r="2505" s="3161" customFormat="1" ht="12.75"/>
    <row r="2506" s="3161" customFormat="1" ht="12.75"/>
    <row r="2507" s="3161" customFormat="1" ht="12.75"/>
    <row r="2508" s="3161" customFormat="1" ht="12.75"/>
    <row r="2509" s="3161" customFormat="1" ht="12.75"/>
    <row r="2510" s="3161" customFormat="1" ht="12.75"/>
    <row r="2511" s="3161" customFormat="1" ht="12.75"/>
    <row r="2512" s="3161" customFormat="1" ht="12.75"/>
    <row r="2513" s="3161" customFormat="1" ht="12.75"/>
    <row r="2514" s="3161" customFormat="1" ht="12.75"/>
    <row r="2515" s="3161" customFormat="1" ht="12.75"/>
    <row r="2516" s="3161" customFormat="1" ht="12.75"/>
    <row r="2517" s="3161" customFormat="1" ht="12.75"/>
    <row r="2518" s="3161" customFormat="1" ht="12.75"/>
    <row r="2519" s="3161" customFormat="1" ht="12.75"/>
    <row r="2520" s="3161" customFormat="1" ht="12.75"/>
    <row r="2521" s="3161" customFormat="1" ht="12.75"/>
    <row r="2522" s="3161" customFormat="1" ht="12.75"/>
    <row r="2523" s="3161" customFormat="1" ht="12.75"/>
    <row r="2524" s="3161" customFormat="1" ht="12.75"/>
    <row r="2525" s="3161" customFormat="1" ht="12.75"/>
    <row r="2526" s="3161" customFormat="1" ht="12.75"/>
    <row r="2527" s="3161" customFormat="1" ht="12.75"/>
    <row r="2528" s="3161" customFormat="1" ht="12.75"/>
    <row r="2529" s="3161" customFormat="1" ht="12.75"/>
    <row r="2530" s="3161" customFormat="1" ht="12.75"/>
    <row r="2531" s="3161" customFormat="1" ht="12.75"/>
    <row r="2532" s="3161" customFormat="1" ht="12.75"/>
    <row r="2533" s="3161" customFormat="1" ht="12.75"/>
    <row r="2534" s="3161" customFormat="1" ht="12.75"/>
    <row r="2535" s="3161" customFormat="1" ht="12.75"/>
    <row r="2536" s="3161" customFormat="1" ht="12.75"/>
    <row r="2537" s="3161" customFormat="1" ht="12.75"/>
    <row r="2538" s="3161" customFormat="1" ht="12.75"/>
    <row r="2539" s="3161" customFormat="1" ht="12.75"/>
    <row r="2540" s="3161" customFormat="1" ht="12.75"/>
    <row r="2541" s="3161" customFormat="1" ht="12.75"/>
    <row r="2542" s="3161" customFormat="1" ht="12.75"/>
    <row r="2543" s="3161" customFormat="1" ht="12.75"/>
    <row r="2544" s="3161" customFormat="1" ht="12.75"/>
    <row r="2545" s="3161" customFormat="1" ht="12.75"/>
    <row r="2546" s="3161" customFormat="1" ht="12.75"/>
    <row r="2547" s="3161" customFormat="1" ht="12.75"/>
    <row r="2548" s="3161" customFormat="1" ht="12.75"/>
    <row r="2549" s="3161" customFormat="1" ht="12.75"/>
    <row r="2550" s="3161" customFormat="1" ht="12.75"/>
    <row r="2551" s="3161" customFormat="1" ht="12.75"/>
    <row r="2552" s="3161" customFormat="1" ht="12.75"/>
    <row r="2553" s="3161" customFormat="1" ht="12.75"/>
    <row r="2554" s="3161" customFormat="1" ht="12.75"/>
    <row r="2555" s="3161" customFormat="1" ht="12.75"/>
    <row r="2556" s="3161" customFormat="1" ht="12.75"/>
    <row r="2557" s="3161" customFormat="1" ht="12.75"/>
    <row r="2558" s="3161" customFormat="1" ht="12.75"/>
    <row r="2559" s="3161" customFormat="1" ht="12.75"/>
    <row r="2560" s="3161" customFormat="1" ht="12.75"/>
    <row r="2561" s="3161" customFormat="1" ht="12.75"/>
    <row r="2562" s="3161" customFormat="1" ht="12.75"/>
    <row r="2563" s="3161" customFormat="1" ht="12.75"/>
    <row r="2564" s="3161" customFormat="1" ht="12.75"/>
    <row r="2565" s="3161" customFormat="1" ht="12.75"/>
    <row r="2566" s="3161" customFormat="1" ht="12.75"/>
    <row r="2567" s="3161" customFormat="1" ht="12.75"/>
    <row r="2568" s="3161" customFormat="1" ht="12.75"/>
    <row r="2569" s="3161" customFormat="1" ht="12.75"/>
    <row r="2570" s="3161" customFormat="1" ht="12.75"/>
    <row r="2571" s="3161" customFormat="1" ht="12.75"/>
    <row r="2572" s="3161" customFormat="1" ht="12.75"/>
    <row r="2573" s="3161" customFormat="1" ht="12.75"/>
    <row r="2574" s="3161" customFormat="1" ht="12.75"/>
    <row r="2575" s="3161" customFormat="1" ht="12.75"/>
    <row r="2576" s="3161" customFormat="1" ht="12.75"/>
    <row r="2577" s="3161" customFormat="1" ht="12.75"/>
    <row r="2578" s="3161" customFormat="1" ht="12.75"/>
    <row r="2579" s="3161" customFormat="1" ht="12.75"/>
    <row r="2580" s="3161" customFormat="1" ht="12.75"/>
    <row r="2581" s="3161" customFormat="1" ht="12.75"/>
    <row r="2582" s="3161" customFormat="1" ht="12.75"/>
    <row r="2583" s="3161" customFormat="1" ht="12.75"/>
    <row r="2584" s="3161" customFormat="1" ht="12.75"/>
    <row r="2585" s="3161" customFormat="1" ht="12.75"/>
    <row r="2586" s="3161" customFormat="1" ht="12.75"/>
    <row r="2587" s="3161" customFormat="1" ht="12.75"/>
    <row r="2588" s="3161" customFormat="1" ht="12.75"/>
    <row r="2589" s="3161" customFormat="1" ht="12.75"/>
    <row r="2590" s="3161" customFormat="1" ht="12.75"/>
    <row r="2591" s="3161" customFormat="1" ht="12.75"/>
    <row r="2592" s="3161" customFormat="1" ht="12.75"/>
    <row r="2593" s="3161" customFormat="1" ht="12.75"/>
    <row r="2594" s="3161" customFormat="1" ht="12.75"/>
    <row r="2595" s="3161" customFormat="1" ht="12.75"/>
    <row r="2596" s="3161" customFormat="1" ht="12.75"/>
    <row r="2597" s="3161" customFormat="1" ht="12.75"/>
    <row r="2598" s="3161" customFormat="1" ht="12.75"/>
    <row r="2599" s="3161" customFormat="1" ht="12.75"/>
    <row r="2600" s="3161" customFormat="1" ht="12.75"/>
    <row r="2601" s="3161" customFormat="1" ht="12.75"/>
    <row r="2602" s="3161" customFormat="1" ht="12.75"/>
    <row r="2603" s="3161" customFormat="1" ht="12.75"/>
    <row r="2604" s="3161" customFormat="1" ht="12.75"/>
    <row r="2605" s="3161" customFormat="1" ht="12.75"/>
    <row r="2606" s="3161" customFormat="1" ht="12.75"/>
    <row r="2607" s="3161" customFormat="1" ht="12.75"/>
    <row r="2608" s="3161" customFormat="1" ht="12.75"/>
    <row r="2609" s="3161" customFormat="1" ht="12.75"/>
    <row r="2610" s="3161" customFormat="1" ht="12.75"/>
    <row r="2611" s="3161" customFormat="1" ht="12.75"/>
    <row r="2612" s="3161" customFormat="1" ht="12.75"/>
    <row r="2613" s="3161" customFormat="1" ht="12.75"/>
    <row r="2614" s="3161" customFormat="1" ht="12.75"/>
    <row r="2615" s="3161" customFormat="1" ht="12.75"/>
    <row r="2616" s="3161" customFormat="1" ht="12.75"/>
    <row r="2617" s="3161" customFormat="1" ht="12.75"/>
    <row r="2618" s="3161" customFormat="1" ht="12.75"/>
    <row r="2619" s="3161" customFormat="1" ht="12.75"/>
    <row r="2620" s="3161" customFormat="1" ht="12.75"/>
    <row r="2621" s="3161" customFormat="1" ht="12.75"/>
    <row r="2622" s="3161" customFormat="1" ht="12.75"/>
    <row r="2623" s="3161" customFormat="1" ht="12.75"/>
    <row r="2624" s="3161" customFormat="1" ht="12.75"/>
    <row r="2625" s="3161" customFormat="1" ht="12.75"/>
    <row r="2626" s="3161" customFormat="1" ht="12.75"/>
    <row r="2627" s="3161" customFormat="1" ht="12.75"/>
    <row r="2628" s="3161" customFormat="1" ht="12.75"/>
    <row r="2629" s="3161" customFormat="1" ht="12.75"/>
    <row r="2630" s="3161" customFormat="1" ht="12.75"/>
    <row r="2631" s="3161" customFormat="1" ht="12.75"/>
    <row r="2632" s="3161" customFormat="1" ht="12.75"/>
    <row r="2633" s="3161" customFormat="1" ht="12.75"/>
    <row r="2634" s="3161" customFormat="1" ht="12.75"/>
    <row r="2635" s="3161" customFormat="1" ht="12.75"/>
    <row r="2636" s="3161" customFormat="1" ht="12.75"/>
    <row r="2637" s="3161" customFormat="1" ht="12.75"/>
    <row r="2638" s="3161" customFormat="1" ht="12.75"/>
    <row r="2639" s="3161" customFormat="1" ht="12.75"/>
    <row r="2640" s="3161" customFormat="1" ht="12.75"/>
    <row r="2641" s="3161" customFormat="1" ht="12.75"/>
    <row r="2642" s="3161" customFormat="1" ht="12.75"/>
    <row r="2643" s="3161" customFormat="1" ht="12.75"/>
    <row r="2644" s="3161" customFormat="1" ht="12.75"/>
    <row r="2645" s="3161" customFormat="1" ht="12.75"/>
    <row r="2646" s="3161" customFormat="1" ht="12.75"/>
    <row r="2647" s="3161" customFormat="1" ht="12.75"/>
    <row r="2648" s="3161" customFormat="1" ht="12.75"/>
    <row r="2649" s="3161" customFormat="1" ht="12.75"/>
    <row r="2650" s="3161" customFormat="1" ht="12.75"/>
    <row r="2651" s="3161" customFormat="1" ht="12.75"/>
    <row r="2652" s="3161" customFormat="1" ht="12.75"/>
    <row r="2653" s="3161" customFormat="1" ht="12.75"/>
    <row r="2654" s="3161" customFormat="1" ht="12.75"/>
    <row r="2655" s="3161" customFormat="1" ht="12.75"/>
    <row r="2656" s="3161" customFormat="1" ht="12.75"/>
    <row r="2657" s="3161" customFormat="1" ht="12.75"/>
    <row r="2658" s="3161" customFormat="1" ht="12.75"/>
    <row r="2659" s="3161" customFormat="1" ht="12.75"/>
    <row r="2660" s="3161" customFormat="1" ht="12.75"/>
    <row r="2661" s="3161" customFormat="1" ht="12.75"/>
    <row r="2662" s="3161" customFormat="1" ht="12.75"/>
    <row r="2663" s="3161" customFormat="1" ht="12.75"/>
    <row r="2664" s="3161" customFormat="1" ht="12.75"/>
    <row r="2665" s="3161" customFormat="1" ht="12.75"/>
    <row r="2666" s="3161" customFormat="1" ht="12.75"/>
    <row r="2667" s="3161" customFormat="1" ht="12.75"/>
    <row r="2668" s="3161" customFormat="1" ht="12.75"/>
    <row r="2669" s="3161" customFormat="1" ht="12.75"/>
    <row r="2670" s="3161" customFormat="1" ht="12.75"/>
    <row r="2671" s="3161" customFormat="1" ht="12.75"/>
    <row r="2672" s="3161" customFormat="1" ht="12.75"/>
    <row r="2673" s="3161" customFormat="1" ht="12.75"/>
    <row r="2674" s="3161" customFormat="1" ht="12.75"/>
    <row r="2675" s="3161" customFormat="1" ht="12.75"/>
    <row r="2676" s="3161" customFormat="1" ht="12.75"/>
    <row r="2677" s="3161" customFormat="1" ht="12.75"/>
    <row r="2678" s="3161" customFormat="1" ht="12.75"/>
    <row r="2679" s="3161" customFormat="1" ht="12.75"/>
    <row r="2680" s="3161" customFormat="1" ht="12.75"/>
    <row r="2681" s="3161" customFormat="1" ht="12.75"/>
    <row r="2682" s="3161" customFormat="1" ht="12.75"/>
    <row r="2683" s="3161" customFormat="1" ht="12.75"/>
    <row r="2684" s="3161" customFormat="1" ht="12.75"/>
    <row r="2685" s="3161" customFormat="1" ht="12.75"/>
    <row r="2686" s="3161" customFormat="1" ht="12.75"/>
    <row r="2687" s="3161" customFormat="1" ht="12.75"/>
    <row r="2688" s="3161" customFormat="1" ht="12.75"/>
    <row r="2689" s="3161" customFormat="1" ht="12.75"/>
    <row r="2690" s="3161" customFormat="1" ht="12.75"/>
    <row r="2691" s="3161" customFormat="1" ht="12.75"/>
    <row r="2692" s="3161" customFormat="1" ht="12.75"/>
    <row r="2693" s="3161" customFormat="1" ht="12.75"/>
    <row r="2694" s="3161" customFormat="1" ht="12.75"/>
    <row r="2695" s="3161" customFormat="1" ht="12.75"/>
    <row r="2696" s="3161" customFormat="1" ht="12.75"/>
    <row r="2697" s="3161" customFormat="1" ht="12.75"/>
    <row r="2698" s="3161" customFormat="1" ht="12.75"/>
    <row r="2699" s="3161" customFormat="1" ht="12.75"/>
    <row r="2700" s="3161" customFormat="1" ht="12.75"/>
    <row r="2701" s="3161" customFormat="1" ht="12.75"/>
    <row r="2702" s="3161" customFormat="1" ht="12.75"/>
    <row r="2703" s="3161" customFormat="1" ht="12.75"/>
    <row r="2704" s="3161" customFormat="1" ht="12.75"/>
    <row r="2705" s="3161" customFormat="1" ht="12.75"/>
    <row r="2706" s="3161" customFormat="1" ht="12.75"/>
    <row r="2707" s="3161" customFormat="1" ht="12.75"/>
    <row r="2708" s="3161" customFormat="1" ht="12.75"/>
    <row r="2709" s="3161" customFormat="1" ht="12.75"/>
    <row r="2710" s="3161" customFormat="1" ht="12.75"/>
    <row r="2711" s="3161" customFormat="1" ht="12.75"/>
    <row r="2712" s="3161" customFormat="1" ht="12.75"/>
    <row r="2713" s="3161" customFormat="1" ht="12.75"/>
    <row r="2714" s="3161" customFormat="1" ht="12.75"/>
    <row r="2715" s="3161" customFormat="1" ht="12.75"/>
    <row r="2716" s="3161" customFormat="1" ht="12.75"/>
    <row r="2717" s="3161" customFormat="1" ht="12.75"/>
    <row r="2718" s="3161" customFormat="1" ht="12.75"/>
    <row r="2719" s="3161" customFormat="1" ht="12.75"/>
    <row r="2720" s="3161" customFormat="1" ht="12.75"/>
    <row r="2721" s="3161" customFormat="1" ht="12.75"/>
    <row r="2722" s="3161" customFormat="1" ht="12.75"/>
    <row r="2723" s="3161" customFormat="1" ht="12.75"/>
    <row r="2724" s="3161" customFormat="1" ht="12.75"/>
    <row r="2725" s="3161" customFormat="1" ht="12.75"/>
    <row r="2726" s="3161" customFormat="1" ht="12.75"/>
    <row r="2727" s="3161" customFormat="1" ht="12.75"/>
    <row r="2728" s="3161" customFormat="1" ht="12.75"/>
    <row r="2729" s="3161" customFormat="1" ht="12.75"/>
    <row r="2730" s="3161" customFormat="1" ht="12.75"/>
    <row r="2731" s="3161" customFormat="1" ht="12.75"/>
    <row r="2732" s="3161" customFormat="1" ht="12.75"/>
    <row r="2733" s="3161" customFormat="1" ht="12.75"/>
    <row r="2734" s="3161" customFormat="1" ht="12.75"/>
    <row r="2735" s="3161" customFormat="1" ht="12.75"/>
    <row r="2736" s="3161" customFormat="1" ht="12.75"/>
    <row r="2737" s="3161" customFormat="1" ht="12.75"/>
    <row r="2738" s="3161" customFormat="1" ht="12.75"/>
    <row r="2739" s="3161" customFormat="1" ht="12.75"/>
    <row r="2740" s="3161" customFormat="1" ht="12.75"/>
    <row r="2741" s="3161" customFormat="1" ht="12.75"/>
    <row r="2742" s="3161" customFormat="1" ht="12.75"/>
    <row r="2743" s="3161" customFormat="1" ht="12.75"/>
    <row r="2744" s="3161" customFormat="1" ht="12.75"/>
    <row r="2745" s="3161" customFormat="1" ht="12.75"/>
    <row r="2746" s="3161" customFormat="1" ht="12.75"/>
    <row r="2747" s="3161" customFormat="1" ht="12.75"/>
    <row r="2748" s="3161" customFormat="1" ht="12.75"/>
    <row r="2749" s="3161" customFormat="1" ht="12.75"/>
    <row r="2750" s="3161" customFormat="1" ht="12.75"/>
    <row r="2751" s="3161" customFormat="1" ht="12.75"/>
    <row r="2752" s="3161" customFormat="1" ht="12.75"/>
    <row r="2753" s="3161" customFormat="1" ht="12.75"/>
    <row r="2754" s="3161" customFormat="1" ht="12.75"/>
    <row r="2755" s="3161" customFormat="1" ht="12.75"/>
    <row r="2756" s="3161" customFormat="1" ht="12.75"/>
    <row r="2757" s="3161" customFormat="1" ht="12.75"/>
    <row r="2758" s="3161" customFormat="1" ht="12.75"/>
    <row r="2759" s="3161" customFormat="1" ht="12.75"/>
    <row r="2760" s="3161" customFormat="1" ht="12.75"/>
    <row r="2761" s="3161" customFormat="1" ht="12.75"/>
    <row r="2762" s="3161" customFormat="1" ht="12.75"/>
    <row r="2763" s="3161" customFormat="1" ht="12.75"/>
    <row r="2764" s="3161" customFormat="1" ht="12.75"/>
    <row r="2765" s="3161" customFormat="1" ht="12.75"/>
    <row r="2766" s="3161" customFormat="1" ht="12.75"/>
    <row r="2767" s="3161" customFormat="1" ht="12.75"/>
    <row r="2768" s="3161" customFormat="1" ht="12.75"/>
    <row r="2769" s="3161" customFormat="1" ht="12.75"/>
    <row r="2770" s="3161" customFormat="1" ht="12.75"/>
    <row r="2771" s="3161" customFormat="1" ht="12.75"/>
    <row r="2772" s="3161" customFormat="1" ht="12.75"/>
    <row r="2773" s="3161" customFormat="1" ht="12.75"/>
    <row r="2774" s="3161" customFormat="1" ht="12.75"/>
    <row r="2775" s="3161" customFormat="1" ht="12.75"/>
    <row r="2776" s="3161" customFormat="1" ht="12.75"/>
    <row r="2777" s="3161" customFormat="1" ht="12.75"/>
    <row r="2778" s="3161" customFormat="1" ht="12.75"/>
    <row r="2779" s="3161" customFormat="1" ht="12.75"/>
    <row r="2780" s="3161" customFormat="1" ht="12.75"/>
    <row r="2781" s="3161" customFormat="1" ht="12.75"/>
    <row r="2782" s="3161" customFormat="1" ht="12.75"/>
    <row r="2783" s="3161" customFormat="1" ht="12.75"/>
    <row r="2784" s="3161" customFormat="1" ht="12.75"/>
    <row r="2785" s="3161" customFormat="1" ht="12.75"/>
    <row r="2786" s="3161" customFormat="1" ht="12.75"/>
    <row r="2787" s="3161" customFormat="1" ht="12.75"/>
    <row r="2788" s="3161" customFormat="1" ht="12.75"/>
    <row r="2789" s="3161" customFormat="1" ht="12.75"/>
    <row r="2790" s="3161" customFormat="1" ht="12.75"/>
    <row r="2791" s="3161" customFormat="1" ht="12.75"/>
    <row r="2792" s="3161" customFormat="1" ht="12.75"/>
    <row r="2793" s="3161" customFormat="1" ht="12.75"/>
    <row r="2794" s="3161" customFormat="1" ht="12.75"/>
    <row r="2795" s="3161" customFormat="1" ht="12.75"/>
    <row r="2796" s="3161" customFormat="1" ht="12.75"/>
    <row r="2797" s="3161" customFormat="1" ht="12.75"/>
    <row r="2798" s="3161" customFormat="1" ht="12.75"/>
    <row r="2799" s="3161" customFormat="1" ht="12.75"/>
    <row r="2800" s="3161" customFormat="1" ht="12.75"/>
    <row r="2801" s="3161" customFormat="1" ht="12.75"/>
    <row r="2802" s="3161" customFormat="1" ht="12.75"/>
    <row r="2803" s="3161" customFormat="1" ht="12.75"/>
    <row r="2804" s="3161" customFormat="1" ht="12.75"/>
    <row r="2805" s="3161" customFormat="1" ht="12.75"/>
    <row r="2806" s="3161" customFormat="1" ht="12.75"/>
    <row r="2807" s="3161" customFormat="1" ht="12.75"/>
    <row r="2808" s="3161" customFormat="1" ht="12.75"/>
    <row r="2809" s="3161" customFormat="1" ht="12.75"/>
    <row r="2810" s="3161" customFormat="1" ht="12.75"/>
    <row r="2811" s="3161" customFormat="1" ht="12.75"/>
    <row r="2812" s="3161" customFormat="1" ht="12.75"/>
    <row r="2813" s="3161" customFormat="1" ht="12.75"/>
    <row r="2814" s="3161" customFormat="1" ht="12.75"/>
    <row r="2815" s="3161" customFormat="1" ht="12.75"/>
    <row r="2816" s="3161" customFormat="1" ht="12.75"/>
    <row r="2817" s="3161" customFormat="1" ht="12.75"/>
    <row r="2818" s="3161" customFormat="1" ht="12.75"/>
    <row r="2819" s="3161" customFormat="1" ht="12.75"/>
    <row r="2820" s="3161" customFormat="1" ht="12.75"/>
    <row r="2821" s="3161" customFormat="1" ht="12.75"/>
    <row r="2822" s="3161" customFormat="1" ht="12.75"/>
    <row r="2823" s="3161" customFormat="1" ht="12.75"/>
    <row r="2824" s="3161" customFormat="1" ht="12.75"/>
    <row r="2825" s="3161" customFormat="1" ht="12.75"/>
    <row r="2826" s="3161" customFormat="1" ht="12.75"/>
    <row r="2827" s="3161" customFormat="1" ht="12.75"/>
    <row r="2828" s="3161" customFormat="1" ht="12.75"/>
    <row r="2829" s="3161" customFormat="1" ht="12.75"/>
    <row r="2830" s="3161" customFormat="1" ht="12.75"/>
    <row r="2831" s="3161" customFormat="1" ht="12.75"/>
    <row r="2832" s="3161" customFormat="1" ht="12.75"/>
    <row r="2833" s="3161" customFormat="1" ht="12.75"/>
    <row r="2834" s="3161" customFormat="1" ht="12.75"/>
    <row r="2835" s="3161" customFormat="1" ht="12.75"/>
    <row r="2836" s="3161" customFormat="1" ht="12.75"/>
    <row r="2837" s="3161" customFormat="1" ht="12.75"/>
    <row r="2838" s="3161" customFormat="1" ht="12.75"/>
    <row r="2839" s="3161" customFormat="1" ht="12.75"/>
    <row r="2840" s="3161" customFormat="1" ht="12.75"/>
    <row r="2841" s="3161" customFormat="1" ht="12.75"/>
    <row r="2842" s="3161" customFormat="1" ht="12.75"/>
    <row r="2843" s="3161" customFormat="1" ht="12.75"/>
    <row r="2844" s="3161" customFormat="1" ht="12.75"/>
    <row r="2845" s="3161" customFormat="1" ht="12.75"/>
    <row r="2846" s="3161" customFormat="1" ht="12.75"/>
    <row r="2847" s="3161" customFormat="1" ht="12.75"/>
    <row r="2848" s="3161" customFormat="1" ht="12.75"/>
    <row r="2849" s="3161" customFormat="1" ht="12.75"/>
    <row r="2850" s="3161" customFormat="1" ht="12.75"/>
    <row r="2851" s="3161" customFormat="1" ht="12.75"/>
    <row r="2852" s="3161" customFormat="1" ht="12.75"/>
    <row r="2853" s="3161" customFormat="1" ht="12.75"/>
    <row r="2854" s="3161" customFormat="1" ht="12.75"/>
    <row r="2855" s="3161" customFormat="1" ht="12.75"/>
    <row r="2856" s="3161" customFormat="1" ht="12.75"/>
    <row r="2857" s="3161" customFormat="1" ht="12.75"/>
    <row r="2858" s="3161" customFormat="1" ht="12.75"/>
    <row r="2859" s="3161" customFormat="1" ht="12.75"/>
    <row r="2860" s="3161" customFormat="1" ht="12.75"/>
    <row r="2861" s="3161" customFormat="1" ht="12.75"/>
    <row r="2862" s="3161" customFormat="1" ht="12.75"/>
    <row r="2863" s="3161" customFormat="1" ht="12.75"/>
    <row r="2864" s="3161" customFormat="1" ht="12.75"/>
    <row r="2865" s="3161" customFormat="1" ht="12.75"/>
    <row r="2866" s="3161" customFormat="1" ht="12.75"/>
    <row r="2867" s="3161" customFormat="1" ht="12.75"/>
    <row r="2868" s="3161" customFormat="1" ht="12.75"/>
    <row r="2869" s="3161" customFormat="1" ht="12.75"/>
    <row r="2870" s="3161" customFormat="1" ht="12.75"/>
    <row r="2871" s="3161" customFormat="1" ht="12.75"/>
    <row r="2872" s="3161" customFormat="1" ht="12.75"/>
    <row r="2873" s="3161" customFormat="1" ht="12.75"/>
    <row r="2874" s="3161" customFormat="1" ht="12.75"/>
    <row r="2875" s="3161" customFormat="1" ht="12.75"/>
    <row r="2876" s="3161" customFormat="1" ht="12.75"/>
    <row r="2877" s="3161" customFormat="1" ht="12.75"/>
    <row r="2878" s="3161" customFormat="1" ht="12.75"/>
    <row r="2879" s="3161" customFormat="1" ht="12.75"/>
    <row r="2880" s="3161" customFormat="1" ht="12.75"/>
    <row r="2881" s="3161" customFormat="1" ht="12.75"/>
    <row r="2882" s="3161" customFormat="1" ht="12.75"/>
    <row r="2883" s="3161" customFormat="1" ht="12.75"/>
    <row r="2884" s="3161" customFormat="1" ht="12.75"/>
    <row r="2885" s="3161" customFormat="1" ht="12.75"/>
    <row r="2886" s="3161" customFormat="1" ht="12.75"/>
    <row r="2887" s="3161" customFormat="1" ht="12.75"/>
    <row r="2888" s="3161" customFormat="1" ht="12.75"/>
    <row r="2889" s="3161" customFormat="1" ht="12.75"/>
    <row r="2890" s="3161" customFormat="1" ht="12.75"/>
    <row r="2891" s="3161" customFormat="1" ht="12.75"/>
    <row r="2892" s="3161" customFormat="1" ht="12.75"/>
    <row r="2893" s="3161" customFormat="1" ht="12.75"/>
    <row r="2894" s="3161" customFormat="1" ht="12.75"/>
    <row r="2895" s="3161" customFormat="1" ht="12.75"/>
    <row r="2896" s="3161" customFormat="1" ht="12.75"/>
    <row r="2897" s="3161" customFormat="1" ht="12.75"/>
    <row r="2898" s="3161" customFormat="1" ht="12.75"/>
    <row r="2899" s="3161" customFormat="1" ht="12.75"/>
    <row r="2900" s="3161" customFormat="1" ht="12.75"/>
    <row r="2901" s="3161" customFormat="1" ht="12.75"/>
    <row r="2902" s="3161" customFormat="1" ht="12.75"/>
    <row r="2903" s="3161" customFormat="1" ht="12.75"/>
    <row r="2904" s="3161" customFormat="1" ht="12.75"/>
    <row r="2905" s="3161" customFormat="1" ht="12.75"/>
    <row r="2906" s="3161" customFormat="1" ht="12.75"/>
    <row r="2907" s="3161" customFormat="1" ht="12.75"/>
    <row r="2908" s="3161" customFormat="1" ht="12.75"/>
    <row r="2909" s="3161" customFormat="1" ht="12.75"/>
    <row r="2910" s="3161" customFormat="1" ht="12.75"/>
    <row r="2911" s="3161" customFormat="1" ht="12.75"/>
    <row r="2912" s="3161" customFormat="1" ht="12.75"/>
    <row r="2913" s="3161" customFormat="1" ht="12.75"/>
    <row r="2914" s="3161" customFormat="1" ht="12.75"/>
    <row r="2915" s="3161" customFormat="1" ht="12.75"/>
    <row r="2916" s="3161" customFormat="1" ht="12.75"/>
    <row r="2917" s="3161" customFormat="1" ht="12.75"/>
    <row r="2918" s="3161" customFormat="1" ht="12.75"/>
    <row r="2919" s="3161" customFormat="1" ht="12.75"/>
    <row r="2920" s="3161" customFormat="1" ht="12.75"/>
    <row r="2921" s="3161" customFormat="1" ht="12.75"/>
    <row r="2922" s="3161" customFormat="1" ht="12.75"/>
    <row r="2923" s="3161" customFormat="1" ht="12.75"/>
    <row r="2924" s="3161" customFormat="1" ht="12.75"/>
    <row r="2925" s="3161" customFormat="1" ht="12.75"/>
    <row r="2926" s="3161" customFormat="1" ht="12.75"/>
    <row r="2927" s="3161" customFormat="1" ht="12.75"/>
    <row r="2928" s="3161" customFormat="1" ht="12.75"/>
    <row r="2929" s="3161" customFormat="1" ht="12.75"/>
    <row r="2930" s="3161" customFormat="1" ht="12.75"/>
    <row r="2931" s="3161" customFormat="1" ht="12.75"/>
    <row r="2932" s="3161" customFormat="1" ht="12.75"/>
    <row r="2933" s="3161" customFormat="1" ht="12.75"/>
    <row r="2934" s="3161" customFormat="1" ht="12.75"/>
    <row r="2935" s="3161" customFormat="1" ht="12.75"/>
    <row r="2936" s="3161" customFormat="1" ht="12.75"/>
    <row r="2937" s="3161" customFormat="1" ht="12.75"/>
    <row r="2938" s="3161" customFormat="1" ht="12.75"/>
    <row r="2939" s="3161" customFormat="1" ht="12.75"/>
    <row r="2940" s="3161" customFormat="1" ht="12.75"/>
    <row r="2941" s="3161" customFormat="1" ht="12.75"/>
    <row r="2942" s="3161" customFormat="1" ht="12.75"/>
    <row r="2943" s="3161" customFormat="1" ht="12.75"/>
    <row r="2944" s="3161" customFormat="1" ht="12.75"/>
    <row r="2945" s="3161" customFormat="1" ht="12.75"/>
    <row r="2946" s="3161" customFormat="1" ht="12.75"/>
    <row r="2947" s="3161" customFormat="1" ht="12.75"/>
    <row r="2948" s="3161" customFormat="1" ht="12.75"/>
    <row r="2949" s="3161" customFormat="1" ht="12.75"/>
    <row r="2950" s="3161" customFormat="1" ht="12.75"/>
    <row r="2951" s="3161" customFormat="1" ht="12.75"/>
    <row r="2952" s="3161" customFormat="1" ht="12.75"/>
    <row r="2953" s="3161" customFormat="1" ht="12.75"/>
    <row r="2954" s="3161" customFormat="1" ht="12.75"/>
    <row r="2955" s="3161" customFormat="1" ht="12.75"/>
    <row r="2956" s="3161" customFormat="1" ht="12.75"/>
    <row r="2957" s="3161" customFormat="1" ht="12.75"/>
    <row r="2958" s="3161" customFormat="1" ht="12.75"/>
    <row r="2959" s="3161" customFormat="1" ht="12.75"/>
    <row r="2960" s="3161" customFormat="1" ht="12.75"/>
    <row r="2961" s="3161" customFormat="1" ht="12.75"/>
    <row r="2962" s="3161" customFormat="1" ht="12.75"/>
    <row r="2963" s="3161" customFormat="1" ht="12.75"/>
    <row r="2964" s="3161" customFormat="1" ht="12.75"/>
    <row r="2965" s="3161" customFormat="1" ht="12.75"/>
    <row r="2966" s="3161" customFormat="1" ht="12.75"/>
    <row r="2967" s="3161" customFormat="1" ht="12.75"/>
    <row r="2968" s="3161" customFormat="1" ht="12.75"/>
    <row r="2969" s="3161" customFormat="1" ht="12.75"/>
    <row r="2970" s="3161" customFormat="1" ht="12.75"/>
    <row r="2971" s="3161" customFormat="1" ht="12.75"/>
    <row r="2972" s="3161" customFormat="1" ht="12.75"/>
    <row r="2973" s="3161" customFormat="1" ht="12.75"/>
    <row r="2974" s="3161" customFormat="1" ht="12.75"/>
    <row r="2975" s="3161" customFormat="1" ht="12.75"/>
    <row r="2976" s="3161" customFormat="1" ht="12.75"/>
    <row r="2977" s="3161" customFormat="1" ht="12.75"/>
    <row r="2978" s="3161" customFormat="1" ht="12.75"/>
    <row r="2979" s="3161" customFormat="1" ht="12.75"/>
    <row r="2980" s="3161" customFormat="1" ht="12.75"/>
    <row r="2981" s="3161" customFormat="1" ht="12.75"/>
    <row r="2982" s="3161" customFormat="1" ht="12.75"/>
    <row r="2983" s="3161" customFormat="1" ht="12.75"/>
    <row r="2984" s="3161" customFormat="1" ht="12.75"/>
    <row r="2985" s="3161" customFormat="1" ht="12.75"/>
    <row r="2986" s="3161" customFormat="1" ht="12.75"/>
    <row r="2987" s="3161" customFormat="1" ht="12.75"/>
    <row r="2988" s="3161" customFormat="1" ht="12.75"/>
    <row r="2989" s="3161" customFormat="1" ht="12.75"/>
    <row r="2990" s="3161" customFormat="1" ht="12.75"/>
    <row r="2991" s="3161" customFormat="1" ht="12.75"/>
    <row r="2992" s="3161" customFormat="1" ht="12.75"/>
    <row r="2993" s="3161" customFormat="1" ht="12.75"/>
    <row r="2994" s="3161" customFormat="1" ht="12.75"/>
    <row r="2995" s="3161" customFormat="1" ht="12.75"/>
    <row r="2996" s="3161" customFormat="1" ht="12.75"/>
    <row r="2997" s="3161" customFormat="1" ht="12.75"/>
    <row r="2998" s="3161" customFormat="1" ht="12.75"/>
    <row r="2999" s="3161" customFormat="1" ht="12.75"/>
    <row r="3000" s="3161" customFormat="1" ht="12.75"/>
    <row r="3001" s="3161" customFormat="1" ht="12.75"/>
    <row r="3002" s="3161" customFormat="1" ht="12.75"/>
    <row r="3003" s="3161" customFormat="1" ht="12.75"/>
    <row r="3004" s="3161" customFormat="1" ht="12.75"/>
    <row r="3005" s="3161" customFormat="1" ht="12.75"/>
    <row r="3006" s="3161" customFormat="1" ht="12.75"/>
    <row r="3007" s="3161" customFormat="1" ht="12.75"/>
    <row r="3008" s="3161" customFormat="1" ht="12.75"/>
    <row r="3009" s="3161" customFormat="1" ht="12.75"/>
    <row r="3010" s="3161" customFormat="1" ht="12.75"/>
    <row r="3011" s="3161" customFormat="1" ht="12.75"/>
    <row r="3012" s="3161" customFormat="1" ht="12.75"/>
    <row r="3013" s="3161" customFormat="1" ht="12.75"/>
    <row r="3014" s="3161" customFormat="1" ht="12.75"/>
    <row r="3015" s="3161" customFormat="1" ht="12.75"/>
    <row r="3016" s="3161" customFormat="1" ht="12.75"/>
    <row r="3017" s="3161" customFormat="1" ht="12.75"/>
    <row r="3018" s="3161" customFormat="1" ht="12.75"/>
    <row r="3019" s="3161" customFormat="1" ht="12.75"/>
    <row r="3020" s="3161" customFormat="1" ht="12.75"/>
    <row r="3021" s="3161" customFormat="1" ht="12.75"/>
    <row r="3022" s="3161" customFormat="1" ht="12.75"/>
    <row r="3023" s="3161" customFormat="1" ht="12.75"/>
    <row r="3024" s="3161" customFormat="1" ht="12.75"/>
    <row r="3025" s="3161" customFormat="1" ht="12.75"/>
    <row r="3026" s="3161" customFormat="1" ht="12.75"/>
    <row r="3027" s="3161" customFormat="1" ht="12.75"/>
    <row r="3028" s="3161" customFormat="1" ht="12.75"/>
    <row r="3029" s="3161" customFormat="1" ht="12.75"/>
    <row r="3030" s="3161" customFormat="1" ht="12.75"/>
    <row r="3031" s="3161" customFormat="1" ht="12.75"/>
    <row r="3032" s="3161" customFormat="1" ht="12.75"/>
    <row r="3033" s="3161" customFormat="1" ht="12.75"/>
    <row r="3034" s="3161" customFormat="1" ht="12.75"/>
    <row r="3035" s="3161" customFormat="1" ht="12.75"/>
    <row r="3036" s="3161" customFormat="1" ht="12.75"/>
    <row r="3037" s="3161" customFormat="1" ht="12.75"/>
    <row r="3038" s="3161" customFormat="1" ht="12.75"/>
    <row r="3039" s="3161" customFormat="1" ht="12.75"/>
    <row r="3040" s="3161" customFormat="1" ht="12.75"/>
    <row r="3041" s="3161" customFormat="1" ht="12.75"/>
    <row r="3042" s="3161" customFormat="1" ht="12.75"/>
    <row r="3043" s="3161" customFormat="1" ht="12.75"/>
    <row r="3044" s="3161" customFormat="1" ht="12.75"/>
    <row r="3045" s="3161" customFormat="1" ht="12.75"/>
    <row r="3046" s="3161" customFormat="1" ht="12.75"/>
    <row r="3047" s="3161" customFormat="1" ht="12.75"/>
    <row r="3048" s="3161" customFormat="1" ht="12.75"/>
    <row r="3049" s="3161" customFormat="1" ht="12.75"/>
    <row r="3050" s="3161" customFormat="1" ht="12.75"/>
    <row r="3051" s="3161" customFormat="1" ht="12.75"/>
    <row r="3052" s="3161" customFormat="1" ht="12.75"/>
    <row r="3053" s="3161" customFormat="1" ht="12.75"/>
    <row r="3054" s="3161" customFormat="1" ht="12.75"/>
    <row r="3055" s="3161" customFormat="1" ht="12.75"/>
    <row r="3056" s="3161" customFormat="1" ht="12.75"/>
    <row r="3057" s="3161" customFormat="1" ht="12.75"/>
    <row r="3058" s="3161" customFormat="1" ht="12.75"/>
    <row r="3059" s="3161" customFormat="1" ht="12.75"/>
    <row r="3060" s="3161" customFormat="1" ht="12.75"/>
    <row r="3061" s="3161" customFormat="1" ht="12.75"/>
    <row r="3062" s="3161" customFormat="1" ht="12.75"/>
    <row r="3063" s="3161" customFormat="1" ht="12.75"/>
    <row r="3064" s="3161" customFormat="1" ht="12.75"/>
    <row r="3065" s="3161" customFormat="1" ht="12.75"/>
    <row r="3066" s="3161" customFormat="1" ht="12.75"/>
    <row r="3067" s="3161" customFormat="1" ht="12.75"/>
    <row r="3068" s="3161" customFormat="1" ht="12.75"/>
    <row r="3069" s="3161" customFormat="1" ht="12.75"/>
    <row r="3070" s="3161" customFormat="1" ht="12.75"/>
    <row r="3071" s="3161" customFormat="1" ht="12.75"/>
    <row r="3072" s="3161" customFormat="1" ht="12.75"/>
    <row r="3073" s="3161" customFormat="1" ht="12.75"/>
    <row r="3074" s="3161" customFormat="1" ht="12.75"/>
    <row r="3075" s="3161" customFormat="1" ht="12.75"/>
    <row r="3076" s="3161" customFormat="1" ht="12.75"/>
    <row r="3077" s="3161" customFormat="1" ht="12.75"/>
    <row r="3078" s="3161" customFormat="1" ht="12.75"/>
    <row r="3079" s="3161" customFormat="1" ht="12.75"/>
    <row r="3080" s="3161" customFormat="1" ht="12.75"/>
    <row r="3081" s="3161" customFormat="1" ht="12.75"/>
    <row r="3082" s="3161" customFormat="1" ht="12.75"/>
    <row r="3083" s="3161" customFormat="1" ht="12.75"/>
    <row r="3084" s="3161" customFormat="1" ht="12.75"/>
    <row r="3085" s="3161" customFormat="1" ht="12.75"/>
    <row r="3086" s="3161" customFormat="1" ht="12.75"/>
    <row r="3087" s="3161" customFormat="1" ht="12.75"/>
    <row r="3088" s="3161" customFormat="1" ht="12.75"/>
    <row r="3089" s="3161" customFormat="1" ht="12.75"/>
    <row r="3090" s="3161" customFormat="1" ht="12.75"/>
    <row r="3091" s="3161" customFormat="1" ht="12.75"/>
    <row r="3092" s="3161" customFormat="1" ht="12.75"/>
    <row r="3093" s="3161" customFormat="1" ht="12.75"/>
    <row r="3094" s="3161" customFormat="1" ht="12.75"/>
    <row r="3095" s="3161" customFormat="1" ht="12.75"/>
    <row r="3096" s="3161" customFormat="1" ht="12.75"/>
    <row r="3097" s="3161" customFormat="1" ht="12.75"/>
    <row r="3098" s="3161" customFormat="1" ht="12.75"/>
    <row r="3099" s="3161" customFormat="1" ht="12.75"/>
    <row r="3100" s="3161" customFormat="1" ht="12.75"/>
    <row r="3101" s="3161" customFormat="1" ht="12.75"/>
    <row r="3102" s="3161" customFormat="1" ht="12.75"/>
    <row r="3103" s="3161" customFormat="1" ht="12.75"/>
    <row r="3104" s="3161" customFormat="1" ht="12.75"/>
    <row r="3105" s="3161" customFormat="1" ht="12.75"/>
    <row r="3106" s="3161" customFormat="1" ht="12.75"/>
    <row r="3107" s="3161" customFormat="1" ht="12.75"/>
    <row r="3108" s="3161" customFormat="1" ht="12.75"/>
    <row r="3109" s="3161" customFormat="1" ht="12.75"/>
    <row r="3110" s="3161" customFormat="1" ht="12.75"/>
    <row r="3111" s="3161" customFormat="1" ht="12.75"/>
    <row r="3112" s="3161" customFormat="1" ht="12.75"/>
    <row r="3113" s="3161" customFormat="1" ht="12.75"/>
    <row r="3114" s="3161" customFormat="1" ht="12.75"/>
    <row r="3115" s="3161" customFormat="1" ht="12.75"/>
    <row r="3116" s="3161" customFormat="1" ht="12.75"/>
    <row r="3117" s="3161" customFormat="1" ht="12.75"/>
    <row r="3118" s="3161" customFormat="1" ht="12.75"/>
    <row r="3119" s="3161" customFormat="1" ht="12.75"/>
    <row r="3120" s="3161" customFormat="1" ht="12.75"/>
    <row r="3121" s="3161" customFormat="1" ht="12.75"/>
    <row r="3122" s="3161" customFormat="1" ht="12.75"/>
    <row r="3123" s="3161" customFormat="1" ht="12.75"/>
    <row r="3124" s="3161" customFormat="1" ht="12.75"/>
    <row r="3125" s="3161" customFormat="1" ht="12.75"/>
    <row r="3126" s="3161" customFormat="1" ht="12.75"/>
    <row r="3127" s="3161" customFormat="1" ht="12.75"/>
    <row r="3128" s="3161" customFormat="1" ht="12.75"/>
    <row r="3129" s="3161" customFormat="1" ht="12.75"/>
    <row r="3130" s="3161" customFormat="1" ht="12.75"/>
    <row r="3131" s="3161" customFormat="1" ht="12.75"/>
    <row r="3132" s="3161" customFormat="1" ht="12.75"/>
    <row r="3133" s="3161" customFormat="1" ht="12.75"/>
    <row r="3134" s="3161" customFormat="1" ht="12.75"/>
    <row r="3135" s="3161" customFormat="1" ht="12.75"/>
    <row r="3136" s="3161" customFormat="1" ht="12.75"/>
    <row r="3137" s="3161" customFormat="1" ht="12.75"/>
    <row r="3138" s="3161" customFormat="1" ht="12.75"/>
    <row r="3139" s="3161" customFormat="1" ht="12.75"/>
    <row r="3140" s="3161" customFormat="1" ht="12.75"/>
    <row r="3141" s="3161" customFormat="1" ht="12.75"/>
    <row r="3142" s="3161" customFormat="1" ht="12.75"/>
    <row r="3143" s="3161" customFormat="1" ht="12.75"/>
    <row r="3144" s="3161" customFormat="1" ht="12.75"/>
    <row r="3145" s="3161" customFormat="1" ht="12.75"/>
    <row r="3146" s="3161" customFormat="1" ht="12.75"/>
    <row r="3147" s="3161" customFormat="1" ht="12.75"/>
    <row r="3148" s="3161" customFormat="1" ht="12.75"/>
    <row r="3149" s="3161" customFormat="1" ht="12.75"/>
    <row r="3150" s="3161" customFormat="1" ht="12.75"/>
    <row r="3151" s="3161" customFormat="1" ht="12.75"/>
    <row r="3152" s="3161" customFormat="1" ht="12.75"/>
    <row r="3153" s="3161" customFormat="1" ht="12.75"/>
    <row r="3154" s="3161" customFormat="1" ht="12.75"/>
    <row r="3155" s="3161" customFormat="1" ht="12.75"/>
    <row r="3156" s="3161" customFormat="1" ht="12.75"/>
    <row r="3157" s="3161" customFormat="1" ht="12.75"/>
    <row r="3158" s="3161" customFormat="1" ht="12.75"/>
    <row r="3159" s="3161" customFormat="1" ht="12.75"/>
    <row r="3160" s="3161" customFormat="1" ht="12.75"/>
    <row r="3161" s="3161" customFormat="1" ht="12.75"/>
    <row r="3162" s="3161" customFormat="1" ht="12.75"/>
    <row r="3163" s="3161" customFormat="1" ht="12.75"/>
    <row r="3164" s="3161" customFormat="1" ht="12.75"/>
    <row r="3165" s="3161" customFormat="1" ht="12.75"/>
    <row r="3166" s="3161" customFormat="1" ht="12.75"/>
    <row r="3167" s="3161" customFormat="1" ht="12.75"/>
    <row r="3168" s="3161" customFormat="1" ht="12.75"/>
    <row r="3169" s="3161" customFormat="1" ht="12.75"/>
    <row r="3170" s="3161" customFormat="1" ht="12.75"/>
    <row r="3171" s="3161" customFormat="1" ht="12.75"/>
    <row r="3172" s="3161" customFormat="1" ht="12.75"/>
    <row r="3173" s="3161" customFormat="1" ht="12.75"/>
    <row r="3174" s="3161" customFormat="1" ht="12.75"/>
    <row r="3175" s="3161" customFormat="1" ht="12.75"/>
    <row r="3176" s="3161" customFormat="1" ht="12.75"/>
    <row r="3177" s="3161" customFormat="1" ht="12.75"/>
    <row r="3178" s="3161" customFormat="1" ht="12.75"/>
    <row r="3179" s="3161" customFormat="1" ht="12.75"/>
    <row r="3180" s="3161" customFormat="1" ht="12.75"/>
    <row r="3181" s="3161" customFormat="1" ht="12.75"/>
    <row r="3182" s="3161" customFormat="1" ht="12.75"/>
    <row r="3183" s="3161" customFormat="1" ht="12.75"/>
    <row r="3184" s="3161" customFormat="1" ht="12.75"/>
    <row r="3185" s="3161" customFormat="1" ht="12.75"/>
    <row r="3186" s="3161" customFormat="1" ht="12.75"/>
    <row r="3187" s="3161" customFormat="1" ht="12.75"/>
    <row r="3188" s="3161" customFormat="1" ht="12.75"/>
    <row r="3189" s="3161" customFormat="1" ht="12.75"/>
    <row r="3190" s="3161" customFormat="1" ht="12.75"/>
    <row r="3191" s="3161" customFormat="1" ht="12.75"/>
    <row r="3192" s="3161" customFormat="1" ht="12.75"/>
    <row r="3193" s="3161" customFormat="1" ht="12.75"/>
    <row r="3194" s="3161" customFormat="1" ht="12.75"/>
    <row r="3195" s="3161" customFormat="1" ht="12.75"/>
    <row r="3196" s="3161" customFormat="1" ht="12.75"/>
    <row r="3197" s="3161" customFormat="1" ht="12.75"/>
    <row r="3198" s="3161" customFormat="1" ht="12.75"/>
    <row r="3199" s="3161" customFormat="1" ht="12.75"/>
    <row r="3200" s="3161" customFormat="1" ht="12.75"/>
    <row r="3201" s="3161" customFormat="1" ht="12.75"/>
    <row r="3202" s="3161" customFormat="1" ht="12.75"/>
    <row r="3203" s="3161" customFormat="1" ht="12.75"/>
    <row r="3204" s="3161" customFormat="1" ht="12.75"/>
    <row r="3205" s="3161" customFormat="1" ht="12.75"/>
    <row r="3206" s="3161" customFormat="1" ht="12.75"/>
    <row r="3207" s="3161" customFormat="1" ht="12.75"/>
    <row r="3208" s="3161" customFormat="1" ht="12.75"/>
    <row r="3209" s="3161" customFormat="1" ht="12.75"/>
    <row r="3210" s="3161" customFormat="1" ht="12.75"/>
    <row r="3211" s="3161" customFormat="1" ht="12.75"/>
    <row r="3212" s="3161" customFormat="1" ht="12.75"/>
    <row r="3213" s="3161" customFormat="1" ht="12.75"/>
    <row r="3214" s="3161" customFormat="1" ht="12.75"/>
    <row r="3215" s="3161" customFormat="1" ht="12.75"/>
    <row r="3216" s="3161" customFormat="1" ht="12.75"/>
    <row r="3217" s="3161" customFormat="1" ht="12.75"/>
    <row r="3218" s="3161" customFormat="1" ht="12.75"/>
    <row r="3219" s="3161" customFormat="1" ht="12.75"/>
    <row r="3220" s="3161" customFormat="1" ht="12.75"/>
    <row r="3221" s="3161" customFormat="1" ht="12.75"/>
    <row r="3222" s="3161" customFormat="1" ht="12.75"/>
    <row r="3223" s="3161" customFormat="1" ht="12.75"/>
    <row r="3224" s="3161" customFormat="1" ht="12.75"/>
    <row r="3225" s="3161" customFormat="1" ht="12.75"/>
    <row r="3226" s="3161" customFormat="1" ht="12.75"/>
    <row r="3227" s="3161" customFormat="1" ht="12.75"/>
    <row r="3228" s="3161" customFormat="1" ht="12.75"/>
    <row r="3229" s="3161" customFormat="1" ht="12.75"/>
    <row r="3230" s="3161" customFormat="1" ht="12.75"/>
    <row r="3231" s="3161" customFormat="1" ht="12.75"/>
    <row r="3232" s="3161" customFormat="1" ht="12.75"/>
    <row r="3233" s="3161" customFormat="1" ht="12.75"/>
    <row r="3234" s="3161" customFormat="1" ht="12.75"/>
    <row r="3235" s="3161" customFormat="1" ht="12.75"/>
    <row r="3236" s="3161" customFormat="1" ht="12.75"/>
    <row r="3237" s="3161" customFormat="1" ht="12.75"/>
    <row r="3238" s="3161" customFormat="1" ht="12.75"/>
    <row r="3239" s="3161" customFormat="1" ht="12.75"/>
    <row r="3240" s="3161" customFormat="1" ht="12.75"/>
    <row r="3241" s="3161" customFormat="1" ht="12.75"/>
    <row r="3242" s="3161" customFormat="1" ht="12.75"/>
    <row r="3243" s="3161" customFormat="1" ht="12.75"/>
    <row r="3244" s="3161" customFormat="1" ht="12.75"/>
    <row r="3245" s="3161" customFormat="1" ht="12.75"/>
    <row r="3246" s="3161" customFormat="1" ht="12.75"/>
    <row r="3247" s="3161" customFormat="1" ht="12.75"/>
    <row r="3248" s="3161" customFormat="1" ht="12.75"/>
    <row r="3249" s="3161" customFormat="1" ht="12.75"/>
    <row r="3250" s="3161" customFormat="1" ht="12.75"/>
    <row r="3251" s="3161" customFormat="1" ht="12.75"/>
    <row r="3252" s="3161" customFormat="1" ht="12.75"/>
    <row r="3253" s="3161" customFormat="1" ht="12.75"/>
    <row r="3254" s="3161" customFormat="1" ht="12.75"/>
    <row r="3255" s="3161" customFormat="1" ht="12.75"/>
    <row r="3256" s="3161" customFormat="1" ht="12.75"/>
    <row r="3257" s="3161" customFormat="1" ht="12.75"/>
    <row r="3258" s="3161" customFormat="1" ht="12.75"/>
    <row r="3259" s="3161" customFormat="1" ht="12.75"/>
    <row r="3260" s="3161" customFormat="1" ht="12.75"/>
    <row r="3261" s="3161" customFormat="1" ht="12.75"/>
    <row r="3262" s="3161" customFormat="1" ht="12.75"/>
    <row r="3263" s="3161" customFormat="1" ht="12.75"/>
    <row r="3264" s="3161" customFormat="1" ht="12.75"/>
    <row r="3265" s="3161" customFormat="1" ht="12.75"/>
    <row r="3266" s="3161" customFormat="1" ht="12.75"/>
    <row r="3267" s="3161" customFormat="1" ht="12.75"/>
    <row r="3268" s="3161" customFormat="1" ht="12.75"/>
    <row r="3269" s="3161" customFormat="1" ht="12.75"/>
    <row r="3270" s="3161" customFormat="1" ht="12.75"/>
    <row r="3271" s="3161" customFormat="1" ht="12.75"/>
    <row r="3272" s="3161" customFormat="1" ht="12.75"/>
    <row r="3273" s="3161" customFormat="1" ht="12.75"/>
    <row r="3274" s="3161" customFormat="1" ht="12.75"/>
    <row r="3275" s="3161" customFormat="1" ht="12.75"/>
    <row r="3276" s="3161" customFormat="1" ht="12.75"/>
    <row r="3277" s="3161" customFormat="1" ht="12.75"/>
    <row r="3278" s="3161" customFormat="1" ht="12.75"/>
    <row r="3279" s="3161" customFormat="1" ht="12.75"/>
    <row r="3280" s="3161" customFormat="1" ht="12.75"/>
    <row r="3281" s="3161" customFormat="1" ht="12.75"/>
    <row r="3282" s="3161" customFormat="1" ht="12.75"/>
    <row r="3283" s="3161" customFormat="1" ht="12.75"/>
    <row r="3284" s="3161" customFormat="1" ht="12.75"/>
    <row r="3285" s="3161" customFormat="1" ht="12.75"/>
    <row r="3286" s="3161" customFormat="1" ht="12.75"/>
    <row r="3287" s="3161" customFormat="1" ht="12.75"/>
    <row r="3288" s="3161" customFormat="1" ht="12.75"/>
    <row r="3289" s="3161" customFormat="1" ht="12.75"/>
    <row r="3290" s="3161" customFormat="1" ht="12.75"/>
    <row r="3291" s="3161" customFormat="1" ht="12.75"/>
    <row r="3292" s="3161" customFormat="1" ht="12.75"/>
    <row r="3293" s="3161" customFormat="1" ht="12.75"/>
    <row r="3294" s="3161" customFormat="1" ht="12.75"/>
    <row r="3295" s="3161" customFormat="1" ht="12.75"/>
    <row r="3296" s="3161" customFormat="1" ht="12.75"/>
    <row r="3297" s="3161" customFormat="1" ht="12.75"/>
    <row r="3298" s="3161" customFormat="1" ht="12.75"/>
    <row r="3299" s="3161" customFormat="1" ht="12.75"/>
    <row r="3300" s="3161" customFormat="1" ht="12.75"/>
    <row r="3301" s="3161" customFormat="1" ht="12.75"/>
    <row r="3302" s="3161" customFormat="1" ht="12.75"/>
    <row r="3303" s="3161" customFormat="1" ht="12.75"/>
    <row r="3304" s="3161" customFormat="1" ht="12.75"/>
    <row r="3305" s="3161" customFormat="1" ht="12.75"/>
    <row r="3306" s="3161" customFormat="1" ht="12.75"/>
    <row r="3307" s="3161" customFormat="1" ht="12.75"/>
    <row r="3308" s="3161" customFormat="1" ht="12.75"/>
    <row r="3309" s="3161" customFormat="1" ht="12.75"/>
    <row r="3310" s="3161" customFormat="1" ht="12.75"/>
    <row r="3311" s="3161" customFormat="1" ht="12.75"/>
    <row r="3312" s="3161" customFormat="1" ht="12.75"/>
    <row r="3313" s="3161" customFormat="1" ht="12.75"/>
    <row r="3314" s="3161" customFormat="1" ht="12.75"/>
    <row r="3315" s="3161" customFormat="1" ht="12.75"/>
    <row r="3316" s="3161" customFormat="1" ht="12.75"/>
    <row r="3317" s="3161" customFormat="1" ht="12.75"/>
    <row r="3318" s="3161" customFormat="1" ht="12.75"/>
    <row r="3319" s="3161" customFormat="1" ht="12.75"/>
    <row r="3320" s="3161" customFormat="1" ht="12.75"/>
    <row r="3321" s="3161" customFormat="1" ht="12.75"/>
    <row r="3322" s="3161" customFormat="1" ht="12.75"/>
    <row r="3323" s="3161" customFormat="1" ht="12.75"/>
    <row r="3324" s="3161" customFormat="1" ht="12.75"/>
    <row r="3325" s="3161" customFormat="1" ht="12.75"/>
    <row r="3326" s="3161" customFormat="1" ht="12.75"/>
    <row r="3327" s="3161" customFormat="1" ht="12.75"/>
    <row r="3328" s="3161" customFormat="1" ht="12.75"/>
    <row r="3329" s="3161" customFormat="1" ht="12.75"/>
    <row r="3330" s="3161" customFormat="1" ht="12.75"/>
    <row r="3331" s="3161" customFormat="1" ht="12.75"/>
    <row r="3332" s="3161" customFormat="1" ht="12.75"/>
    <row r="3333" s="3161" customFormat="1" ht="12.75"/>
    <row r="3334" s="3161" customFormat="1" ht="12.75"/>
    <row r="3335" s="3161" customFormat="1" ht="12.75"/>
    <row r="3336" s="3161" customFormat="1" ht="12.75"/>
    <row r="3337" s="3161" customFormat="1" ht="12.75"/>
    <row r="3338" s="3161" customFormat="1" ht="12.75"/>
    <row r="3339" s="3161" customFormat="1" ht="12.75"/>
    <row r="3340" s="3161" customFormat="1" ht="12.75"/>
    <row r="3341" s="3161" customFormat="1" ht="12.75"/>
    <row r="3342" s="3161" customFormat="1" ht="12.75"/>
    <row r="3343" s="3161" customFormat="1" ht="12.75"/>
    <row r="3344" s="3161" customFormat="1" ht="12.75"/>
    <row r="3345" s="3161" customFormat="1" ht="12.75"/>
    <row r="3346" s="3161" customFormat="1" ht="12.75"/>
    <row r="3347" s="3161" customFormat="1" ht="12.75"/>
    <row r="3348" s="3161" customFormat="1" ht="12.75"/>
    <row r="3349" s="3161" customFormat="1" ht="12.75"/>
    <row r="3350" s="3161" customFormat="1" ht="12.75"/>
    <row r="3351" s="3161" customFormat="1" ht="12.75"/>
    <row r="3352" s="3161" customFormat="1" ht="12.75"/>
    <row r="3353" s="3161" customFormat="1" ht="12.75"/>
    <row r="3354" s="3161" customFormat="1" ht="12.75"/>
    <row r="3355" s="3161" customFormat="1" ht="12.75"/>
    <row r="3356" s="3161" customFormat="1" ht="12.75"/>
    <row r="3357" s="3161" customFormat="1" ht="12.75"/>
    <row r="3358" s="3161" customFormat="1" ht="12.75"/>
    <row r="3359" s="3161" customFormat="1" ht="12.75"/>
    <row r="3360" s="3161" customFormat="1" ht="12.75"/>
    <row r="3361" s="3161" customFormat="1" ht="12.75"/>
    <row r="3362" s="3161" customFormat="1" ht="12.75"/>
    <row r="3363" s="3161" customFormat="1" ht="12.75"/>
    <row r="3364" s="3161" customFormat="1" ht="12.75"/>
    <row r="3365" s="3161" customFormat="1" ht="12.75"/>
    <row r="3366" s="3161" customFormat="1" ht="12.75"/>
    <row r="3367" s="3161" customFormat="1" ht="12.75"/>
    <row r="3368" s="3161" customFormat="1" ht="12.75"/>
    <row r="3369" s="3161" customFormat="1" ht="12.75"/>
    <row r="3370" s="3161" customFormat="1" ht="12.75"/>
    <row r="3371" s="3161" customFormat="1" ht="12.75"/>
    <row r="3372" s="3161" customFormat="1" ht="12.75"/>
    <row r="3373" s="3161" customFormat="1" ht="12.75"/>
    <row r="3374" s="3161" customFormat="1" ht="12.75"/>
    <row r="3375" s="3161" customFormat="1" ht="12.75"/>
    <row r="3376" s="3161" customFormat="1" ht="12.75"/>
    <row r="3377" s="3161" customFormat="1" ht="12.75"/>
    <row r="3378" s="3161" customFormat="1" ht="12.75"/>
    <row r="3379" s="3161" customFormat="1" ht="12.75"/>
    <row r="3380" s="3161" customFormat="1" ht="12.75"/>
    <row r="3381" s="3161" customFormat="1" ht="12.75"/>
    <row r="3382" s="3161" customFormat="1" ht="12.75"/>
    <row r="3383" s="3161" customFormat="1" ht="12.75"/>
    <row r="3384" s="3161" customFormat="1" ht="12.75"/>
    <row r="3385" s="3161" customFormat="1" ht="12.75"/>
    <row r="3386" s="3161" customFormat="1" ht="12.75"/>
    <row r="3387" s="3161" customFormat="1" ht="12.75"/>
    <row r="3388" s="3161" customFormat="1" ht="12.75"/>
    <row r="3389" s="3161" customFormat="1" ht="12.75"/>
    <row r="3390" s="3161" customFormat="1" ht="12.75"/>
    <row r="3391" s="3161" customFormat="1" ht="12.75"/>
    <row r="3392" s="3161" customFormat="1" ht="12.75"/>
    <row r="3393" s="3161" customFormat="1" ht="12.75"/>
    <row r="3394" s="3161" customFormat="1" ht="12.75"/>
    <row r="3395" s="3161" customFormat="1" ht="12.75"/>
    <row r="3396" s="3161" customFormat="1" ht="12.75"/>
    <row r="3397" s="3161" customFormat="1" ht="12.75"/>
    <row r="3398" s="3161" customFormat="1" ht="12.75"/>
    <row r="3399" s="3161" customFormat="1" ht="12.75"/>
    <row r="3400" s="3161" customFormat="1" ht="12.75"/>
    <row r="3401" s="3161" customFormat="1" ht="12.75"/>
    <row r="3402" s="3161" customFormat="1" ht="12.75"/>
    <row r="3403" s="3161" customFormat="1" ht="12.75"/>
    <row r="3404" s="3161" customFormat="1" ht="12.75"/>
    <row r="3405" s="3161" customFormat="1" ht="12.75"/>
    <row r="3406" s="3161" customFormat="1" ht="12.75"/>
    <row r="3407" s="3161" customFormat="1" ht="12.75"/>
    <row r="3408" s="3161" customFormat="1" ht="12.75"/>
    <row r="3409" s="3161" customFormat="1" ht="12.75"/>
    <row r="3410" s="3161" customFormat="1" ht="12.75"/>
    <row r="3411" s="3161" customFormat="1" ht="12.75"/>
    <row r="3412" s="3161" customFormat="1" ht="12.75"/>
    <row r="3413" s="3161" customFormat="1" ht="12.75"/>
    <row r="3414" s="3161" customFormat="1" ht="12.75"/>
    <row r="3415" s="3161" customFormat="1" ht="12.75"/>
    <row r="3416" s="3161" customFormat="1" ht="12.75"/>
    <row r="3417" s="3161" customFormat="1" ht="12.75"/>
    <row r="3418" s="3161" customFormat="1" ht="12.75"/>
    <row r="3419" s="3161" customFormat="1" ht="12.75"/>
    <row r="3420" s="3161" customFormat="1" ht="12.75"/>
    <row r="3421" s="3161" customFormat="1" ht="12.75"/>
    <row r="3422" s="3161" customFormat="1" ht="12.75"/>
    <row r="3423" s="3161" customFormat="1" ht="12.75"/>
    <row r="3424" s="3161" customFormat="1" ht="12.75"/>
    <row r="3425" s="3161" customFormat="1" ht="12.75"/>
    <row r="3426" s="3161" customFormat="1" ht="12.75"/>
    <row r="3427" s="3161" customFormat="1" ht="12.75"/>
    <row r="3428" s="3161" customFormat="1" ht="12.75"/>
    <row r="3429" s="3161" customFormat="1" ht="12.75"/>
    <row r="3430" s="3161" customFormat="1" ht="12.75"/>
    <row r="3431" s="3161" customFormat="1" ht="12.75"/>
    <row r="3432" s="3161" customFormat="1" ht="12.75"/>
    <row r="3433" s="3161" customFormat="1" ht="12.75"/>
    <row r="3434" s="3161" customFormat="1" ht="12.75"/>
    <row r="3435" s="3161" customFormat="1" ht="12.75"/>
    <row r="3436" s="3161" customFormat="1" ht="12.75"/>
    <row r="3437" s="3161" customFormat="1" ht="12.75"/>
    <row r="3438" s="3161" customFormat="1" ht="12.75"/>
    <row r="3439" s="3161" customFormat="1" ht="12.75"/>
    <row r="3440" s="3161" customFormat="1" ht="12.75"/>
    <row r="3441" s="3161" customFormat="1" ht="12.75"/>
    <row r="3442" s="3161" customFormat="1" ht="12.75"/>
    <row r="3443" s="3161" customFormat="1" ht="12.75"/>
    <row r="3444" s="3161" customFormat="1" ht="12.75"/>
    <row r="3445" s="3161" customFormat="1" ht="12.75"/>
    <row r="3446" s="3161" customFormat="1" ht="12.75"/>
    <row r="3447" s="3161" customFormat="1" ht="12.75"/>
    <row r="3448" s="3161" customFormat="1" ht="12.75"/>
    <row r="3449" s="3161" customFormat="1" ht="12.75"/>
    <row r="3450" s="3161" customFormat="1" ht="12.75"/>
    <row r="3451" s="3161" customFormat="1" ht="12.75"/>
    <row r="3452" s="3161" customFormat="1" ht="12.75"/>
    <row r="3453" s="3161" customFormat="1" ht="12.75"/>
    <row r="3454" s="3161" customFormat="1" ht="12.75"/>
    <row r="3455" s="3161" customFormat="1" ht="12.75"/>
    <row r="3456" s="3161" customFormat="1" ht="12.75"/>
    <row r="3457" s="3161" customFormat="1" ht="12.75"/>
    <row r="3458" s="3161" customFormat="1" ht="12.75"/>
    <row r="3459" s="3161" customFormat="1" ht="12.75"/>
    <row r="3460" s="3161" customFormat="1" ht="12.75"/>
    <row r="3461" s="3161" customFormat="1" ht="12.75"/>
    <row r="3462" s="3161" customFormat="1" ht="12.75"/>
    <row r="3463" s="3161" customFormat="1" ht="12.75"/>
    <row r="3464" s="3161" customFormat="1" ht="12.75"/>
    <row r="3465" s="3161" customFormat="1" ht="12.75"/>
    <row r="3466" s="3161" customFormat="1" ht="12.75"/>
    <row r="3467" s="3161" customFormat="1" ht="12.75"/>
    <row r="3468" s="3161" customFormat="1" ht="12.75"/>
    <row r="3469" s="3161" customFormat="1" ht="12.75"/>
    <row r="3470" s="3161" customFormat="1" ht="12.75"/>
    <row r="3471" s="3161" customFormat="1" ht="12.75"/>
    <row r="3472" s="3161" customFormat="1" ht="12.75"/>
    <row r="3473" s="3161" customFormat="1" ht="12.75"/>
    <row r="3474" s="3161" customFormat="1" ht="12.75"/>
    <row r="3475" s="3161" customFormat="1" ht="12.75"/>
    <row r="3476" s="3161" customFormat="1" ht="12.75"/>
    <row r="3477" s="3161" customFormat="1" ht="12.75"/>
    <row r="3478" s="3161" customFormat="1" ht="12.75"/>
    <row r="3479" s="3161" customFormat="1" ht="12.75"/>
    <row r="3480" s="3161" customFormat="1" ht="12.75"/>
    <row r="3481" s="3161" customFormat="1" ht="12.75"/>
    <row r="3482" s="3161" customFormat="1" ht="12.75"/>
    <row r="3483" s="3161" customFormat="1" ht="12.75"/>
    <row r="3484" s="3161" customFormat="1" ht="12.75"/>
    <row r="3485" s="3161" customFormat="1" ht="12.75"/>
    <row r="3486" s="3161" customFormat="1" ht="12.75"/>
    <row r="3487" s="3161" customFormat="1" ht="12.75"/>
    <row r="3488" s="3161" customFormat="1" ht="12.75"/>
    <row r="3489" s="3161" customFormat="1" ht="12.75"/>
    <row r="3490" s="3161" customFormat="1" ht="12.75"/>
    <row r="3491" s="3161" customFormat="1" ht="12.75"/>
    <row r="3492" s="3161" customFormat="1" ht="12.75"/>
    <row r="3493" s="3161" customFormat="1" ht="12.75"/>
    <row r="3494" s="3161" customFormat="1" ht="12.75"/>
    <row r="3495" s="3161" customFormat="1" ht="12.75"/>
    <row r="3496" s="3161" customFormat="1" ht="12.75"/>
    <row r="3497" s="3161" customFormat="1" ht="12.75"/>
    <row r="3498" s="3161" customFormat="1" ht="12.75"/>
    <row r="3499" s="3161" customFormat="1" ht="12.75"/>
    <row r="3500" s="3161" customFormat="1" ht="12.75"/>
    <row r="3501" s="3161" customFormat="1" ht="12.75"/>
    <row r="3502" s="3161" customFormat="1" ht="12.75"/>
    <row r="3503" s="3161" customFormat="1" ht="12.75"/>
    <row r="3504" s="3161" customFormat="1" ht="12.75"/>
    <row r="3505" s="3161" customFormat="1" ht="12.75"/>
    <row r="3506" s="3161" customFormat="1" ht="12.75"/>
    <row r="3507" s="3161" customFormat="1" ht="12.75"/>
    <row r="3508" s="3161" customFormat="1" ht="12.75"/>
    <row r="3509" s="3161" customFormat="1" ht="12.75"/>
    <row r="3510" s="3161" customFormat="1" ht="12.75"/>
    <row r="3511" s="3161" customFormat="1" ht="12.75"/>
    <row r="3512" s="3161" customFormat="1" ht="12.75"/>
    <row r="3513" s="3161" customFormat="1" ht="12.75"/>
    <row r="3514" s="3161" customFormat="1" ht="12.75"/>
    <row r="3515" s="3161" customFormat="1" ht="12.75"/>
    <row r="3516" s="3161" customFormat="1" ht="12.75"/>
    <row r="3517" s="3161" customFormat="1" ht="12.75"/>
    <row r="3518" s="3161" customFormat="1" ht="12.75"/>
    <row r="3519" s="3161" customFormat="1" ht="12.75"/>
    <row r="3520" s="3161" customFormat="1" ht="12.75"/>
    <row r="3521" s="3161" customFormat="1" ht="12.75"/>
    <row r="3522" s="3161" customFormat="1" ht="12.75"/>
    <row r="3523" s="3161" customFormat="1" ht="12.75"/>
    <row r="3524" s="3161" customFormat="1" ht="12.75"/>
    <row r="3525" s="3161" customFormat="1" ht="12.75"/>
    <row r="3526" s="3161" customFormat="1" ht="12.75"/>
    <row r="3527" s="3161" customFormat="1" ht="12.75"/>
    <row r="3528" s="3161" customFormat="1" ht="12.75"/>
    <row r="3529" s="3161" customFormat="1" ht="12.75"/>
    <row r="3530" s="3161" customFormat="1" ht="12.75"/>
    <row r="3531" s="3161" customFormat="1" ht="12.75"/>
    <row r="3532" s="3161" customFormat="1" ht="12.75"/>
    <row r="3533" s="3161" customFormat="1" ht="12.75"/>
    <row r="3534" s="3161" customFormat="1" ht="12.75"/>
    <row r="3535" s="3161" customFormat="1" ht="12.75"/>
    <row r="3536" s="3161" customFormat="1" ht="12.75"/>
    <row r="3537" s="3161" customFormat="1" ht="12.75"/>
    <row r="3538" s="3161" customFormat="1" ht="12.75"/>
    <row r="3539" s="3161" customFormat="1" ht="12.75"/>
    <row r="3540" s="3161" customFormat="1" ht="12.75"/>
    <row r="3541" s="3161" customFormat="1" ht="12.75"/>
    <row r="3542" s="3161" customFormat="1" ht="12.75"/>
    <row r="3543" s="3161" customFormat="1" ht="12.75"/>
    <row r="3544" s="3161" customFormat="1" ht="12.75"/>
    <row r="3545" s="3161" customFormat="1" ht="12.75"/>
    <row r="3546" s="3161" customFormat="1" ht="12.75"/>
    <row r="3547" s="3161" customFormat="1" ht="12.75"/>
    <row r="3548" s="3161" customFormat="1" ht="12.75"/>
    <row r="3549" s="3161" customFormat="1" ht="12.75"/>
    <row r="3550" s="3161" customFormat="1" ht="12.75"/>
    <row r="3551" s="3161" customFormat="1" ht="12.75"/>
    <row r="3552" s="3161" customFormat="1" ht="12.75"/>
    <row r="3553" s="3161" customFormat="1" ht="12.75"/>
    <row r="3554" s="3161" customFormat="1" ht="12.75"/>
    <row r="3555" s="3161" customFormat="1" ht="12.75"/>
    <row r="3556" s="3161" customFormat="1" ht="12.75"/>
    <row r="3557" s="3161" customFormat="1" ht="12.75"/>
    <row r="3558" s="3161" customFormat="1" ht="12.75"/>
    <row r="3559" s="3161" customFormat="1" ht="12.75"/>
    <row r="3560" s="3161" customFormat="1" ht="12.75"/>
    <row r="3561" s="3161" customFormat="1" ht="12.75"/>
    <row r="3562" s="3161" customFormat="1" ht="12.75"/>
    <row r="3563" s="3161" customFormat="1" ht="12.75"/>
    <row r="3564" s="3161" customFormat="1" ht="12.75"/>
    <row r="3565" s="3161" customFormat="1" ht="12.75"/>
    <row r="3566" s="3161" customFormat="1" ht="12.75"/>
    <row r="3567" s="3161" customFormat="1" ht="12.75"/>
    <row r="3568" s="3161" customFormat="1" ht="12.75"/>
    <row r="3569" s="3161" customFormat="1" ht="12.75"/>
    <row r="3570" s="3161" customFormat="1" ht="12.75"/>
    <row r="3571" s="3161" customFormat="1" ht="12.75"/>
    <row r="3572" s="3161" customFormat="1" ht="12.75"/>
    <row r="3573" s="3161" customFormat="1" ht="12.75"/>
    <row r="3574" s="3161" customFormat="1" ht="12.75"/>
    <row r="3575" s="3161" customFormat="1" ht="12.75"/>
    <row r="3576" s="3161" customFormat="1" ht="12.75"/>
    <row r="3577" s="3161" customFormat="1" ht="12.75"/>
    <row r="3578" s="3161" customFormat="1" ht="12.75"/>
    <row r="3579" s="3161" customFormat="1" ht="12.75"/>
    <row r="3580" s="3161" customFormat="1" ht="12.75"/>
    <row r="3581" s="3161" customFormat="1" ht="12.75"/>
    <row r="3582" s="3161" customFormat="1" ht="12.75"/>
    <row r="3583" s="3161" customFormat="1" ht="12.75"/>
    <row r="3584" s="3161" customFormat="1" ht="12.75"/>
    <row r="3585" s="3161" customFormat="1" ht="12.75"/>
    <row r="3586" s="3161" customFormat="1" ht="12.75"/>
    <row r="3587" s="3161" customFormat="1" ht="12.75"/>
    <row r="3588" s="3161" customFormat="1" ht="12.75"/>
    <row r="3589" s="3161" customFormat="1" ht="12.75"/>
    <row r="3590" s="3161" customFormat="1" ht="12.75"/>
    <row r="3591" s="3161" customFormat="1" ht="12.75"/>
    <row r="3592" s="3161" customFormat="1" ht="12.75"/>
    <row r="3593" s="3161" customFormat="1" ht="12.75"/>
    <row r="3594" s="3161" customFormat="1" ht="12.75"/>
    <row r="3595" s="3161" customFormat="1" ht="12.75"/>
    <row r="3596" s="3161" customFormat="1" ht="12.75"/>
    <row r="3597" s="3161" customFormat="1" ht="12.75"/>
    <row r="3598" s="3161" customFormat="1" ht="12.75"/>
    <row r="3599" s="3161" customFormat="1" ht="12.75"/>
    <row r="3600" s="3161" customFormat="1" ht="12.75"/>
    <row r="3601" s="3161" customFormat="1" ht="12.75"/>
    <row r="3602" s="3161" customFormat="1" ht="12.75"/>
    <row r="3603" s="3161" customFormat="1" ht="12.75"/>
    <row r="3604" s="3161" customFormat="1" ht="12.75"/>
    <row r="3605" s="3161" customFormat="1" ht="12.75"/>
    <row r="3606" s="3161" customFormat="1" ht="12.75"/>
    <row r="3607" s="3161" customFormat="1" ht="12.75"/>
    <row r="3608" s="3161" customFormat="1" ht="12.75"/>
    <row r="3609" s="3161" customFormat="1" ht="12.75"/>
    <row r="3610" s="3161" customFormat="1" ht="12.75"/>
    <row r="3611" s="3161" customFormat="1" ht="12.75"/>
    <row r="3612" s="3161" customFormat="1" ht="12.75"/>
    <row r="3613" s="3161" customFormat="1" ht="12.75"/>
    <row r="3614" s="3161" customFormat="1" ht="12.75"/>
    <row r="3615" s="3161" customFormat="1" ht="12.75"/>
    <row r="3616" s="3161" customFormat="1" ht="12.75"/>
    <row r="3617" s="3161" customFormat="1" ht="12.75"/>
    <row r="3618" s="3161" customFormat="1" ht="12.75"/>
    <row r="3619" s="3161" customFormat="1" ht="12.75"/>
    <row r="3620" s="3161" customFormat="1" ht="12.75"/>
    <row r="3621" s="3161" customFormat="1" ht="12.75"/>
    <row r="3622" s="3161" customFormat="1" ht="12.75"/>
    <row r="3623" s="3161" customFormat="1" ht="12.75"/>
    <row r="3624" s="3161" customFormat="1" ht="12.75"/>
    <row r="3625" s="3161" customFormat="1" ht="12.75"/>
    <row r="3626" s="3161" customFormat="1" ht="12.75"/>
    <row r="3627" s="3161" customFormat="1" ht="12.75"/>
    <row r="3628" s="3161" customFormat="1" ht="12.75"/>
    <row r="3629" s="3161" customFormat="1" ht="12.75"/>
    <row r="3630" s="3161" customFormat="1" ht="12.75"/>
    <row r="3631" s="3161" customFormat="1" ht="12.75"/>
    <row r="3632" s="3161" customFormat="1" ht="12.75"/>
    <row r="3633" s="3161" customFormat="1" ht="12.75"/>
    <row r="3634" s="3161" customFormat="1" ht="12.75"/>
    <row r="3635" s="3161" customFormat="1" ht="12.75"/>
    <row r="3636" s="3161" customFormat="1" ht="12.75"/>
    <row r="3637" s="3161" customFormat="1" ht="12.75"/>
    <row r="3638" s="3161" customFormat="1" ht="12.75"/>
    <row r="3639" s="3161" customFormat="1" ht="12.75"/>
    <row r="3640" s="3161" customFormat="1" ht="12.75"/>
    <row r="3641" s="3161" customFormat="1" ht="12.75"/>
    <row r="3642" s="3161" customFormat="1" ht="12.75"/>
    <row r="3643" s="3161" customFormat="1" ht="12.75"/>
    <row r="3644" s="3161" customFormat="1" ht="12.75"/>
    <row r="3645" s="3161" customFormat="1" ht="12.75"/>
    <row r="3646" s="3161" customFormat="1" ht="12.75"/>
    <row r="3647" s="3161" customFormat="1" ht="12.75"/>
    <row r="3648" s="3161" customFormat="1" ht="12.75"/>
    <row r="3649" s="3161" customFormat="1" ht="12.75"/>
    <row r="3650" s="3161" customFormat="1" ht="12.75"/>
    <row r="3651" s="3161" customFormat="1" ht="12.75"/>
    <row r="3652" s="3161" customFormat="1" ht="12.75"/>
    <row r="3653" s="3161" customFormat="1" ht="12.75"/>
    <row r="3654" s="3161" customFormat="1" ht="12.75"/>
    <row r="3655" s="3161" customFormat="1" ht="12.75"/>
    <row r="3656" s="3161" customFormat="1" ht="12.75"/>
    <row r="3657" s="3161" customFormat="1" ht="12.75"/>
    <row r="3658" s="3161" customFormat="1" ht="12.75"/>
    <row r="3659" s="3161" customFormat="1" ht="12.75"/>
    <row r="3660" s="3161" customFormat="1" ht="12.75"/>
    <row r="3661" s="3161" customFormat="1" ht="12.75"/>
    <row r="3662" s="3161" customFormat="1" ht="12.75"/>
    <row r="3663" s="3161" customFormat="1" ht="12.75"/>
    <row r="3664" s="3161" customFormat="1" ht="12.75"/>
    <row r="3665" s="3161" customFormat="1" ht="12.75"/>
    <row r="3666" s="3161" customFormat="1" ht="12.75"/>
    <row r="3667" s="3161" customFormat="1" ht="12.75"/>
    <row r="3668" s="3161" customFormat="1" ht="12.75"/>
    <row r="3669" s="3161" customFormat="1" ht="12.75"/>
    <row r="3670" s="3161" customFormat="1" ht="12.75"/>
    <row r="3671" s="3161" customFormat="1" ht="12.75"/>
    <row r="3672" s="3161" customFormat="1" ht="12.75"/>
    <row r="3673" s="3161" customFormat="1" ht="12.75"/>
    <row r="3674" s="3161" customFormat="1" ht="12.75"/>
    <row r="3675" s="3161" customFormat="1" ht="12.75"/>
    <row r="3676" s="3161" customFormat="1" ht="12.75"/>
    <row r="3677" s="3161" customFormat="1" ht="12.75"/>
    <row r="3678" s="3161" customFormat="1" ht="12.75"/>
    <row r="3679" s="3161" customFormat="1" ht="12.75"/>
    <row r="3680" s="3161" customFormat="1" ht="12.75"/>
    <row r="3681" s="3161" customFormat="1" ht="12.75"/>
    <row r="3682" s="3161" customFormat="1" ht="12.75"/>
    <row r="3683" s="3161" customFormat="1" ht="12.75"/>
    <row r="3684" s="3161" customFormat="1" ht="12.75"/>
    <row r="3685" s="3161" customFormat="1" ht="12.75"/>
    <row r="3686" s="3161" customFormat="1" ht="12.75"/>
    <row r="3687" s="3161" customFormat="1" ht="12.75"/>
    <row r="3688" s="3161" customFormat="1" ht="12.75"/>
    <row r="3689" s="3161" customFormat="1" ht="12.75"/>
    <row r="3690" s="3161" customFormat="1" ht="12.75"/>
    <row r="3691" s="3161" customFormat="1" ht="12.75"/>
    <row r="3692" s="3161" customFormat="1" ht="12.75"/>
    <row r="3693" s="3161" customFormat="1" ht="12.75"/>
    <row r="3694" s="3161" customFormat="1" ht="12.75"/>
    <row r="3695" s="3161" customFormat="1" ht="12.75"/>
    <row r="3696" s="3161" customFormat="1" ht="12.75"/>
    <row r="3697" s="3161" customFormat="1" ht="12.75"/>
    <row r="3698" s="3161" customFormat="1" ht="12.75"/>
    <row r="3699" s="3161" customFormat="1" ht="12.75"/>
    <row r="3700" s="3161" customFormat="1" ht="12.75"/>
    <row r="3701" s="3161" customFormat="1" ht="12.75"/>
    <row r="3702" s="3161" customFormat="1" ht="12.75"/>
    <row r="3703" s="3161" customFormat="1" ht="12.75"/>
    <row r="3704" s="3161" customFormat="1" ht="12.75"/>
    <row r="3705" s="3161" customFormat="1" ht="12.75"/>
    <row r="3706" s="3161" customFormat="1" ht="12.75"/>
    <row r="3707" s="3161" customFormat="1" ht="12.75"/>
    <row r="3708" s="3161" customFormat="1" ht="12.75"/>
    <row r="3709" s="3161" customFormat="1" ht="12.75"/>
    <row r="3710" s="3161" customFormat="1" ht="12.75"/>
    <row r="3711" s="3161" customFormat="1" ht="12.75"/>
    <row r="3712" s="3161" customFormat="1" ht="12.75"/>
    <row r="3713" s="3161" customFormat="1" ht="12.75"/>
    <row r="3714" s="3161" customFormat="1" ht="12.75"/>
    <row r="3715" s="3161" customFormat="1" ht="12.75"/>
    <row r="3716" s="3161" customFormat="1" ht="12.75"/>
    <row r="3717" s="3161" customFormat="1" ht="12.75"/>
    <row r="3718" s="3161" customFormat="1" ht="12.75"/>
    <row r="3719" s="3161" customFormat="1" ht="12.75"/>
    <row r="3720" s="3161" customFormat="1" ht="12.75"/>
    <row r="3721" s="3161" customFormat="1" ht="12.75"/>
    <row r="3722" s="3161" customFormat="1" ht="12.75"/>
    <row r="3723" s="3161" customFormat="1" ht="12.75"/>
    <row r="3724" s="3161" customFormat="1" ht="12.75"/>
    <row r="3725" s="3161" customFormat="1" ht="12.75"/>
    <row r="3726" s="3161" customFormat="1" ht="12.75"/>
    <row r="3727" s="3161" customFormat="1" ht="12.75"/>
    <row r="3728" s="3161" customFormat="1" ht="12.75"/>
    <row r="3729" s="3161" customFormat="1" ht="12.75"/>
    <row r="3730" s="3161" customFormat="1" ht="12.75"/>
    <row r="3731" s="3161" customFormat="1" ht="12.75"/>
    <row r="3732" s="3161" customFormat="1" ht="12.75"/>
    <row r="3733" s="3161" customFormat="1" ht="12.75"/>
    <row r="3734" s="3161" customFormat="1" ht="12.75"/>
    <row r="3735" s="3161" customFormat="1" ht="12.75"/>
    <row r="3736" s="3161" customFormat="1" ht="12.75"/>
    <row r="3737" s="3161" customFormat="1" ht="12.75"/>
    <row r="3738" s="3161" customFormat="1" ht="12.75"/>
    <row r="3739" s="3161" customFormat="1" ht="12.75"/>
    <row r="3740" s="3161" customFormat="1" ht="12.75"/>
    <row r="3741" s="3161" customFormat="1" ht="12.75"/>
    <row r="3742" s="3161" customFormat="1" ht="12.75"/>
    <row r="3743" s="3161" customFormat="1" ht="12.75"/>
    <row r="3744" s="3161" customFormat="1" ht="12.75"/>
    <row r="3745" s="3161" customFormat="1" ht="12.75"/>
    <row r="3746" s="3161" customFormat="1" ht="12.75"/>
    <row r="3747" s="3161" customFormat="1" ht="12.75"/>
    <row r="3748" s="3161" customFormat="1" ht="12.75"/>
    <row r="3749" s="3161" customFormat="1" ht="12.75"/>
    <row r="3750" s="3161" customFormat="1" ht="12.75"/>
    <row r="3751" s="3161" customFormat="1" ht="12.75"/>
    <row r="3752" s="3161" customFormat="1" ht="12.75"/>
    <row r="3753" s="3161" customFormat="1" ht="12.75"/>
    <row r="3754" s="3161" customFormat="1" ht="12.75"/>
    <row r="3755" s="3161" customFormat="1" ht="12.75"/>
    <row r="3756" s="3161" customFormat="1" ht="12.75"/>
    <row r="3757" s="3161" customFormat="1" ht="12.75"/>
    <row r="3758" s="3161" customFormat="1" ht="12.75"/>
    <row r="3759" s="3161" customFormat="1" ht="12.75"/>
    <row r="3760" s="3161" customFormat="1" ht="12.75"/>
    <row r="3761" s="3161" customFormat="1" ht="12.75"/>
    <row r="3762" s="3161" customFormat="1" ht="12.75"/>
    <row r="3763" s="3161" customFormat="1" ht="12.75"/>
    <row r="3764" s="3161" customFormat="1" ht="12.75"/>
    <row r="3765" s="3161" customFormat="1" ht="12.75"/>
    <row r="3766" s="3161" customFormat="1" ht="12.75"/>
    <row r="3767" s="3161" customFormat="1" ht="12.75"/>
    <row r="3768" s="3161" customFormat="1" ht="12.75"/>
    <row r="3769" s="3161" customFormat="1" ht="12.75"/>
    <row r="3770" s="3161" customFormat="1" ht="12.75"/>
    <row r="3771" s="3161" customFormat="1" ht="12.75"/>
    <row r="3772" s="3161" customFormat="1" ht="12.75"/>
    <row r="3773" s="3161" customFormat="1" ht="12.75"/>
    <row r="3774" s="3161" customFormat="1" ht="12.75"/>
    <row r="3775" s="3161" customFormat="1" ht="12.75"/>
    <row r="3776" s="3161" customFormat="1" ht="12.75"/>
    <row r="3777" s="3161" customFormat="1" ht="12.75"/>
    <row r="3778" s="3161" customFormat="1" ht="12.75"/>
    <row r="3779" s="3161" customFormat="1" ht="12.75"/>
    <row r="3780" s="3161" customFormat="1" ht="12.75"/>
    <row r="3781" s="3161" customFormat="1" ht="12.75"/>
    <row r="3782" s="3161" customFormat="1" ht="12.75"/>
    <row r="3783" s="3161" customFormat="1" ht="12.75"/>
    <row r="3784" s="3161" customFormat="1" ht="12.75"/>
    <row r="3785" s="3161" customFormat="1" ht="12.75"/>
    <row r="3786" s="3161" customFormat="1" ht="12.75"/>
    <row r="3787" s="3161" customFormat="1" ht="12.75"/>
    <row r="3788" s="3161" customFormat="1" ht="12.75"/>
    <row r="3789" s="3161" customFormat="1" ht="12.75"/>
    <row r="3790" s="3161" customFormat="1" ht="12.75"/>
    <row r="3791" s="3161" customFormat="1" ht="12.75"/>
    <row r="3792" s="3161" customFormat="1" ht="12.75"/>
    <row r="3793" s="3161" customFormat="1" ht="12.75"/>
    <row r="3794" s="3161" customFormat="1" ht="12.75"/>
    <row r="3795" s="3161" customFormat="1" ht="12.75"/>
    <row r="3796" s="3161" customFormat="1" ht="12.75"/>
    <row r="3797" s="3161" customFormat="1" ht="12.75"/>
    <row r="3798" s="3161" customFormat="1" ht="12.75"/>
    <row r="3799" s="3161" customFormat="1" ht="12.75"/>
    <row r="3800" s="3161" customFormat="1" ht="12.75"/>
    <row r="3801" s="3161" customFormat="1" ht="12.75"/>
    <row r="3802" s="3161" customFormat="1" ht="12.75"/>
    <row r="3803" s="3161" customFormat="1" ht="12.75"/>
    <row r="3804" s="3161" customFormat="1" ht="12.75"/>
    <row r="3805" s="3161" customFormat="1" ht="12.75"/>
    <row r="3806" s="3161" customFormat="1" ht="12.75"/>
    <row r="3807" s="3161" customFormat="1" ht="12.75"/>
    <row r="3808" s="3161" customFormat="1" ht="12.75"/>
    <row r="3809" s="3161" customFormat="1" ht="12.75"/>
    <row r="3810" s="3161" customFormat="1" ht="12.75"/>
    <row r="3811" s="3161" customFormat="1" ht="12.75"/>
    <row r="3812" s="3161" customFormat="1" ht="12.75"/>
    <row r="3813" s="3161" customFormat="1" ht="12.75"/>
    <row r="3814" s="3161" customFormat="1" ht="12.75"/>
    <row r="3815" s="3161" customFormat="1" ht="12.75"/>
    <row r="3816" s="3161" customFormat="1" ht="12.75"/>
    <row r="3817" s="3161" customFormat="1" ht="12.75"/>
    <row r="3818" s="3161" customFormat="1" ht="12.75"/>
    <row r="3819" s="3161" customFormat="1" ht="12.75"/>
    <row r="3820" s="3161" customFormat="1" ht="12.75"/>
    <row r="3821" s="3161" customFormat="1" ht="12.75"/>
    <row r="3822" s="3161" customFormat="1" ht="12.75"/>
    <row r="3823" s="3161" customFormat="1" ht="12.75"/>
    <row r="3824" s="3161" customFormat="1" ht="12.75"/>
    <row r="3825" s="3161" customFormat="1" ht="12.75"/>
    <row r="3826" s="3161" customFormat="1" ht="12.75"/>
    <row r="3827" s="3161" customFormat="1" ht="12.75"/>
    <row r="3828" s="3161" customFormat="1" ht="12.75"/>
    <row r="3829" s="3161" customFormat="1" ht="12.75"/>
    <row r="3830" s="3161" customFormat="1" ht="12.75"/>
    <row r="3831" s="3161" customFormat="1" ht="12.75"/>
    <row r="3832" s="3161" customFormat="1" ht="12.75"/>
    <row r="3833" s="3161" customFormat="1" ht="12.75"/>
    <row r="3834" s="3161" customFormat="1" ht="12.75"/>
    <row r="3835" s="3161" customFormat="1" ht="12.75"/>
    <row r="3836" s="3161" customFormat="1" ht="12.75"/>
    <row r="3837" s="3161" customFormat="1" ht="12.75"/>
    <row r="3838" s="3161" customFormat="1" ht="12.75"/>
    <row r="3839" s="3161" customFormat="1" ht="12.75"/>
    <row r="3840" s="3161" customFormat="1" ht="12.75"/>
    <row r="3841" s="3161" customFormat="1" ht="12.75"/>
    <row r="3842" s="3161" customFormat="1" ht="12.75"/>
    <row r="3843" s="3161" customFormat="1" ht="12.75"/>
    <row r="3844" s="3161" customFormat="1" ht="12.75"/>
    <row r="3845" s="3161" customFormat="1" ht="12.75"/>
    <row r="3846" s="3161" customFormat="1" ht="12.75"/>
    <row r="3847" s="3161" customFormat="1" ht="12.75"/>
    <row r="3848" s="3161" customFormat="1" ht="12.75"/>
    <row r="3849" s="3161" customFormat="1" ht="12.75"/>
    <row r="3850" s="3161" customFormat="1" ht="12.75"/>
    <row r="3851" s="3161" customFormat="1" ht="12.75"/>
    <row r="3852" s="3161" customFormat="1" ht="12.75"/>
    <row r="3853" s="3161" customFormat="1" ht="12.75"/>
    <row r="3854" s="3161" customFormat="1" ht="12.75"/>
    <row r="3855" s="3161" customFormat="1" ht="12.75"/>
    <row r="3856" s="3161" customFormat="1" ht="12.75"/>
    <row r="3857" s="3161" customFormat="1" ht="12.75"/>
    <row r="3858" s="3161" customFormat="1" ht="12.75"/>
    <row r="3859" s="3161" customFormat="1" ht="12.75"/>
    <row r="3860" s="3161" customFormat="1" ht="12.75"/>
    <row r="3861" s="3161" customFormat="1" ht="12.75"/>
    <row r="3862" s="3161" customFormat="1" ht="12.75"/>
    <row r="3863" s="3161" customFormat="1" ht="12.75"/>
    <row r="3864" s="3161" customFormat="1" ht="12.75"/>
    <row r="3865" s="3161" customFormat="1" ht="12.75"/>
    <row r="3866" s="3161" customFormat="1" ht="12.75"/>
    <row r="3867" s="3161" customFormat="1" ht="12.75"/>
    <row r="3868" s="3161" customFormat="1" ht="12.75"/>
    <row r="3869" s="3161" customFormat="1" ht="12.75"/>
    <row r="3870" s="3161" customFormat="1" ht="12.75"/>
    <row r="3871" s="3161" customFormat="1" ht="12.75"/>
    <row r="3872" s="3161" customFormat="1" ht="12.75"/>
    <row r="3873" s="3161" customFormat="1" ht="12.75"/>
    <row r="3874" s="3161" customFormat="1" ht="12.75"/>
    <row r="3875" s="3161" customFormat="1" ht="12.75"/>
    <row r="3876" s="3161" customFormat="1" ht="12.75"/>
    <row r="3877" s="3161" customFormat="1" ht="12.75"/>
    <row r="3878" s="3161" customFormat="1" ht="12.75"/>
    <row r="3879" s="3161" customFormat="1" ht="12.75"/>
    <row r="3880" s="3161" customFormat="1" ht="12.75"/>
    <row r="3881" s="3161" customFormat="1" ht="12.75"/>
    <row r="3882" s="3161" customFormat="1" ht="12.75"/>
    <row r="3883" s="3161" customFormat="1" ht="12.75"/>
    <row r="3884" s="3161" customFormat="1" ht="12.75"/>
    <row r="3885" s="3161" customFormat="1" ht="12.75"/>
    <row r="3886" s="3161" customFormat="1" ht="12.75"/>
    <row r="3887" s="3161" customFormat="1" ht="12.75"/>
    <row r="3888" s="3161" customFormat="1" ht="12.75"/>
    <row r="3889" s="3161" customFormat="1" ht="12.75"/>
    <row r="3890" s="3161" customFormat="1" ht="12.75"/>
    <row r="3891" s="3161" customFormat="1" ht="12.75"/>
    <row r="3892" s="3161" customFormat="1" ht="12.75"/>
    <row r="3893" s="3161" customFormat="1" ht="12.75"/>
    <row r="3894" s="3161" customFormat="1" ht="12.75"/>
    <row r="3895" s="3161" customFormat="1" ht="12.75"/>
    <row r="3896" s="3161" customFormat="1" ht="12.75"/>
    <row r="3897" s="3161" customFormat="1" ht="12.75"/>
    <row r="3898" s="3161" customFormat="1" ht="12.75"/>
    <row r="3899" s="3161" customFormat="1" ht="12.75"/>
    <row r="3900" s="3161" customFormat="1" ht="12.75"/>
    <row r="3901" s="3161" customFormat="1" ht="12.75"/>
    <row r="3902" s="3161" customFormat="1" ht="12.75"/>
    <row r="3903" s="3161" customFormat="1" ht="12.75"/>
    <row r="3904" s="3161" customFormat="1" ht="12.75"/>
    <row r="3905" s="3161" customFormat="1" ht="12.75"/>
    <row r="3906" s="3161" customFormat="1" ht="12.75"/>
    <row r="3907" s="3161" customFormat="1" ht="12.75"/>
    <row r="3908" s="3161" customFormat="1" ht="12.75"/>
    <row r="3909" s="3161" customFormat="1" ht="12.75"/>
    <row r="3910" s="3161" customFormat="1" ht="12.75"/>
    <row r="3911" s="3161" customFormat="1" ht="12.75"/>
    <row r="3912" s="3161" customFormat="1" ht="12.75"/>
    <row r="3913" s="3161" customFormat="1" ht="12.75"/>
    <row r="3914" s="3161" customFormat="1" ht="12.75"/>
    <row r="3915" s="3161" customFormat="1" ht="12.75"/>
    <row r="3916" s="3161" customFormat="1" ht="12.75"/>
    <row r="3917" s="3161" customFormat="1" ht="12.75"/>
    <row r="3918" s="3161" customFormat="1" ht="12.75"/>
    <row r="3919" s="3161" customFormat="1" ht="12.75"/>
    <row r="3920" s="3161" customFormat="1" ht="12.75"/>
    <row r="3921" s="3161" customFormat="1" ht="12.75"/>
    <row r="3922" s="3161" customFormat="1" ht="12.75"/>
    <row r="3923" s="3161" customFormat="1" ht="12.75"/>
    <row r="3924" s="3161" customFormat="1" ht="12.75"/>
    <row r="3925" s="3161" customFormat="1" ht="12.75"/>
    <row r="3926" s="3161" customFormat="1" ht="12.75"/>
    <row r="3927" s="3161" customFormat="1" ht="12.75"/>
    <row r="3928" s="3161" customFormat="1" ht="12.75"/>
    <row r="3929" s="3161" customFormat="1" ht="12.75"/>
    <row r="3930" s="3161" customFormat="1" ht="12.75"/>
    <row r="3931" s="3161" customFormat="1" ht="12.75"/>
    <row r="3932" s="3161" customFormat="1" ht="12.75"/>
    <row r="3933" s="3161" customFormat="1" ht="12.75"/>
    <row r="3934" s="3161" customFormat="1" ht="12.75"/>
    <row r="3935" s="3161" customFormat="1" ht="12.75"/>
    <row r="3936" s="3161" customFormat="1" ht="12.75"/>
    <row r="3937" s="3161" customFormat="1" ht="12.75"/>
    <row r="3938" s="3161" customFormat="1" ht="12.75"/>
    <row r="3939" s="3161" customFormat="1" ht="12.75"/>
    <row r="3940" s="3161" customFormat="1" ht="12.75"/>
    <row r="3941" s="3161" customFormat="1" ht="12.75"/>
    <row r="3942" s="3161" customFormat="1" ht="12.75"/>
    <row r="3943" s="3161" customFormat="1" ht="12.75"/>
    <row r="3944" s="3161" customFormat="1" ht="12.75"/>
    <row r="3945" s="3161" customFormat="1" ht="12.75"/>
    <row r="3946" s="3161" customFormat="1" ht="12.75"/>
    <row r="3947" s="3161" customFormat="1" ht="12.75"/>
    <row r="3948" s="3161" customFormat="1" ht="12.75"/>
    <row r="3949" s="3161" customFormat="1" ht="12.75"/>
    <row r="3950" s="3161" customFormat="1" ht="12.75"/>
    <row r="3951" s="3161" customFormat="1" ht="12.75"/>
    <row r="3952" s="3161" customFormat="1" ht="12.75"/>
    <row r="3953" s="3161" customFormat="1" ht="12.75"/>
    <row r="3954" s="3161" customFormat="1" ht="12.75"/>
    <row r="3955" s="3161" customFormat="1" ht="12.75"/>
    <row r="3956" s="3161" customFormat="1" ht="12.75"/>
    <row r="3957" s="3161" customFormat="1" ht="12.75"/>
    <row r="3958" s="3161" customFormat="1" ht="12.75"/>
    <row r="3959" s="3161" customFormat="1" ht="12.75"/>
    <row r="3960" s="3161" customFormat="1" ht="12.75"/>
    <row r="3961" s="3161" customFormat="1" ht="12.75"/>
    <row r="3962" s="3161" customFormat="1" ht="12.75"/>
    <row r="3963" s="3161" customFormat="1" ht="12.75"/>
    <row r="3964" s="3161" customFormat="1" ht="12.75"/>
    <row r="3965" s="3161" customFormat="1" ht="12.75"/>
    <row r="3966" s="3161" customFormat="1" ht="12.75"/>
    <row r="3967" s="3161" customFormat="1" ht="12.75"/>
    <row r="3968" s="3161" customFormat="1" ht="12.75"/>
    <row r="3969" s="3161" customFormat="1" ht="12.75"/>
    <row r="3970" s="3161" customFormat="1" ht="12.75"/>
    <row r="3971" s="3161" customFormat="1" ht="12.75"/>
    <row r="3972" s="3161" customFormat="1" ht="12.75"/>
    <row r="3973" s="3161" customFormat="1" ht="12.75"/>
    <row r="3974" s="3161" customFormat="1" ht="12.75"/>
    <row r="3975" s="3161" customFormat="1" ht="12.75"/>
    <row r="3976" s="3161" customFormat="1" ht="12.75"/>
    <row r="3977" s="3161" customFormat="1" ht="12.75"/>
    <row r="3978" s="3161" customFormat="1" ht="12.75"/>
    <row r="3979" s="3161" customFormat="1" ht="12.75"/>
    <row r="3980" s="3161" customFormat="1" ht="12.75"/>
    <row r="3981" s="3161" customFormat="1" ht="12.75"/>
    <row r="3982" s="3161" customFormat="1" ht="12.75"/>
    <row r="3983" s="3161" customFormat="1" ht="12.75"/>
    <row r="3984" s="3161" customFormat="1" ht="12.75"/>
    <row r="3985" s="3161" customFormat="1" ht="12.75"/>
    <row r="3986" s="3161" customFormat="1" ht="12.75"/>
    <row r="3987" s="3161" customFormat="1" ht="12.75"/>
    <row r="3988" s="3161" customFormat="1" ht="12.75"/>
    <row r="3989" s="3161" customFormat="1" ht="12.75"/>
    <row r="3990" s="3161" customFormat="1" ht="12.75"/>
    <row r="3991" s="3161" customFormat="1" ht="12.75"/>
    <row r="3992" s="3161" customFormat="1" ht="12.75"/>
    <row r="3993" s="3161" customFormat="1" ht="12.75"/>
    <row r="3994" s="3161" customFormat="1" ht="12.75"/>
    <row r="3995" s="3161" customFormat="1" ht="12.75"/>
    <row r="3996" s="3161" customFormat="1" ht="12.75"/>
    <row r="3997" s="3161" customFormat="1" ht="12.75"/>
    <row r="3998" s="3161" customFormat="1" ht="12.75"/>
    <row r="3999" s="3161" customFormat="1" ht="12.75"/>
    <row r="4000" s="3161" customFormat="1" ht="12.75"/>
    <row r="4001" s="3161" customFormat="1" ht="12.75"/>
    <row r="4002" s="3161" customFormat="1" ht="12.75"/>
    <row r="4003" s="3161" customFormat="1" ht="12.75"/>
    <row r="4004" s="3161" customFormat="1" ht="12.75"/>
    <row r="4005" s="3161" customFormat="1" ht="12.75"/>
    <row r="4006" s="3161" customFormat="1" ht="12.75"/>
    <row r="4007" s="3161" customFormat="1" ht="12.75"/>
    <row r="4008" s="3161" customFormat="1" ht="12.75"/>
    <row r="4009" s="3161" customFormat="1" ht="12.75"/>
    <row r="4010" s="3161" customFormat="1" ht="12.75"/>
    <row r="4011" s="3161" customFormat="1" ht="12.75"/>
    <row r="4012" s="3161" customFormat="1" ht="12.75"/>
    <row r="4013" s="3161" customFormat="1" ht="12.75"/>
    <row r="4014" s="3161" customFormat="1" ht="12.75"/>
    <row r="4015" s="3161" customFormat="1" ht="12.75"/>
    <row r="4016" s="3161" customFormat="1" ht="12.75"/>
    <row r="4017" s="3161" customFormat="1" ht="12.75"/>
    <row r="4018" s="3161" customFormat="1" ht="12.75"/>
    <row r="4019" s="3161" customFormat="1" ht="12.75"/>
    <row r="4020" s="3161" customFormat="1" ht="12.75"/>
    <row r="4021" s="3161" customFormat="1" ht="12.75"/>
    <row r="4022" s="3161" customFormat="1" ht="12.75"/>
    <row r="4023" s="3161" customFormat="1" ht="12.75"/>
    <row r="4024" s="3161" customFormat="1" ht="12.75"/>
    <row r="4025" s="3161" customFormat="1" ht="12.75"/>
    <row r="4026" s="3161" customFormat="1" ht="12.75"/>
    <row r="4027" s="3161" customFormat="1" ht="12.75"/>
    <row r="4028" s="3161" customFormat="1" ht="12.75"/>
    <row r="4029" s="3161" customFormat="1" ht="12.75"/>
    <row r="4030" s="3161" customFormat="1" ht="12.75"/>
    <row r="4031" s="3161" customFormat="1" ht="12.75"/>
    <row r="4032" s="3161" customFormat="1" ht="12.75"/>
    <row r="4033" s="3161" customFormat="1" ht="12.75"/>
    <row r="4034" s="3161" customFormat="1" ht="12.75"/>
    <row r="4035" s="3161" customFormat="1" ht="12.75"/>
    <row r="4036" s="3161" customFormat="1" ht="12.75"/>
    <row r="4037" s="3161" customFormat="1" ht="12.75"/>
    <row r="4038" s="3161" customFormat="1" ht="12.75"/>
    <row r="4039" s="3161" customFormat="1" ht="12.75"/>
    <row r="4040" s="3161" customFormat="1" ht="12.75"/>
    <row r="4041" s="3161" customFormat="1" ht="12.75"/>
    <row r="4042" s="3161" customFormat="1" ht="12.75"/>
    <row r="4043" s="3161" customFormat="1" ht="12.75"/>
    <row r="4044" s="3161" customFormat="1" ht="12.75"/>
    <row r="4045" s="3161" customFormat="1" ht="12.75"/>
    <row r="4046" s="3161" customFormat="1" ht="12.75"/>
    <row r="4047" s="3161" customFormat="1" ht="12.75"/>
    <row r="4048" s="3161" customFormat="1" ht="12.75"/>
    <row r="4049" s="3161" customFormat="1" ht="12.75"/>
    <row r="4050" s="3161" customFormat="1" ht="12.75"/>
    <row r="4051" s="3161" customFormat="1" ht="12.75"/>
    <row r="4052" s="3161" customFormat="1" ht="12.75"/>
    <row r="4053" s="3161" customFormat="1" ht="12.75"/>
    <row r="4054" s="3161" customFormat="1" ht="12.75"/>
    <row r="4055" s="3161" customFormat="1" ht="12.75"/>
    <row r="4056" s="3161" customFormat="1" ht="12.75"/>
    <row r="4057" s="3161" customFormat="1" ht="12.75"/>
    <row r="4058" s="3161" customFormat="1" ht="12.75"/>
    <row r="4059" s="3161" customFormat="1" ht="12.75"/>
    <row r="4060" s="3161" customFormat="1" ht="12.75"/>
    <row r="4061" s="3161" customFormat="1" ht="12.75"/>
    <row r="4062" s="3161" customFormat="1" ht="12.75"/>
    <row r="4063" s="3161" customFormat="1" ht="12.75"/>
    <row r="4064" s="3161" customFormat="1" ht="12.75"/>
    <row r="4065" s="3161" customFormat="1" ht="12.75"/>
    <row r="4066" s="3161" customFormat="1" ht="12.75"/>
    <row r="4067" s="3161" customFormat="1" ht="12.75"/>
    <row r="4068" s="3161" customFormat="1" ht="12.75"/>
    <row r="4069" s="3161" customFormat="1" ht="12.75"/>
    <row r="4070" s="3161" customFormat="1" ht="12.75"/>
    <row r="4071" s="3161" customFormat="1" ht="12.75"/>
    <row r="4072" s="3161" customFormat="1" ht="12.75"/>
    <row r="4073" s="3161" customFormat="1" ht="12.75"/>
    <row r="4074" s="3161" customFormat="1" ht="12.75"/>
    <row r="4075" s="3161" customFormat="1" ht="12.75"/>
    <row r="4076" s="3161" customFormat="1" ht="12.75"/>
    <row r="4077" s="3161" customFormat="1" ht="12.75"/>
    <row r="4078" s="3161" customFormat="1" ht="12.75"/>
    <row r="4079" s="3161" customFormat="1" ht="12.75"/>
    <row r="4080" s="3161" customFormat="1" ht="12.75"/>
    <row r="4081" s="3161" customFormat="1" ht="12.75"/>
    <row r="4082" s="3161" customFormat="1" ht="12.75"/>
    <row r="4083" s="3161" customFormat="1" ht="12.75"/>
    <row r="4084" s="3161" customFormat="1" ht="12.75"/>
    <row r="4085" s="3161" customFormat="1" ht="12.75"/>
    <row r="4086" s="3161" customFormat="1" ht="12.75"/>
    <row r="4087" s="3161" customFormat="1" ht="12.75"/>
    <row r="4088" s="3161" customFormat="1" ht="12.75"/>
    <row r="4089" s="3161" customFormat="1" ht="12.75"/>
    <row r="4090" s="3161" customFormat="1" ht="12.75"/>
    <row r="4091" s="3161" customFormat="1" ht="12.75"/>
    <row r="4092" s="3161" customFormat="1" ht="12.75"/>
    <row r="4093" s="3161" customFormat="1" ht="12.75"/>
    <row r="4094" s="3161" customFormat="1" ht="12.75"/>
    <row r="4095" s="3161" customFormat="1" ht="12.75"/>
    <row r="4096" s="3161" customFormat="1" ht="12.75"/>
    <row r="4097" s="3161" customFormat="1" ht="12.75"/>
    <row r="4098" s="3161" customFormat="1" ht="12.75"/>
    <row r="4099" s="3161" customFormat="1" ht="12.75"/>
    <row r="4100" s="3161" customFormat="1" ht="12.75"/>
    <row r="4101" s="3161" customFormat="1" ht="12.75"/>
    <row r="4102" s="3161" customFormat="1" ht="12.75"/>
    <row r="4103" s="3161" customFormat="1" ht="12.75"/>
    <row r="4104" s="3161" customFormat="1" ht="12.75"/>
    <row r="4105" s="3161" customFormat="1" ht="12.75"/>
    <row r="4106" s="3161" customFormat="1" ht="12.75"/>
    <row r="4107" s="3161" customFormat="1" ht="12.75"/>
    <row r="4108" s="3161" customFormat="1" ht="12.75"/>
    <row r="4109" s="3161" customFormat="1" ht="12.75"/>
    <row r="4110" s="3161" customFormat="1" ht="12.75"/>
    <row r="4111" s="3161" customFormat="1" ht="12.75"/>
    <row r="4112" s="3161" customFormat="1" ht="12.75"/>
    <row r="4113" s="3161" customFormat="1" ht="12.75"/>
    <row r="4114" s="3161" customFormat="1" ht="12.75"/>
    <row r="4115" s="3161" customFormat="1" ht="12.75"/>
    <row r="4116" s="3161" customFormat="1" ht="12.75"/>
    <row r="4117" s="3161" customFormat="1" ht="12.75"/>
    <row r="4118" s="3161" customFormat="1" ht="12.75"/>
    <row r="4119" s="3161" customFormat="1" ht="12.75"/>
    <row r="4120" s="3161" customFormat="1" ht="12.75"/>
    <row r="4121" s="3161" customFormat="1" ht="12.75"/>
    <row r="4122" s="3161" customFormat="1" ht="12.75"/>
    <row r="4123" s="3161" customFormat="1" ht="12.75"/>
    <row r="4124" s="3161" customFormat="1" ht="12.75"/>
    <row r="4125" s="3161" customFormat="1" ht="12.75"/>
    <row r="4126" s="3161" customFormat="1" ht="12.75"/>
    <row r="4127" s="3161" customFormat="1" ht="12.75"/>
    <row r="4128" s="3161" customFormat="1" ht="12.75"/>
    <row r="4129" s="3161" customFormat="1" ht="12.75"/>
    <row r="4130" s="3161" customFormat="1" ht="12.75"/>
    <row r="4131" s="3161" customFormat="1" ht="12.75"/>
    <row r="4132" s="3161" customFormat="1" ht="12.75"/>
    <row r="4133" s="3161" customFormat="1" ht="12.75"/>
    <row r="4134" s="3161" customFormat="1" ht="12.75"/>
    <row r="4135" s="3161" customFormat="1" ht="12.75"/>
    <row r="4136" s="3161" customFormat="1" ht="12.75"/>
    <row r="4137" s="3161" customFormat="1" ht="12.75"/>
    <row r="4138" s="3161" customFormat="1" ht="12.75"/>
    <row r="4139" s="3161" customFormat="1" ht="12.75"/>
    <row r="4140" s="3161" customFormat="1" ht="12.75"/>
    <row r="4141" s="3161" customFormat="1" ht="12.75"/>
    <row r="4142" s="3161" customFormat="1" ht="12.75"/>
    <row r="4143" s="3161" customFormat="1" ht="12.75"/>
    <row r="4144" s="3161" customFormat="1" ht="12.75"/>
    <row r="4145" s="3161" customFormat="1" ht="12.75"/>
    <row r="4146" s="3161" customFormat="1" ht="12.75"/>
    <row r="4147" s="3161" customFormat="1" ht="12.75"/>
    <row r="4148" s="3161" customFormat="1" ht="12.75"/>
    <row r="4149" s="3161" customFormat="1" ht="12.75"/>
    <row r="4150" s="3161" customFormat="1" ht="12.75"/>
    <row r="4151" s="3161" customFormat="1" ht="12.75"/>
    <row r="4152" s="3161" customFormat="1" ht="12.75"/>
    <row r="4153" s="3161" customFormat="1" ht="12.75"/>
    <row r="4154" s="3161" customFormat="1" ht="12.75"/>
    <row r="4155" s="3161" customFormat="1" ht="12.75"/>
    <row r="4156" s="3161" customFormat="1" ht="12.75"/>
    <row r="4157" s="3161" customFormat="1" ht="12.75"/>
    <row r="4158" s="3161" customFormat="1" ht="12.75"/>
    <row r="4159" s="3161" customFormat="1" ht="12.75"/>
    <row r="4160" s="3161" customFormat="1" ht="12.75"/>
    <row r="4161" s="3161" customFormat="1" ht="12.75"/>
    <row r="4162" s="3161" customFormat="1" ht="12.75"/>
    <row r="4163" s="3161" customFormat="1" ht="12.75"/>
    <row r="4164" s="3161" customFormat="1" ht="12.75"/>
    <row r="4165" s="3161" customFormat="1" ht="12.75"/>
    <row r="4166" s="3161" customFormat="1" ht="12.75"/>
    <row r="4167" s="3161" customFormat="1" ht="12.75"/>
    <row r="4168" s="3161" customFormat="1" ht="12.75"/>
    <row r="4169" s="3161" customFormat="1" ht="12.75"/>
    <row r="4170" s="3161" customFormat="1" ht="12.75"/>
    <row r="4171" s="3161" customFormat="1" ht="12.75"/>
    <row r="4172" s="3161" customFormat="1" ht="12.75"/>
    <row r="4173" s="3161" customFormat="1" ht="12.75"/>
    <row r="4174" s="3161" customFormat="1" ht="12.75"/>
    <row r="4175" s="3161" customFormat="1" ht="12.75"/>
    <row r="4176" s="3161" customFormat="1" ht="12.75"/>
    <row r="4177" s="3161" customFormat="1" ht="12.75"/>
    <row r="4178" s="3161" customFormat="1" ht="12.75"/>
    <row r="4179" s="3161" customFormat="1" ht="12.75"/>
    <row r="4180" s="3161" customFormat="1" ht="12.75"/>
    <row r="4181" s="3161" customFormat="1" ht="12.75"/>
    <row r="4182" s="3161" customFormat="1" ht="12.75"/>
    <row r="4183" s="3161" customFormat="1" ht="12.75"/>
    <row r="4184" s="3161" customFormat="1" ht="12.75"/>
    <row r="4185" s="3161" customFormat="1" ht="12.75"/>
    <row r="4186" s="3161" customFormat="1" ht="12.75"/>
    <row r="4187" s="3161" customFormat="1" ht="12.75"/>
    <row r="4188" s="3161" customFormat="1" ht="12.75"/>
    <row r="4189" s="3161" customFormat="1" ht="12.75"/>
    <row r="4190" s="3161" customFormat="1" ht="12.75"/>
    <row r="4191" s="3161" customFormat="1" ht="12.75"/>
    <row r="4192" s="3161" customFormat="1" ht="12.75"/>
    <row r="4193" s="3161" customFormat="1" ht="12.75"/>
    <row r="4194" s="3161" customFormat="1" ht="12.75"/>
    <row r="4195" s="3161" customFormat="1" ht="12.75"/>
    <row r="4196" s="3161" customFormat="1" ht="12.75"/>
    <row r="4197" s="3161" customFormat="1" ht="12.75"/>
    <row r="4198" s="3161" customFormat="1" ht="12.75"/>
    <row r="4199" s="3161" customFormat="1" ht="12.75"/>
    <row r="4200" s="3161" customFormat="1" ht="12.75"/>
    <row r="4201" s="3161" customFormat="1" ht="12.75"/>
    <row r="4202" s="3161" customFormat="1" ht="12.75"/>
    <row r="4203" s="3161" customFormat="1" ht="12.75"/>
    <row r="4204" s="3161" customFormat="1" ht="12.75"/>
    <row r="4205" s="3161" customFormat="1" ht="12.75"/>
    <row r="4206" s="3161" customFormat="1" ht="12.75"/>
    <row r="4207" s="3161" customFormat="1" ht="12.75"/>
    <row r="4208" s="3161" customFormat="1" ht="12.75"/>
    <row r="4209" s="3161" customFormat="1" ht="12.75"/>
    <row r="4210" s="3161" customFormat="1" ht="12.75"/>
    <row r="4211" s="3161" customFormat="1" ht="12.75"/>
    <row r="4212" s="3161" customFormat="1" ht="12.75"/>
    <row r="4213" s="3161" customFormat="1" ht="12.75"/>
    <row r="4214" s="3161" customFormat="1" ht="12.75"/>
    <row r="4215" s="3161" customFormat="1" ht="12.75"/>
    <row r="4216" s="3161" customFormat="1" ht="12.75"/>
    <row r="4217" s="3161" customFormat="1" ht="12.75"/>
    <row r="4218" s="3161" customFormat="1" ht="12.75"/>
    <row r="4219" s="3161" customFormat="1" ht="12.75"/>
    <row r="4220" s="3161" customFormat="1" ht="12.75"/>
    <row r="4221" s="3161" customFormat="1" ht="12.75"/>
    <row r="4222" s="3161" customFormat="1" ht="12.75"/>
    <row r="4223" s="3161" customFormat="1" ht="12.75"/>
    <row r="4224" s="3161" customFormat="1" ht="12.75"/>
    <row r="4225" s="3161" customFormat="1" ht="12.75"/>
    <row r="4226" s="3161" customFormat="1" ht="12.75"/>
    <row r="4227" s="3161" customFormat="1" ht="12.75"/>
    <row r="4228" s="3161" customFormat="1" ht="12.75"/>
    <row r="4229" s="3161" customFormat="1" ht="12.75"/>
    <row r="4230" s="3161" customFormat="1" ht="12.75"/>
    <row r="4231" s="3161" customFormat="1" ht="12.75"/>
    <row r="4232" s="3161" customFormat="1" ht="12.75"/>
    <row r="4233" s="3161" customFormat="1" ht="12.75"/>
    <row r="4234" s="3161" customFormat="1" ht="12.75"/>
    <row r="4235" s="3161" customFormat="1" ht="12.75"/>
    <row r="4236" s="3161" customFormat="1" ht="12.75"/>
    <row r="4237" s="3161" customFormat="1" ht="12.75"/>
    <row r="4238" s="3161" customFormat="1" ht="12.75"/>
    <row r="4239" s="3161" customFormat="1" ht="12.75"/>
    <row r="4240" s="3161" customFormat="1" ht="12.75"/>
    <row r="4241" s="3161" customFormat="1" ht="12.75"/>
    <row r="4242" s="3161" customFormat="1" ht="12.75"/>
    <row r="4243" s="3161" customFormat="1" ht="12.75"/>
    <row r="4244" s="3161" customFormat="1" ht="12.75"/>
    <row r="4245" s="3161" customFormat="1" ht="12.75"/>
    <row r="4246" s="3161" customFormat="1" ht="12.75"/>
    <row r="4247" s="3161" customFormat="1" ht="12.75"/>
    <row r="4248" s="3161" customFormat="1" ht="12.75"/>
    <row r="4249" s="3161" customFormat="1" ht="12.75"/>
    <row r="4250" s="3161" customFormat="1" ht="12.75"/>
    <row r="4251" s="3161" customFormat="1" ht="12.75"/>
    <row r="4252" s="3161" customFormat="1" ht="12.75"/>
    <row r="4253" s="3161" customFormat="1" ht="12.75"/>
    <row r="4254" s="3161" customFormat="1" ht="12.75"/>
    <row r="4255" s="3161" customFormat="1" ht="12.75"/>
    <row r="4256" s="3161" customFormat="1" ht="12.75"/>
    <row r="4257" s="3161" customFormat="1" ht="12.75"/>
    <row r="4258" s="3161" customFormat="1" ht="12.75"/>
    <row r="4259" s="3161" customFormat="1" ht="12.75"/>
    <row r="4260" s="3161" customFormat="1" ht="12.75"/>
    <row r="4261" s="3161" customFormat="1" ht="12.75"/>
    <row r="4262" s="3161" customFormat="1" ht="12.75"/>
    <row r="4263" s="3161" customFormat="1" ht="12.75"/>
    <row r="4264" s="3161" customFormat="1" ht="12.75"/>
    <row r="4265" s="3161" customFormat="1" ht="12.75"/>
    <row r="4266" s="3161" customFormat="1" ht="12.75"/>
    <row r="4267" s="3161" customFormat="1" ht="12.75"/>
    <row r="4268" s="3161" customFormat="1" ht="12.75"/>
    <row r="4269" s="3161" customFormat="1" ht="12.75"/>
    <row r="4270" s="3161" customFormat="1" ht="12.75"/>
    <row r="4271" s="3161" customFormat="1" ht="12.75"/>
    <row r="4272" s="3161" customFormat="1" ht="12.75"/>
    <row r="4273" s="3161" customFormat="1" ht="12.75"/>
    <row r="4274" s="3161" customFormat="1" ht="12.75"/>
    <row r="4275" s="3161" customFormat="1" ht="12.75"/>
    <row r="4276" s="3161" customFormat="1" ht="12.75"/>
    <row r="4277" s="3161" customFormat="1" ht="12.75"/>
    <row r="4278" s="3161" customFormat="1" ht="12.75"/>
    <row r="4279" s="3161" customFormat="1" ht="12.75"/>
    <row r="4280" s="3161" customFormat="1" ht="12.75"/>
    <row r="4281" s="3161" customFormat="1" ht="12.75"/>
    <row r="4282" s="3161" customFormat="1" ht="12.75"/>
    <row r="4283" s="3161" customFormat="1" ht="12.75"/>
    <row r="4284" s="3161" customFormat="1" ht="12.75"/>
    <row r="4285" s="3161" customFormat="1" ht="12.75"/>
    <row r="4286" s="3161" customFormat="1" ht="12.75"/>
    <row r="4287" s="3161" customFormat="1" ht="12.75"/>
    <row r="4288" s="3161" customFormat="1" ht="12.75"/>
    <row r="4289" s="3161" customFormat="1" ht="12.75"/>
    <row r="4290" s="3161" customFormat="1" ht="12.75"/>
    <row r="4291" s="3161" customFormat="1" ht="12.75"/>
    <row r="4292" s="3161" customFormat="1" ht="12.75"/>
    <row r="4293" s="3161" customFormat="1" ht="12.75"/>
    <row r="4294" s="3161" customFormat="1" ht="12.75"/>
    <row r="4295" s="3161" customFormat="1" ht="12.75"/>
    <row r="4296" s="3161" customFormat="1" ht="12.75"/>
    <row r="4297" s="3161" customFormat="1" ht="12.75"/>
    <row r="4298" s="3161" customFormat="1" ht="12.75"/>
    <row r="4299" s="3161" customFormat="1" ht="12.75"/>
    <row r="4300" s="3161" customFormat="1" ht="12.75"/>
    <row r="4301" s="3161" customFormat="1" ht="12.75"/>
    <row r="4302" s="3161" customFormat="1" ht="12.75"/>
    <row r="4303" s="3161" customFormat="1" ht="12.75"/>
    <row r="4304" s="3161" customFormat="1" ht="12.75"/>
    <row r="4305" s="3161" customFormat="1" ht="12.75"/>
    <row r="4306" s="3161" customFormat="1" ht="12.75"/>
    <row r="4307" s="3161" customFormat="1" ht="12.75"/>
    <row r="4308" s="3161" customFormat="1" ht="12.75"/>
    <row r="4309" s="3161" customFormat="1" ht="12.75"/>
    <row r="4310" s="3161" customFormat="1" ht="12.75"/>
    <row r="4311" s="3161" customFormat="1" ht="12.75"/>
    <row r="4312" s="3161" customFormat="1" ht="12.75"/>
    <row r="4313" s="3161" customFormat="1" ht="12.75"/>
    <row r="4314" s="3161" customFormat="1" ht="12.75"/>
    <row r="4315" s="3161" customFormat="1" ht="12.75"/>
    <row r="4316" s="3161" customFormat="1" ht="12.75"/>
    <row r="4317" s="3161" customFormat="1" ht="12.75"/>
    <row r="4318" s="3161" customFormat="1" ht="12.75"/>
    <row r="4319" s="3161" customFormat="1" ht="12.75"/>
    <row r="4320" s="3161" customFormat="1" ht="12.75"/>
    <row r="4321" s="3161" customFormat="1" ht="12.75"/>
    <row r="4322" s="3161" customFormat="1" ht="12.75"/>
    <row r="4323" s="3161" customFormat="1" ht="12.75"/>
    <row r="4324" s="3161" customFormat="1" ht="12.75"/>
    <row r="4325" s="3161" customFormat="1" ht="12.75"/>
    <row r="4326" s="3161" customFormat="1" ht="12.75"/>
    <row r="4327" s="3161" customFormat="1" ht="12.75"/>
    <row r="4328" s="3161" customFormat="1" ht="12.75"/>
    <row r="4329" s="3161" customFormat="1" ht="12.75"/>
    <row r="4330" s="3161" customFormat="1" ht="12.75"/>
    <row r="4331" s="3161" customFormat="1" ht="12.75"/>
    <row r="4332" s="3161" customFormat="1" ht="12.75"/>
    <row r="4333" s="3161" customFormat="1" ht="12.75"/>
    <row r="4334" s="3161" customFormat="1" ht="12.75"/>
    <row r="4335" s="3161" customFormat="1" ht="12.75"/>
    <row r="4336" s="3161" customFormat="1" ht="12.75"/>
    <row r="4337" s="3161" customFormat="1" ht="12.75"/>
    <row r="4338" s="3161" customFormat="1" ht="12.75"/>
    <row r="4339" s="3161" customFormat="1" ht="12.75"/>
    <row r="4340" s="3161" customFormat="1" ht="12.75"/>
    <row r="4341" s="3161" customFormat="1" ht="12.75"/>
    <row r="4342" s="3161" customFormat="1" ht="12.75"/>
    <row r="4343" s="3161" customFormat="1" ht="12.75"/>
    <row r="4344" s="3161" customFormat="1" ht="12.75"/>
    <row r="4345" s="3161" customFormat="1" ht="12.75"/>
    <row r="4346" s="3161" customFormat="1" ht="12.75"/>
    <row r="4347" s="3161" customFormat="1" ht="12.75"/>
    <row r="4348" s="3161" customFormat="1" ht="12.75"/>
    <row r="4349" s="3161" customFormat="1" ht="12.75"/>
    <row r="4350" s="3161" customFormat="1" ht="12.75"/>
    <row r="4351" s="3161" customFormat="1" ht="12.75"/>
    <row r="4352" s="3161" customFormat="1" ht="12.75"/>
    <row r="4353" s="3161" customFormat="1" ht="12.75"/>
    <row r="4354" s="3161" customFormat="1" ht="12.75"/>
    <row r="4355" s="3161" customFormat="1" ht="12.75"/>
    <row r="4356" s="3161" customFormat="1" ht="12.75"/>
    <row r="4357" s="3161" customFormat="1" ht="12.75"/>
    <row r="4358" s="3161" customFormat="1" ht="12.75"/>
    <row r="4359" s="3161" customFormat="1" ht="12.75"/>
    <row r="4360" s="3161" customFormat="1" ht="12.75"/>
    <row r="4361" s="3161" customFormat="1" ht="12.75"/>
    <row r="4362" s="3161" customFormat="1" ht="12.75"/>
    <row r="4363" s="3161" customFormat="1" ht="12.75"/>
    <row r="4364" s="3161" customFormat="1" ht="12.75"/>
    <row r="4365" s="3161" customFormat="1" ht="12.75"/>
    <row r="4366" s="3161" customFormat="1" ht="12.75"/>
    <row r="4367" s="3161" customFormat="1" ht="12.75"/>
    <row r="4368" s="3161" customFormat="1" ht="12.75"/>
    <row r="4369" s="3161" customFormat="1" ht="12.75"/>
    <row r="4370" s="3161" customFormat="1" ht="12.75"/>
    <row r="4371" s="3161" customFormat="1" ht="12.75"/>
    <row r="4372" s="3161" customFormat="1" ht="12.75"/>
    <row r="4373" s="3161" customFormat="1" ht="12.75"/>
    <row r="4374" s="3161" customFormat="1" ht="12.75"/>
    <row r="4375" s="3161" customFormat="1" ht="12.75"/>
    <row r="4376" s="3161" customFormat="1" ht="12.75"/>
    <row r="4377" s="3161" customFormat="1" ht="12.75"/>
    <row r="4378" s="3161" customFormat="1" ht="12.75"/>
    <row r="4379" s="3161" customFormat="1" ht="12.75"/>
    <row r="4380" s="3161" customFormat="1" ht="12.75"/>
    <row r="4381" s="3161" customFormat="1" ht="12.75"/>
    <row r="4382" s="3161" customFormat="1" ht="12.75"/>
    <row r="4383" s="3161" customFormat="1" ht="12.75"/>
    <row r="4384" s="3161" customFormat="1" ht="12.75"/>
    <row r="4385" s="3161" customFormat="1" ht="12.75"/>
    <row r="4386" s="3161" customFormat="1" ht="12.75"/>
    <row r="4387" s="3161" customFormat="1" ht="12.75"/>
    <row r="4388" s="3161" customFormat="1" ht="12.75"/>
    <row r="4389" s="3161" customFormat="1" ht="12.75"/>
    <row r="4390" s="3161" customFormat="1" ht="12.75"/>
    <row r="4391" s="3161" customFormat="1" ht="12.75"/>
    <row r="4392" s="3161" customFormat="1" ht="12.75"/>
    <row r="4393" s="3161" customFormat="1" ht="12.75"/>
    <row r="4394" s="3161" customFormat="1" ht="12.75"/>
    <row r="4395" s="3161" customFormat="1" ht="12.75"/>
    <row r="4396" s="3161" customFormat="1" ht="12.75"/>
    <row r="4397" s="3161" customFormat="1" ht="12.75"/>
    <row r="4398" s="3161" customFormat="1" ht="12.75"/>
    <row r="4399" s="3161" customFormat="1" ht="12.75"/>
    <row r="4400" s="3161" customFormat="1" ht="12.75"/>
    <row r="4401" s="3161" customFormat="1" ht="12.75"/>
    <row r="4402" s="3161" customFormat="1" ht="12.75"/>
    <row r="4403" s="3161" customFormat="1" ht="12.75"/>
    <row r="4404" s="3161" customFormat="1" ht="12.75"/>
    <row r="4405" s="3161" customFormat="1" ht="12.75"/>
    <row r="4406" s="3161" customFormat="1" ht="12.75"/>
    <row r="4407" s="3161" customFormat="1" ht="12.75"/>
    <row r="4408" s="3161" customFormat="1" ht="12.75"/>
    <row r="4409" s="3161" customFormat="1" ht="12.75"/>
    <row r="4410" s="3161" customFormat="1" ht="12.75"/>
    <row r="4411" s="3161" customFormat="1" ht="12.75"/>
    <row r="4412" s="3161" customFormat="1" ht="12.75"/>
    <row r="4413" s="3161" customFormat="1" ht="12.75"/>
    <row r="4414" s="3161" customFormat="1" ht="12.75"/>
    <row r="4415" s="3161" customFormat="1" ht="12.75"/>
    <row r="4416" s="3161" customFormat="1" ht="12.75"/>
    <row r="4417" s="3161" customFormat="1" ht="12.75"/>
    <row r="4418" s="3161" customFormat="1" ht="12.75"/>
    <row r="4419" s="3161" customFormat="1" ht="12.75"/>
    <row r="4420" s="3161" customFormat="1" ht="12.75"/>
    <row r="4421" s="3161" customFormat="1" ht="12.75"/>
    <row r="4422" s="3161" customFormat="1" ht="12.75"/>
    <row r="4423" s="3161" customFormat="1" ht="12.75"/>
    <row r="4424" s="3161" customFormat="1" ht="12.75"/>
    <row r="4425" s="3161" customFormat="1" ht="12.75"/>
    <row r="4426" s="3161" customFormat="1" ht="12.75"/>
    <row r="4427" s="3161" customFormat="1" ht="12.75"/>
    <row r="4428" s="3161" customFormat="1" ht="12.75"/>
    <row r="4429" s="3161" customFormat="1" ht="12.75"/>
    <row r="4430" s="3161" customFormat="1" ht="12.75"/>
    <row r="4431" s="3161" customFormat="1" ht="12.75"/>
    <row r="4432" s="3161" customFormat="1" ht="12.75"/>
    <row r="4433" s="3161" customFormat="1" ht="12.75"/>
    <row r="4434" s="3161" customFormat="1" ht="12.75"/>
    <row r="4435" s="3161" customFormat="1" ht="12.75"/>
    <row r="4436" s="3161" customFormat="1" ht="12.75"/>
    <row r="4437" s="3161" customFormat="1" ht="12.75"/>
    <row r="4438" s="3161" customFormat="1" ht="12.75"/>
    <row r="4439" s="3161" customFormat="1" ht="12.75"/>
    <row r="4440" s="3161" customFormat="1" ht="12.75"/>
    <row r="4441" s="3161" customFormat="1" ht="12.75"/>
    <row r="4442" s="3161" customFormat="1" ht="12.75"/>
    <row r="4443" s="3161" customFormat="1" ht="12.75"/>
    <row r="4444" s="3161" customFormat="1" ht="12.75"/>
    <row r="4445" s="3161" customFormat="1" ht="12.75"/>
    <row r="4446" s="3161" customFormat="1" ht="12.75"/>
    <row r="4447" s="3161" customFormat="1" ht="12.75"/>
    <row r="4448" s="3161" customFormat="1" ht="12.75"/>
    <row r="4449" s="3161" customFormat="1" ht="12.75"/>
    <row r="4450" s="3161" customFormat="1" ht="12.75"/>
    <row r="4451" s="3161" customFormat="1" ht="12.75"/>
    <row r="4452" s="3161" customFormat="1" ht="12.75"/>
    <row r="4453" s="3161" customFormat="1" ht="12.75"/>
    <row r="4454" s="3161" customFormat="1" ht="12.75"/>
    <row r="4455" s="3161" customFormat="1" ht="12.75"/>
    <row r="4456" s="3161" customFormat="1" ht="12.75"/>
    <row r="4457" s="3161" customFormat="1" ht="12.75"/>
    <row r="4458" s="3161" customFormat="1" ht="12.75"/>
    <row r="4459" s="3161" customFormat="1" ht="12.75"/>
    <row r="4460" s="3161" customFormat="1" ht="12.75"/>
    <row r="4461" s="3161" customFormat="1" ht="12.75"/>
    <row r="4462" s="3161" customFormat="1" ht="12.75"/>
    <row r="4463" s="3161" customFormat="1" ht="12.75"/>
    <row r="4464" s="3161" customFormat="1" ht="12.75"/>
    <row r="4465" s="3161" customFormat="1" ht="12.75"/>
    <row r="4466" s="3161" customFormat="1" ht="12.75"/>
    <row r="4467" s="3161" customFormat="1" ht="12.75"/>
    <row r="4468" s="3161" customFormat="1" ht="12.75"/>
    <row r="4469" s="3161" customFormat="1" ht="12.75"/>
    <row r="4470" s="3161" customFormat="1" ht="12.75"/>
    <row r="4471" s="3161" customFormat="1" ht="12.75"/>
    <row r="4472" s="3161" customFormat="1" ht="12.75"/>
    <row r="4473" s="3161" customFormat="1" ht="12.75"/>
    <row r="4474" s="3161" customFormat="1" ht="12.75"/>
    <row r="4475" s="3161" customFormat="1" ht="12.75"/>
    <row r="4476" s="3161" customFormat="1" ht="12.75"/>
    <row r="4477" s="3161" customFormat="1" ht="12.75"/>
    <row r="4478" s="3161" customFormat="1" ht="12.75"/>
    <row r="4479" s="3161" customFormat="1" ht="12.75"/>
    <row r="4480" s="3161" customFormat="1" ht="12.75"/>
    <row r="4481" s="3161" customFormat="1" ht="12.75"/>
    <row r="4482" s="3161" customFormat="1" ht="12.75"/>
    <row r="4483" s="3161" customFormat="1" ht="12.75"/>
    <row r="4484" s="3161" customFormat="1" ht="12.75"/>
    <row r="4485" s="3161" customFormat="1" ht="12.75"/>
    <row r="4486" s="3161" customFormat="1" ht="12.75"/>
    <row r="4487" s="3161" customFormat="1" ht="12.75"/>
    <row r="4488" s="3161" customFormat="1" ht="12.75"/>
    <row r="4489" s="3161" customFormat="1" ht="12.75"/>
    <row r="4490" s="3161" customFormat="1" ht="12.75"/>
    <row r="4491" s="3161" customFormat="1" ht="12.75"/>
    <row r="4492" s="3161" customFormat="1" ht="12.75"/>
    <row r="4493" s="3161" customFormat="1" ht="12.75"/>
    <row r="4494" s="3161" customFormat="1" ht="12.75"/>
    <row r="4495" s="3161" customFormat="1" ht="12.75"/>
    <row r="4496" s="3161" customFormat="1" ht="12.75"/>
    <row r="4497" s="3161" customFormat="1" ht="12.75"/>
    <row r="4498" s="3161" customFormat="1" ht="12.75"/>
    <row r="4499" s="3161" customFormat="1" ht="12.75"/>
    <row r="4500" s="3161" customFormat="1" ht="12.75"/>
    <row r="4501" s="3161" customFormat="1" ht="12.75"/>
    <row r="4502" s="3161" customFormat="1" ht="12.75"/>
    <row r="4503" s="3161" customFormat="1" ht="12.75"/>
    <row r="4504" s="3161" customFormat="1" ht="12.75"/>
    <row r="4505" s="3161" customFormat="1" ht="12.75"/>
    <row r="4506" s="3161" customFormat="1" ht="12.75"/>
    <row r="4507" s="3161" customFormat="1" ht="12.75"/>
    <row r="4508" s="3161" customFormat="1" ht="12.75"/>
    <row r="4509" s="3161" customFormat="1" ht="12.75"/>
    <row r="4510" s="3161" customFormat="1" ht="12.75"/>
    <row r="4511" s="3161" customFormat="1" ht="12.75"/>
    <row r="4512" s="3161" customFormat="1" ht="12.75"/>
    <row r="4513" s="3161" customFormat="1" ht="12.75"/>
    <row r="4514" s="3161" customFormat="1" ht="12.75"/>
    <row r="4515" s="3161" customFormat="1" ht="12.75"/>
    <row r="4516" s="3161" customFormat="1" ht="12.75"/>
    <row r="4517" s="3161" customFormat="1" ht="12.75"/>
    <row r="4518" s="3161" customFormat="1" ht="12.75"/>
    <row r="4519" s="3161" customFormat="1" ht="12.75"/>
    <row r="4520" s="3161" customFormat="1" ht="12.75"/>
    <row r="4521" s="3161" customFormat="1" ht="12.75"/>
    <row r="4522" s="3161" customFormat="1" ht="12.75"/>
    <row r="4523" s="3161" customFormat="1" ht="12.75"/>
    <row r="4524" s="3161" customFormat="1" ht="12.75"/>
    <row r="4525" s="3161" customFormat="1" ht="12.75"/>
    <row r="4526" s="3161" customFormat="1" ht="12.75"/>
    <row r="4527" s="3161" customFormat="1" ht="12.75"/>
    <row r="4528" s="3161" customFormat="1" ht="12.75"/>
    <row r="4529" s="3161" customFormat="1" ht="12.75"/>
    <row r="4530" s="3161" customFormat="1" ht="12.75"/>
    <row r="4531" s="3161" customFormat="1" ht="12.75"/>
    <row r="4532" s="3161" customFormat="1" ht="12.75"/>
    <row r="4533" s="3161" customFormat="1" ht="12.75"/>
    <row r="4534" s="3161" customFormat="1" ht="12.75"/>
    <row r="4535" s="3161" customFormat="1" ht="12.75"/>
    <row r="4536" s="3161" customFormat="1" ht="12.75"/>
    <row r="4537" s="3161" customFormat="1" ht="12.75"/>
    <row r="4538" s="3161" customFormat="1" ht="12.75"/>
    <row r="4539" s="3161" customFormat="1" ht="12.75"/>
    <row r="4540" s="3161" customFormat="1" ht="12.75"/>
    <row r="4541" s="3161" customFormat="1" ht="12.75"/>
    <row r="4542" s="3161" customFormat="1" ht="12.75"/>
    <row r="4543" s="3161" customFormat="1" ht="12.75"/>
    <row r="4544" s="3161" customFormat="1" ht="12.75"/>
    <row r="4545" s="3161" customFormat="1" ht="12.75"/>
    <row r="4546" s="3161" customFormat="1" ht="12.75"/>
    <row r="4547" s="3161" customFormat="1" ht="12.75"/>
    <row r="4548" s="3161" customFormat="1" ht="12.75"/>
    <row r="4549" s="3161" customFormat="1" ht="12.75"/>
    <row r="4550" s="3161" customFormat="1" ht="12.75"/>
    <row r="4551" s="3161" customFormat="1" ht="12.75"/>
    <row r="4552" s="3161" customFormat="1" ht="12.75"/>
    <row r="4553" s="3161" customFormat="1" ht="12.75"/>
    <row r="4554" s="3161" customFormat="1" ht="12.75"/>
    <row r="4555" s="3161" customFormat="1" ht="12.75"/>
    <row r="4556" s="3161" customFormat="1" ht="12.75"/>
    <row r="4557" s="3161" customFormat="1" ht="12.75"/>
    <row r="4558" s="3161" customFormat="1" ht="12.75"/>
    <row r="4559" s="3161" customFormat="1" ht="12.75"/>
    <row r="4560" s="3161" customFormat="1" ht="12.75"/>
    <row r="4561" s="3161" customFormat="1" ht="12.75"/>
    <row r="4562" s="3161" customFormat="1" ht="12.75"/>
    <row r="4563" s="3161" customFormat="1" ht="12.75"/>
    <row r="4564" s="3161" customFormat="1" ht="12.75"/>
    <row r="4565" s="3161" customFormat="1" ht="12.75"/>
    <row r="4566" s="3161" customFormat="1" ht="12.75"/>
    <row r="4567" s="3161" customFormat="1" ht="12.75"/>
    <row r="4568" s="3161" customFormat="1" ht="12.75"/>
    <row r="4569" s="3161" customFormat="1" ht="12.75"/>
    <row r="4570" s="3161" customFormat="1" ht="12.75"/>
    <row r="4571" s="3161" customFormat="1" ht="12.75"/>
    <row r="4572" s="3161" customFormat="1" ht="12.75"/>
    <row r="4573" s="3161" customFormat="1" ht="12.75"/>
    <row r="4574" s="3161" customFormat="1" ht="12.75"/>
    <row r="4575" s="3161" customFormat="1" ht="12.75"/>
    <row r="4576" s="3161" customFormat="1" ht="12.75"/>
    <row r="4577" s="3161" customFormat="1" ht="12.75"/>
    <row r="4578" s="3161" customFormat="1" ht="12.75"/>
    <row r="4579" s="3161" customFormat="1" ht="12.75"/>
    <row r="4580" s="3161" customFormat="1" ht="12.75"/>
    <row r="4581" s="3161" customFormat="1" ht="12.75"/>
    <row r="4582" s="3161" customFormat="1" ht="12.75"/>
    <row r="4583" s="3161" customFormat="1" ht="12.75"/>
    <row r="4584" s="3161" customFormat="1" ht="12.75"/>
    <row r="4585" s="3161" customFormat="1" ht="12.75"/>
    <row r="4586" s="3161" customFormat="1" ht="12.75"/>
    <row r="4587" s="3161" customFormat="1" ht="12.75"/>
    <row r="4588" s="3161" customFormat="1" ht="12.75"/>
    <row r="4589" s="3161" customFormat="1" ht="12.75"/>
    <row r="4590" s="3161" customFormat="1" ht="12.75"/>
    <row r="4591" s="3161" customFormat="1" ht="12.75"/>
    <row r="4592" s="3161" customFormat="1" ht="12.75"/>
    <row r="4593" s="3161" customFormat="1" ht="12.75"/>
    <row r="4594" s="3161" customFormat="1" ht="12.75"/>
    <row r="4595" s="3161" customFormat="1" ht="12.75"/>
    <row r="4596" s="3161" customFormat="1" ht="12.75"/>
    <row r="4597" s="3161" customFormat="1" ht="12.75"/>
    <row r="4598" s="3161" customFormat="1" ht="12.75"/>
    <row r="4599" s="3161" customFormat="1" ht="12.75"/>
    <row r="4600" s="3161" customFormat="1" ht="12.75"/>
    <row r="4601" s="3161" customFormat="1" ht="12.75"/>
    <row r="4602" s="3161" customFormat="1" ht="12.75"/>
    <row r="4603" s="3161" customFormat="1" ht="12.75"/>
    <row r="4604" s="3161" customFormat="1" ht="12.75"/>
    <row r="4605" s="3161" customFormat="1" ht="12.75"/>
    <row r="4606" s="3161" customFormat="1" ht="12.75"/>
    <row r="4607" s="3161" customFormat="1" ht="12.75"/>
    <row r="4608" s="3161" customFormat="1" ht="12.75"/>
    <row r="4609" s="3161" customFormat="1" ht="12.75"/>
    <row r="4610" s="3161" customFormat="1" ht="12.75"/>
    <row r="4611" s="3161" customFormat="1" ht="12.75"/>
    <row r="4612" s="3161" customFormat="1" ht="12.75"/>
    <row r="4613" s="3161" customFormat="1" ht="12.75"/>
    <row r="4614" s="3161" customFormat="1" ht="12.75"/>
    <row r="4615" s="3161" customFormat="1" ht="12.75"/>
    <row r="4616" s="3161" customFormat="1" ht="12.75"/>
    <row r="4617" s="3161" customFormat="1" ht="12.75"/>
    <row r="4618" s="3161" customFormat="1" ht="12.75"/>
    <row r="4619" s="3161" customFormat="1" ht="12.75"/>
    <row r="4620" s="3161" customFormat="1" ht="12.75"/>
    <row r="4621" s="3161" customFormat="1" ht="12.75"/>
    <row r="4622" s="3161" customFormat="1" ht="12.75"/>
    <row r="4623" s="3161" customFormat="1" ht="12.75"/>
    <row r="4624" s="3161" customFormat="1" ht="12.75"/>
    <row r="4625" s="3161" customFormat="1" ht="12.75"/>
    <row r="4626" s="3161" customFormat="1" ht="12.75"/>
    <row r="4627" s="3161" customFormat="1" ht="12.75"/>
    <row r="4628" s="3161" customFormat="1" ht="12.75"/>
    <row r="4629" s="3161" customFormat="1" ht="12.75"/>
    <row r="4630" s="3161" customFormat="1" ht="12.75"/>
    <row r="4631" s="3161" customFormat="1" ht="12.75"/>
    <row r="4632" s="3161" customFormat="1" ht="12.75"/>
    <row r="4633" s="3161" customFormat="1" ht="12.75"/>
    <row r="4634" s="3161" customFormat="1" ht="12.75"/>
    <row r="4635" s="3161" customFormat="1" ht="12.75"/>
    <row r="4636" s="3161" customFormat="1" ht="12.75"/>
    <row r="4637" s="3161" customFormat="1" ht="12.75"/>
    <row r="4638" s="3161" customFormat="1" ht="12.75"/>
    <row r="4639" s="3161" customFormat="1" ht="12.75"/>
    <row r="4640" s="3161" customFormat="1" ht="12.75"/>
    <row r="4641" s="3161" customFormat="1" ht="12.75"/>
    <row r="4642" s="3161" customFormat="1" ht="12.75"/>
    <row r="4643" s="3161" customFormat="1" ht="12.75"/>
    <row r="4644" s="3161" customFormat="1" ht="12.75"/>
    <row r="4645" s="3161" customFormat="1" ht="12.75"/>
    <row r="4646" s="3161" customFormat="1" ht="12.75"/>
    <row r="4647" s="3161" customFormat="1" ht="12.75"/>
    <row r="4648" s="3161" customFormat="1" ht="12.75"/>
    <row r="4649" s="3161" customFormat="1" ht="12.75"/>
    <row r="4650" s="3161" customFormat="1" ht="12.75"/>
    <row r="4651" s="3161" customFormat="1" ht="12.75"/>
    <row r="4652" s="3161" customFormat="1" ht="12.75"/>
    <row r="4653" s="3161" customFormat="1" ht="12.75"/>
    <row r="4654" s="3161" customFormat="1" ht="12.75"/>
    <row r="4655" s="3161" customFormat="1" ht="12.75"/>
    <row r="4656" s="3161" customFormat="1" ht="12.75"/>
    <row r="4657" s="3161" customFormat="1" ht="12.75"/>
    <row r="4658" s="3161" customFormat="1" ht="12.75"/>
    <row r="4659" s="3161" customFormat="1" ht="12.75"/>
    <row r="4660" s="3161" customFormat="1" ht="12.75"/>
    <row r="4661" s="3161" customFormat="1" ht="12.75"/>
    <row r="4662" s="3161" customFormat="1" ht="12.75"/>
    <row r="4663" s="3161" customFormat="1" ht="12.75"/>
    <row r="4664" s="3161" customFormat="1" ht="12.75"/>
    <row r="4665" s="3161" customFormat="1" ht="12.75"/>
    <row r="4666" s="3161" customFormat="1" ht="12.75"/>
    <row r="4667" s="3161" customFormat="1" ht="12.75"/>
    <row r="4668" s="3161" customFormat="1" ht="12.75"/>
    <row r="4669" s="3161" customFormat="1" ht="12.75"/>
    <row r="4670" s="3161" customFormat="1" ht="12.75"/>
    <row r="4671" s="3161" customFormat="1" ht="12.75"/>
    <row r="4672" s="3161" customFormat="1" ht="12.75"/>
    <row r="4673" s="3161" customFormat="1" ht="12.75"/>
    <row r="4674" s="3161" customFormat="1" ht="12.75"/>
    <row r="4675" s="3161" customFormat="1" ht="12.75"/>
    <row r="4676" s="3161" customFormat="1" ht="12.75"/>
    <row r="4677" s="3161" customFormat="1" ht="12.75"/>
    <row r="4678" s="3161" customFormat="1" ht="12.75"/>
    <row r="4679" s="3161" customFormat="1" ht="12.75"/>
    <row r="4680" s="3161" customFormat="1" ht="12.75"/>
    <row r="4681" s="3161" customFormat="1" ht="12.75"/>
    <row r="4682" s="3161" customFormat="1" ht="12.75"/>
    <row r="4683" s="3161" customFormat="1" ht="12.75"/>
    <row r="4684" s="3161" customFormat="1" ht="12.75"/>
    <row r="4685" s="3161" customFormat="1" ht="12.75"/>
    <row r="4686" s="3161" customFormat="1" ht="12.75"/>
    <row r="4687" s="3161" customFormat="1" ht="12.75"/>
    <row r="4688" s="3161" customFormat="1" ht="12.75"/>
    <row r="4689" s="3161" customFormat="1" ht="12.75"/>
    <row r="4690" s="3161" customFormat="1" ht="12.75"/>
    <row r="4691" s="3161" customFormat="1" ht="12.75"/>
    <row r="4692" s="3161" customFormat="1" ht="12.75"/>
    <row r="4693" s="3161" customFormat="1" ht="12.75"/>
    <row r="4694" s="3161" customFormat="1" ht="12.75"/>
    <row r="4695" s="3161" customFormat="1" ht="12.75"/>
    <row r="4696" s="3161" customFormat="1" ht="12.75"/>
    <row r="4697" s="3161" customFormat="1" ht="12.75"/>
    <row r="4698" s="3161" customFormat="1" ht="12.75"/>
    <row r="4699" s="3161" customFormat="1" ht="12.75"/>
    <row r="4700" s="3161" customFormat="1" ht="12.75"/>
    <row r="4701" s="3161" customFormat="1" ht="12.75"/>
    <row r="4702" s="3161" customFormat="1" ht="12.75"/>
    <row r="4703" s="3161" customFormat="1" ht="12.75"/>
    <row r="4704" s="3161" customFormat="1" ht="12.75"/>
    <row r="4705" s="3161" customFormat="1" ht="12.75"/>
    <row r="4706" s="3161" customFormat="1" ht="12.75"/>
    <row r="4707" s="3161" customFormat="1" ht="12.75"/>
    <row r="4708" s="3161" customFormat="1" ht="12.75"/>
    <row r="4709" s="3161" customFormat="1" ht="12.75"/>
    <row r="4710" s="3161" customFormat="1" ht="12.75"/>
    <row r="4711" s="3161" customFormat="1" ht="12.75"/>
    <row r="4712" s="3161" customFormat="1" ht="12.75"/>
    <row r="4713" s="3161" customFormat="1" ht="12.75"/>
    <row r="4714" s="3161" customFormat="1" ht="12.75"/>
    <row r="4715" s="3161" customFormat="1" ht="12.75"/>
    <row r="4716" s="3161" customFormat="1" ht="12.75"/>
    <row r="4717" s="3161" customFormat="1" ht="12.75"/>
    <row r="4718" s="3161" customFormat="1" ht="12.75"/>
    <row r="4719" s="3161" customFormat="1" ht="12.75"/>
    <row r="4720" s="3161" customFormat="1" ht="12.75"/>
    <row r="4721" s="3161" customFormat="1" ht="12.75"/>
    <row r="4722" s="3161" customFormat="1" ht="12.75"/>
    <row r="4723" s="3161" customFormat="1" ht="12.75"/>
    <row r="4724" s="3161" customFormat="1" ht="12.75"/>
    <row r="4725" s="3161" customFormat="1" ht="12.75"/>
    <row r="4726" s="3161" customFormat="1" ht="12.75"/>
    <row r="4727" s="3161" customFormat="1" ht="12.75"/>
    <row r="4728" s="3161" customFormat="1" ht="12.75"/>
    <row r="4729" s="3161" customFormat="1" ht="12.75"/>
    <row r="4730" s="3161" customFormat="1" ht="12.75"/>
    <row r="4731" s="3161" customFormat="1" ht="12.75"/>
    <row r="4732" s="3161" customFormat="1" ht="12.75"/>
    <row r="4733" s="3161" customFormat="1" ht="12.75"/>
    <row r="4734" s="3161" customFormat="1" ht="12.75"/>
    <row r="4735" s="3161" customFormat="1" ht="12.75"/>
    <row r="4736" s="3161" customFormat="1" ht="12.75"/>
    <row r="4737" s="3161" customFormat="1" ht="12.75"/>
    <row r="4738" s="3161" customFormat="1" ht="12.75"/>
    <row r="4739" s="3161" customFormat="1" ht="12.75"/>
    <row r="4740" s="3161" customFormat="1" ht="12.75"/>
    <row r="4741" s="3161" customFormat="1" ht="12.75"/>
    <row r="4742" s="3161" customFormat="1" ht="12.75"/>
    <row r="4743" s="3161" customFormat="1" ht="12.75"/>
    <row r="4744" s="3161" customFormat="1" ht="12.75"/>
    <row r="4745" s="3161" customFormat="1" ht="12.75"/>
    <row r="4746" s="3161" customFormat="1" ht="12.75"/>
    <row r="4747" s="3161" customFormat="1" ht="12.75"/>
    <row r="4748" s="3161" customFormat="1" ht="12.75"/>
    <row r="4749" s="3161" customFormat="1" ht="12.75"/>
    <row r="4750" s="3161" customFormat="1" ht="12.75"/>
    <row r="4751" s="3161" customFormat="1" ht="12.75"/>
    <row r="4752" s="3161" customFormat="1" ht="12.75"/>
    <row r="4753" s="3161" customFormat="1" ht="12.75"/>
    <row r="4754" s="3161" customFormat="1" ht="12.75"/>
    <row r="4755" s="3161" customFormat="1" ht="12.75"/>
    <row r="4756" s="3161" customFormat="1" ht="12.75"/>
    <row r="4757" s="3161" customFormat="1" ht="12.75"/>
    <row r="4758" s="3161" customFormat="1" ht="12.75"/>
    <row r="4759" s="3161" customFormat="1" ht="12.75"/>
    <row r="4760" s="3161" customFormat="1" ht="12.75"/>
    <row r="4761" s="3161" customFormat="1" ht="12.75"/>
    <row r="4762" s="3161" customFormat="1" ht="12.75"/>
    <row r="4763" s="3161" customFormat="1" ht="12.75"/>
    <row r="4764" s="3161" customFormat="1" ht="12.75"/>
    <row r="4765" s="3161" customFormat="1" ht="12.75"/>
    <row r="4766" s="3161" customFormat="1" ht="12.75"/>
    <row r="4767" s="3161" customFormat="1" ht="12.75"/>
    <row r="4768" s="3161" customFormat="1" ht="12.75"/>
    <row r="4769" s="3161" customFormat="1" ht="12.75"/>
    <row r="4770" s="3161" customFormat="1" ht="12.75"/>
    <row r="4771" s="3161" customFormat="1" ht="12.75"/>
    <row r="4772" s="3161" customFormat="1" ht="12.75"/>
    <row r="4773" s="3161" customFormat="1" ht="12.75"/>
    <row r="4774" s="3161" customFormat="1" ht="12.75"/>
    <row r="4775" s="3161" customFormat="1" ht="12.75"/>
    <row r="4776" s="3161" customFormat="1" ht="12.75"/>
    <row r="4777" s="3161" customFormat="1" ht="12.75"/>
    <row r="4778" s="3161" customFormat="1" ht="12.75"/>
    <row r="4779" s="3161" customFormat="1" ht="12.75"/>
    <row r="4780" s="3161" customFormat="1" ht="12.75"/>
    <row r="4781" s="3161" customFormat="1" ht="12.75"/>
    <row r="4782" s="3161" customFormat="1" ht="12.75"/>
    <row r="4783" s="3161" customFormat="1" ht="12.75"/>
    <row r="4784" s="3161" customFormat="1" ht="12.75"/>
    <row r="4785" s="3161" customFormat="1" ht="12.75"/>
    <row r="4786" s="3161" customFormat="1" ht="12.75"/>
    <row r="4787" s="3161" customFormat="1" ht="12.75"/>
    <row r="4788" s="3161" customFormat="1" ht="12.75"/>
    <row r="4789" s="3161" customFormat="1" ht="12.75"/>
    <row r="4790" s="3161" customFormat="1" ht="12.75"/>
    <row r="4791" s="3161" customFormat="1" ht="12.75"/>
    <row r="4792" s="3161" customFormat="1" ht="12.75"/>
    <row r="4793" s="3161" customFormat="1" ht="12.75"/>
    <row r="4794" s="3161" customFormat="1" ht="12.75"/>
    <row r="4795" s="3161" customFormat="1" ht="12.75"/>
    <row r="4796" s="3161" customFormat="1" ht="12.75"/>
    <row r="4797" s="3161" customFormat="1" ht="12.75"/>
    <row r="4798" s="3161" customFormat="1" ht="12.75"/>
    <row r="4799" s="3161" customFormat="1" ht="12.75"/>
    <row r="4800" s="3161" customFormat="1" ht="12.75"/>
    <row r="4801" s="3161" customFormat="1" ht="12.75"/>
    <row r="4802" s="3161" customFormat="1" ht="12.75"/>
    <row r="4803" s="3161" customFormat="1" ht="12.75"/>
    <row r="4804" s="3161" customFormat="1" ht="12.75"/>
    <row r="4805" s="3161" customFormat="1" ht="12.75"/>
    <row r="4806" s="3161" customFormat="1" ht="12.75"/>
    <row r="4807" s="3161" customFormat="1" ht="12.75"/>
    <row r="4808" s="3161" customFormat="1" ht="12.75"/>
    <row r="4809" s="3161" customFormat="1" ht="12.75"/>
    <row r="4810" s="3161" customFormat="1" ht="12.75"/>
    <row r="4811" s="3161" customFormat="1" ht="12.75"/>
    <row r="4812" s="3161" customFormat="1" ht="12.75"/>
    <row r="4813" s="3161" customFormat="1" ht="12.75"/>
    <row r="4814" s="3161" customFormat="1" ht="12.75"/>
    <row r="4815" s="3161" customFormat="1" ht="12.75"/>
    <row r="4816" s="3161" customFormat="1" ht="12.75"/>
    <row r="4817" s="3161" customFormat="1" ht="12.75"/>
    <row r="4818" s="3161" customFormat="1" ht="12.75"/>
    <row r="4819" s="3161" customFormat="1" ht="12.75"/>
    <row r="4820" s="3161" customFormat="1" ht="12.75"/>
    <row r="4821" s="3161" customFormat="1" ht="12.75"/>
    <row r="4822" s="3161" customFormat="1" ht="12.75"/>
    <row r="4823" s="3161" customFormat="1" ht="12.75"/>
    <row r="4824" s="3161" customFormat="1" ht="12.75"/>
    <row r="4825" s="3161" customFormat="1" ht="12.75"/>
    <row r="4826" s="3161" customFormat="1" ht="12.75"/>
    <row r="4827" s="3161" customFormat="1" ht="12.75"/>
    <row r="4828" s="3161" customFormat="1" ht="12.75"/>
    <row r="4829" s="3161" customFormat="1" ht="12.75"/>
    <row r="4830" s="3161" customFormat="1" ht="12.75"/>
    <row r="4831" s="3161" customFormat="1" ht="12.75"/>
    <row r="4832" s="3161" customFormat="1" ht="12.75"/>
    <row r="4833" s="3161" customFormat="1" ht="12.75"/>
    <row r="4834" s="3161" customFormat="1" ht="12.75"/>
    <row r="4835" s="3161" customFormat="1" ht="12.75"/>
    <row r="4836" s="3161" customFormat="1" ht="12.75"/>
    <row r="4837" s="3161" customFormat="1" ht="12.75"/>
    <row r="4838" s="3161" customFormat="1" ht="12.75"/>
    <row r="4839" s="3161" customFormat="1" ht="12.75"/>
    <row r="4840" s="3161" customFormat="1" ht="12.75"/>
    <row r="4841" s="3161" customFormat="1" ht="12.75"/>
    <row r="4842" s="3161" customFormat="1" ht="12.75"/>
    <row r="4843" s="3161" customFormat="1" ht="12.75"/>
    <row r="4844" s="3161" customFormat="1" ht="12.75"/>
    <row r="4845" s="3161" customFormat="1" ht="12.75"/>
    <row r="4846" s="3161" customFormat="1" ht="12.75"/>
    <row r="4847" s="3161" customFormat="1" ht="12.75"/>
    <row r="4848" s="3161" customFormat="1" ht="12.75"/>
    <row r="4849" s="3161" customFormat="1" ht="12.75"/>
    <row r="4850" s="3161" customFormat="1" ht="12.75"/>
    <row r="4851" s="3161" customFormat="1" ht="12.75"/>
    <row r="4852" s="3161" customFormat="1" ht="12.75"/>
    <row r="4853" s="3161" customFormat="1" ht="12.75"/>
    <row r="4854" s="3161" customFormat="1" ht="12.75"/>
    <row r="4855" s="3161" customFormat="1" ht="12.75"/>
    <row r="4856" s="3161" customFormat="1" ht="12.75"/>
    <row r="4857" s="3161" customFormat="1" ht="12.75"/>
    <row r="4858" s="3161" customFormat="1" ht="12.75"/>
    <row r="4859" s="3161" customFormat="1" ht="12.75"/>
    <row r="4860" s="3161" customFormat="1" ht="12.75"/>
    <row r="4861" s="3161" customFormat="1" ht="12.75"/>
    <row r="4862" s="3161" customFormat="1" ht="12.75"/>
    <row r="4863" s="3161" customFormat="1" ht="12.75"/>
    <row r="4864" s="3161" customFormat="1" ht="12.75"/>
    <row r="4865" s="3161" customFormat="1" ht="12.75"/>
    <row r="4866" s="3161" customFormat="1" ht="12.75"/>
    <row r="4867" s="3161" customFormat="1" ht="12.75"/>
    <row r="4868" s="3161" customFormat="1" ht="12.75"/>
    <row r="4869" s="3161" customFormat="1" ht="12.75"/>
    <row r="4870" s="3161" customFormat="1" ht="12.75"/>
    <row r="4871" s="3161" customFormat="1" ht="12.75"/>
    <row r="4872" s="3161" customFormat="1" ht="12.75"/>
    <row r="4873" s="3161" customFormat="1" ht="12.75"/>
    <row r="4874" s="3161" customFormat="1" ht="12.75"/>
    <row r="4875" s="3161" customFormat="1" ht="12.75"/>
    <row r="4876" s="3161" customFormat="1" ht="12.75"/>
    <row r="4877" s="3161" customFormat="1" ht="12.75"/>
    <row r="4878" s="3161" customFormat="1" ht="12.75"/>
    <row r="4879" s="3161" customFormat="1" ht="12.75"/>
    <row r="4880" s="3161" customFormat="1" ht="12.75"/>
    <row r="4881" s="3161" customFormat="1" ht="12.75"/>
    <row r="4882" s="3161" customFormat="1" ht="12.75"/>
    <row r="4883" s="3161" customFormat="1" ht="12.75"/>
    <row r="4884" s="3161" customFormat="1" ht="12.75"/>
    <row r="4885" s="3161" customFormat="1" ht="12.75"/>
    <row r="4886" s="3161" customFormat="1" ht="12.75"/>
    <row r="4887" s="3161" customFormat="1" ht="12.75"/>
    <row r="4888" s="3161" customFormat="1" ht="12.75"/>
    <row r="4889" s="3161" customFormat="1" ht="12.75"/>
    <row r="4890" s="3161" customFormat="1" ht="12.75"/>
    <row r="4891" s="3161" customFormat="1" ht="12.75"/>
    <row r="4892" s="3161" customFormat="1" ht="12.75"/>
    <row r="4893" s="3161" customFormat="1" ht="12.75"/>
    <row r="4894" s="3161" customFormat="1" ht="12.75"/>
    <row r="4895" s="3161" customFormat="1" ht="12.75"/>
    <row r="4896" s="3161" customFormat="1" ht="12.75"/>
    <row r="4897" s="3161" customFormat="1" ht="12.75"/>
    <row r="4898" s="3161" customFormat="1" ht="12.75"/>
    <row r="4899" s="3161" customFormat="1" ht="12.75"/>
    <row r="4900" s="3161" customFormat="1" ht="12.75"/>
    <row r="4901" s="3161" customFormat="1" ht="12.75"/>
    <row r="4902" s="3161" customFormat="1" ht="12.75"/>
    <row r="4903" s="3161" customFormat="1" ht="12.75"/>
    <row r="4904" s="3161" customFormat="1" ht="12.75"/>
    <row r="4905" s="3161" customFormat="1" ht="12.75"/>
    <row r="4906" s="3161" customFormat="1" ht="12.75"/>
    <row r="4907" s="3161" customFormat="1" ht="12.75"/>
    <row r="4908" s="3161" customFormat="1" ht="12.75"/>
    <row r="4909" s="3161" customFormat="1" ht="12.75"/>
    <row r="4910" s="3161" customFormat="1" ht="12.75"/>
    <row r="4911" s="3161" customFormat="1" ht="12.75"/>
    <row r="4912" s="3161" customFormat="1" ht="12.75"/>
    <row r="4913" s="3161" customFormat="1" ht="12.75"/>
    <row r="4914" s="3161" customFormat="1" ht="12.75"/>
    <row r="4915" s="3161" customFormat="1" ht="12.75"/>
    <row r="4916" s="3161" customFormat="1" ht="12.75"/>
    <row r="4917" s="3161" customFormat="1" ht="12.75"/>
    <row r="4918" s="3161" customFormat="1" ht="12.75"/>
    <row r="4919" s="3161" customFormat="1" ht="12.75"/>
    <row r="4920" s="3161" customFormat="1" ht="12.75"/>
    <row r="4921" s="3161" customFormat="1" ht="12.75"/>
    <row r="4922" s="3161" customFormat="1" ht="12.75"/>
    <row r="4923" s="3161" customFormat="1" ht="12.75"/>
    <row r="4924" s="3161" customFormat="1" ht="12.75"/>
    <row r="4925" s="3161" customFormat="1" ht="12.75"/>
    <row r="4926" s="3161" customFormat="1" ht="12.75"/>
    <row r="4927" s="3161" customFormat="1" ht="12.75"/>
    <row r="4928" s="3161" customFormat="1" ht="12.75"/>
    <row r="4929" s="3161" customFormat="1" ht="12.75"/>
    <row r="4930" s="3161" customFormat="1" ht="12.75"/>
    <row r="4931" s="3161" customFormat="1" ht="12.75"/>
    <row r="4932" s="3161" customFormat="1" ht="12.75"/>
    <row r="4933" s="3161" customFormat="1" ht="12.75"/>
    <row r="4934" s="3161" customFormat="1" ht="12.75"/>
    <row r="4935" s="3161" customFormat="1" ht="12.75"/>
    <row r="4936" s="3161" customFormat="1" ht="12.75"/>
    <row r="4937" s="3161" customFormat="1" ht="12.75"/>
    <row r="4938" s="3161" customFormat="1" ht="12.75"/>
    <row r="4939" s="3161" customFormat="1" ht="12.75"/>
    <row r="4940" s="3161" customFormat="1" ht="12.75"/>
    <row r="4941" s="3161" customFormat="1" ht="12.75"/>
    <row r="4942" s="3161" customFormat="1" ht="12.75"/>
    <row r="4943" s="3161" customFormat="1" ht="12.75"/>
    <row r="4944" s="3161" customFormat="1" ht="12.75"/>
    <row r="4945" s="3161" customFormat="1" ht="12.75"/>
    <row r="4946" s="3161" customFormat="1" ht="12.75"/>
    <row r="4947" s="3161" customFormat="1" ht="12.75"/>
    <row r="4948" s="3161" customFormat="1" ht="12.75"/>
    <row r="4949" s="3161" customFormat="1" ht="12.75"/>
    <row r="4950" s="3161" customFormat="1" ht="12.75"/>
    <row r="4951" s="3161" customFormat="1" ht="12.75"/>
    <row r="4952" s="3161" customFormat="1" ht="12.75"/>
    <row r="4953" s="3161" customFormat="1" ht="12.75"/>
    <row r="4954" s="3161" customFormat="1" ht="12.75"/>
    <row r="4955" s="3161" customFormat="1" ht="12.75"/>
    <row r="4956" s="3161" customFormat="1" ht="12.75"/>
    <row r="4957" s="3161" customFormat="1" ht="12.75"/>
    <row r="4958" s="3161" customFormat="1" ht="12.75"/>
    <row r="4959" s="3161" customFormat="1" ht="12.75"/>
    <row r="4960" s="3161" customFormat="1" ht="12.75"/>
    <row r="4961" s="3161" customFormat="1" ht="12.75"/>
    <row r="4962" s="3161" customFormat="1" ht="12.75"/>
    <row r="4963" s="3161" customFormat="1" ht="12.75"/>
    <row r="4964" s="3161" customFormat="1" ht="12.75"/>
    <row r="4965" s="3161" customFormat="1" ht="12.75"/>
    <row r="4966" s="3161" customFormat="1" ht="12.75"/>
    <row r="4967" s="3161" customFormat="1" ht="12.75"/>
    <row r="4968" s="3161" customFormat="1" ht="12.75"/>
    <row r="4969" s="3161" customFormat="1" ht="12.75"/>
    <row r="4970" s="3161" customFormat="1" ht="12.75"/>
    <row r="4971" s="3161" customFormat="1" ht="12.75"/>
    <row r="4972" s="3161" customFormat="1" ht="12.75"/>
    <row r="4973" s="3161" customFormat="1" ht="12.75"/>
    <row r="4974" s="3161" customFormat="1" ht="12.75"/>
    <row r="4975" s="3161" customFormat="1" ht="12.75"/>
    <row r="4976" s="3161" customFormat="1" ht="12.75"/>
    <row r="4977" s="3161" customFormat="1" ht="12.75"/>
    <row r="4978" s="3161" customFormat="1" ht="12.75"/>
    <row r="4979" s="3161" customFormat="1" ht="12.75"/>
    <row r="4980" s="3161" customFormat="1" ht="12.75"/>
    <row r="4981" s="3161" customFormat="1" ht="12.75"/>
    <row r="4982" s="3161" customFormat="1" ht="12.75"/>
    <row r="4983" s="3161" customFormat="1" ht="12.75"/>
    <row r="4984" s="3161" customFormat="1" ht="12.75"/>
    <row r="4985" s="3161" customFormat="1" ht="12.75"/>
    <row r="4986" s="3161" customFormat="1" ht="12.75"/>
    <row r="4987" s="3161" customFormat="1" ht="12.75"/>
    <row r="4988" s="3161" customFormat="1" ht="12.75"/>
    <row r="4989" s="3161" customFormat="1" ht="12.75"/>
    <row r="4990" s="3161" customFormat="1" ht="12.75"/>
    <row r="4991" s="3161" customFormat="1" ht="12.75"/>
    <row r="4992" s="3161" customFormat="1" ht="12.75"/>
    <row r="4993" s="3161" customFormat="1" ht="12.75"/>
    <row r="4994" s="3161" customFormat="1" ht="12.75"/>
    <row r="4995" s="3161" customFormat="1" ht="12.75"/>
    <row r="4996" s="3161" customFormat="1" ht="12.75"/>
    <row r="4997" s="3161" customFormat="1" ht="12.75"/>
    <row r="4998" s="3161" customFormat="1" ht="12.75"/>
    <row r="4999" s="3161" customFormat="1" ht="12.75"/>
    <row r="5000" s="3161" customFormat="1" ht="12.75"/>
    <row r="5001" s="3161" customFormat="1" ht="12.75"/>
    <row r="5002" s="3161" customFormat="1" ht="12.75"/>
    <row r="5003" s="3161" customFormat="1" ht="12.75"/>
    <row r="5004" s="3161" customFormat="1" ht="12.75"/>
    <row r="5005" s="3161" customFormat="1" ht="12.75"/>
    <row r="5006" s="3161" customFormat="1" ht="12.75"/>
    <row r="5007" s="3161" customFormat="1" ht="12.75"/>
    <row r="5008" s="3161" customFormat="1" ht="12.75"/>
    <row r="5009" s="3161" customFormat="1" ht="12.75"/>
    <row r="5010" s="3161" customFormat="1" ht="12.75"/>
    <row r="5011" s="3161" customFormat="1" ht="12.75"/>
    <row r="5012" s="3161" customFormat="1" ht="12.75"/>
    <row r="5013" s="3161" customFormat="1" ht="12.75"/>
    <row r="5014" s="3161" customFormat="1" ht="12.75"/>
    <row r="5015" s="3161" customFormat="1" ht="12.75"/>
    <row r="5016" s="3161" customFormat="1" ht="12.75"/>
    <row r="5017" s="3161" customFormat="1" ht="12.75"/>
    <row r="5018" s="3161" customFormat="1" ht="12.75"/>
    <row r="5019" s="3161" customFormat="1" ht="12.75"/>
    <row r="5020" s="3161" customFormat="1" ht="12.75"/>
    <row r="5021" s="3161" customFormat="1" ht="12.75"/>
    <row r="5022" s="3161" customFormat="1" ht="12.75"/>
    <row r="5023" s="3161" customFormat="1" ht="12.75"/>
    <row r="5024" s="3161" customFormat="1" ht="12.75"/>
    <row r="5025" s="3161" customFormat="1" ht="12.75"/>
    <row r="5026" s="3161" customFormat="1" ht="12.75"/>
    <row r="5027" s="3161" customFormat="1" ht="12.75"/>
    <row r="5028" s="3161" customFormat="1" ht="12.75"/>
    <row r="5029" s="3161" customFormat="1" ht="12.75"/>
    <row r="5030" s="3161" customFormat="1" ht="12.75"/>
    <row r="5031" s="3161" customFormat="1" ht="12.75"/>
    <row r="5032" s="3161" customFormat="1" ht="12.75"/>
    <row r="5033" s="3161" customFormat="1" ht="12.75"/>
    <row r="5034" s="3161" customFormat="1" ht="12.75"/>
    <row r="5035" s="3161" customFormat="1" ht="12.75"/>
    <row r="5036" s="3161" customFormat="1" ht="12.75"/>
    <row r="5037" s="3161" customFormat="1" ht="12.75"/>
    <row r="5038" s="3161" customFormat="1" ht="12.75"/>
    <row r="5039" s="3161" customFormat="1" ht="12.75"/>
    <row r="5040" s="3161" customFormat="1" ht="12.75"/>
    <row r="5041" s="3161" customFormat="1" ht="12.75"/>
    <row r="5042" s="3161" customFormat="1" ht="12.75"/>
    <row r="5043" s="3161" customFormat="1" ht="12.75"/>
    <row r="5044" s="3161" customFormat="1" ht="12.75"/>
    <row r="5045" s="3161" customFormat="1" ht="12.75"/>
    <row r="5046" s="3161" customFormat="1" ht="12.75"/>
    <row r="5047" s="3161" customFormat="1" ht="12.75"/>
    <row r="5048" s="3161" customFormat="1" ht="12.75"/>
    <row r="5049" s="3161" customFormat="1" ht="12.75"/>
    <row r="5050" s="3161" customFormat="1" ht="12.75"/>
    <row r="5051" s="3161" customFormat="1" ht="12.75"/>
    <row r="5052" s="3161" customFormat="1" ht="12.75"/>
    <row r="5053" s="3161" customFormat="1" ht="12.75"/>
    <row r="5054" s="3161" customFormat="1" ht="12.75"/>
    <row r="5055" s="3161" customFormat="1" ht="12.75"/>
    <row r="5056" s="3161" customFormat="1" ht="12.75"/>
    <row r="5057" s="3161" customFormat="1" ht="12.75"/>
    <row r="5058" s="3161" customFormat="1" ht="12.75"/>
    <row r="5059" s="3161" customFormat="1" ht="12.75"/>
    <row r="5060" s="3161" customFormat="1" ht="12.75"/>
    <row r="5061" s="3161" customFormat="1" ht="12.75"/>
    <row r="5062" s="3161" customFormat="1" ht="12.75"/>
    <row r="5063" s="3161" customFormat="1" ht="12.75"/>
    <row r="5064" s="3161" customFormat="1" ht="12.75"/>
    <row r="5065" s="3161" customFormat="1" ht="12.75"/>
    <row r="5066" s="3161" customFormat="1" ht="12.75"/>
    <row r="5067" s="3161" customFormat="1" ht="12.75"/>
    <row r="5068" s="3161" customFormat="1" ht="12.75"/>
    <row r="5069" s="3161" customFormat="1" ht="12.75"/>
    <row r="5070" s="3161" customFormat="1" ht="12.75"/>
    <row r="5071" s="3161" customFormat="1" ht="12.75"/>
    <row r="5072" s="3161" customFormat="1" ht="12.75"/>
    <row r="5073" s="3161" customFormat="1" ht="12.75"/>
    <row r="5074" s="3161" customFormat="1" ht="12.75"/>
    <row r="5075" s="3161" customFormat="1" ht="12.75"/>
    <row r="5076" s="3161" customFormat="1" ht="12.75"/>
    <row r="5077" s="3161" customFormat="1" ht="12.75"/>
    <row r="5078" s="3161" customFormat="1" ht="12.75"/>
    <row r="5079" s="3161" customFormat="1" ht="12.75"/>
    <row r="5080" s="3161" customFormat="1" ht="12.75"/>
    <row r="5081" s="3161" customFormat="1" ht="12.75"/>
    <row r="5082" s="3161" customFormat="1" ht="12.75"/>
    <row r="5083" s="3161" customFormat="1" ht="12.75"/>
    <row r="5084" s="3161" customFormat="1" ht="12.75"/>
    <row r="5085" s="3161" customFormat="1" ht="12.75"/>
    <row r="5086" s="3161" customFormat="1" ht="12.75"/>
    <row r="5087" s="3161" customFormat="1" ht="12.75"/>
    <row r="5088" s="3161" customFormat="1" ht="12.75"/>
    <row r="5089" s="3161" customFormat="1" ht="12.75"/>
    <row r="5090" s="3161" customFormat="1" ht="12.75"/>
    <row r="5091" s="3161" customFormat="1" ht="12.75"/>
    <row r="5092" s="3161" customFormat="1" ht="12.75"/>
    <row r="5093" s="3161" customFormat="1" ht="12.75"/>
    <row r="5094" s="3161" customFormat="1" ht="12.75"/>
    <row r="5095" s="3161" customFormat="1" ht="12.75"/>
    <row r="5096" s="3161" customFormat="1" ht="12.75"/>
    <row r="5097" s="3161" customFormat="1" ht="12.75"/>
    <row r="5098" s="3161" customFormat="1" ht="12.75"/>
    <row r="5099" s="3161" customFormat="1" ht="12.75"/>
    <row r="5100" s="3161" customFormat="1" ht="12.75"/>
    <row r="5101" s="3161" customFormat="1" ht="12.75"/>
    <row r="5102" s="3161" customFormat="1" ht="12.75"/>
    <row r="5103" s="3161" customFormat="1" ht="12.75"/>
    <row r="5104" s="3161" customFormat="1" ht="12.75"/>
    <row r="5105" s="3161" customFormat="1" ht="12.75"/>
    <row r="5106" s="3161" customFormat="1" ht="12.75"/>
    <row r="5107" s="3161" customFormat="1" ht="12.75"/>
    <row r="5108" s="3161" customFormat="1" ht="12.75"/>
    <row r="5109" s="3161" customFormat="1" ht="12.75"/>
    <row r="5110" s="3161" customFormat="1" ht="12.75"/>
    <row r="5111" s="3161" customFormat="1" ht="12.75"/>
    <row r="5112" s="3161" customFormat="1" ht="12.75"/>
    <row r="5113" s="3161" customFormat="1" ht="12.75"/>
    <row r="5114" s="3161" customFormat="1" ht="12.75"/>
    <row r="5115" s="3161" customFormat="1" ht="12.75"/>
    <row r="5116" s="3161" customFormat="1" ht="12.75"/>
    <row r="5117" s="3161" customFormat="1" ht="12.75"/>
    <row r="5118" s="3161" customFormat="1" ht="12.75"/>
    <row r="5119" s="3161" customFormat="1" ht="12.75"/>
    <row r="5120" s="3161" customFormat="1" ht="12.75"/>
    <row r="5121" s="3161" customFormat="1" ht="12.75"/>
    <row r="5122" s="3161" customFormat="1" ht="12.75"/>
    <row r="5123" s="3161" customFormat="1" ht="12.75"/>
    <row r="5124" s="3161" customFormat="1" ht="12.75"/>
    <row r="5125" s="3161" customFormat="1" ht="12.75"/>
    <row r="5126" s="3161" customFormat="1" ht="12.75"/>
    <row r="5127" s="3161" customFormat="1" ht="12.75"/>
    <row r="5128" s="3161" customFormat="1" ht="12.75"/>
    <row r="5129" s="3161" customFormat="1" ht="12.75"/>
    <row r="5130" s="3161" customFormat="1" ht="12.75"/>
    <row r="5131" s="3161" customFormat="1" ht="12.75"/>
    <row r="5132" s="3161" customFormat="1" ht="12.75"/>
    <row r="5133" s="3161" customFormat="1" ht="12.75"/>
    <row r="5134" s="3161" customFormat="1" ht="12.75"/>
    <row r="5135" s="3161" customFormat="1" ht="12.75"/>
    <row r="5136" s="3161" customFormat="1" ht="12.75"/>
    <row r="5137" s="3161" customFormat="1" ht="12.75"/>
    <row r="5138" s="3161" customFormat="1" ht="12.75"/>
    <row r="5139" s="3161" customFormat="1" ht="12.75"/>
    <row r="5140" s="3161" customFormat="1" ht="12.75"/>
    <row r="5141" s="3161" customFormat="1" ht="12.75"/>
    <row r="5142" s="3161" customFormat="1" ht="12.75"/>
    <row r="5143" s="3161" customFormat="1" ht="12.75"/>
    <row r="5144" s="3161" customFormat="1" ht="12.75"/>
    <row r="5145" s="3161" customFormat="1" ht="12.75"/>
    <row r="5146" s="3161" customFormat="1" ht="12.75"/>
    <row r="5147" s="3161" customFormat="1" ht="12.75"/>
    <row r="5148" s="3161" customFormat="1" ht="12.75"/>
    <row r="5149" s="3161" customFormat="1" ht="12.75"/>
    <row r="5150" s="3161" customFormat="1" ht="12.75"/>
    <row r="5151" s="3161" customFormat="1" ht="12.75"/>
    <row r="5152" s="3161" customFormat="1" ht="12.75"/>
    <row r="5153" s="3161" customFormat="1" ht="12.75"/>
    <row r="5154" s="3161" customFormat="1" ht="12.75"/>
    <row r="5155" s="3161" customFormat="1" ht="12.75"/>
    <row r="5156" s="3161" customFormat="1" ht="12.75"/>
    <row r="5157" s="3161" customFormat="1" ht="12.75"/>
    <row r="5158" s="3161" customFormat="1" ht="12.75"/>
    <row r="5159" s="3161" customFormat="1" ht="12.75"/>
    <row r="5160" s="3161" customFormat="1" ht="12.75"/>
    <row r="5161" s="3161" customFormat="1" ht="12.75"/>
    <row r="5162" s="3161" customFormat="1" ht="12.75"/>
    <row r="5163" s="3161" customFormat="1" ht="12.75"/>
    <row r="5164" s="3161" customFormat="1" ht="12.75"/>
    <row r="5165" s="3161" customFormat="1" ht="12.75"/>
    <row r="5166" s="3161" customFormat="1" ht="12.75"/>
    <row r="5167" s="3161" customFormat="1" ht="12.75"/>
    <row r="5168" s="3161" customFormat="1" ht="12.75"/>
    <row r="5169" s="3161" customFormat="1" ht="12.75"/>
    <row r="5170" s="3161" customFormat="1" ht="12.75"/>
    <row r="5171" s="3161" customFormat="1" ht="12.75"/>
    <row r="5172" s="3161" customFormat="1" ht="12.75"/>
    <row r="5173" s="3161" customFormat="1" ht="12.75"/>
    <row r="5174" s="3161" customFormat="1" ht="12.75"/>
    <row r="5175" s="3161" customFormat="1" ht="12.75"/>
    <row r="5176" s="3161" customFormat="1" ht="12.75"/>
    <row r="5177" s="3161" customFormat="1" ht="12.75"/>
    <row r="5178" s="3161" customFormat="1" ht="12.75"/>
    <row r="5179" s="3161" customFormat="1" ht="12.75"/>
    <row r="5180" s="3161" customFormat="1" ht="12.75"/>
    <row r="5181" s="3161" customFormat="1" ht="12.75"/>
    <row r="5182" s="3161" customFormat="1" ht="12.75"/>
    <row r="5183" s="3161" customFormat="1" ht="12.75"/>
    <row r="5184" s="3161" customFormat="1" ht="12.75"/>
    <row r="5185" s="3161" customFormat="1" ht="12.75"/>
    <row r="5186" s="3161" customFormat="1" ht="12.75"/>
    <row r="5187" s="3161" customFormat="1" ht="12.75"/>
    <row r="5188" s="3161" customFormat="1" ht="12.75"/>
    <row r="5189" s="3161" customFormat="1" ht="12.75"/>
    <row r="5190" s="3161" customFormat="1" ht="12.75"/>
    <row r="5191" s="3161" customFormat="1" ht="12.75"/>
    <row r="5192" s="3161" customFormat="1" ht="12.75"/>
    <row r="5193" s="3161" customFormat="1" ht="12.75"/>
    <row r="5194" s="3161" customFormat="1" ht="12.75"/>
    <row r="5195" s="3161" customFormat="1" ht="12.75"/>
    <row r="5196" s="3161" customFormat="1" ht="12.75"/>
    <row r="5197" s="3161" customFormat="1" ht="12.75"/>
    <row r="5198" s="3161" customFormat="1" ht="12.75"/>
    <row r="5199" s="3161" customFormat="1" ht="12.75"/>
    <row r="5200" s="3161" customFormat="1" ht="12.75"/>
    <row r="5201" s="3161" customFormat="1" ht="12.75"/>
    <row r="5202" s="3161" customFormat="1" ht="12.75"/>
    <row r="5203" s="3161" customFormat="1" ht="12.75"/>
    <row r="5204" s="3161" customFormat="1" ht="12.75"/>
    <row r="5205" s="3161" customFormat="1" ht="12.75"/>
    <row r="5206" s="3161" customFormat="1" ht="12.75"/>
    <row r="5207" s="3161" customFormat="1" ht="12.75"/>
    <row r="5208" s="3161" customFormat="1" ht="12.75"/>
    <row r="5209" s="3161" customFormat="1" ht="12.75"/>
    <row r="5210" s="3161" customFormat="1" ht="12.75"/>
    <row r="5211" s="3161" customFormat="1" ht="12.75"/>
    <row r="5212" s="3161" customFormat="1" ht="12.75"/>
    <row r="5213" s="3161" customFormat="1" ht="12.75"/>
    <row r="5214" s="3161" customFormat="1" ht="12.75"/>
    <row r="5215" s="3161" customFormat="1" ht="12.75"/>
    <row r="5216" s="3161" customFormat="1" ht="12.75"/>
    <row r="5217" s="3161" customFormat="1" ht="12.75"/>
    <row r="5218" s="3161" customFormat="1" ht="12.75"/>
    <row r="5219" s="3161" customFormat="1" ht="12.75"/>
    <row r="5220" s="3161" customFormat="1" ht="12.75"/>
    <row r="5221" s="3161" customFormat="1" ht="12.75"/>
    <row r="5222" s="3161" customFormat="1" ht="12.75"/>
    <row r="5223" s="3161" customFormat="1" ht="12.75"/>
    <row r="5224" s="3161" customFormat="1" ht="12.75"/>
    <row r="5225" s="3161" customFormat="1" ht="12.75"/>
    <row r="5226" s="3161" customFormat="1" ht="12.75"/>
    <row r="5227" s="3161" customFormat="1" ht="12.75"/>
    <row r="5228" s="3161" customFormat="1" ht="12.75"/>
    <row r="5229" s="3161" customFormat="1" ht="12.75"/>
    <row r="5230" s="3161" customFormat="1" ht="12.75"/>
    <row r="5231" s="3161" customFormat="1" ht="12.75"/>
    <row r="5232" s="3161" customFormat="1" ht="12.75"/>
    <row r="5233" s="3161" customFormat="1" ht="12.75"/>
    <row r="5234" s="3161" customFormat="1" ht="12.75"/>
    <row r="5235" s="3161" customFormat="1" ht="12.75"/>
    <row r="5236" s="3161" customFormat="1" ht="12.75"/>
    <row r="5237" s="3161" customFormat="1" ht="12.75"/>
    <row r="5238" s="3161" customFormat="1" ht="12.75"/>
    <row r="5239" s="3161" customFormat="1" ht="12.75"/>
    <row r="5240" s="3161" customFormat="1" ht="12.75"/>
    <row r="5241" s="3161" customFormat="1" ht="12.75"/>
    <row r="5242" s="3161" customFormat="1" ht="12.75"/>
    <row r="5243" s="3161" customFormat="1" ht="12.75"/>
    <row r="5244" s="3161" customFormat="1" ht="12.75"/>
    <row r="5245" s="3161" customFormat="1" ht="12.75"/>
    <row r="5246" s="3161" customFormat="1" ht="12.75"/>
    <row r="5247" s="3161" customFormat="1" ht="12.75"/>
    <row r="5248" s="3161" customFormat="1" ht="12.75"/>
    <row r="5249" s="3161" customFormat="1" ht="12.75"/>
    <row r="5250" s="3161" customFormat="1" ht="12.75"/>
    <row r="5251" s="3161" customFormat="1" ht="12.75"/>
    <row r="5252" s="3161" customFormat="1" ht="12.75"/>
    <row r="5253" s="3161" customFormat="1" ht="12.75"/>
    <row r="5254" s="3161" customFormat="1" ht="12.75"/>
    <row r="5255" s="3161" customFormat="1" ht="12.75"/>
    <row r="5256" s="3161" customFormat="1" ht="12.75"/>
    <row r="5257" s="3161" customFormat="1" ht="12.75"/>
    <row r="5258" s="3161" customFormat="1" ht="12.75"/>
    <row r="5259" s="3161" customFormat="1" ht="12.75"/>
    <row r="5260" s="3161" customFormat="1" ht="12.75"/>
    <row r="5261" s="3161" customFormat="1" ht="12.75"/>
    <row r="5262" s="3161" customFormat="1" ht="12.75"/>
    <row r="5263" s="3161" customFormat="1" ht="12.75"/>
    <row r="5264" s="3161" customFormat="1" ht="12.75"/>
    <row r="5265" s="3161" customFormat="1" ht="12.75"/>
    <row r="5266" s="3161" customFormat="1" ht="12.75"/>
    <row r="5267" s="3161" customFormat="1" ht="12.75"/>
    <row r="5268" s="3161" customFormat="1" ht="12.75"/>
    <row r="5269" s="3161" customFormat="1" ht="12.75"/>
    <row r="5270" s="3161" customFormat="1" ht="12.75"/>
    <row r="5271" s="3161" customFormat="1" ht="12.75"/>
    <row r="5272" s="3161" customFormat="1" ht="12.75"/>
    <row r="5273" s="3161" customFormat="1" ht="12.75"/>
    <row r="5274" s="3161" customFormat="1" ht="12.75"/>
    <row r="5275" s="3161" customFormat="1" ht="12.75"/>
    <row r="5276" s="3161" customFormat="1" ht="12.75"/>
    <row r="5277" s="3161" customFormat="1" ht="12.75"/>
    <row r="5278" s="3161" customFormat="1" ht="12.75"/>
    <row r="5279" s="3161" customFormat="1" ht="12.75"/>
    <row r="5280" s="3161" customFormat="1" ht="12.75"/>
    <row r="5281" s="3161" customFormat="1" ht="12.75"/>
    <row r="5282" s="3161" customFormat="1" ht="12.75"/>
    <row r="5283" s="3161" customFormat="1" ht="12.75"/>
    <row r="5284" s="3161" customFormat="1" ht="12.75"/>
    <row r="5285" s="3161" customFormat="1" ht="12.75"/>
    <row r="5286" s="3161" customFormat="1" ht="12.75"/>
    <row r="5287" s="3161" customFormat="1" ht="12.75"/>
    <row r="5288" s="3161" customFormat="1" ht="12.75"/>
    <row r="5289" s="3161" customFormat="1" ht="12.75"/>
    <row r="5290" s="3161" customFormat="1" ht="12.75"/>
    <row r="5291" s="3161" customFormat="1" ht="12.75"/>
    <row r="5292" s="3161" customFormat="1" ht="12.75"/>
    <row r="5293" s="3161" customFormat="1" ht="12.75"/>
    <row r="5294" s="3161" customFormat="1" ht="12.75"/>
    <row r="5295" s="3161" customFormat="1" ht="12.75"/>
    <row r="5296" s="3161" customFormat="1" ht="12.75"/>
    <row r="5297" s="3161" customFormat="1" ht="12.75"/>
    <row r="5298" s="3161" customFormat="1" ht="12.75"/>
    <row r="5299" s="3161" customFormat="1" ht="12.75"/>
    <row r="5300" s="3161" customFormat="1" ht="12.75"/>
    <row r="5301" s="3161" customFormat="1" ht="12.75"/>
    <row r="5302" s="3161" customFormat="1" ht="12.75"/>
    <row r="5303" s="3161" customFormat="1" ht="12.75"/>
    <row r="5304" s="3161" customFormat="1" ht="12.75"/>
    <row r="5305" s="3161" customFormat="1" ht="12.75"/>
    <row r="5306" s="3161" customFormat="1" ht="12.75"/>
    <row r="5307" s="3161" customFormat="1" ht="12.75"/>
    <row r="5308" s="3161" customFormat="1" ht="12.75"/>
    <row r="5309" s="3161" customFormat="1" ht="12.75"/>
    <row r="5310" s="3161" customFormat="1" ht="12.75"/>
    <row r="5311" s="3161" customFormat="1" ht="12.75"/>
    <row r="5312" s="3161" customFormat="1" ht="12.75"/>
    <row r="5313" s="3161" customFormat="1" ht="12.75"/>
    <row r="5314" s="3161" customFormat="1" ht="12.75"/>
    <row r="5315" s="3161" customFormat="1" ht="12.75"/>
    <row r="5316" s="3161" customFormat="1" ht="12.75"/>
    <row r="5317" s="3161" customFormat="1" ht="12.75"/>
    <row r="5318" s="3161" customFormat="1" ht="12.75"/>
    <row r="5319" s="3161" customFormat="1" ht="12.75"/>
    <row r="5320" s="3161" customFormat="1" ht="12.75"/>
    <row r="5321" s="3161" customFormat="1" ht="12.75"/>
    <row r="5322" s="3161" customFormat="1" ht="12.75"/>
    <row r="5323" s="3161" customFormat="1" ht="12.75"/>
    <row r="5324" s="3161" customFormat="1" ht="12.75"/>
    <row r="5325" s="3161" customFormat="1" ht="12.75"/>
    <row r="5326" s="3161" customFormat="1" ht="12.75"/>
    <row r="5327" s="3161" customFormat="1" ht="12.75"/>
    <row r="5328" s="3161" customFormat="1" ht="12.75"/>
    <row r="5329" s="3161" customFormat="1" ht="12.75"/>
    <row r="5330" s="3161" customFormat="1" ht="12.75"/>
    <row r="5331" s="3161" customFormat="1" ht="12.75"/>
    <row r="5332" s="3161" customFormat="1" ht="12.75"/>
    <row r="5333" s="3161" customFormat="1" ht="12.75"/>
    <row r="5334" s="3161" customFormat="1" ht="12.75"/>
    <row r="5335" s="3161" customFormat="1" ht="12.75"/>
    <row r="5336" s="3161" customFormat="1" ht="12.75"/>
    <row r="5337" s="3161" customFormat="1" ht="12.75"/>
    <row r="5338" s="3161" customFormat="1" ht="12.75"/>
    <row r="5339" s="3161" customFormat="1" ht="12.75"/>
    <row r="5340" s="3161" customFormat="1" ht="12.75"/>
    <row r="5341" s="3161" customFormat="1" ht="12.75"/>
    <row r="5342" s="3161" customFormat="1" ht="12.75"/>
    <row r="5343" s="3161" customFormat="1" ht="12.75"/>
    <row r="5344" s="3161" customFormat="1" ht="12.75"/>
    <row r="5345" s="3161" customFormat="1" ht="12.75"/>
    <row r="5346" s="3161" customFormat="1" ht="12.75"/>
    <row r="5347" s="3161" customFormat="1" ht="12.75"/>
    <row r="5348" s="3161" customFormat="1" ht="12.75"/>
    <row r="5349" s="3161" customFormat="1" ht="12.75"/>
    <row r="5350" s="3161" customFormat="1" ht="12.75"/>
    <row r="5351" s="3161" customFormat="1" ht="12.75"/>
    <row r="5352" s="3161" customFormat="1" ht="12.75"/>
    <row r="5353" s="3161" customFormat="1" ht="12.75"/>
    <row r="5354" s="3161" customFormat="1" ht="12.75"/>
    <row r="5355" s="3161" customFormat="1" ht="12.75"/>
    <row r="5356" s="3161" customFormat="1" ht="12.75"/>
    <row r="5357" s="3161" customFormat="1" ht="12.75"/>
    <row r="5358" s="3161" customFormat="1" ht="12.75"/>
    <row r="5359" s="3161" customFormat="1" ht="12.75"/>
    <row r="5360" s="3161" customFormat="1" ht="12.75"/>
    <row r="5361" s="3161" customFormat="1" ht="12.75"/>
    <row r="5362" s="3161" customFormat="1" ht="12.75"/>
    <row r="5363" s="3161" customFormat="1" ht="12.75"/>
    <row r="5364" s="3161" customFormat="1" ht="12.75"/>
    <row r="5365" s="3161" customFormat="1" ht="12.75"/>
    <row r="5366" s="3161" customFormat="1" ht="12.75"/>
    <row r="5367" s="3161" customFormat="1" ht="12.75"/>
    <row r="5368" s="3161" customFormat="1" ht="12.75"/>
    <row r="5369" s="3161" customFormat="1" ht="12.75"/>
    <row r="5370" s="3161" customFormat="1" ht="12.75"/>
    <row r="5371" s="3161" customFormat="1" ht="12.75"/>
    <row r="5372" s="3161" customFormat="1" ht="12.75"/>
    <row r="5373" s="3161" customFormat="1" ht="12.75"/>
    <row r="5374" s="3161" customFormat="1" ht="12.75"/>
    <row r="5375" s="3161" customFormat="1" ht="12.75"/>
    <row r="5376" s="3161" customFormat="1" ht="12.75"/>
    <row r="5377" s="3161" customFormat="1" ht="12.75"/>
    <row r="5378" s="3161" customFormat="1" ht="12.75"/>
    <row r="5379" s="3161" customFormat="1" ht="12.75"/>
    <row r="5380" s="3161" customFormat="1" ht="12.75"/>
    <row r="5381" s="3161" customFormat="1" ht="12.75"/>
    <row r="5382" s="3161" customFormat="1" ht="12.75"/>
    <row r="5383" s="3161" customFormat="1" ht="12.75"/>
    <row r="5384" s="3161" customFormat="1" ht="12.75"/>
    <row r="5385" s="3161" customFormat="1" ht="12.75"/>
    <row r="5386" s="3161" customFormat="1" ht="12.75"/>
    <row r="5387" s="3161" customFormat="1" ht="12.75"/>
    <row r="5388" s="3161" customFormat="1" ht="12.75"/>
    <row r="5389" s="3161" customFormat="1" ht="12.75"/>
    <row r="5390" s="3161" customFormat="1" ht="12.75"/>
    <row r="5391" s="3161" customFormat="1" ht="12.75"/>
    <row r="5392" s="3161" customFormat="1" ht="12.75"/>
    <row r="5393" s="3161" customFormat="1" ht="12.75"/>
    <row r="5394" s="3161" customFormat="1" ht="12.75"/>
    <row r="5395" s="3161" customFormat="1" ht="12.75"/>
    <row r="5396" s="3161" customFormat="1" ht="12.75"/>
    <row r="5397" s="3161" customFormat="1" ht="12.75"/>
    <row r="5398" s="3161" customFormat="1" ht="12.75"/>
    <row r="5399" s="3161" customFormat="1" ht="12.75"/>
    <row r="5400" s="3161" customFormat="1" ht="12.75"/>
    <row r="5401" s="3161" customFormat="1" ht="12.75"/>
    <row r="5402" s="3161" customFormat="1" ht="12.75"/>
    <row r="5403" s="3161" customFormat="1" ht="12.75"/>
    <row r="5404" s="3161" customFormat="1" ht="12.75"/>
    <row r="5405" s="3161" customFormat="1" ht="12.75"/>
    <row r="5406" s="3161" customFormat="1" ht="12.75"/>
    <row r="5407" s="3161" customFormat="1" ht="12.75"/>
    <row r="5408" s="3161" customFormat="1" ht="12.75"/>
    <row r="5409" s="3161" customFormat="1" ht="12.75"/>
    <row r="5410" s="3161" customFormat="1" ht="12.75"/>
    <row r="5411" s="3161" customFormat="1" ht="12.75"/>
    <row r="5412" s="3161" customFormat="1" ht="12.75"/>
    <row r="5413" s="3161" customFormat="1" ht="12.75"/>
    <row r="5414" s="3161" customFormat="1" ht="12.75"/>
    <row r="5415" s="3161" customFormat="1" ht="12.75"/>
    <row r="5416" s="3161" customFormat="1" ht="12.75"/>
    <row r="5417" s="3161" customFormat="1" ht="12.75"/>
    <row r="5418" s="3161" customFormat="1" ht="12.75"/>
    <row r="5419" s="3161" customFormat="1" ht="12.75"/>
    <row r="5420" s="3161" customFormat="1" ht="12.75"/>
    <row r="5421" s="3161" customFormat="1" ht="12.75"/>
    <row r="5422" s="3161" customFormat="1" ht="12.75"/>
    <row r="5423" s="3161" customFormat="1" ht="12.75"/>
    <row r="5424" s="3161" customFormat="1" ht="12.75"/>
    <row r="5425" s="3161" customFormat="1" ht="12.75"/>
    <row r="5426" s="3161" customFormat="1" ht="12.75"/>
    <row r="5427" s="3161" customFormat="1" ht="12.75"/>
    <row r="5428" s="3161" customFormat="1" ht="12.75"/>
    <row r="5429" s="3161" customFormat="1" ht="12.75"/>
    <row r="5430" s="3161" customFormat="1" ht="12.75"/>
    <row r="5431" s="3161" customFormat="1" ht="12.75"/>
    <row r="5432" s="3161" customFormat="1" ht="12.75"/>
    <row r="5433" s="3161" customFormat="1" ht="12.75"/>
    <row r="5434" s="3161" customFormat="1" ht="12.75"/>
    <row r="5435" s="3161" customFormat="1" ht="12.75"/>
    <row r="5436" s="3161" customFormat="1" ht="12.75"/>
    <row r="5437" s="3161" customFormat="1" ht="12.75"/>
    <row r="5438" s="3161" customFormat="1" ht="12.75"/>
    <row r="5439" s="3161" customFormat="1" ht="12.75"/>
    <row r="5440" s="3161" customFormat="1" ht="12.75"/>
    <row r="5441" s="3161" customFormat="1" ht="12.75"/>
    <row r="5442" s="3161" customFormat="1" ht="12.75"/>
    <row r="5443" s="3161" customFormat="1" ht="12.75"/>
    <row r="5444" s="3161" customFormat="1" ht="12.75"/>
    <row r="5445" s="3161" customFormat="1" ht="12.75"/>
    <row r="5446" s="3161" customFormat="1" ht="12.75"/>
    <row r="5447" s="3161" customFormat="1" ht="12.75"/>
    <row r="5448" s="3161" customFormat="1" ht="12.75"/>
    <row r="5449" s="3161" customFormat="1" ht="12.75"/>
    <row r="5450" s="3161" customFormat="1" ht="12.75"/>
    <row r="5451" s="3161" customFormat="1" ht="12.75"/>
    <row r="5452" s="3161" customFormat="1" ht="12.75"/>
    <row r="5453" s="3161" customFormat="1" ht="12.75"/>
    <row r="5454" s="3161" customFormat="1" ht="12.75"/>
    <row r="5455" s="3161" customFormat="1" ht="12.75"/>
    <row r="5456" s="3161" customFormat="1" ht="12.75"/>
    <row r="5457" s="3161" customFormat="1" ht="12.75"/>
    <row r="5458" s="3161" customFormat="1" ht="12.75"/>
    <row r="5459" s="3161" customFormat="1" ht="12.75"/>
    <row r="5460" s="3161" customFormat="1" ht="12.75"/>
    <row r="5461" s="3161" customFormat="1" ht="12.75"/>
    <row r="5462" s="3161" customFormat="1" ht="12.75"/>
    <row r="5463" s="3161" customFormat="1" ht="12.75"/>
    <row r="5464" s="3161" customFormat="1" ht="12.75"/>
    <row r="5465" s="3161" customFormat="1" ht="12.75"/>
    <row r="5466" s="3161" customFormat="1" ht="12.75"/>
    <row r="5467" s="3161" customFormat="1" ht="12.75"/>
    <row r="5468" s="3161" customFormat="1" ht="12.75"/>
    <row r="5469" s="3161" customFormat="1" ht="12.75"/>
    <row r="5470" s="3161" customFormat="1" ht="12.75"/>
    <row r="5471" s="3161" customFormat="1" ht="12.75"/>
    <row r="5472" s="3161" customFormat="1" ht="12.75"/>
    <row r="5473" s="3161" customFormat="1" ht="12.75"/>
    <row r="5474" s="3161" customFormat="1" ht="12.75"/>
    <row r="5475" s="3161" customFormat="1" ht="12.75"/>
    <row r="5476" s="3161" customFormat="1" ht="12.75"/>
    <row r="5477" s="3161" customFormat="1" ht="12.75"/>
    <row r="5478" s="3161" customFormat="1" ht="12.75"/>
    <row r="5479" s="3161" customFormat="1" ht="12.75"/>
    <row r="5480" s="3161" customFormat="1" ht="12.75"/>
    <row r="5481" s="3161" customFormat="1" ht="12.75"/>
    <row r="5482" s="3161" customFormat="1" ht="12.75"/>
    <row r="5483" s="3161" customFormat="1" ht="12.75"/>
    <row r="5484" s="3161" customFormat="1" ht="12.75"/>
    <row r="5485" s="3161" customFormat="1" ht="12.75"/>
    <row r="5486" s="3161" customFormat="1" ht="12.75"/>
    <row r="5487" s="3161" customFormat="1" ht="12.75"/>
    <row r="5488" s="3161" customFormat="1" ht="12.75"/>
    <row r="5489" s="3161" customFormat="1" ht="12.75"/>
    <row r="5490" s="3161" customFormat="1" ht="12.75"/>
    <row r="5491" s="3161" customFormat="1" ht="12.75"/>
    <row r="5492" s="3161" customFormat="1" ht="12.75"/>
    <row r="5493" s="3161" customFormat="1" ht="12.75"/>
    <row r="5494" s="3161" customFormat="1" ht="12.75"/>
    <row r="5495" s="3161" customFormat="1" ht="12.75"/>
    <row r="5496" s="3161" customFormat="1" ht="12.75"/>
    <row r="5497" s="3161" customFormat="1" ht="12.75"/>
    <row r="5498" s="3161" customFormat="1" ht="12.75"/>
    <row r="5499" s="3161" customFormat="1" ht="12.75"/>
    <row r="5500" s="3161" customFormat="1" ht="12.75"/>
    <row r="5501" s="3161" customFormat="1" ht="12.75"/>
    <row r="5502" s="3161" customFormat="1" ht="12.75"/>
    <row r="5503" s="3161" customFormat="1" ht="12.75"/>
    <row r="5504" s="3161" customFormat="1" ht="12.75"/>
    <row r="5505" s="3161" customFormat="1" ht="12.75"/>
    <row r="5506" s="3161" customFormat="1" ht="12.75"/>
    <row r="5507" s="3161" customFormat="1" ht="12.75"/>
    <row r="5508" s="3161" customFormat="1" ht="12.75"/>
    <row r="5509" s="3161" customFormat="1" ht="12.75"/>
    <row r="5510" s="3161" customFormat="1" ht="12.75"/>
    <row r="5511" s="3161" customFormat="1" ht="12.75"/>
    <row r="5512" s="3161" customFormat="1" ht="12.75"/>
    <row r="5513" s="3161" customFormat="1" ht="12.75"/>
    <row r="5514" s="3161" customFormat="1" ht="12.75"/>
    <row r="5515" s="3161" customFormat="1" ht="12.75"/>
    <row r="5516" s="3161" customFormat="1" ht="12.75"/>
    <row r="5517" s="3161" customFormat="1" ht="12.75"/>
    <row r="5518" s="3161" customFormat="1" ht="12.75"/>
    <row r="5519" s="3161" customFormat="1" ht="12.75"/>
    <row r="5520" s="3161" customFormat="1" ht="12.75"/>
    <row r="5521" s="3161" customFormat="1" ht="12.75"/>
    <row r="5522" s="3161" customFormat="1" ht="12.75"/>
    <row r="5523" s="3161" customFormat="1" ht="12.75"/>
    <row r="5524" s="3161" customFormat="1" ht="12.75"/>
    <row r="5525" s="3161" customFormat="1" ht="12.75"/>
    <row r="5526" s="3161" customFormat="1" ht="12.75"/>
    <row r="5527" s="3161" customFormat="1" ht="12.75"/>
    <row r="5528" s="3161" customFormat="1" ht="12.75"/>
    <row r="5529" s="3161" customFormat="1" ht="12.75"/>
    <row r="5530" s="3161" customFormat="1" ht="12.75"/>
    <row r="5531" s="3161" customFormat="1" ht="12.75"/>
    <row r="5532" s="3161" customFormat="1" ht="12.75"/>
    <row r="5533" s="3161" customFormat="1" ht="12.75"/>
    <row r="5534" s="3161" customFormat="1" ht="12.75"/>
    <row r="5535" s="3161" customFormat="1" ht="12.75"/>
    <row r="5536" s="3161" customFormat="1" ht="12.75"/>
    <row r="5537" s="3161" customFormat="1" ht="12.75"/>
    <row r="5538" s="3161" customFormat="1" ht="12.75"/>
    <row r="5539" s="3161" customFormat="1" ht="12.75"/>
    <row r="5540" s="3161" customFormat="1" ht="12.75"/>
    <row r="5541" s="3161" customFormat="1" ht="12.75"/>
    <row r="5542" s="3161" customFormat="1" ht="12.75"/>
    <row r="5543" s="3161" customFormat="1" ht="12.75"/>
    <row r="5544" s="3161" customFormat="1" ht="12.75"/>
    <row r="5545" s="3161" customFormat="1" ht="12.75"/>
    <row r="5546" s="3161" customFormat="1" ht="12.75"/>
    <row r="5547" s="3161" customFormat="1" ht="12.75"/>
    <row r="5548" s="3161" customFormat="1" ht="12.75"/>
    <row r="5549" s="3161" customFormat="1" ht="12.75"/>
    <row r="5550" s="3161" customFormat="1" ht="12.75"/>
    <row r="5551" s="3161" customFormat="1" ht="12.75"/>
    <row r="5552" s="3161" customFormat="1" ht="12.75"/>
    <row r="5553" s="3161" customFormat="1" ht="12.75"/>
    <row r="5554" s="3161" customFormat="1" ht="12.75"/>
    <row r="5555" s="3161" customFormat="1" ht="12.75"/>
    <row r="5556" s="3161" customFormat="1" ht="12.75"/>
    <row r="5557" s="3161" customFormat="1" ht="12.75"/>
    <row r="5558" s="3161" customFormat="1" ht="12.75"/>
    <row r="5559" s="3161" customFormat="1" ht="12.75"/>
    <row r="5560" s="3161" customFormat="1" ht="12.75"/>
    <row r="5561" s="3161" customFormat="1" ht="12.75"/>
    <row r="5562" s="3161" customFormat="1" ht="12.75"/>
    <row r="5563" s="3161" customFormat="1" ht="12.75"/>
    <row r="5564" s="3161" customFormat="1" ht="12.75"/>
    <row r="5565" s="3161" customFormat="1" ht="12.75"/>
    <row r="5566" s="3161" customFormat="1" ht="12.75"/>
    <row r="5567" s="3161" customFormat="1" ht="12.75"/>
    <row r="5568" s="3161" customFormat="1" ht="12.75"/>
    <row r="5569" s="3161" customFormat="1" ht="12.75"/>
    <row r="5570" s="3161" customFormat="1" ht="12.75"/>
    <row r="5571" s="3161" customFormat="1" ht="12.75"/>
    <row r="5572" s="3161" customFormat="1" ht="12.75"/>
    <row r="5573" s="3161" customFormat="1" ht="12.75"/>
    <row r="5574" s="3161" customFormat="1" ht="12.75"/>
    <row r="5575" s="3161" customFormat="1" ht="12.75"/>
    <row r="5576" s="3161" customFormat="1" ht="12.75"/>
    <row r="5577" s="3161" customFormat="1" ht="12.75"/>
    <row r="5578" s="3161" customFormat="1" ht="12.75"/>
    <row r="5579" s="3161" customFormat="1" ht="12.75"/>
    <row r="5580" s="3161" customFormat="1" ht="12.75"/>
    <row r="5581" s="3161" customFormat="1" ht="12.75"/>
    <row r="5582" s="3161" customFormat="1" ht="12.75"/>
    <row r="5583" s="3161" customFormat="1" ht="12.75"/>
    <row r="5584" s="3161" customFormat="1" ht="12.75"/>
    <row r="5585" s="3161" customFormat="1" ht="12.75"/>
    <row r="5586" s="3161" customFormat="1" ht="12.75"/>
    <row r="5587" s="3161" customFormat="1" ht="12.75"/>
    <row r="5588" s="3161" customFormat="1" ht="12.75"/>
    <row r="5589" s="3161" customFormat="1" ht="12.75"/>
    <row r="5590" s="3161" customFormat="1" ht="12.75"/>
    <row r="5591" s="3161" customFormat="1" ht="12.75"/>
    <row r="5592" s="3161" customFormat="1" ht="12.75"/>
    <row r="5593" s="3161" customFormat="1" ht="12.75"/>
    <row r="5594" s="3161" customFormat="1" ht="12.75"/>
    <row r="5595" s="3161" customFormat="1" ht="12.75"/>
    <row r="5596" s="3161" customFormat="1" ht="12.75"/>
    <row r="5597" s="3161" customFormat="1" ht="12.75"/>
    <row r="5598" s="3161" customFormat="1" ht="12.75"/>
    <row r="5599" s="3161" customFormat="1" ht="12.75"/>
    <row r="5600" s="3161" customFormat="1" ht="12.75"/>
    <row r="5601" s="3161" customFormat="1" ht="12.75"/>
    <row r="5602" s="3161" customFormat="1" ht="12.75"/>
    <row r="5603" s="3161" customFormat="1" ht="12.75"/>
    <row r="5604" s="3161" customFormat="1" ht="12.75"/>
    <row r="5605" s="3161" customFormat="1" ht="12.75"/>
    <row r="5606" s="3161" customFormat="1" ht="12.75"/>
    <row r="5607" s="3161" customFormat="1" ht="12.75"/>
    <row r="5608" s="3161" customFormat="1" ht="12.75"/>
    <row r="5609" s="3161" customFormat="1" ht="12.75"/>
    <row r="5610" s="3161" customFormat="1" ht="12.75"/>
    <row r="5611" s="3161" customFormat="1" ht="12.75"/>
    <row r="5612" s="3161" customFormat="1" ht="12.75"/>
    <row r="5613" s="3161" customFormat="1" ht="12.75"/>
    <row r="5614" s="3161" customFormat="1" ht="12.75"/>
    <row r="5615" s="3161" customFormat="1" ht="12.75"/>
    <row r="5616" s="3161" customFormat="1" ht="12.75"/>
    <row r="5617" s="3161" customFormat="1" ht="12.75"/>
    <row r="5618" s="3161" customFormat="1" ht="12.75"/>
    <row r="5619" s="3161" customFormat="1" ht="12.75"/>
    <row r="5620" s="3161" customFormat="1" ht="12.75"/>
    <row r="5621" s="3161" customFormat="1" ht="12.75"/>
    <row r="5622" s="3161" customFormat="1" ht="12.75"/>
    <row r="5623" s="3161" customFormat="1" ht="12.75"/>
    <row r="5624" s="3161" customFormat="1" ht="12.75"/>
    <row r="5625" s="3161" customFormat="1" ht="12.75"/>
    <row r="5626" s="3161" customFormat="1" ht="12.75"/>
    <row r="5627" s="3161" customFormat="1" ht="12.75"/>
    <row r="5628" s="3161" customFormat="1" ht="12.75"/>
    <row r="5629" s="3161" customFormat="1" ht="12.75"/>
    <row r="5630" s="3161" customFormat="1" ht="12.75"/>
    <row r="5631" s="3161" customFormat="1" ht="12.75"/>
    <row r="5632" s="3161" customFormat="1" ht="12.75"/>
    <row r="5633" s="3161" customFormat="1" ht="12.75"/>
    <row r="5634" s="3161" customFormat="1" ht="12.75"/>
    <row r="5635" s="3161" customFormat="1" ht="12.75"/>
    <row r="5636" s="3161" customFormat="1" ht="12.75"/>
    <row r="5637" s="3161" customFormat="1" ht="12.75"/>
    <row r="5638" s="3161" customFormat="1" ht="12.75"/>
    <row r="5639" s="3161" customFormat="1" ht="12.75"/>
    <row r="5640" s="3161" customFormat="1" ht="12.75"/>
    <row r="5641" s="3161" customFormat="1" ht="12.75"/>
    <row r="5642" s="3161" customFormat="1" ht="12.75"/>
    <row r="5643" s="3161" customFormat="1" ht="12.75"/>
    <row r="5644" s="3161" customFormat="1" ht="12.75"/>
    <row r="5645" s="3161" customFormat="1" ht="12.75"/>
    <row r="5646" s="3161" customFormat="1" ht="12.75"/>
    <row r="5647" s="3161" customFormat="1" ht="12.75"/>
    <row r="5648" s="3161" customFormat="1" ht="12.75"/>
    <row r="5649" s="3161" customFormat="1" ht="12.75"/>
    <row r="5650" s="3161" customFormat="1" ht="12.75"/>
    <row r="5651" s="3161" customFormat="1" ht="12.75"/>
    <row r="5652" s="3161" customFormat="1" ht="12.75"/>
    <row r="5653" s="3161" customFormat="1" ht="12.75"/>
    <row r="5654" s="3161" customFormat="1" ht="12.75"/>
    <row r="5655" s="3161" customFormat="1" ht="12.75"/>
    <row r="5656" s="3161" customFormat="1" ht="12.75"/>
    <row r="5657" s="3161" customFormat="1" ht="12.75"/>
    <row r="5658" s="3161" customFormat="1" ht="12.75"/>
    <row r="5659" s="3161" customFormat="1" ht="12.75"/>
    <row r="5660" s="3161" customFormat="1" ht="12.75"/>
    <row r="5661" s="3161" customFormat="1" ht="12.75"/>
    <row r="5662" s="3161" customFormat="1" ht="12.75"/>
    <row r="5663" s="3161" customFormat="1" ht="12.75"/>
    <row r="5664" s="3161" customFormat="1" ht="12.75"/>
    <row r="5665" s="3161" customFormat="1" ht="12.75"/>
    <row r="5666" s="3161" customFormat="1" ht="12.75"/>
    <row r="5667" s="3161" customFormat="1" ht="12.75"/>
    <row r="5668" s="3161" customFormat="1" ht="12.75"/>
    <row r="5669" s="3161" customFormat="1" ht="12.75"/>
    <row r="5670" s="3161" customFormat="1" ht="12.75"/>
    <row r="5671" s="3161" customFormat="1" ht="12.75"/>
    <row r="5672" s="3161" customFormat="1" ht="12.75"/>
    <row r="5673" s="3161" customFormat="1" ht="12.75"/>
    <row r="5674" s="3161" customFormat="1" ht="12.75"/>
    <row r="5675" s="3161" customFormat="1" ht="12.75"/>
    <row r="5676" s="3161" customFormat="1" ht="12.75"/>
    <row r="5677" s="3161" customFormat="1" ht="12.75"/>
    <row r="5678" s="3161" customFormat="1" ht="12.75"/>
    <row r="5679" s="3161" customFormat="1" ht="12.75"/>
    <row r="5680" s="3161" customFormat="1" ht="12.75"/>
    <row r="5681" s="3161" customFormat="1" ht="12.75"/>
    <row r="5682" s="3161" customFormat="1" ht="12.75"/>
    <row r="5683" s="3161" customFormat="1" ht="12.75"/>
    <row r="5684" s="3161" customFormat="1" ht="12.75"/>
    <row r="5685" s="3161" customFormat="1" ht="12.75"/>
    <row r="5686" s="3161" customFormat="1" ht="12.75"/>
    <row r="5687" s="3161" customFormat="1" ht="12.75"/>
    <row r="5688" s="3161" customFormat="1" ht="12.75"/>
    <row r="5689" s="3161" customFormat="1" ht="12.75"/>
    <row r="5690" s="3161" customFormat="1" ht="12.75"/>
    <row r="5691" s="3161" customFormat="1" ht="12.75"/>
    <row r="5692" s="3161" customFormat="1" ht="12.75"/>
    <row r="5693" s="3161" customFormat="1" ht="12.75"/>
    <row r="5694" s="3161" customFormat="1" ht="12.75"/>
    <row r="5695" s="3161" customFormat="1" ht="12.75"/>
    <row r="5696" s="3161" customFormat="1" ht="12.75"/>
    <row r="5697" s="3161" customFormat="1" ht="12.75"/>
    <row r="5698" s="3161" customFormat="1" ht="12.75"/>
    <row r="5699" s="3161" customFormat="1" ht="12.75"/>
    <row r="5700" s="3161" customFormat="1" ht="12.75"/>
    <row r="5701" s="3161" customFormat="1" ht="12.75"/>
    <row r="5702" s="3161" customFormat="1" ht="12.75"/>
    <row r="5703" s="3161" customFormat="1" ht="12.75"/>
    <row r="5704" s="3161" customFormat="1" ht="12.75"/>
    <row r="5705" s="3161" customFormat="1" ht="12.75"/>
    <row r="5706" s="3161" customFormat="1" ht="12.75"/>
    <row r="5707" s="3161" customFormat="1" ht="12.75"/>
    <row r="5708" s="3161" customFormat="1" ht="12.75"/>
    <row r="5709" s="3161" customFormat="1" ht="12.75"/>
    <row r="5710" s="3161" customFormat="1" ht="12.75"/>
    <row r="5711" s="3161" customFormat="1" ht="12.75"/>
    <row r="5712" s="3161" customFormat="1" ht="12.75"/>
    <row r="5713" s="3161" customFormat="1" ht="12.75"/>
    <row r="5714" s="3161" customFormat="1" ht="12.75"/>
    <row r="5715" s="3161" customFormat="1" ht="12.75"/>
    <row r="5716" s="3161" customFormat="1" ht="12.75"/>
    <row r="5717" s="3161" customFormat="1" ht="12.75"/>
    <row r="5718" s="3161" customFormat="1" ht="12.75"/>
    <row r="5719" s="3161" customFormat="1" ht="12.75"/>
    <row r="5720" s="3161" customFormat="1" ht="12.75"/>
    <row r="5721" s="3161" customFormat="1" ht="12.75"/>
    <row r="5722" s="3161" customFormat="1" ht="12.75"/>
    <row r="5723" s="3161" customFormat="1" ht="12.75"/>
    <row r="5724" s="3161" customFormat="1" ht="12.75"/>
    <row r="5725" s="3161" customFormat="1" ht="12.75"/>
    <row r="5726" s="3161" customFormat="1" ht="12.75"/>
    <row r="5727" s="3161" customFormat="1" ht="12.75"/>
    <row r="5728" s="3161" customFormat="1" ht="12.75"/>
    <row r="5729" s="3161" customFormat="1" ht="12.75"/>
    <row r="5730" s="3161" customFormat="1" ht="12.75"/>
    <row r="5731" s="3161" customFormat="1" ht="12.75"/>
    <row r="5732" s="3161" customFormat="1" ht="12.75"/>
    <row r="5733" s="3161" customFormat="1" ht="12.75"/>
    <row r="5734" s="3161" customFormat="1" ht="12.75"/>
    <row r="5735" s="3161" customFormat="1" ht="12.75"/>
    <row r="5736" s="3161" customFormat="1" ht="12.75"/>
    <row r="5737" s="3161" customFormat="1" ht="12.75"/>
    <row r="5738" s="3161" customFormat="1" ht="12.75"/>
    <row r="5739" s="3161" customFormat="1" ht="12.75"/>
    <row r="5740" s="3161" customFormat="1" ht="12.75"/>
    <row r="5741" s="3161" customFormat="1" ht="12.75"/>
    <row r="5742" s="3161" customFormat="1" ht="12.75"/>
    <row r="5743" s="3161" customFormat="1" ht="12.75"/>
    <row r="5744" s="3161" customFormat="1" ht="12.75"/>
    <row r="5745" s="3161" customFormat="1" ht="12.75"/>
    <row r="5746" s="3161" customFormat="1" ht="12.75"/>
    <row r="5747" s="3161" customFormat="1" ht="12.75"/>
    <row r="5748" s="3161" customFormat="1" ht="12.75"/>
    <row r="5749" s="3161" customFormat="1" ht="12.75"/>
    <row r="5750" s="3161" customFormat="1" ht="12.75"/>
    <row r="5751" s="3161" customFormat="1" ht="12.75"/>
    <row r="5752" s="3161" customFormat="1" ht="12.75"/>
    <row r="5753" s="3161" customFormat="1" ht="12.75"/>
    <row r="5754" s="3161" customFormat="1" ht="12.75"/>
    <row r="5755" s="3161" customFormat="1" ht="12.75"/>
    <row r="5756" s="3161" customFormat="1" ht="12.75"/>
    <row r="5757" s="3161" customFormat="1" ht="12.75"/>
    <row r="5758" s="3161" customFormat="1" ht="12.75"/>
    <row r="5759" s="3161" customFormat="1" ht="12.75"/>
    <row r="5760" s="3161" customFormat="1" ht="12.75"/>
    <row r="5761" s="3161" customFormat="1" ht="12.75"/>
    <row r="5762" s="3161" customFormat="1" ht="12.75"/>
    <row r="5763" s="3161" customFormat="1" ht="12.75"/>
    <row r="5764" s="3161" customFormat="1" ht="12.75"/>
    <row r="5765" s="3161" customFormat="1" ht="12.75"/>
    <row r="5766" s="3161" customFormat="1" ht="12.75"/>
    <row r="5767" s="3161" customFormat="1" ht="12.75"/>
    <row r="5768" s="3161" customFormat="1" ht="12.75"/>
    <row r="5769" s="3161" customFormat="1" ht="12.75"/>
    <row r="5770" s="3161" customFormat="1" ht="12.75"/>
    <row r="5771" s="3161" customFormat="1" ht="12.75"/>
    <row r="5772" s="3161" customFormat="1" ht="12.75"/>
    <row r="5773" s="3161" customFormat="1" ht="12.75"/>
    <row r="5774" s="3161" customFormat="1" ht="12.75"/>
    <row r="5775" s="3161" customFormat="1" ht="12.75"/>
    <row r="5776" s="3161" customFormat="1" ht="12.75"/>
    <row r="5777" s="3161" customFormat="1" ht="12.75"/>
    <row r="5778" s="3161" customFormat="1" ht="12.75"/>
    <row r="5779" s="3161" customFormat="1" ht="12.75"/>
    <row r="5780" s="3161" customFormat="1" ht="12.75"/>
    <row r="5781" s="3161" customFormat="1" ht="12.75"/>
    <row r="5782" s="3161" customFormat="1" ht="12.75"/>
    <row r="5783" s="3161" customFormat="1" ht="12.75"/>
    <row r="5784" s="3161" customFormat="1" ht="12.75"/>
    <row r="5785" s="3161" customFormat="1" ht="12.75"/>
    <row r="5786" s="3161" customFormat="1" ht="12.75"/>
    <row r="5787" s="3161" customFormat="1" ht="12.75"/>
    <row r="5788" s="3161" customFormat="1" ht="12.75"/>
    <row r="5789" s="3161" customFormat="1" ht="12.75"/>
    <row r="5790" s="3161" customFormat="1" ht="12.75"/>
    <row r="5791" s="3161" customFormat="1" ht="12.75"/>
    <row r="5792" s="3161" customFormat="1" ht="12.75"/>
    <row r="5793" s="3161" customFormat="1" ht="12.75"/>
    <row r="5794" s="3161" customFormat="1" ht="12.75"/>
    <row r="5795" s="3161" customFormat="1" ht="12.75"/>
    <row r="5796" s="3161" customFormat="1" ht="12.75"/>
    <row r="5797" s="3161" customFormat="1" ht="12.75"/>
    <row r="5798" s="3161" customFormat="1" ht="12.75"/>
    <row r="5799" s="3161" customFormat="1" ht="12.75"/>
    <row r="5800" s="3161" customFormat="1" ht="12.75"/>
    <row r="5801" s="3161" customFormat="1" ht="12.75"/>
    <row r="5802" s="3161" customFormat="1" ht="12.75"/>
    <row r="5803" s="3161" customFormat="1" ht="12.75"/>
    <row r="5804" s="3161" customFormat="1" ht="12.75"/>
    <row r="5805" s="3161" customFormat="1" ht="12.75"/>
    <row r="5806" s="3161" customFormat="1" ht="12.75"/>
    <row r="5807" s="3161" customFormat="1" ht="12.75"/>
    <row r="5808" s="3161" customFormat="1" ht="12.75"/>
    <row r="5809" s="3161" customFormat="1" ht="12.75"/>
    <row r="5810" s="3161" customFormat="1" ht="12.75"/>
    <row r="5811" s="3161" customFormat="1" ht="12.75"/>
    <row r="5812" s="3161" customFormat="1" ht="12.75"/>
    <row r="5813" s="3161" customFormat="1" ht="12.75"/>
    <row r="5814" s="3161" customFormat="1" ht="12.75"/>
    <row r="5815" s="3161" customFormat="1" ht="12.75"/>
    <row r="5816" s="3161" customFormat="1" ht="12.75"/>
    <row r="5817" s="3161" customFormat="1" ht="12.75"/>
    <row r="5818" s="3161" customFormat="1" ht="12.75"/>
    <row r="5819" s="3161" customFormat="1" ht="12.75"/>
    <row r="5820" s="3161" customFormat="1" ht="12.75"/>
    <row r="5821" s="3161" customFormat="1" ht="12.75"/>
    <row r="5822" s="3161" customFormat="1" ht="12.75"/>
    <row r="5823" s="3161" customFormat="1" ht="12.75"/>
    <row r="5824" s="3161" customFormat="1" ht="12.75"/>
    <row r="5825" s="3161" customFormat="1" ht="12.75"/>
    <row r="5826" s="3161" customFormat="1" ht="12.75"/>
    <row r="5827" s="3161" customFormat="1" ht="12.75"/>
    <row r="5828" s="3161" customFormat="1" ht="12.75"/>
    <row r="5829" s="3161" customFormat="1" ht="12.75"/>
    <row r="5830" s="3161" customFormat="1" ht="12.75"/>
    <row r="5831" s="3161" customFormat="1" ht="12.75"/>
    <row r="5832" s="3161" customFormat="1" ht="12.75"/>
    <row r="5833" s="3161" customFormat="1" ht="12.75"/>
    <row r="5834" s="3161" customFormat="1" ht="12.75"/>
    <row r="5835" s="3161" customFormat="1" ht="12.75"/>
    <row r="5836" s="3161" customFormat="1" ht="12.75"/>
    <row r="5837" s="3161" customFormat="1" ht="12.75"/>
    <row r="5838" s="3161" customFormat="1" ht="12.75"/>
    <row r="5839" s="3161" customFormat="1" ht="12.75"/>
    <row r="5840" s="3161" customFormat="1" ht="12.75"/>
    <row r="5841" s="3161" customFormat="1" ht="12.75"/>
    <row r="5842" s="3161" customFormat="1" ht="12.75"/>
    <row r="5843" s="3161" customFormat="1" ht="12.75"/>
    <row r="5844" s="3161" customFormat="1" ht="12.75"/>
    <row r="5845" s="3161" customFormat="1" ht="12.75"/>
    <row r="5846" s="3161" customFormat="1" ht="12.75"/>
    <row r="5847" s="3161" customFormat="1" ht="12.75"/>
    <row r="5848" s="3161" customFormat="1" ht="12.75"/>
    <row r="5849" s="3161" customFormat="1" ht="12.75"/>
    <row r="5850" s="3161" customFormat="1" ht="12.75"/>
    <row r="5851" s="3161" customFormat="1" ht="12.75"/>
    <row r="5852" s="3161" customFormat="1" ht="12.75"/>
    <row r="5853" s="3161" customFormat="1" ht="12.75"/>
    <row r="5854" s="3161" customFormat="1" ht="12.75"/>
    <row r="5855" s="3161" customFormat="1" ht="12.75"/>
    <row r="5856" s="3161" customFormat="1" ht="12.75"/>
    <row r="5857" s="3161" customFormat="1" ht="12.75"/>
    <row r="5858" s="3161" customFormat="1" ht="12.75"/>
    <row r="5859" s="3161" customFormat="1" ht="12.75"/>
    <row r="5860" s="3161" customFormat="1" ht="12.75"/>
    <row r="5861" s="3161" customFormat="1" ht="12.75"/>
    <row r="5862" s="3161" customFormat="1" ht="12.75"/>
    <row r="5863" s="3161" customFormat="1" ht="12.75"/>
    <row r="5864" s="3161" customFormat="1" ht="12.75"/>
    <row r="5865" s="3161" customFormat="1" ht="12.75"/>
    <row r="5866" s="3161" customFormat="1" ht="12.75"/>
    <row r="5867" s="3161" customFormat="1" ht="12.75"/>
    <row r="5868" s="3161" customFormat="1" ht="12.75"/>
    <row r="5869" s="3161" customFormat="1" ht="12.75"/>
    <row r="5870" s="3161" customFormat="1" ht="12.75"/>
    <row r="5871" s="3161" customFormat="1" ht="12.75"/>
    <row r="5872" s="3161" customFormat="1" ht="12.75"/>
    <row r="5873" s="3161" customFormat="1" ht="12.75"/>
    <row r="5874" s="3161" customFormat="1" ht="12.75"/>
    <row r="5875" s="3161" customFormat="1" ht="12.75"/>
    <row r="5876" s="3161" customFormat="1" ht="12.75"/>
    <row r="5877" s="3161" customFormat="1" ht="12.75"/>
    <row r="5878" s="3161" customFormat="1" ht="12.75"/>
    <row r="5879" s="3161" customFormat="1" ht="12.75"/>
    <row r="5880" s="3161" customFormat="1" ht="12.75"/>
    <row r="5881" s="3161" customFormat="1" ht="12.75"/>
    <row r="5882" s="3161" customFormat="1" ht="12.75"/>
    <row r="5883" s="3161" customFormat="1" ht="12.75"/>
    <row r="5884" s="3161" customFormat="1" ht="12.75"/>
    <row r="5885" s="3161" customFormat="1" ht="12.75"/>
    <row r="5886" s="3161" customFormat="1" ht="12.75"/>
    <row r="5887" s="3161" customFormat="1" ht="12.75"/>
    <row r="5888" s="3161" customFormat="1" ht="12.75"/>
    <row r="5889" s="3161" customFormat="1" ht="12.75"/>
    <row r="5890" s="3161" customFormat="1" ht="12.75"/>
    <row r="5891" s="3161" customFormat="1" ht="12.75"/>
    <row r="5892" s="3161" customFormat="1" ht="12.75"/>
    <row r="5893" s="3161" customFormat="1" ht="12.75"/>
    <row r="5894" s="3161" customFormat="1" ht="12.75"/>
    <row r="5895" s="3161" customFormat="1" ht="12.75"/>
    <row r="5896" s="3161" customFormat="1" ht="12.75"/>
    <row r="5897" s="3161" customFormat="1" ht="12.75"/>
    <row r="5898" s="3161" customFormat="1" ht="12.75"/>
    <row r="5899" s="3161" customFormat="1" ht="12.75"/>
    <row r="5900" s="3161" customFormat="1" ht="12.75"/>
    <row r="5901" s="3161" customFormat="1" ht="12.75"/>
    <row r="5902" s="3161" customFormat="1" ht="12.75"/>
    <row r="5903" s="3161" customFormat="1" ht="12.75"/>
    <row r="5904" s="3161" customFormat="1" ht="12.75"/>
    <row r="5905" s="3161" customFormat="1" ht="12.75"/>
    <row r="5906" s="3161" customFormat="1" ht="12.75"/>
    <row r="5907" s="3161" customFormat="1" ht="12.75"/>
    <row r="5908" s="3161" customFormat="1" ht="12.75"/>
    <row r="5909" s="3161" customFormat="1" ht="12.75"/>
    <row r="5910" s="3161" customFormat="1" ht="12.75"/>
    <row r="5911" s="3161" customFormat="1" ht="12.75"/>
    <row r="5912" s="3161" customFormat="1" ht="12.75"/>
    <row r="5913" s="3161" customFormat="1" ht="12.75"/>
    <row r="5914" s="3161" customFormat="1" ht="12.75"/>
    <row r="5915" s="3161" customFormat="1" ht="12.75"/>
    <row r="5916" s="3161" customFormat="1" ht="12.75"/>
    <row r="5917" s="3161" customFormat="1" ht="12.75"/>
    <row r="5918" s="3161" customFormat="1" ht="12.75"/>
    <row r="5919" s="3161" customFormat="1" ht="12.75"/>
    <row r="5920" s="3161" customFormat="1" ht="12.75"/>
    <row r="5921" s="3161" customFormat="1" ht="12.75"/>
    <row r="5922" s="3161" customFormat="1" ht="12.75"/>
    <row r="5923" s="3161" customFormat="1" ht="12.75"/>
    <row r="5924" s="3161" customFormat="1" ht="12.75"/>
    <row r="5925" s="3161" customFormat="1" ht="12.75"/>
    <row r="5926" s="3161" customFormat="1" ht="12.75"/>
    <row r="5927" s="3161" customFormat="1" ht="12.75"/>
    <row r="5928" s="3161" customFormat="1" ht="12.75"/>
    <row r="5929" s="3161" customFormat="1" ht="12.75"/>
    <row r="5930" s="3161" customFormat="1" ht="12.75"/>
    <row r="5931" s="3161" customFormat="1" ht="12.75"/>
    <row r="5932" s="3161" customFormat="1" ht="12.75"/>
    <row r="5933" s="3161" customFormat="1" ht="12.75"/>
    <row r="5934" s="3161" customFormat="1" ht="12.75"/>
    <row r="5935" s="3161" customFormat="1" ht="12.75"/>
    <row r="5936" s="3161" customFormat="1" ht="12.75"/>
    <row r="5937" s="3161" customFormat="1" ht="12.75"/>
    <row r="5938" s="3161" customFormat="1" ht="12.75"/>
    <row r="5939" s="3161" customFormat="1" ht="12.75"/>
    <row r="5940" s="3161" customFormat="1" ht="12.75"/>
    <row r="5941" s="3161" customFormat="1" ht="12.75"/>
    <row r="5942" s="3161" customFormat="1" ht="12.75"/>
    <row r="5943" s="3161" customFormat="1" ht="12.75"/>
    <row r="5944" s="3161" customFormat="1" ht="12.75"/>
    <row r="5945" s="3161" customFormat="1" ht="12.75"/>
    <row r="5946" s="3161" customFormat="1" ht="12.75"/>
    <row r="5947" s="3161" customFormat="1" ht="12.75"/>
    <row r="5948" s="3161" customFormat="1" ht="12.75"/>
    <row r="5949" s="3161" customFormat="1" ht="12.75"/>
    <row r="5950" s="3161" customFormat="1" ht="12.75"/>
    <row r="5951" s="3161" customFormat="1" ht="12.75"/>
    <row r="5952" s="3161" customFormat="1" ht="12.75"/>
    <row r="5953" s="3161" customFormat="1" ht="12.75"/>
    <row r="5954" s="3161" customFormat="1" ht="12.75"/>
    <row r="5955" s="3161" customFormat="1" ht="12.75"/>
    <row r="5956" s="3161" customFormat="1" ht="12.75"/>
    <row r="5957" s="3161" customFormat="1" ht="12.75"/>
    <row r="5958" s="3161" customFormat="1" ht="12.75"/>
    <row r="5959" s="3161" customFormat="1" ht="12.75"/>
    <row r="5960" s="3161" customFormat="1" ht="12.75"/>
    <row r="5961" s="3161" customFormat="1" ht="12.75"/>
    <row r="5962" s="3161" customFormat="1" ht="12.75"/>
    <row r="5963" s="3161" customFormat="1" ht="12.75"/>
    <row r="5964" s="3161" customFormat="1" ht="12.75"/>
    <row r="5965" s="3161" customFormat="1" ht="12.75"/>
    <row r="5966" s="3161" customFormat="1" ht="12.75"/>
    <row r="5967" s="3161" customFormat="1" ht="12.75"/>
    <row r="5968" s="3161" customFormat="1" ht="12.75"/>
    <row r="5969" s="3161" customFormat="1" ht="12.75"/>
    <row r="5970" s="3161" customFormat="1" ht="12.75"/>
    <row r="5971" s="3161" customFormat="1" ht="12.75"/>
    <row r="5972" s="3161" customFormat="1" ht="12.75"/>
    <row r="5973" s="3161" customFormat="1" ht="12.75"/>
    <row r="5974" s="3161" customFormat="1" ht="12.75"/>
    <row r="5975" s="3161" customFormat="1" ht="12.75"/>
    <row r="5976" s="3161" customFormat="1" ht="12.75"/>
    <row r="5977" s="3161" customFormat="1" ht="12.75"/>
    <row r="5978" s="3161" customFormat="1" ht="12.75"/>
    <row r="5979" s="3161" customFormat="1" ht="12.75"/>
    <row r="5980" s="3161" customFormat="1" ht="12.75"/>
    <row r="5981" s="3161" customFormat="1" ht="12.75"/>
    <row r="5982" s="3161" customFormat="1" ht="12.75"/>
    <row r="5983" s="3161" customFormat="1" ht="12.75"/>
    <row r="5984" s="3161" customFormat="1" ht="12.75"/>
    <row r="5985" s="3161" customFormat="1" ht="12.75"/>
    <row r="5986" s="3161" customFormat="1" ht="12.75"/>
    <row r="5987" s="3161" customFormat="1" ht="12.75"/>
    <row r="5988" s="3161" customFormat="1" ht="12.75"/>
    <row r="5989" s="3161" customFormat="1" ht="12.75"/>
    <row r="5990" s="3161" customFormat="1" ht="12.75"/>
    <row r="5991" s="3161" customFormat="1" ht="12.75"/>
    <row r="5992" s="3161" customFormat="1" ht="12.75"/>
    <row r="5993" s="3161" customFormat="1" ht="12.75"/>
    <row r="5994" s="3161" customFormat="1" ht="12.75"/>
    <row r="5995" s="3161" customFormat="1" ht="12.75"/>
    <row r="5996" s="3161" customFormat="1" ht="12.75"/>
    <row r="5997" s="3161" customFormat="1" ht="12.75"/>
    <row r="5998" s="3161" customFormat="1" ht="12.75"/>
    <row r="5999" s="3161" customFormat="1" ht="12.75"/>
    <row r="6000" s="3161" customFormat="1" ht="12.75"/>
    <row r="6001" s="3161" customFormat="1" ht="12.75"/>
    <row r="6002" s="3161" customFormat="1" ht="12.75"/>
    <row r="6003" s="3161" customFormat="1" ht="12.75"/>
    <row r="6004" s="3161" customFormat="1" ht="12.75"/>
    <row r="6005" s="3161" customFormat="1" ht="12.75"/>
    <row r="6006" s="3161" customFormat="1" ht="12.75"/>
    <row r="6007" s="3161" customFormat="1" ht="12.75"/>
    <row r="6008" s="3161" customFormat="1" ht="12.75"/>
    <row r="6009" s="3161" customFormat="1" ht="12.75"/>
    <row r="6010" s="3161" customFormat="1" ht="12.75"/>
    <row r="6011" s="3161" customFormat="1" ht="12.75"/>
    <row r="6012" s="3161" customFormat="1" ht="12.75"/>
    <row r="6013" s="3161" customFormat="1" ht="12.75"/>
    <row r="6014" s="3161" customFormat="1" ht="12.75"/>
    <row r="6015" s="3161" customFormat="1" ht="12.75"/>
    <row r="6016" s="3161" customFormat="1" ht="12.75"/>
    <row r="6017" s="3161" customFormat="1" ht="12.75"/>
    <row r="6018" s="3161" customFormat="1" ht="12.75"/>
    <row r="6019" s="3161" customFormat="1" ht="12.75"/>
    <row r="6020" s="3161" customFormat="1" ht="12.75"/>
    <row r="6021" s="3161" customFormat="1" ht="12.75"/>
    <row r="6022" s="3161" customFormat="1" ht="12.75"/>
    <row r="6023" s="3161" customFormat="1" ht="12.75"/>
    <row r="6024" s="3161" customFormat="1" ht="12.75"/>
    <row r="6025" s="3161" customFormat="1" ht="12.75"/>
    <row r="6026" s="3161" customFormat="1" ht="12.75"/>
    <row r="6027" s="3161" customFormat="1" ht="12.75"/>
    <row r="6028" s="3161" customFormat="1" ht="12.75"/>
    <row r="6029" s="3161" customFormat="1" ht="12.75"/>
    <row r="6030" s="3161" customFormat="1" ht="12.75"/>
    <row r="6031" s="3161" customFormat="1" ht="12.75"/>
    <row r="6032" s="3161" customFormat="1" ht="12.75"/>
    <row r="6033" s="3161" customFormat="1" ht="12.75"/>
    <row r="6034" s="3161" customFormat="1" ht="12.75"/>
    <row r="6035" s="3161" customFormat="1" ht="12.75"/>
    <row r="6036" s="3161" customFormat="1" ht="12.75"/>
    <row r="6037" s="3161" customFormat="1" ht="12.75"/>
    <row r="6038" s="3161" customFormat="1" ht="12.75"/>
    <row r="6039" s="3161" customFormat="1" ht="12.75"/>
    <row r="6040" s="3161" customFormat="1" ht="12.75"/>
    <row r="6041" s="3161" customFormat="1" ht="12.75"/>
    <row r="6042" s="3161" customFormat="1" ht="12.75"/>
    <row r="6043" s="3161" customFormat="1" ht="12.75"/>
    <row r="6044" s="3161" customFormat="1" ht="12.75"/>
    <row r="6045" s="3161" customFormat="1" ht="12.75"/>
    <row r="6046" s="3161" customFormat="1" ht="12.75"/>
    <row r="6047" s="3161" customFormat="1" ht="12.75"/>
    <row r="6048" s="3161" customFormat="1" ht="12.75"/>
    <row r="6049" s="3161" customFormat="1" ht="12.75"/>
    <row r="6050" s="3161" customFormat="1" ht="12.75"/>
    <row r="6051" s="3161" customFormat="1" ht="12.75"/>
    <row r="6052" s="3161" customFormat="1" ht="12.75"/>
    <row r="6053" s="3161" customFormat="1" ht="12.75"/>
    <row r="6054" s="3161" customFormat="1" ht="12.75"/>
    <row r="6055" s="3161" customFormat="1" ht="12.75"/>
    <row r="6056" s="3161" customFormat="1" ht="12.75"/>
    <row r="6057" s="3161" customFormat="1" ht="12.75"/>
    <row r="6058" s="3161" customFormat="1" ht="12.75"/>
    <row r="6059" s="3161" customFormat="1" ht="12.75"/>
    <row r="6060" s="3161" customFormat="1" ht="12.75"/>
    <row r="6061" s="3161" customFormat="1" ht="12.75"/>
    <row r="6062" s="3161" customFormat="1" ht="12.75"/>
    <row r="6063" s="3161" customFormat="1" ht="12.75"/>
    <row r="6064" s="3161" customFormat="1" ht="12.75"/>
    <row r="6065" s="3161" customFormat="1" ht="12.75"/>
    <row r="6066" s="3161" customFormat="1" ht="12.75"/>
    <row r="6067" s="3161" customFormat="1" ht="12.75"/>
    <row r="6068" s="3161" customFormat="1" ht="12.75"/>
    <row r="6069" s="3161" customFormat="1" ht="12.75"/>
    <row r="6070" s="3161" customFormat="1" ht="12.75"/>
    <row r="6071" s="3161" customFormat="1" ht="12.75"/>
    <row r="6072" s="3161" customFormat="1" ht="12.75"/>
    <row r="6073" s="3161" customFormat="1" ht="12.75"/>
    <row r="6074" s="3161" customFormat="1" ht="12.75"/>
    <row r="6075" s="3161" customFormat="1" ht="12.75"/>
    <row r="6076" s="3161" customFormat="1" ht="12.75"/>
    <row r="6077" s="3161" customFormat="1" ht="12.75"/>
    <row r="6078" s="3161" customFormat="1" ht="12.75"/>
    <row r="6079" s="3161" customFormat="1" ht="12.75"/>
    <row r="6080" s="3161" customFormat="1" ht="12.75"/>
    <row r="6081" s="3161" customFormat="1" ht="12.75"/>
    <row r="6082" s="3161" customFormat="1" ht="12.75"/>
    <row r="6083" s="3161" customFormat="1" ht="12.75"/>
    <row r="6084" s="3161" customFormat="1" ht="12.75"/>
    <row r="6085" s="3161" customFormat="1" ht="12.75"/>
    <row r="6086" s="3161" customFormat="1" ht="12.75"/>
    <row r="6087" s="3161" customFormat="1" ht="12.75"/>
    <row r="6088" s="3161" customFormat="1" ht="12.75"/>
    <row r="6089" s="3161" customFormat="1" ht="12.75"/>
    <row r="6090" s="3161" customFormat="1" ht="12.75"/>
    <row r="6091" s="3161" customFormat="1" ht="12.75"/>
    <row r="6092" s="3161" customFormat="1" ht="12.75"/>
    <row r="6093" s="3161" customFormat="1" ht="12.75"/>
    <row r="6094" s="3161" customFormat="1" ht="12.75"/>
    <row r="6095" s="3161" customFormat="1" ht="12.75"/>
    <row r="6096" s="3161" customFormat="1" ht="12.75"/>
    <row r="6097" s="3161" customFormat="1" ht="12.75"/>
    <row r="6098" s="3161" customFormat="1" ht="12.75"/>
    <row r="6099" s="3161" customFormat="1" ht="12.75"/>
    <row r="6100" s="3161" customFormat="1" ht="12.75"/>
    <row r="6101" s="3161" customFormat="1" ht="12.75"/>
    <row r="6102" s="3161" customFormat="1" ht="12.75"/>
    <row r="6103" s="3161" customFormat="1" ht="12.75"/>
    <row r="6104" s="3161" customFormat="1" ht="12.75"/>
    <row r="6105" s="3161" customFormat="1" ht="12.75"/>
    <row r="6106" s="3161" customFormat="1" ht="12.75"/>
    <row r="6107" s="3161" customFormat="1" ht="12.75"/>
    <row r="6108" s="3161" customFormat="1" ht="12.75"/>
    <row r="6109" s="3161" customFormat="1" ht="12.75"/>
    <row r="6110" s="3161" customFormat="1" ht="12.75"/>
    <row r="6111" s="3161" customFormat="1" ht="12.75"/>
    <row r="6112" s="3161" customFormat="1" ht="12.75"/>
    <row r="6113" s="3161" customFormat="1" ht="12.75"/>
    <row r="6114" s="3161" customFormat="1" ht="12.75"/>
    <row r="6115" s="3161" customFormat="1" ht="12.75"/>
    <row r="6116" s="3161" customFormat="1" ht="12.75"/>
    <row r="6117" s="3161" customFormat="1" ht="12.75"/>
    <row r="6118" s="3161" customFormat="1" ht="12.75"/>
    <row r="6119" s="3161" customFormat="1" ht="12.75"/>
    <row r="6120" s="3161" customFormat="1" ht="12.75"/>
    <row r="6121" s="3161" customFormat="1" ht="12.75"/>
    <row r="6122" s="3161" customFormat="1" ht="12.75"/>
    <row r="6123" s="3161" customFormat="1" ht="12.75"/>
    <row r="6124" s="3161" customFormat="1" ht="12.75"/>
    <row r="6125" s="3161" customFormat="1" ht="12.75"/>
    <row r="6126" s="3161" customFormat="1" ht="12.75"/>
    <row r="6127" s="3161" customFormat="1" ht="12.75"/>
    <row r="6128" s="3161" customFormat="1" ht="12.75"/>
    <row r="6129" s="3161" customFormat="1" ht="12.75"/>
    <row r="6130" s="3161" customFormat="1" ht="12.75"/>
    <row r="6131" s="3161" customFormat="1" ht="12.75"/>
    <row r="6132" s="3161" customFormat="1" ht="12.75"/>
    <row r="6133" s="3161" customFormat="1" ht="12.75"/>
    <row r="6134" s="3161" customFormat="1" ht="12.75"/>
    <row r="6135" s="3161" customFormat="1" ht="12.75"/>
    <row r="6136" s="3161" customFormat="1" ht="12.75"/>
    <row r="6137" s="3161" customFormat="1" ht="12.75"/>
    <row r="6138" s="3161" customFormat="1" ht="12.75"/>
    <row r="6139" s="3161" customFormat="1" ht="12.75"/>
    <row r="6140" s="3161" customFormat="1" ht="12.75"/>
    <row r="6141" s="3161" customFormat="1" ht="12.75"/>
    <row r="6142" s="3161" customFormat="1" ht="12.75"/>
    <row r="6143" s="3161" customFormat="1" ht="12.75"/>
    <row r="6144" s="3161" customFormat="1" ht="12.75"/>
    <row r="6145" s="3161" customFormat="1" ht="12.75"/>
    <row r="6146" s="3161" customFormat="1" ht="12.75"/>
    <row r="6147" s="3161" customFormat="1" ht="12.75"/>
    <row r="6148" s="3161" customFormat="1" ht="12.75"/>
    <row r="6149" s="3161" customFormat="1" ht="12.75"/>
    <row r="6150" s="3161" customFormat="1" ht="12.75"/>
    <row r="6151" s="3161" customFormat="1" ht="12.75"/>
    <row r="6152" s="3161" customFormat="1" ht="12.75"/>
    <row r="6153" s="3161" customFormat="1" ht="12.75"/>
    <row r="6154" s="3161" customFormat="1" ht="12.75"/>
    <row r="6155" s="3161" customFormat="1" ht="12.75"/>
    <row r="6156" s="3161" customFormat="1" ht="12.75"/>
    <row r="6157" s="3161" customFormat="1" ht="12.75"/>
    <row r="6158" s="3161" customFormat="1" ht="12.75"/>
    <row r="6159" s="3161" customFormat="1" ht="12.75"/>
    <row r="6160" s="3161" customFormat="1" ht="12.75"/>
    <row r="6161" s="3161" customFormat="1" ht="12.75"/>
    <row r="6162" s="3161" customFormat="1" ht="12.75"/>
    <row r="6163" s="3161" customFormat="1" ht="12.75"/>
    <row r="6164" s="3161" customFormat="1" ht="12.75"/>
    <row r="6165" s="3161" customFormat="1" ht="12.75"/>
    <row r="6166" s="3161" customFormat="1" ht="12.75"/>
    <row r="6167" s="3161" customFormat="1" ht="12.75"/>
    <row r="6168" s="3161" customFormat="1" ht="12.75"/>
    <row r="6169" s="3161" customFormat="1" ht="12.75"/>
    <row r="6170" s="3161" customFormat="1" ht="12.75"/>
    <row r="6171" s="3161" customFormat="1" ht="12.75"/>
    <row r="6172" s="3161" customFormat="1" ht="12.75"/>
    <row r="6173" s="3161" customFormat="1" ht="12.75"/>
    <row r="6174" s="3161" customFormat="1" ht="12.75"/>
    <row r="6175" s="3161" customFormat="1" ht="12.75"/>
    <row r="6176" s="3161" customFormat="1" ht="12.75"/>
    <row r="6177" s="3161" customFormat="1" ht="12.75"/>
    <row r="6178" s="3161" customFormat="1" ht="12.75"/>
    <row r="6179" s="3161" customFormat="1" ht="12.75"/>
    <row r="6180" s="3161" customFormat="1" ht="12.75"/>
    <row r="6181" s="3161" customFormat="1" ht="12.75"/>
    <row r="6182" s="3161" customFormat="1" ht="12.75"/>
    <row r="6183" s="3161" customFormat="1" ht="12.75"/>
    <row r="6184" s="3161" customFormat="1" ht="12.75"/>
    <row r="6185" s="3161" customFormat="1" ht="12.75"/>
    <row r="6186" s="3161" customFormat="1" ht="12.75"/>
    <row r="6187" s="3161" customFormat="1" ht="12.75"/>
    <row r="6188" s="3161" customFormat="1" ht="12.75"/>
    <row r="6189" s="3161" customFormat="1" ht="12.75"/>
    <row r="6190" s="3161" customFormat="1" ht="12.75"/>
    <row r="6191" s="3161" customFormat="1" ht="12.75"/>
    <row r="6192" s="3161" customFormat="1" ht="12.75"/>
    <row r="6193" s="3161" customFormat="1" ht="12.75"/>
    <row r="6194" s="3161" customFormat="1" ht="12.75"/>
    <row r="6195" s="3161" customFormat="1" ht="12.75"/>
    <row r="6196" s="3161" customFormat="1" ht="12.75"/>
    <row r="6197" s="3161" customFormat="1" ht="12.75"/>
    <row r="6198" s="3161" customFormat="1" ht="12.75"/>
    <row r="6199" s="3161" customFormat="1" ht="12.75"/>
    <row r="6200" s="3161" customFormat="1" ht="12.75"/>
    <row r="6201" s="3161" customFormat="1" ht="12.75"/>
    <row r="6202" s="3161" customFormat="1" ht="12.75"/>
    <row r="6203" s="3161" customFormat="1" ht="12.75"/>
    <row r="6204" s="3161" customFormat="1" ht="12.75"/>
    <row r="6205" s="3161" customFormat="1" ht="12.75"/>
    <row r="6206" s="3161" customFormat="1" ht="12.75"/>
    <row r="6207" s="3161" customFormat="1" ht="12.75"/>
    <row r="6208" s="3161" customFormat="1" ht="12.75"/>
    <row r="6209" s="3161" customFormat="1" ht="12.75"/>
    <row r="6210" s="3161" customFormat="1" ht="12.75"/>
    <row r="6211" s="3161" customFormat="1" ht="12.75"/>
    <row r="6212" s="3161" customFormat="1" ht="12.75"/>
    <row r="6213" s="3161" customFormat="1" ht="12.75"/>
    <row r="6214" s="3161" customFormat="1" ht="12.75"/>
    <row r="6215" s="3161" customFormat="1" ht="12.75"/>
    <row r="6216" s="3161" customFormat="1" ht="12.75"/>
    <row r="6217" s="3161" customFormat="1" ht="12.75"/>
    <row r="6218" s="3161" customFormat="1" ht="12.75"/>
    <row r="6219" s="3161" customFormat="1" ht="12.75"/>
    <row r="6220" s="3161" customFormat="1" ht="12.75"/>
    <row r="6221" s="3161" customFormat="1" ht="12.75"/>
    <row r="6222" s="3161" customFormat="1" ht="12.75"/>
    <row r="6223" s="3161" customFormat="1" ht="12.75"/>
    <row r="6224" s="3161" customFormat="1" ht="12.75"/>
    <row r="6225" s="3161" customFormat="1" ht="12.75"/>
    <row r="6226" s="3161" customFormat="1" ht="12.75"/>
    <row r="6227" s="3161" customFormat="1" ht="12.75"/>
    <row r="6228" s="3161" customFormat="1" ht="12.75"/>
    <row r="6229" s="3161" customFormat="1" ht="12.75"/>
    <row r="6230" s="3161" customFormat="1" ht="12.75"/>
    <row r="6231" s="3161" customFormat="1" ht="12.75"/>
    <row r="6232" s="3161" customFormat="1" ht="12.75"/>
    <row r="6233" s="3161" customFormat="1" ht="12.75"/>
    <row r="6234" s="3161" customFormat="1" ht="12.75"/>
    <row r="6235" s="3161" customFormat="1" ht="12.75"/>
    <row r="6236" s="3161" customFormat="1" ht="12.75"/>
    <row r="6237" s="3161" customFormat="1" ht="12.75"/>
    <row r="6238" s="3161" customFormat="1" ht="12.75"/>
    <row r="6239" s="3161" customFormat="1" ht="12.75"/>
    <row r="6240" s="3161" customFormat="1" ht="12.75"/>
    <row r="6241" s="3161" customFormat="1" ht="12.75"/>
    <row r="6242" s="3161" customFormat="1" ht="12.75"/>
    <row r="6243" s="3161" customFormat="1" ht="12.75"/>
    <row r="6244" s="3161" customFormat="1" ht="12.75"/>
    <row r="6245" s="3161" customFormat="1" ht="12.75"/>
    <row r="6246" s="3161" customFormat="1" ht="12.75"/>
    <row r="6247" s="3161" customFormat="1" ht="12.75"/>
    <row r="6248" s="3161" customFormat="1" ht="12.75"/>
    <row r="6249" s="3161" customFormat="1" ht="12.75"/>
    <row r="6250" s="3161" customFormat="1" ht="12.75"/>
    <row r="6251" s="3161" customFormat="1" ht="12.75"/>
    <row r="6252" s="3161" customFormat="1" ht="12.75"/>
    <row r="6253" s="3161" customFormat="1" ht="12.75"/>
    <row r="6254" s="3161" customFormat="1" ht="12.75"/>
    <row r="6255" s="3161" customFormat="1" ht="12.75"/>
    <row r="6256" s="3161" customFormat="1" ht="12.75"/>
    <row r="6257" s="3161" customFormat="1" ht="12.75"/>
    <row r="6258" s="3161" customFormat="1" ht="12.75"/>
    <row r="6259" s="3161" customFormat="1" ht="12.75"/>
    <row r="6260" s="3161" customFormat="1" ht="12.75"/>
    <row r="6261" s="3161" customFormat="1" ht="12.75"/>
    <row r="6262" s="3161" customFormat="1" ht="12.75"/>
    <row r="6263" s="3161" customFormat="1" ht="12.75"/>
    <row r="6264" s="3161" customFormat="1" ht="12.75"/>
    <row r="6265" s="3161" customFormat="1" ht="12.75"/>
    <row r="6266" s="3161" customFormat="1" ht="12.75"/>
    <row r="6267" s="3161" customFormat="1" ht="12.75"/>
    <row r="6268" s="3161" customFormat="1" ht="12.75"/>
    <row r="6269" s="3161" customFormat="1" ht="12.75"/>
    <row r="6270" s="3161" customFormat="1" ht="12.75"/>
    <row r="6271" s="3161" customFormat="1" ht="12.75"/>
    <row r="6272" s="3161" customFormat="1" ht="12.75"/>
    <row r="6273" s="3161" customFormat="1" ht="12.75"/>
    <row r="6274" s="3161" customFormat="1" ht="12.75"/>
    <row r="6275" s="3161" customFormat="1" ht="12.75"/>
    <row r="6276" s="3161" customFormat="1" ht="12.75"/>
    <row r="6277" s="3161" customFormat="1" ht="12.75"/>
    <row r="6278" s="3161" customFormat="1" ht="12.75"/>
    <row r="6279" s="3161" customFormat="1" ht="12.75"/>
    <row r="6280" s="3161" customFormat="1" ht="12.75"/>
    <row r="6281" s="3161" customFormat="1" ht="12.75"/>
    <row r="6282" s="3161" customFormat="1" ht="12.75"/>
    <row r="6283" s="3161" customFormat="1" ht="12.75"/>
    <row r="6284" s="3161" customFormat="1" ht="12.75"/>
    <row r="6285" s="3161" customFormat="1" ht="12.75"/>
    <row r="6286" s="3161" customFormat="1" ht="12.75"/>
    <row r="6287" s="3161" customFormat="1" ht="12.75"/>
    <row r="6288" s="3161" customFormat="1" ht="12.75"/>
    <row r="6289" s="3161" customFormat="1" ht="12.75"/>
    <row r="6290" s="3161" customFormat="1" ht="12.75"/>
    <row r="6291" s="3161" customFormat="1" ht="12.75"/>
    <row r="6292" s="3161" customFormat="1" ht="12.75"/>
    <row r="6293" s="3161" customFormat="1" ht="12.75"/>
    <row r="6294" s="3161" customFormat="1" ht="12.75"/>
    <row r="6295" s="3161" customFormat="1" ht="12.75"/>
    <row r="6296" s="3161" customFormat="1" ht="12.75"/>
    <row r="6297" s="3161" customFormat="1" ht="12.75"/>
    <row r="6298" s="3161" customFormat="1" ht="12.75"/>
    <row r="6299" s="3161" customFormat="1" ht="12.75"/>
    <row r="6300" s="3161" customFormat="1" ht="12.75"/>
    <row r="6301" s="3161" customFormat="1" ht="12.75"/>
    <row r="6302" s="3161" customFormat="1" ht="12.75"/>
    <row r="6303" s="3161" customFormat="1" ht="12.75"/>
    <row r="6304" s="3161" customFormat="1" ht="12.75"/>
    <row r="6305" s="3161" customFormat="1" ht="12.75"/>
    <row r="6306" s="3161" customFormat="1" ht="12.75"/>
    <row r="6307" s="3161" customFormat="1" ht="12.75"/>
    <row r="6308" s="3161" customFormat="1" ht="12.75"/>
    <row r="6309" s="3161" customFormat="1" ht="12.75"/>
    <row r="6310" s="3161" customFormat="1" ht="12.75"/>
    <row r="6311" s="3161" customFormat="1" ht="12.75"/>
    <row r="6312" s="3161" customFormat="1" ht="12.75"/>
    <row r="6313" s="3161" customFormat="1" ht="12.75"/>
    <row r="6314" s="3161" customFormat="1" ht="12.75"/>
    <row r="6315" s="3161" customFormat="1" ht="12.75"/>
    <row r="6316" s="3161" customFormat="1" ht="12.75"/>
    <row r="6317" s="3161" customFormat="1" ht="12.75"/>
    <row r="6318" s="3161" customFormat="1" ht="12.75"/>
    <row r="6319" s="3161" customFormat="1" ht="12.75"/>
    <row r="6320" s="3161" customFormat="1" ht="12.75"/>
    <row r="6321" s="3161" customFormat="1" ht="12.75"/>
    <row r="6322" s="3161" customFormat="1" ht="12.75"/>
    <row r="6323" s="3161" customFormat="1" ht="12.75"/>
    <row r="6324" s="3161" customFormat="1" ht="12.75"/>
    <row r="6325" s="3161" customFormat="1" ht="12.75"/>
    <row r="6326" s="3161" customFormat="1" ht="12.75"/>
    <row r="6327" s="3161" customFormat="1" ht="12.75"/>
    <row r="6328" s="3161" customFormat="1" ht="12.75"/>
    <row r="6329" s="3161" customFormat="1" ht="12.75"/>
    <row r="6330" s="3161" customFormat="1" ht="12.75"/>
    <row r="6331" s="3161" customFormat="1" ht="12.75"/>
    <row r="6332" s="3161" customFormat="1" ht="12.75"/>
    <row r="6333" s="3161" customFormat="1" ht="12.75"/>
    <row r="6334" s="3161" customFormat="1" ht="12.75"/>
    <row r="6335" s="3161" customFormat="1" ht="12.75"/>
    <row r="6336" s="3161" customFormat="1" ht="12.75"/>
    <row r="6337" s="3161" customFormat="1" ht="12.75"/>
    <row r="6338" s="3161" customFormat="1" ht="12.75"/>
    <row r="6339" s="3161" customFormat="1" ht="12.75"/>
    <row r="6340" s="3161" customFormat="1" ht="12.75"/>
    <row r="6341" s="3161" customFormat="1" ht="12.75"/>
    <row r="6342" s="3161" customFormat="1" ht="12.75"/>
    <row r="6343" s="3161" customFormat="1" ht="12.75"/>
    <row r="6344" s="3161" customFormat="1" ht="12.75"/>
    <row r="6345" s="3161" customFormat="1" ht="12.75"/>
    <row r="6346" s="3161" customFormat="1" ht="12.75"/>
    <row r="6347" s="3161" customFormat="1" ht="12.75"/>
    <row r="6348" s="3161" customFormat="1" ht="12.75"/>
    <row r="6349" s="3161" customFormat="1" ht="12.75"/>
    <row r="6350" s="3161" customFormat="1" ht="12.75"/>
    <row r="6351" s="3161" customFormat="1" ht="12.75"/>
    <row r="6352" s="3161" customFormat="1" ht="12.75"/>
    <row r="6353" s="3161" customFormat="1" ht="12.75"/>
    <row r="6354" s="3161" customFormat="1" ht="12.75"/>
    <row r="6355" s="3161" customFormat="1" ht="12.75"/>
    <row r="6356" s="3161" customFormat="1" ht="12.75"/>
    <row r="6357" s="3161" customFormat="1" ht="12.75"/>
    <row r="6358" s="3161" customFormat="1" ht="12.75"/>
    <row r="6359" s="3161" customFormat="1" ht="12.75"/>
    <row r="6360" s="3161" customFormat="1" ht="12.75"/>
    <row r="6361" s="3161" customFormat="1" ht="12.75"/>
    <row r="6362" s="3161" customFormat="1" ht="12.75"/>
    <row r="6363" s="3161" customFormat="1" ht="12.75"/>
    <row r="6364" s="3161" customFormat="1" ht="12.75"/>
    <row r="6365" s="3161" customFormat="1" ht="12.75"/>
    <row r="6366" s="3161" customFormat="1" ht="12.75"/>
    <row r="6367" s="3161" customFormat="1" ht="12.75"/>
    <row r="6368" s="3161" customFormat="1" ht="12.75"/>
    <row r="6369" s="3161" customFormat="1" ht="12.75"/>
    <row r="6370" s="3161" customFormat="1" ht="12.75"/>
    <row r="6371" s="3161" customFormat="1" ht="12.75"/>
    <row r="6372" s="3161" customFormat="1" ht="12.75"/>
    <row r="6373" s="3161" customFormat="1" ht="12.75"/>
    <row r="6374" s="3161" customFormat="1" ht="12.75"/>
    <row r="6375" s="3161" customFormat="1" ht="12.75"/>
    <row r="6376" s="3161" customFormat="1" ht="12.75"/>
    <row r="6377" s="3161" customFormat="1" ht="12.75"/>
    <row r="6378" s="3161" customFormat="1" ht="12.75"/>
    <row r="6379" s="3161" customFormat="1" ht="12.75"/>
    <row r="6380" s="3161" customFormat="1" ht="12.75"/>
    <row r="6381" s="3161" customFormat="1" ht="12.75"/>
    <row r="6382" s="3161" customFormat="1" ht="12.75"/>
    <row r="6383" s="3161" customFormat="1" ht="12.75"/>
    <row r="6384" s="3161" customFormat="1" ht="12.75"/>
    <row r="6385" s="3161" customFormat="1" ht="12.75"/>
    <row r="6386" s="3161" customFormat="1" ht="12.75"/>
    <row r="6387" s="3161" customFormat="1" ht="12.75"/>
    <row r="6388" s="3161" customFormat="1" ht="12.75"/>
    <row r="6389" s="3161" customFormat="1" ht="12.75"/>
    <row r="6390" s="3161" customFormat="1" ht="12.75"/>
    <row r="6391" s="3161" customFormat="1" ht="12.75"/>
    <row r="6392" s="3161" customFormat="1" ht="12.75"/>
    <row r="6393" s="3161" customFormat="1" ht="12.75"/>
    <row r="6394" s="3161" customFormat="1" ht="12.75"/>
    <row r="6395" s="3161" customFormat="1" ht="12.75"/>
    <row r="6396" s="3161" customFormat="1" ht="12.75"/>
    <row r="6397" s="3161" customFormat="1" ht="12.75"/>
    <row r="6398" s="3161" customFormat="1" ht="12.75"/>
    <row r="6399" s="3161" customFormat="1" ht="12.75"/>
    <row r="6400" s="3161" customFormat="1" ht="12.75"/>
    <row r="6401" s="3161" customFormat="1" ht="12.75"/>
    <row r="6402" s="3161" customFormat="1" ht="12.75"/>
    <row r="6403" s="3161" customFormat="1" ht="12.75"/>
    <row r="6404" s="3161" customFormat="1" ht="12.75"/>
    <row r="6405" s="3161" customFormat="1" ht="12.75"/>
    <row r="6406" s="3161" customFormat="1" ht="12.75"/>
    <row r="6407" s="3161" customFormat="1" ht="12.75"/>
    <row r="6408" s="3161" customFormat="1" ht="12.75"/>
    <row r="6409" s="3161" customFormat="1" ht="12.75"/>
    <row r="6410" s="3161" customFormat="1" ht="12.75"/>
    <row r="6411" s="3161" customFormat="1" ht="12.75"/>
    <row r="6412" s="3161" customFormat="1" ht="12.75"/>
    <row r="6413" s="3161" customFormat="1" ht="12.75"/>
    <row r="6414" s="3161" customFormat="1" ht="12.75"/>
    <row r="6415" s="3161" customFormat="1" ht="12.75"/>
    <row r="6416" s="3161" customFormat="1" ht="12.75"/>
    <row r="6417" s="3161" customFormat="1" ht="12.75"/>
    <row r="6418" s="3161" customFormat="1" ht="12.75"/>
    <row r="6419" s="3161" customFormat="1" ht="12.75"/>
    <row r="6420" s="3161" customFormat="1" ht="12.75"/>
    <row r="6421" s="3161" customFormat="1" ht="12.75"/>
    <row r="6422" s="3161" customFormat="1" ht="12.75"/>
    <row r="6423" s="3161" customFormat="1" ht="12.75"/>
    <row r="6424" s="3161" customFormat="1" ht="12.75"/>
    <row r="6425" s="3161" customFormat="1" ht="12.75"/>
    <row r="6426" s="3161" customFormat="1" ht="12.75"/>
    <row r="6427" s="3161" customFormat="1" ht="12.75"/>
    <row r="6428" s="3161" customFormat="1" ht="12.75"/>
    <row r="6429" s="3161" customFormat="1" ht="12.75"/>
    <row r="6430" s="3161" customFormat="1" ht="12.75"/>
    <row r="6431" s="3161" customFormat="1" ht="12.75"/>
    <row r="6432" s="3161" customFormat="1" ht="12.75"/>
    <row r="6433" s="3161" customFormat="1" ht="12.75"/>
    <row r="6434" s="3161" customFormat="1" ht="12.75"/>
    <row r="6435" s="3161" customFormat="1" ht="12.75"/>
    <row r="6436" s="3161" customFormat="1" ht="12.75"/>
    <row r="6437" s="3161" customFormat="1" ht="12.75"/>
    <row r="6438" s="3161" customFormat="1" ht="12.75"/>
    <row r="6439" s="3161" customFormat="1" ht="12.75"/>
    <row r="6440" s="3161" customFormat="1" ht="12.75"/>
    <row r="6441" s="3161" customFormat="1" ht="12.75"/>
    <row r="6442" s="3161" customFormat="1" ht="12.75"/>
    <row r="6443" s="3161" customFormat="1" ht="12.75"/>
    <row r="6444" s="3161" customFormat="1" ht="12.75"/>
    <row r="6445" s="3161" customFormat="1" ht="12.75"/>
    <row r="6446" s="3161" customFormat="1" ht="12.75"/>
    <row r="6447" s="3161" customFormat="1" ht="12.75"/>
    <row r="6448" s="3161" customFormat="1" ht="12.75"/>
    <row r="6449" s="3161" customFormat="1" ht="12.75"/>
    <row r="6450" s="3161" customFormat="1" ht="12.75"/>
    <row r="6451" s="3161" customFormat="1" ht="12.75"/>
    <row r="6452" s="3161" customFormat="1" ht="12.75"/>
    <row r="6453" s="3161" customFormat="1" ht="12.75"/>
    <row r="6454" s="3161" customFormat="1" ht="12.75"/>
    <row r="6455" s="3161" customFormat="1" ht="12.75"/>
    <row r="6456" s="3161" customFormat="1" ht="12.75"/>
    <row r="6457" s="3161" customFormat="1" ht="12.75"/>
    <row r="6458" s="3161" customFormat="1" ht="12.75"/>
    <row r="6459" s="3161" customFormat="1" ht="12.75"/>
    <row r="6460" s="3161" customFormat="1" ht="12.75"/>
    <row r="6461" s="3161" customFormat="1" ht="12.75"/>
    <row r="6462" s="3161" customFormat="1" ht="12.75"/>
    <row r="6463" s="3161" customFormat="1" ht="12.75"/>
    <row r="6464" s="3161" customFormat="1" ht="12.75"/>
    <row r="6465" s="3161" customFormat="1" ht="12.75"/>
    <row r="6466" s="3161" customFormat="1" ht="12.75"/>
    <row r="6467" s="3161" customFormat="1" ht="12.75"/>
    <row r="6468" s="3161" customFormat="1" ht="12.75"/>
    <row r="6469" s="3161" customFormat="1" ht="12.75"/>
    <row r="6470" s="3161" customFormat="1" ht="12.75"/>
    <row r="6471" s="3161" customFormat="1" ht="12.75"/>
    <row r="6472" s="3161" customFormat="1" ht="12.75"/>
    <row r="6473" s="3161" customFormat="1" ht="12.75"/>
    <row r="6474" s="3161" customFormat="1" ht="12.75"/>
    <row r="6475" s="3161" customFormat="1" ht="12.75"/>
    <row r="6476" s="3161" customFormat="1" ht="12.75"/>
    <row r="6477" s="3161" customFormat="1" ht="12.75"/>
    <row r="6478" s="3161" customFormat="1" ht="12.75"/>
    <row r="6479" s="3161" customFormat="1" ht="12.75"/>
    <row r="6480" s="3161" customFormat="1" ht="12.75"/>
    <row r="6481" s="3161" customFormat="1" ht="12.75"/>
    <row r="6482" s="3161" customFormat="1" ht="12.75"/>
    <row r="6483" s="3161" customFormat="1" ht="12.75"/>
    <row r="6484" s="3161" customFormat="1" ht="12.75"/>
    <row r="6485" s="3161" customFormat="1" ht="12.75"/>
    <row r="6486" s="3161" customFormat="1" ht="12.75"/>
    <row r="6487" s="3161" customFormat="1" ht="12.75"/>
    <row r="6488" s="3161" customFormat="1" ht="12.75"/>
    <row r="6489" s="3161" customFormat="1" ht="12.75"/>
    <row r="6490" s="3161" customFormat="1" ht="12.75"/>
    <row r="6491" s="3161" customFormat="1" ht="12.75"/>
    <row r="6492" s="3161" customFormat="1" ht="12.75"/>
    <row r="6493" s="3161" customFormat="1" ht="12.75"/>
    <row r="6494" s="3161" customFormat="1" ht="12.75"/>
    <row r="6495" s="3161" customFormat="1" ht="12.75"/>
    <row r="6496" s="3161" customFormat="1" ht="12.75"/>
    <row r="6497" s="3161" customFormat="1" ht="12.75"/>
    <row r="6498" s="3161" customFormat="1" ht="12.75"/>
    <row r="6499" s="3161" customFormat="1" ht="12.75"/>
    <row r="6500" s="3161" customFormat="1" ht="12.75"/>
    <row r="6501" s="3161" customFormat="1" ht="12.75"/>
    <row r="6502" s="3161" customFormat="1" ht="12.75"/>
    <row r="6503" s="3161" customFormat="1" ht="12.75"/>
    <row r="6504" s="3161" customFormat="1" ht="12.75"/>
    <row r="6505" s="3161" customFormat="1" ht="12.75"/>
    <row r="6506" s="3161" customFormat="1" ht="12.75"/>
    <row r="6507" s="3161" customFormat="1" ht="12.75"/>
    <row r="6508" s="3161" customFormat="1" ht="12.75"/>
    <row r="6509" s="3161" customFormat="1" ht="12.75"/>
    <row r="6510" s="3161" customFormat="1" ht="12.75"/>
    <row r="6511" s="3161" customFormat="1" ht="12.75"/>
    <row r="6512" s="3161" customFormat="1" ht="12.75"/>
    <row r="6513" s="3161" customFormat="1" ht="12.75"/>
    <row r="6514" s="3161" customFormat="1" ht="12.75"/>
    <row r="6515" s="3161" customFormat="1" ht="12.75"/>
    <row r="6516" s="3161" customFormat="1" ht="12.75"/>
    <row r="6517" s="3161" customFormat="1" ht="12.75"/>
    <row r="6518" s="3161" customFormat="1" ht="12.75"/>
    <row r="6519" s="3161" customFormat="1" ht="12.75"/>
    <row r="6520" s="3161" customFormat="1" ht="12.75"/>
    <row r="6521" s="3161" customFormat="1" ht="12.75"/>
    <row r="6522" s="3161" customFormat="1" ht="12.75"/>
    <row r="6523" s="3161" customFormat="1" ht="12.75"/>
    <row r="6524" s="3161" customFormat="1" ht="12.75"/>
    <row r="6525" s="3161" customFormat="1" ht="12.75"/>
    <row r="6526" s="3161" customFormat="1" ht="12.75"/>
    <row r="6527" s="3161" customFormat="1" ht="12.75"/>
    <row r="6528" s="3161" customFormat="1" ht="12.75"/>
    <row r="6529" s="3161" customFormat="1" ht="12.75"/>
    <row r="6530" s="3161" customFormat="1" ht="12.75"/>
    <row r="6531" s="3161" customFormat="1" ht="12.75"/>
    <row r="6532" s="3161" customFormat="1" ht="12.75"/>
    <row r="6533" s="3161" customFormat="1" ht="12.75"/>
    <row r="6534" s="3161" customFormat="1" ht="12.75"/>
    <row r="6535" s="3161" customFormat="1" ht="12.75"/>
    <row r="6536" s="3161" customFormat="1" ht="12.75"/>
    <row r="6537" s="3161" customFormat="1" ht="12.75"/>
    <row r="6538" s="3161" customFormat="1" ht="12.75"/>
    <row r="6539" s="3161" customFormat="1" ht="12.75"/>
    <row r="6540" s="3161" customFormat="1" ht="12.75"/>
    <row r="6541" s="3161" customFormat="1" ht="12.75"/>
    <row r="6542" s="3161" customFormat="1" ht="12.75"/>
    <row r="6543" s="3161" customFormat="1" ht="12.75"/>
    <row r="6544" s="3161" customFormat="1" ht="12.75"/>
    <row r="6545" s="3161" customFormat="1" ht="12.75"/>
    <row r="6546" s="3161" customFormat="1" ht="12.75"/>
    <row r="6547" s="3161" customFormat="1" ht="12.75"/>
    <row r="6548" s="3161" customFormat="1" ht="12.75"/>
    <row r="6549" s="3161" customFormat="1" ht="12.75"/>
    <row r="6550" s="3161" customFormat="1" ht="12.75"/>
    <row r="6551" s="3161" customFormat="1" ht="12.75"/>
    <row r="6552" s="3161" customFormat="1" ht="12.75"/>
    <row r="6553" s="3161" customFormat="1" ht="12.75"/>
    <row r="6554" s="3161" customFormat="1" ht="12.75"/>
    <row r="6555" s="3161" customFormat="1" ht="12.75"/>
    <row r="6556" s="3161" customFormat="1" ht="12.75"/>
    <row r="6557" s="3161" customFormat="1" ht="12.75"/>
    <row r="6558" s="3161" customFormat="1" ht="12.75"/>
    <row r="6559" s="3161" customFormat="1" ht="12.75"/>
    <row r="6560" s="3161" customFormat="1" ht="12.75"/>
    <row r="6561" s="3161" customFormat="1" ht="12.75"/>
    <row r="6562" s="3161" customFormat="1" ht="12.75"/>
    <row r="6563" s="3161" customFormat="1" ht="12.75"/>
    <row r="6564" s="3161" customFormat="1" ht="12.75"/>
    <row r="6565" s="3161" customFormat="1" ht="12.75"/>
    <row r="6566" s="3161" customFormat="1" ht="12.75"/>
    <row r="6567" s="3161" customFormat="1" ht="12.75"/>
    <row r="6568" s="3161" customFormat="1" ht="12.75"/>
    <row r="6569" s="3161" customFormat="1" ht="12.75"/>
    <row r="6570" s="3161" customFormat="1" ht="12.75"/>
    <row r="6571" s="3161" customFormat="1" ht="12.75"/>
    <row r="6572" s="3161" customFormat="1" ht="12.75"/>
    <row r="6573" s="3161" customFormat="1" ht="12.75"/>
    <row r="6574" s="3161" customFormat="1" ht="12.75"/>
    <row r="6575" s="3161" customFormat="1" ht="12.75"/>
    <row r="6576" s="3161" customFormat="1" ht="12.75"/>
    <row r="6577" s="3161" customFormat="1" ht="12.75"/>
    <row r="6578" s="3161" customFormat="1" ht="12.75"/>
    <row r="6579" s="3161" customFormat="1" ht="12.75"/>
    <row r="6580" s="3161" customFormat="1" ht="12.75"/>
    <row r="6581" s="3161" customFormat="1" ht="12.75"/>
    <row r="6582" s="3161" customFormat="1" ht="12.75"/>
    <row r="6583" s="3161" customFormat="1" ht="12.75"/>
    <row r="6584" s="3161" customFormat="1" ht="12.75"/>
    <row r="6585" s="3161" customFormat="1" ht="12.75"/>
    <row r="6586" s="3161" customFormat="1" ht="12.75"/>
    <row r="6587" s="3161" customFormat="1" ht="12.75"/>
    <row r="6588" s="3161" customFormat="1" ht="12.75"/>
    <row r="6589" s="3161" customFormat="1" ht="12.75"/>
    <row r="6590" s="3161" customFormat="1" ht="12.75"/>
    <row r="6591" s="3161" customFormat="1" ht="12.75"/>
    <row r="6592" s="3161" customFormat="1" ht="12.75"/>
    <row r="6593" s="3161" customFormat="1" ht="12.75"/>
    <row r="6594" s="3161" customFormat="1" ht="12.75"/>
    <row r="6595" s="3161" customFormat="1" ht="12.75"/>
    <row r="6596" s="3161" customFormat="1" ht="12.75"/>
    <row r="6597" s="3161" customFormat="1" ht="12.75"/>
    <row r="6598" s="3161" customFormat="1" ht="12.75"/>
    <row r="6599" s="3161" customFormat="1" ht="12.75"/>
    <row r="6600" s="3161" customFormat="1" ht="12.75"/>
    <row r="6601" s="3161" customFormat="1" ht="12.75"/>
    <row r="6602" s="3161" customFormat="1" ht="12.75"/>
    <row r="6603" s="3161" customFormat="1" ht="12.75"/>
    <row r="6604" s="3161" customFormat="1" ht="12.75"/>
    <row r="6605" s="3161" customFormat="1" ht="12.75"/>
    <row r="6606" s="3161" customFormat="1" ht="12.75"/>
    <row r="6607" s="3161" customFormat="1" ht="12.75"/>
    <row r="6608" s="3161" customFormat="1" ht="12.75"/>
    <row r="6609" s="3161" customFormat="1" ht="12.75"/>
    <row r="6610" s="3161" customFormat="1" ht="12.75"/>
    <row r="6611" s="3161" customFormat="1" ht="12.75"/>
    <row r="6612" s="3161" customFormat="1" ht="12.75"/>
    <row r="6613" s="3161" customFormat="1" ht="12.75"/>
    <row r="6614" s="3161" customFormat="1" ht="12.75"/>
    <row r="6615" s="3161" customFormat="1" ht="12.75"/>
    <row r="6616" s="3161" customFormat="1" ht="12.75"/>
    <row r="6617" s="3161" customFormat="1" ht="12.75"/>
    <row r="6618" s="3161" customFormat="1" ht="12.75"/>
    <row r="6619" s="3161" customFormat="1" ht="12.75"/>
    <row r="6620" s="3161" customFormat="1" ht="12.75"/>
    <row r="6621" s="3161" customFormat="1" ht="12.75"/>
    <row r="6622" s="3161" customFormat="1" ht="12.75"/>
    <row r="6623" s="3161" customFormat="1" ht="12.75"/>
    <row r="6624" s="3161" customFormat="1" ht="12.75"/>
    <row r="6625" s="3161" customFormat="1" ht="12.75"/>
    <row r="6626" s="3161" customFormat="1" ht="12.75"/>
    <row r="6627" s="3161" customFormat="1" ht="12.75"/>
    <row r="6628" s="3161" customFormat="1" ht="12.75"/>
    <row r="6629" s="3161" customFormat="1" ht="12.75"/>
    <row r="6630" s="3161" customFormat="1" ht="12.75"/>
    <row r="6631" s="3161" customFormat="1" ht="12.75"/>
    <row r="6632" s="3161" customFormat="1" ht="12.75"/>
    <row r="6633" s="3161" customFormat="1" ht="12.75"/>
    <row r="6634" s="3161" customFormat="1" ht="12.75"/>
    <row r="6635" s="3161" customFormat="1" ht="12.75"/>
    <row r="6636" s="3161" customFormat="1" ht="12.75"/>
    <row r="6637" s="3161" customFormat="1" ht="12.75"/>
    <row r="6638" s="3161" customFormat="1" ht="12.75"/>
    <row r="6639" s="3161" customFormat="1" ht="12.75"/>
    <row r="6640" s="3161" customFormat="1" ht="12.75"/>
    <row r="6641" s="3161" customFormat="1" ht="12.75"/>
    <row r="6642" s="3161" customFormat="1" ht="12.75"/>
    <row r="6643" s="3161" customFormat="1" ht="12.75"/>
    <row r="6644" s="3161" customFormat="1" ht="12.75"/>
    <row r="6645" s="3161" customFormat="1" ht="12.75"/>
    <row r="6646" s="3161" customFormat="1" ht="12.75"/>
    <row r="6647" s="3161" customFormat="1" ht="12.75"/>
    <row r="6648" s="3161" customFormat="1" ht="12.75"/>
    <row r="6649" s="3161" customFormat="1" ht="12.75"/>
    <row r="6650" s="3161" customFormat="1" ht="12.75"/>
    <row r="6651" s="3161" customFormat="1" ht="12.75"/>
    <row r="6652" s="3161" customFormat="1" ht="12.75"/>
    <row r="6653" s="3161" customFormat="1" ht="12.75"/>
    <row r="6654" s="3161" customFormat="1" ht="12.75"/>
    <row r="6655" s="3161" customFormat="1" ht="12.75"/>
    <row r="6656" s="3161" customFormat="1" ht="12.75"/>
    <row r="6657" s="3161" customFormat="1" ht="12.75"/>
    <row r="6658" s="3161" customFormat="1" ht="12.75"/>
    <row r="6659" s="3161" customFormat="1" ht="12.75"/>
    <row r="6660" s="3161" customFormat="1" ht="12.75"/>
    <row r="6661" s="3161" customFormat="1" ht="12.75"/>
    <row r="6662" s="3161" customFormat="1" ht="12.75"/>
    <row r="6663" s="3161" customFormat="1" ht="12.75"/>
    <row r="6664" s="3161" customFormat="1" ht="12.75"/>
    <row r="6665" s="3161" customFormat="1" ht="12.75"/>
    <row r="6666" s="3161" customFormat="1" ht="12.75"/>
    <row r="6667" s="3161" customFormat="1" ht="12.75"/>
    <row r="6668" s="3161" customFormat="1" ht="12.75"/>
    <row r="6669" s="3161" customFormat="1" ht="12.75"/>
    <row r="6670" s="3161" customFormat="1" ht="12.75"/>
    <row r="6671" s="3161" customFormat="1" ht="12.75"/>
    <row r="6672" s="3161" customFormat="1" ht="12.75"/>
    <row r="6673" s="3161" customFormat="1" ht="12.75"/>
    <row r="6674" s="3161" customFormat="1" ht="12.75"/>
    <row r="6675" s="3161" customFormat="1" ht="12.75"/>
    <row r="6676" s="3161" customFormat="1" ht="12.75"/>
    <row r="6677" s="3161" customFormat="1" ht="12.75"/>
    <row r="6678" s="3161" customFormat="1" ht="12.75"/>
    <row r="6679" s="3161" customFormat="1" ht="12.75"/>
    <row r="6680" s="3161" customFormat="1" ht="12.75"/>
    <row r="6681" s="3161" customFormat="1" ht="12.75"/>
    <row r="6682" s="3161" customFormat="1" ht="12.75"/>
    <row r="6683" s="3161" customFormat="1" ht="12.75"/>
    <row r="6684" s="3161" customFormat="1" ht="12.75"/>
    <row r="6685" s="3161" customFormat="1" ht="12.75"/>
    <row r="6686" s="3161" customFormat="1" ht="12.75"/>
    <row r="6687" s="3161" customFormat="1" ht="12.75"/>
    <row r="6688" s="3161" customFormat="1" ht="12.75"/>
    <row r="6689" s="3161" customFormat="1" ht="12.75"/>
    <row r="6690" s="3161" customFormat="1" ht="12.75"/>
    <row r="6691" s="3161" customFormat="1" ht="12.75"/>
    <row r="6692" s="3161" customFormat="1" ht="12.75"/>
    <row r="6693" s="3161" customFormat="1" ht="12.75"/>
    <row r="6694" s="3161" customFormat="1" ht="12.75"/>
    <row r="6695" s="3161" customFormat="1" ht="12.75"/>
    <row r="6696" s="3161" customFormat="1" ht="12.75"/>
    <row r="6697" s="3161" customFormat="1" ht="12.75"/>
    <row r="6698" s="3161" customFormat="1" ht="12.75"/>
    <row r="6699" s="3161" customFormat="1" ht="12.75"/>
    <row r="6700" s="3161" customFormat="1" ht="12.75"/>
    <row r="6701" s="3161" customFormat="1" ht="12.75"/>
    <row r="6702" s="3161" customFormat="1" ht="12.75"/>
    <row r="6703" s="3161" customFormat="1" ht="12.75"/>
    <row r="6704" s="3161" customFormat="1" ht="12.75"/>
    <row r="6705" s="3161" customFormat="1" ht="12.75"/>
    <row r="6706" s="3161" customFormat="1" ht="12.75"/>
    <row r="6707" s="3161" customFormat="1" ht="12.75"/>
    <row r="6708" s="3161" customFormat="1" ht="12.75"/>
    <row r="6709" s="3161" customFormat="1" ht="12.75"/>
    <row r="6710" s="3161" customFormat="1" ht="12.75"/>
    <row r="6711" s="3161" customFormat="1" ht="12.75"/>
    <row r="6712" s="3161" customFormat="1" ht="12.75"/>
    <row r="6713" s="3161" customFormat="1" ht="12.75"/>
    <row r="6714" s="3161" customFormat="1" ht="12.75"/>
    <row r="6715" s="3161" customFormat="1" ht="12.75"/>
    <row r="6716" s="3161" customFormat="1" ht="12.75"/>
    <row r="6717" s="3161" customFormat="1" ht="12.75"/>
    <row r="6718" s="3161" customFormat="1" ht="12.75"/>
    <row r="6719" s="3161" customFormat="1" ht="12.75"/>
    <row r="6720" s="3161" customFormat="1" ht="12.75"/>
    <row r="6721" s="3161" customFormat="1" ht="12.75"/>
    <row r="6722" s="3161" customFormat="1" ht="12.75"/>
    <row r="6723" s="3161" customFormat="1" ht="12.75"/>
    <row r="6724" s="3161" customFormat="1" ht="12.75"/>
    <row r="6725" s="3161" customFormat="1" ht="12.75"/>
    <row r="6726" s="3161" customFormat="1" ht="12.75"/>
    <row r="6727" s="3161" customFormat="1" ht="12.75"/>
    <row r="6728" s="3161" customFormat="1" ht="12.75"/>
    <row r="6729" s="3161" customFormat="1" ht="12.75"/>
    <row r="6730" s="3161" customFormat="1" ht="12.75"/>
    <row r="6731" s="3161" customFormat="1" ht="12.75"/>
    <row r="6732" s="3161" customFormat="1" ht="12.75"/>
    <row r="6733" s="3161" customFormat="1" ht="12.75"/>
    <row r="6734" s="3161" customFormat="1" ht="12.75"/>
    <row r="6735" s="3161" customFormat="1" ht="12.75"/>
    <row r="6736" s="3161" customFormat="1" ht="12.75"/>
    <row r="6737" s="3161" customFormat="1" ht="12.75"/>
    <row r="6738" s="3161" customFormat="1" ht="12.75"/>
    <row r="6739" s="3161" customFormat="1" ht="12.75"/>
    <row r="6740" s="3161" customFormat="1" ht="12.75"/>
    <row r="6741" s="3161" customFormat="1" ht="12.75"/>
    <row r="6742" s="3161" customFormat="1" ht="12.75"/>
    <row r="6743" s="3161" customFormat="1" ht="12.75"/>
    <row r="6744" s="3161" customFormat="1" ht="12.75"/>
    <row r="6745" s="3161" customFormat="1" ht="12.75"/>
    <row r="6746" s="3161" customFormat="1" ht="12.75"/>
    <row r="6747" s="3161" customFormat="1" ht="12.75"/>
    <row r="6748" s="3161" customFormat="1" ht="12.75"/>
    <row r="6749" s="3161" customFormat="1" ht="12.75"/>
    <row r="6750" s="3161" customFormat="1" ht="12.75"/>
    <row r="6751" s="3161" customFormat="1" ht="12.75"/>
    <row r="6752" s="3161" customFormat="1" ht="12.75"/>
    <row r="6753" s="3161" customFormat="1" ht="12.75"/>
    <row r="6754" s="3161" customFormat="1" ht="12.75"/>
    <row r="6755" s="3161" customFormat="1" ht="12.75"/>
    <row r="6756" s="3161" customFormat="1" ht="12.75"/>
    <row r="6757" s="3161" customFormat="1" ht="12.75"/>
    <row r="6758" s="3161" customFormat="1" ht="12.75"/>
    <row r="6759" s="3161" customFormat="1" ht="12.75"/>
    <row r="6760" s="3161" customFormat="1" ht="12.75"/>
    <row r="6761" s="3161" customFormat="1" ht="12.75"/>
    <row r="6762" s="3161" customFormat="1" ht="12.75"/>
    <row r="6763" s="3161" customFormat="1" ht="12.75"/>
    <row r="6764" s="3161" customFormat="1" ht="12.75"/>
    <row r="6765" s="3161" customFormat="1" ht="12.75"/>
    <row r="6766" s="3161" customFormat="1" ht="12.75"/>
    <row r="6767" s="3161" customFormat="1" ht="12.75"/>
    <row r="6768" s="3161" customFormat="1" ht="12.75"/>
    <row r="6769" s="3161" customFormat="1" ht="12.75"/>
    <row r="6770" s="3161" customFormat="1" ht="12.75"/>
    <row r="6771" s="3161" customFormat="1" ht="12.75"/>
    <row r="6772" s="3161" customFormat="1" ht="12.75"/>
    <row r="6773" s="3161" customFormat="1" ht="12.75"/>
    <row r="6774" s="3161" customFormat="1" ht="12.75"/>
    <row r="6775" s="3161" customFormat="1" ht="12.75"/>
    <row r="6776" s="3161" customFormat="1" ht="12.75"/>
    <row r="6777" s="3161" customFormat="1" ht="12.75"/>
    <row r="6778" s="3161" customFormat="1" ht="12.75"/>
    <row r="6779" s="3161" customFormat="1" ht="12.75"/>
    <row r="6780" s="3161" customFormat="1" ht="12.75"/>
    <row r="6781" s="3161" customFormat="1" ht="12.75"/>
    <row r="6782" s="3161" customFormat="1" ht="12.75"/>
    <row r="6783" s="3161" customFormat="1" ht="12.75"/>
    <row r="6784" s="3161" customFormat="1" ht="12.75"/>
    <row r="6785" s="3161" customFormat="1" ht="12.75"/>
    <row r="6786" s="3161" customFormat="1" ht="12.75"/>
    <row r="6787" s="3161" customFormat="1" ht="12.75"/>
    <row r="6788" s="3161" customFormat="1" ht="12.75"/>
    <row r="6789" s="3161" customFormat="1" ht="12.75"/>
    <row r="6790" s="3161" customFormat="1" ht="12.75"/>
    <row r="6791" s="3161" customFormat="1" ht="12.75"/>
    <row r="6792" s="3161" customFormat="1" ht="12.75"/>
    <row r="6793" s="3161" customFormat="1" ht="12.75"/>
    <row r="6794" s="3161" customFormat="1" ht="12.75"/>
    <row r="6795" s="3161" customFormat="1" ht="12.75"/>
    <row r="6796" s="3161" customFormat="1" ht="12.75"/>
    <row r="6797" s="3161" customFormat="1" ht="12.75"/>
    <row r="6798" s="3161" customFormat="1" ht="12.75"/>
    <row r="6799" s="3161" customFormat="1" ht="12.75"/>
    <row r="6800" s="3161" customFormat="1" ht="12.75"/>
    <row r="6801" s="3161" customFormat="1" ht="12.75"/>
    <row r="6802" s="3161" customFormat="1" ht="12.75"/>
    <row r="6803" s="3161" customFormat="1" ht="12.75"/>
    <row r="6804" s="3161" customFormat="1" ht="12.75"/>
    <row r="6805" s="3161" customFormat="1" ht="12.75"/>
    <row r="6806" s="3161" customFormat="1" ht="12.75"/>
    <row r="6807" s="3161" customFormat="1" ht="12.75"/>
    <row r="6808" s="3161" customFormat="1" ht="12.75"/>
    <row r="6809" s="3161" customFormat="1" ht="12.75"/>
    <row r="6810" s="3161" customFormat="1" ht="12.75"/>
    <row r="6811" s="3161" customFormat="1" ht="12.75"/>
    <row r="6812" s="3161" customFormat="1" ht="12.75"/>
    <row r="6813" s="3161" customFormat="1" ht="12.75"/>
    <row r="6814" s="3161" customFormat="1" ht="12.75"/>
    <row r="6815" s="3161" customFormat="1" ht="12.75"/>
    <row r="6816" s="3161" customFormat="1" ht="12.75"/>
    <row r="6817" s="3161" customFormat="1" ht="12.75"/>
    <row r="6818" s="3161" customFormat="1" ht="12.75"/>
    <row r="6819" s="3161" customFormat="1" ht="12.75"/>
    <row r="6820" s="3161" customFormat="1" ht="12.75"/>
    <row r="6821" s="3161" customFormat="1" ht="12.75"/>
    <row r="6822" s="3161" customFormat="1" ht="12.75"/>
    <row r="6823" s="3161" customFormat="1" ht="12.75"/>
    <row r="6824" s="3161" customFormat="1" ht="12.75"/>
    <row r="6825" s="3161" customFormat="1" ht="12.75"/>
    <row r="6826" s="3161" customFormat="1" ht="12.75"/>
    <row r="6827" s="3161" customFormat="1" ht="12.75"/>
    <row r="6828" s="3161" customFormat="1" ht="12.75"/>
    <row r="6829" s="3161" customFormat="1" ht="12.75"/>
    <row r="6830" s="3161" customFormat="1" ht="12.75"/>
    <row r="6831" s="3161" customFormat="1" ht="12.75"/>
    <row r="6832" s="3161" customFormat="1" ht="12.75"/>
    <row r="6833" s="3161" customFormat="1" ht="12.75"/>
    <row r="6834" s="3161" customFormat="1" ht="12.75"/>
    <row r="6835" s="3161" customFormat="1" ht="12.75"/>
    <row r="6836" s="3161" customFormat="1" ht="12.75"/>
    <row r="6837" s="3161" customFormat="1" ht="12.75"/>
    <row r="6838" s="3161" customFormat="1" ht="12.75"/>
    <row r="6839" s="3161" customFormat="1" ht="12.75"/>
    <row r="6840" s="3161" customFormat="1" ht="12.75"/>
    <row r="6841" s="3161" customFormat="1" ht="12.75"/>
    <row r="6842" s="3161" customFormat="1" ht="12.75"/>
    <row r="6843" s="3161" customFormat="1" ht="12.75"/>
    <row r="6844" s="3161" customFormat="1" ht="12.75"/>
    <row r="6845" s="3161" customFormat="1" ht="12.75"/>
    <row r="6846" s="3161" customFormat="1" ht="12.75"/>
    <row r="6847" s="3161" customFormat="1" ht="12.75"/>
    <row r="6848" s="3161" customFormat="1" ht="12.75"/>
    <row r="6849" s="3161" customFormat="1" ht="12.75"/>
    <row r="6850" s="3161" customFormat="1" ht="12.75"/>
    <row r="6851" s="3161" customFormat="1" ht="12.75"/>
    <row r="6852" s="3161" customFormat="1" ht="12.75"/>
    <row r="6853" s="3161" customFormat="1" ht="12.75"/>
    <row r="6854" s="3161" customFormat="1" ht="12.75"/>
    <row r="6855" s="3161" customFormat="1" ht="12.75"/>
    <row r="6856" s="3161" customFormat="1" ht="12.75"/>
    <row r="6857" s="3161" customFormat="1" ht="12.75"/>
    <row r="6858" s="3161" customFormat="1" ht="12.75"/>
    <row r="6859" s="3161" customFormat="1" ht="12.75"/>
    <row r="6860" s="3161" customFormat="1" ht="12.75"/>
    <row r="6861" s="3161" customFormat="1" ht="12.75"/>
    <row r="6862" s="3161" customFormat="1" ht="12.75"/>
    <row r="6863" s="3161" customFormat="1" ht="12.75"/>
    <row r="6864" s="3161" customFormat="1" ht="12.75"/>
    <row r="6865" s="3161" customFormat="1" ht="12.75"/>
    <row r="6866" s="3161" customFormat="1" ht="12.75"/>
    <row r="6867" s="3161" customFormat="1" ht="12.75"/>
    <row r="6868" s="3161" customFormat="1" ht="12.75"/>
    <row r="6869" s="3161" customFormat="1" ht="12.75"/>
    <row r="6870" s="3161" customFormat="1" ht="12.75"/>
    <row r="6871" s="3161" customFormat="1" ht="12.75"/>
    <row r="6872" s="3161" customFormat="1" ht="12.75"/>
    <row r="6873" s="3161" customFormat="1" ht="12.75"/>
    <row r="6874" s="3161" customFormat="1" ht="12.75"/>
    <row r="6875" s="3161" customFormat="1" ht="12.75"/>
    <row r="6876" s="3161" customFormat="1" ht="12.75"/>
    <row r="6877" s="3161" customFormat="1" ht="12.75"/>
    <row r="6878" s="3161" customFormat="1" ht="12.75"/>
    <row r="6879" s="3161" customFormat="1" ht="12.75"/>
    <row r="6880" s="3161" customFormat="1" ht="12.75"/>
    <row r="6881" s="3161" customFormat="1" ht="12.75"/>
    <row r="6882" s="3161" customFormat="1" ht="12.75"/>
    <row r="6883" s="3161" customFormat="1" ht="12.75"/>
    <row r="6884" s="3161" customFormat="1" ht="12.75"/>
    <row r="6885" s="3161" customFormat="1" ht="12.75"/>
    <row r="6886" s="3161" customFormat="1" ht="12.75"/>
    <row r="6887" s="3161" customFormat="1" ht="12.75"/>
    <row r="6888" s="3161" customFormat="1" ht="12.75"/>
    <row r="6889" s="3161" customFormat="1" ht="12.75"/>
    <row r="6890" s="3161" customFormat="1" ht="12.75"/>
    <row r="6891" s="3161" customFormat="1" ht="12.75"/>
    <row r="6892" s="3161" customFormat="1" ht="12.75"/>
    <row r="6893" s="3161" customFormat="1" ht="12.75"/>
    <row r="6894" s="3161" customFormat="1" ht="12.75"/>
    <row r="6895" s="3161" customFormat="1" ht="12.75"/>
    <row r="6896" s="3161" customFormat="1" ht="12.75"/>
    <row r="6897" s="3161" customFormat="1" ht="12.75"/>
    <row r="6898" s="3161" customFormat="1" ht="12.75"/>
    <row r="6899" s="3161" customFormat="1" ht="12.75"/>
    <row r="6900" s="3161" customFormat="1" ht="12.75"/>
    <row r="6901" s="3161" customFormat="1" ht="12.75"/>
    <row r="6902" s="3161" customFormat="1" ht="12.75"/>
    <row r="6903" s="3161" customFormat="1" ht="12.75"/>
    <row r="6904" s="3161" customFormat="1" ht="12.75"/>
    <row r="6905" s="3161" customFormat="1" ht="12.75"/>
    <row r="6906" s="3161" customFormat="1" ht="12.75"/>
    <row r="6907" s="3161" customFormat="1" ht="12.75"/>
    <row r="6908" s="3161" customFormat="1" ht="12.75"/>
    <row r="6909" s="3161" customFormat="1" ht="12.75"/>
    <row r="6910" s="3161" customFormat="1" ht="12.75"/>
    <row r="6911" s="3161" customFormat="1" ht="12.75"/>
    <row r="6912" s="3161" customFormat="1" ht="12.75"/>
    <row r="6913" s="3161" customFormat="1" ht="12.75"/>
    <row r="6914" s="3161" customFormat="1" ht="12.75"/>
    <row r="6915" s="3161" customFormat="1" ht="12.75"/>
    <row r="6916" s="3161" customFormat="1" ht="12.75"/>
    <row r="6917" s="3161" customFormat="1" ht="12.75"/>
    <row r="6918" s="3161" customFormat="1" ht="12.75"/>
    <row r="6919" s="3161" customFormat="1" ht="12.75"/>
    <row r="6920" s="3161" customFormat="1" ht="12.75"/>
    <row r="6921" s="3161" customFormat="1" ht="12.75"/>
    <row r="6922" s="3161" customFormat="1" ht="12.75"/>
    <row r="6923" s="3161" customFormat="1" ht="12.75"/>
    <row r="6924" s="3161" customFormat="1" ht="12.75"/>
    <row r="6925" s="3161" customFormat="1" ht="12.75"/>
    <row r="6926" s="3161" customFormat="1" ht="12.75"/>
    <row r="6927" s="3161" customFormat="1" ht="12.75"/>
    <row r="6928" s="3161" customFormat="1" ht="12.75"/>
    <row r="6929" s="3161" customFormat="1" ht="12.75"/>
    <row r="6930" s="3161" customFormat="1" ht="12.75"/>
    <row r="6931" s="3161" customFormat="1" ht="12.75"/>
    <row r="6932" s="3161" customFormat="1" ht="12.75"/>
    <row r="6933" s="3161" customFormat="1" ht="12.75"/>
    <row r="6934" s="3161" customFormat="1" ht="12.75"/>
    <row r="6935" s="3161" customFormat="1" ht="12.75"/>
    <row r="6936" s="3161" customFormat="1" ht="12.75"/>
    <row r="6937" s="3161" customFormat="1" ht="12.75"/>
    <row r="6938" s="3161" customFormat="1" ht="12.75"/>
    <row r="6939" s="3161" customFormat="1" ht="12.75"/>
    <row r="6940" s="3161" customFormat="1" ht="12.75"/>
    <row r="6941" s="3161" customFormat="1" ht="12.75"/>
    <row r="6942" s="3161" customFormat="1" ht="12.75"/>
    <row r="6943" s="3161" customFormat="1" ht="12.75"/>
    <row r="6944" s="3161" customFormat="1" ht="12.75"/>
    <row r="6945" s="3161" customFormat="1" ht="12.75"/>
    <row r="6946" s="3161" customFormat="1" ht="12.75"/>
    <row r="6947" s="3161" customFormat="1" ht="12.75"/>
    <row r="6948" s="3161" customFormat="1" ht="12.75"/>
    <row r="6949" s="3161" customFormat="1" ht="12.75"/>
    <row r="6950" s="3161" customFormat="1" ht="12.75"/>
    <row r="6951" s="3161" customFormat="1" ht="12.75"/>
    <row r="6952" s="3161" customFormat="1" ht="12.75"/>
    <row r="6953" s="3161" customFormat="1" ht="12.75"/>
    <row r="6954" s="3161" customFormat="1" ht="12.75"/>
    <row r="6955" s="3161" customFormat="1" ht="12.75"/>
    <row r="6956" s="3161" customFormat="1" ht="12.75"/>
    <row r="6957" s="3161" customFormat="1" ht="12.75"/>
    <row r="6958" s="3161" customFormat="1" ht="12.75"/>
    <row r="6959" s="3161" customFormat="1" ht="12.75"/>
    <row r="6960" s="3161" customFormat="1" ht="12.75"/>
    <row r="6961" s="3161" customFormat="1" ht="12.75"/>
    <row r="6962" s="3161" customFormat="1" ht="12.75"/>
    <row r="6963" s="3161" customFormat="1" ht="12.75"/>
    <row r="6964" s="3161" customFormat="1" ht="12.75"/>
    <row r="6965" s="3161" customFormat="1" ht="12.75"/>
    <row r="6966" s="3161" customFormat="1" ht="12.75"/>
    <row r="6967" s="3161" customFormat="1" ht="12.75"/>
    <row r="6968" s="3161" customFormat="1" ht="12.75"/>
    <row r="6969" s="3161" customFormat="1" ht="12.75"/>
    <row r="6970" s="3161" customFormat="1" ht="12.75"/>
    <row r="6971" s="3161" customFormat="1" ht="12.75"/>
    <row r="6972" s="3161" customFormat="1" ht="12.75"/>
    <row r="6973" s="3161" customFormat="1" ht="12.75"/>
    <row r="6974" s="3161" customFormat="1" ht="12.75"/>
    <row r="6975" s="3161" customFormat="1" ht="12.75"/>
    <row r="6976" s="3161" customFormat="1" ht="12.75"/>
    <row r="6977" s="3161" customFormat="1" ht="12.75"/>
    <row r="6978" s="3161" customFormat="1" ht="12.75"/>
    <row r="6979" s="3161" customFormat="1" ht="12.75"/>
    <row r="6980" s="3161" customFormat="1" ht="12.75"/>
    <row r="6981" s="3161" customFormat="1" ht="12.75"/>
    <row r="6982" s="3161" customFormat="1" ht="12.75"/>
    <row r="6983" s="3161" customFormat="1" ht="12.75"/>
    <row r="6984" s="3161" customFormat="1" ht="12.75"/>
    <row r="6985" s="3161" customFormat="1" ht="12.75"/>
    <row r="6986" s="3161" customFormat="1" ht="12.75"/>
    <row r="6987" s="3161" customFormat="1" ht="12.75"/>
    <row r="6988" s="3161" customFormat="1" ht="12.75"/>
    <row r="6989" s="3161" customFormat="1" ht="12.75"/>
    <row r="6990" s="3161" customFormat="1" ht="12.75"/>
    <row r="6991" s="3161" customFormat="1" ht="12.75"/>
    <row r="6992" s="3161" customFormat="1" ht="12.75"/>
    <row r="6993" s="3161" customFormat="1" ht="12.75"/>
    <row r="6994" s="3161" customFormat="1" ht="12.75"/>
    <row r="6995" s="3161" customFormat="1" ht="12.75"/>
    <row r="6996" s="3161" customFormat="1" ht="12.75"/>
    <row r="6997" s="3161" customFormat="1" ht="12.75"/>
    <row r="6998" s="3161" customFormat="1" ht="12.75"/>
    <row r="6999" s="3161" customFormat="1" ht="12.75"/>
    <row r="7000" s="3161" customFormat="1" ht="12.75"/>
    <row r="7001" s="3161" customFormat="1" ht="12.75"/>
    <row r="7002" s="3161" customFormat="1" ht="12.75"/>
    <row r="7003" s="3161" customFormat="1" ht="12.75"/>
    <row r="7004" s="3161" customFormat="1" ht="12.75"/>
    <row r="7005" s="3161" customFormat="1" ht="12.75"/>
    <row r="7006" s="3161" customFormat="1" ht="12.75"/>
    <row r="7007" s="3161" customFormat="1" ht="12.75"/>
    <row r="7008" s="3161" customFormat="1" ht="12.75"/>
    <row r="7009" s="3161" customFormat="1" ht="12.75"/>
    <row r="7010" s="3161" customFormat="1" ht="12.75"/>
    <row r="7011" s="3161" customFormat="1" ht="12.75"/>
    <row r="7012" s="3161" customFormat="1" ht="12.75"/>
    <row r="7013" s="3161" customFormat="1" ht="12.75"/>
    <row r="7014" s="3161" customFormat="1" ht="12.75"/>
    <row r="7015" s="3161" customFormat="1" ht="12.75"/>
    <row r="7016" s="3161" customFormat="1" ht="12.75"/>
    <row r="7017" s="3161" customFormat="1" ht="12.75"/>
    <row r="7018" s="3161" customFormat="1" ht="12.75"/>
    <row r="7019" s="3161" customFormat="1" ht="12.75"/>
    <row r="7020" s="3161" customFormat="1" ht="12.75"/>
    <row r="7021" s="3161" customFormat="1" ht="12.75"/>
    <row r="7022" s="3161" customFormat="1" ht="12.75"/>
    <row r="7023" s="3161" customFormat="1" ht="12.75"/>
    <row r="7024" s="3161" customFormat="1" ht="12.75"/>
    <row r="7025" s="3161" customFormat="1" ht="12.75"/>
    <row r="7026" s="3161" customFormat="1" ht="12.75"/>
    <row r="7027" s="3161" customFormat="1" ht="12.75"/>
    <row r="7028" s="3161" customFormat="1" ht="12.75"/>
    <row r="7029" s="3161" customFormat="1" ht="12.75"/>
    <row r="7030" s="3161" customFormat="1" ht="12.75"/>
    <row r="7031" s="3161" customFormat="1" ht="12.75"/>
    <row r="7032" s="3161" customFormat="1" ht="12.75"/>
    <row r="7033" s="3161" customFormat="1" ht="12.75"/>
    <row r="7034" s="3161" customFormat="1" ht="12.75"/>
    <row r="7035" s="3161" customFormat="1" ht="12.75"/>
    <row r="7036" s="3161" customFormat="1" ht="12.75"/>
    <row r="7037" s="3161" customFormat="1" ht="12.75"/>
    <row r="7038" s="3161" customFormat="1" ht="12.75"/>
    <row r="7039" s="3161" customFormat="1" ht="12.75"/>
    <row r="7040" s="3161" customFormat="1" ht="12.75"/>
    <row r="7041" s="3161" customFormat="1" ht="12.75"/>
    <row r="7042" s="3161" customFormat="1" ht="12.75"/>
    <row r="7043" s="3161" customFormat="1" ht="12.75"/>
    <row r="7044" s="3161" customFormat="1" ht="12.75"/>
    <row r="7045" s="3161" customFormat="1" ht="12.75"/>
    <row r="7046" s="3161" customFormat="1" ht="12.75"/>
    <row r="7047" s="3161" customFormat="1" ht="12.75"/>
    <row r="7048" s="3161" customFormat="1" ht="12.75"/>
    <row r="7049" s="3161" customFormat="1" ht="12.75"/>
    <row r="7050" s="3161" customFormat="1" ht="12.75"/>
    <row r="7051" s="3161" customFormat="1" ht="12.75"/>
    <row r="7052" s="3161" customFormat="1" ht="12.75"/>
    <row r="7053" s="3161" customFormat="1" ht="12.75"/>
    <row r="7054" s="3161" customFormat="1" ht="12.75"/>
    <row r="7055" s="3161" customFormat="1" ht="12.75"/>
    <row r="7056" s="3161" customFormat="1" ht="12.75"/>
    <row r="7057" s="3161" customFormat="1" ht="12.75"/>
    <row r="7058" s="3161" customFormat="1" ht="12.75"/>
    <row r="7059" s="3161" customFormat="1" ht="12.75"/>
    <row r="7060" s="3161" customFormat="1" ht="12.75"/>
    <row r="7061" s="3161" customFormat="1" ht="12.75"/>
    <row r="7062" s="3161" customFormat="1" ht="12.75"/>
    <row r="7063" s="3161" customFormat="1" ht="12.75"/>
    <row r="7064" s="3161" customFormat="1" ht="12.75"/>
    <row r="7065" s="3161" customFormat="1" ht="12.75"/>
    <row r="7066" s="3161" customFormat="1" ht="12.75"/>
    <row r="7067" s="3161" customFormat="1" ht="12.75"/>
    <row r="7068" s="3161" customFormat="1" ht="12.75"/>
    <row r="7069" s="3161" customFormat="1" ht="12.75"/>
    <row r="7070" s="3161" customFormat="1" ht="12.75"/>
    <row r="7071" s="3161" customFormat="1" ht="12.75"/>
    <row r="7072" s="3161" customFormat="1" ht="12.75"/>
    <row r="7073" s="3161" customFormat="1" ht="12.75"/>
    <row r="7074" s="3161" customFormat="1" ht="12.75"/>
    <row r="7075" s="3161" customFormat="1" ht="12.75"/>
    <row r="7076" s="3161" customFormat="1" ht="12.75"/>
    <row r="7077" s="3161" customFormat="1" ht="12.75"/>
    <row r="7078" s="3161" customFormat="1" ht="12.75"/>
    <row r="7079" s="3161" customFormat="1" ht="12.75"/>
    <row r="7080" s="3161" customFormat="1" ht="12.75"/>
    <row r="7081" s="3161" customFormat="1" ht="12.75"/>
    <row r="7082" s="3161" customFormat="1" ht="12.75"/>
    <row r="7083" s="3161" customFormat="1" ht="12.75"/>
    <row r="7084" s="3161" customFormat="1" ht="12.75"/>
    <row r="7085" s="3161" customFormat="1" ht="12.75"/>
    <row r="7086" s="3161" customFormat="1" ht="12.75"/>
    <row r="7087" s="3161" customFormat="1" ht="12.75"/>
    <row r="7088" s="3161" customFormat="1" ht="12.75"/>
    <row r="7089" s="3161" customFormat="1" ht="12.75"/>
    <row r="7090" s="3161" customFormat="1" ht="12.75"/>
    <row r="7091" s="3161" customFormat="1" ht="12.75"/>
    <row r="7092" s="3161" customFormat="1" ht="12.75"/>
    <row r="7093" s="3161" customFormat="1" ht="12.75"/>
    <row r="7094" s="3161" customFormat="1" ht="12.75"/>
    <row r="7095" s="3161" customFormat="1" ht="12.75"/>
    <row r="7096" s="3161" customFormat="1" ht="12.75"/>
    <row r="7097" s="3161" customFormat="1" ht="12.75"/>
    <row r="7098" s="3161" customFormat="1" ht="12.75"/>
    <row r="7099" s="3161" customFormat="1" ht="12.75"/>
    <row r="7100" s="3161" customFormat="1" ht="12.75"/>
    <row r="7101" s="3161" customFormat="1" ht="12.75"/>
    <row r="7102" s="3161" customFormat="1" ht="12.75"/>
    <row r="7103" s="3161" customFormat="1" ht="12.75"/>
    <row r="7104" s="3161" customFormat="1" ht="12.75"/>
    <row r="7105" s="3161" customFormat="1" ht="12.75"/>
    <row r="7106" s="3161" customFormat="1" ht="12.75"/>
    <row r="7107" s="3161" customFormat="1" ht="12.75"/>
    <row r="7108" s="3161" customFormat="1" ht="12.75"/>
    <row r="7109" s="3161" customFormat="1" ht="12.75"/>
    <row r="7110" s="3161" customFormat="1" ht="12.75"/>
    <row r="7111" s="3161" customFormat="1" ht="12.75"/>
    <row r="7112" s="3161" customFormat="1" ht="12.75"/>
    <row r="7113" s="3161" customFormat="1" ht="12.75"/>
    <row r="7114" s="3161" customFormat="1" ht="12.75"/>
    <row r="7115" s="3161" customFormat="1" ht="12.75"/>
    <row r="7116" s="3161" customFormat="1" ht="12.75"/>
    <row r="7117" s="3161" customFormat="1" ht="12.75"/>
    <row r="7118" s="3161" customFormat="1" ht="12.75"/>
    <row r="7119" s="3161" customFormat="1" ht="12.75"/>
    <row r="7120" s="3161" customFormat="1" ht="12.75"/>
    <row r="7121" s="3161" customFormat="1" ht="12.75"/>
    <row r="7122" s="3161" customFormat="1" ht="12.75"/>
    <row r="7123" s="3161" customFormat="1" ht="12.75"/>
    <row r="7124" s="3161" customFormat="1" ht="12.75"/>
    <row r="7125" s="3161" customFormat="1" ht="12.75"/>
    <row r="7126" s="3161" customFormat="1" ht="12.75"/>
    <row r="7127" s="3161" customFormat="1" ht="12.75"/>
    <row r="7128" s="3161" customFormat="1" ht="12.75"/>
    <row r="7129" s="3161" customFormat="1" ht="12.75"/>
    <row r="7130" s="3161" customFormat="1" ht="12.75"/>
    <row r="7131" s="3161" customFormat="1" ht="12.75"/>
    <row r="7132" s="3161" customFormat="1" ht="12.75"/>
    <row r="7133" s="3161" customFormat="1" ht="12.75"/>
    <row r="7134" s="3161" customFormat="1" ht="12.75"/>
    <row r="7135" s="3161" customFormat="1" ht="12.75"/>
    <row r="7136" s="3161" customFormat="1" ht="12.75"/>
    <row r="7137" s="3161" customFormat="1" ht="12.75"/>
    <row r="7138" s="3161" customFormat="1" ht="12.75"/>
    <row r="7139" s="3161" customFormat="1" ht="12.75"/>
    <row r="7140" s="3161" customFormat="1" ht="12.75"/>
    <row r="7141" s="3161" customFormat="1" ht="12.75"/>
    <row r="7142" s="3161" customFormat="1" ht="12.75"/>
    <row r="7143" s="3161" customFormat="1" ht="12.75"/>
    <row r="7144" s="3161" customFormat="1" ht="12.75"/>
    <row r="7145" s="3161" customFormat="1" ht="12.75"/>
    <row r="7146" s="3161" customFormat="1" ht="12.75"/>
    <row r="7147" s="3161" customFormat="1" ht="12.75"/>
    <row r="7148" s="3161" customFormat="1" ht="12.75"/>
    <row r="7149" s="3161" customFormat="1" ht="12.75"/>
    <row r="7150" s="3161" customFormat="1" ht="12.75"/>
    <row r="7151" s="3161" customFormat="1" ht="12.75"/>
    <row r="7152" s="3161" customFormat="1" ht="12.75"/>
    <row r="7153" s="3161" customFormat="1" ht="12.75"/>
    <row r="7154" s="3161" customFormat="1" ht="12.75"/>
    <row r="7155" s="3161" customFormat="1" ht="12.75"/>
    <row r="7156" s="3161" customFormat="1" ht="12.75"/>
    <row r="7157" s="3161" customFormat="1" ht="12.75"/>
    <row r="7158" s="3161" customFormat="1" ht="12.75"/>
    <row r="7159" s="3161" customFormat="1" ht="12.75"/>
    <row r="7160" s="3161" customFormat="1" ht="12.75"/>
    <row r="7161" s="3161" customFormat="1" ht="12.75"/>
    <row r="7162" s="3161" customFormat="1" ht="12.75"/>
    <row r="7163" s="3161" customFormat="1" ht="12.75"/>
    <row r="7164" s="3161" customFormat="1" ht="12.75"/>
    <row r="7165" s="3161" customFormat="1" ht="12.75"/>
    <row r="7166" s="3161" customFormat="1" ht="12.75"/>
    <row r="7167" s="3161" customFormat="1" ht="12.75"/>
    <row r="7168" s="3161" customFormat="1" ht="12.75"/>
    <row r="7169" s="3161" customFormat="1" ht="12.75"/>
    <row r="7170" s="3161" customFormat="1" ht="12.75"/>
    <row r="7171" s="3161" customFormat="1" ht="12.75"/>
    <row r="7172" s="3161" customFormat="1" ht="12.75"/>
    <row r="7173" s="3161" customFormat="1" ht="12.75"/>
    <row r="7174" s="3161" customFormat="1" ht="12.75"/>
    <row r="7175" s="3161" customFormat="1" ht="12.75"/>
    <row r="7176" s="3161" customFormat="1" ht="12.75"/>
    <row r="7177" s="3161" customFormat="1" ht="12.75"/>
    <row r="7178" s="3161" customFormat="1" ht="12.75"/>
    <row r="7179" s="3161" customFormat="1" ht="12.75"/>
    <row r="7180" s="3161" customFormat="1" ht="12.75"/>
    <row r="7181" s="3161" customFormat="1" ht="12.75"/>
    <row r="7182" s="3161" customFormat="1" ht="12.75"/>
    <row r="7183" s="3161" customFormat="1" ht="12.75"/>
    <row r="7184" s="3161" customFormat="1" ht="12.75"/>
    <row r="7185" s="3161" customFormat="1" ht="12.75"/>
    <row r="7186" s="3161" customFormat="1" ht="12.75"/>
    <row r="7187" s="3161" customFormat="1" ht="12.75"/>
    <row r="7188" s="3161" customFormat="1" ht="12.75"/>
    <row r="7189" s="3161" customFormat="1" ht="12.75"/>
    <row r="7190" s="3161" customFormat="1" ht="12.75"/>
    <row r="7191" s="3161" customFormat="1" ht="12.75"/>
    <row r="7192" s="3161" customFormat="1" ht="12.75"/>
    <row r="7193" s="3161" customFormat="1" ht="12.75"/>
    <row r="7194" s="3161" customFormat="1" ht="12.75"/>
    <row r="7195" s="3161" customFormat="1" ht="12.75"/>
    <row r="7196" s="3161" customFormat="1" ht="12.75"/>
    <row r="7197" s="3161" customFormat="1" ht="12.75"/>
    <row r="7198" s="3161" customFormat="1" ht="12.75"/>
    <row r="7199" s="3161" customFormat="1" ht="12.75"/>
    <row r="7200" s="3161" customFormat="1" ht="12.75"/>
    <row r="7201" s="3161" customFormat="1" ht="12.75"/>
    <row r="7202" s="3161" customFormat="1" ht="12.75"/>
    <row r="7203" s="3161" customFormat="1" ht="12.75"/>
    <row r="7204" s="3161" customFormat="1" ht="12.75"/>
    <row r="7205" s="3161" customFormat="1" ht="12.75"/>
    <row r="7206" s="3161" customFormat="1" ht="12.75"/>
    <row r="7207" s="3161" customFormat="1" ht="12.75"/>
    <row r="7208" s="3161" customFormat="1" ht="12.75"/>
    <row r="7209" s="3161" customFormat="1" ht="12.75"/>
    <row r="7210" s="3161" customFormat="1" ht="12.75"/>
    <row r="7211" s="3161" customFormat="1" ht="12.75"/>
    <row r="7212" s="3161" customFormat="1" ht="12.75"/>
    <row r="7213" s="3161" customFormat="1" ht="12.75"/>
    <row r="7214" s="3161" customFormat="1" ht="12.75"/>
    <row r="7215" s="3161" customFormat="1" ht="12.75"/>
    <row r="7216" s="3161" customFormat="1" ht="12.75"/>
    <row r="7217" s="3161" customFormat="1" ht="12.75"/>
    <row r="7218" s="3161" customFormat="1" ht="12.75"/>
    <row r="7219" s="3161" customFormat="1" ht="12.75"/>
    <row r="7220" s="3161" customFormat="1" ht="12.75"/>
    <row r="7221" s="3161" customFormat="1" ht="12.75"/>
    <row r="7222" s="3161" customFormat="1" ht="12.75"/>
    <row r="7223" s="3161" customFormat="1" ht="12.75"/>
    <row r="7224" s="3161" customFormat="1" ht="12.75"/>
    <row r="7225" s="3161" customFormat="1" ht="12.75"/>
    <row r="7226" s="3161" customFormat="1" ht="12.75"/>
    <row r="7227" s="3161" customFormat="1" ht="12.75"/>
    <row r="7228" s="3161" customFormat="1" ht="12.75"/>
    <row r="7229" s="3161" customFormat="1" ht="12.75"/>
    <row r="7230" s="3161" customFormat="1" ht="12.75"/>
    <row r="7231" s="3161" customFormat="1" ht="12.75"/>
    <row r="7232" s="3161" customFormat="1" ht="12.75"/>
    <row r="7233" s="3161" customFormat="1" ht="12.75"/>
    <row r="7234" s="3161" customFormat="1" ht="12.75"/>
    <row r="7235" s="3161" customFormat="1" ht="12.75"/>
    <row r="7236" s="3161" customFormat="1" ht="12.75"/>
    <row r="7237" s="3161" customFormat="1" ht="12.75"/>
    <row r="7238" s="3161" customFormat="1" ht="12.75"/>
    <row r="7239" s="3161" customFormat="1" ht="12.75"/>
    <row r="7240" s="3161" customFormat="1" ht="12.75"/>
    <row r="7241" s="3161" customFormat="1" ht="12.75"/>
    <row r="7242" s="3161" customFormat="1" ht="12.75"/>
    <row r="7243" s="3161" customFormat="1" ht="12.75"/>
    <row r="7244" s="3161" customFormat="1" ht="12.75"/>
    <row r="7245" s="3161" customFormat="1" ht="12.75"/>
    <row r="7246" s="3161" customFormat="1" ht="12.75"/>
    <row r="7247" s="3161" customFormat="1" ht="12.75"/>
    <row r="7248" s="3161" customFormat="1" ht="12.75"/>
    <row r="7249" s="3161" customFormat="1" ht="12.75"/>
    <row r="7250" s="3161" customFormat="1" ht="12.75"/>
    <row r="7251" s="3161" customFormat="1" ht="12.75"/>
    <row r="7252" s="3161" customFormat="1" ht="12.75"/>
    <row r="7253" s="3161" customFormat="1" ht="12.75"/>
    <row r="7254" s="3161" customFormat="1" ht="12.75"/>
    <row r="7255" s="3161" customFormat="1" ht="12.75"/>
    <row r="7256" s="3161" customFormat="1" ht="12.75"/>
    <row r="7257" s="3161" customFormat="1" ht="12.75"/>
    <row r="7258" s="3161" customFormat="1" ht="12.75"/>
    <row r="7259" s="3161" customFormat="1" ht="12.75"/>
    <row r="7260" s="3161" customFormat="1" ht="12.75"/>
    <row r="7261" s="3161" customFormat="1" ht="12.75"/>
    <row r="7262" s="3161" customFormat="1" ht="12.75"/>
    <row r="7263" s="3161" customFormat="1" ht="12.75"/>
    <row r="7264" s="3161" customFormat="1" ht="12.75"/>
    <row r="7265" s="3161" customFormat="1" ht="12.75"/>
    <row r="7266" s="3161" customFormat="1" ht="12.75"/>
    <row r="7267" s="3161" customFormat="1" ht="12.75"/>
    <row r="7268" s="3161" customFormat="1" ht="12.75"/>
    <row r="7269" s="3161" customFormat="1" ht="12.75"/>
    <row r="7270" s="3161" customFormat="1" ht="12.75"/>
    <row r="7271" s="3161" customFormat="1" ht="12.75"/>
    <row r="7272" s="3161" customFormat="1" ht="12.75"/>
    <row r="7273" s="3161" customFormat="1" ht="12.75"/>
    <row r="7274" s="3161" customFormat="1" ht="12.75"/>
    <row r="7275" s="3161" customFormat="1" ht="12.75"/>
    <row r="7276" s="3161" customFormat="1" ht="12.75"/>
    <row r="7277" s="3161" customFormat="1" ht="12.75"/>
    <row r="7278" s="3161" customFormat="1" ht="12.75"/>
    <row r="7279" s="3161" customFormat="1" ht="12.75"/>
    <row r="7280" s="3161" customFormat="1" ht="12.75"/>
    <row r="7281" s="3161" customFormat="1" ht="12.75"/>
    <row r="7282" s="3161" customFormat="1" ht="12.75"/>
    <row r="7283" s="3161" customFormat="1" ht="12.75"/>
    <row r="7284" s="3161" customFormat="1" ht="12.75"/>
    <row r="7285" s="3161" customFormat="1" ht="12.75"/>
    <row r="7286" s="3161" customFormat="1" ht="12.75"/>
    <row r="7287" s="3161" customFormat="1" ht="12.75"/>
    <row r="7288" s="3161" customFormat="1" ht="12.75"/>
    <row r="7289" s="3161" customFormat="1" ht="12.75"/>
    <row r="7290" s="3161" customFormat="1" ht="12.75"/>
    <row r="7291" s="3161" customFormat="1" ht="12.75"/>
    <row r="7292" s="3161" customFormat="1" ht="12.75"/>
    <row r="7293" s="3161" customFormat="1" ht="12.75"/>
    <row r="7294" s="3161" customFormat="1" ht="12.75"/>
    <row r="7295" s="3161" customFormat="1" ht="12.75"/>
    <row r="7296" s="3161" customFormat="1" ht="12.75"/>
    <row r="7297" s="3161" customFormat="1" ht="12.75"/>
    <row r="7298" s="3161" customFormat="1" ht="12.75"/>
    <row r="7299" s="3161" customFormat="1" ht="12.75"/>
    <row r="7300" s="3161" customFormat="1" ht="12.75"/>
    <row r="7301" s="3161" customFormat="1" ht="12.75"/>
    <row r="7302" s="3161" customFormat="1" ht="12.75"/>
    <row r="7303" s="3161" customFormat="1" ht="12.75"/>
    <row r="7304" s="3161" customFormat="1" ht="12.75"/>
    <row r="7305" s="3161" customFormat="1" ht="12.75"/>
    <row r="7306" s="3161" customFormat="1" ht="12.75"/>
    <row r="7307" s="3161" customFormat="1" ht="12.75"/>
    <row r="7308" s="3161" customFormat="1" ht="12.75"/>
    <row r="7309" s="3161" customFormat="1" ht="12.75"/>
    <row r="7310" s="3161" customFormat="1" ht="12.75"/>
    <row r="7311" s="3161" customFormat="1" ht="12.75"/>
    <row r="7312" s="3161" customFormat="1" ht="12.75"/>
    <row r="7313" s="3161" customFormat="1" ht="12.75"/>
    <row r="7314" s="3161" customFormat="1" ht="12.75"/>
    <row r="7315" s="3161" customFormat="1" ht="12.75"/>
    <row r="7316" s="3161" customFormat="1" ht="12.75"/>
    <row r="7317" s="3161" customFormat="1" ht="12.75"/>
    <row r="7318" s="3161" customFormat="1" ht="12.75"/>
    <row r="7319" s="3161" customFormat="1" ht="12.75"/>
    <row r="7320" s="3161" customFormat="1" ht="12.75"/>
    <row r="7321" s="3161" customFormat="1" ht="12.75"/>
    <row r="7322" s="3161" customFormat="1" ht="12.75"/>
    <row r="7323" s="3161" customFormat="1" ht="12.75"/>
    <row r="7324" s="3161" customFormat="1" ht="12.75"/>
    <row r="7325" s="3161" customFormat="1" ht="12.75"/>
    <row r="7326" s="3161" customFormat="1" ht="12.75"/>
    <row r="7327" s="3161" customFormat="1" ht="12.75"/>
    <row r="7328" s="3161" customFormat="1" ht="12.75"/>
    <row r="7329" s="3161" customFormat="1" ht="12.75"/>
    <row r="7330" s="3161" customFormat="1" ht="12.75"/>
    <row r="7331" s="3161" customFormat="1" ht="12.75"/>
    <row r="7332" s="3161" customFormat="1" ht="12.75"/>
    <row r="7333" s="3161" customFormat="1" ht="12.75"/>
    <row r="7334" s="3161" customFormat="1" ht="12.75"/>
    <row r="7335" s="3161" customFormat="1" ht="12.75"/>
    <row r="7336" s="3161" customFormat="1" ht="12.75"/>
    <row r="7337" s="3161" customFormat="1" ht="12.75"/>
    <row r="7338" s="3161" customFormat="1" ht="12.75"/>
    <row r="7339" s="3161" customFormat="1" ht="12.75"/>
    <row r="7340" s="3161" customFormat="1" ht="12.75"/>
    <row r="7341" s="3161" customFormat="1" ht="12.75"/>
    <row r="7342" s="3161" customFormat="1" ht="12.75"/>
    <row r="7343" s="3161" customFormat="1" ht="12.75"/>
    <row r="7344" s="3161" customFormat="1" ht="12.75"/>
    <row r="7345" s="3161" customFormat="1" ht="12.75"/>
    <row r="7346" s="3161" customFormat="1" ht="12.75"/>
    <row r="7347" s="3161" customFormat="1" ht="12.75"/>
    <row r="7348" s="3161" customFormat="1" ht="12.75"/>
    <row r="7349" s="3161" customFormat="1" ht="12.75"/>
    <row r="7350" s="3161" customFormat="1" ht="12.75"/>
    <row r="7351" s="3161" customFormat="1" ht="12.75"/>
    <row r="7352" s="3161" customFormat="1" ht="12.75"/>
    <row r="7353" s="3161" customFormat="1" ht="12.75"/>
    <row r="7354" s="3161" customFormat="1" ht="12.75"/>
    <row r="7355" s="3161" customFormat="1" ht="12.75"/>
    <row r="7356" s="3161" customFormat="1" ht="12.75"/>
    <row r="7357" s="3161" customFormat="1" ht="12.75"/>
    <row r="7358" s="3161" customFormat="1" ht="12.75"/>
    <row r="7359" s="3161" customFormat="1" ht="12.75"/>
    <row r="7360" s="3161" customFormat="1" ht="12.75"/>
    <row r="7361" s="3161" customFormat="1" ht="12.75"/>
    <row r="7362" s="3161" customFormat="1" ht="12.75"/>
    <row r="7363" s="3161" customFormat="1" ht="12.75"/>
    <row r="7364" s="3161" customFormat="1" ht="12.75"/>
    <row r="7365" s="3161" customFormat="1" ht="12.75"/>
    <row r="7366" s="3161" customFormat="1" ht="12.75"/>
    <row r="7367" s="3161" customFormat="1" ht="12.75"/>
    <row r="7368" s="3161" customFormat="1" ht="12.75"/>
    <row r="7369" s="3161" customFormat="1" ht="12.75"/>
    <row r="7370" s="3161" customFormat="1" ht="12.75"/>
    <row r="7371" s="3161" customFormat="1" ht="12.75"/>
    <row r="7372" s="3161" customFormat="1" ht="12.75"/>
    <row r="7373" s="3161" customFormat="1" ht="12.75"/>
    <row r="7374" s="3161" customFormat="1" ht="12.75"/>
    <row r="7375" s="3161" customFormat="1" ht="12.75"/>
    <row r="7376" s="3161" customFormat="1" ht="12.75"/>
    <row r="7377" s="3161" customFormat="1" ht="12.75"/>
    <row r="7378" s="3161" customFormat="1" ht="12.75"/>
    <row r="7379" s="3161" customFormat="1" ht="12.75"/>
    <row r="7380" s="3161" customFormat="1" ht="12.75"/>
    <row r="7381" s="3161" customFormat="1" ht="12.75"/>
    <row r="7382" s="3161" customFormat="1" ht="12.75"/>
    <row r="7383" s="3161" customFormat="1" ht="12.75"/>
    <row r="7384" s="3161" customFormat="1" ht="12.75"/>
    <row r="7385" s="3161" customFormat="1" ht="12.75"/>
    <row r="7386" s="3161" customFormat="1" ht="12.75"/>
    <row r="7387" s="3161" customFormat="1" ht="12.75"/>
    <row r="7388" s="3161" customFormat="1" ht="12.75"/>
    <row r="7389" s="3161" customFormat="1" ht="12.75"/>
    <row r="7390" s="3161" customFormat="1" ht="12.75"/>
    <row r="7391" s="3161" customFormat="1" ht="12.75"/>
    <row r="7392" s="3161" customFormat="1" ht="12.75"/>
    <row r="7393" s="3161" customFormat="1" ht="12.75"/>
    <row r="7394" s="3161" customFormat="1" ht="12.75"/>
    <row r="7395" s="3161" customFormat="1" ht="12.75"/>
    <row r="7396" s="3161" customFormat="1" ht="12.75"/>
    <row r="7397" s="3161" customFormat="1" ht="12.75"/>
    <row r="7398" s="3161" customFormat="1" ht="12.75"/>
    <row r="7399" s="3161" customFormat="1" ht="12.75"/>
    <row r="7400" s="3161" customFormat="1" ht="12.75"/>
    <row r="7401" s="3161" customFormat="1" ht="12.75"/>
    <row r="7402" s="3161" customFormat="1" ht="12.75"/>
    <row r="7403" s="3161" customFormat="1" ht="12.75"/>
    <row r="7404" s="3161" customFormat="1" ht="12.75"/>
    <row r="7405" s="3161" customFormat="1" ht="12.75"/>
    <row r="7406" s="3161" customFormat="1" ht="12.75"/>
    <row r="7407" s="3161" customFormat="1" ht="12.75"/>
    <row r="7408" s="3161" customFormat="1" ht="12.75"/>
    <row r="7409" s="3161" customFormat="1" ht="12.75"/>
    <row r="7410" s="3161" customFormat="1" ht="12.75"/>
    <row r="7411" s="3161" customFormat="1" ht="12.75"/>
    <row r="7412" s="3161" customFormat="1" ht="12.75"/>
    <row r="7413" s="3161" customFormat="1" ht="12.75"/>
    <row r="7414" s="3161" customFormat="1" ht="12.75"/>
    <row r="7415" s="3161" customFormat="1" ht="12.75"/>
    <row r="7416" s="3161" customFormat="1" ht="12.75"/>
    <row r="7417" s="3161" customFormat="1" ht="12.75"/>
    <row r="7418" s="3161" customFormat="1" ht="12.75"/>
    <row r="7419" s="3161" customFormat="1" ht="12.75"/>
    <row r="7420" s="3161" customFormat="1" ht="12.75"/>
    <row r="7421" s="3161" customFormat="1" ht="12.75"/>
    <row r="7422" s="3161" customFormat="1" ht="12.75"/>
    <row r="7423" s="3161" customFormat="1" ht="12.75"/>
    <row r="7424" s="3161" customFormat="1" ht="12.75"/>
    <row r="7425" s="3161" customFormat="1" ht="12.75"/>
    <row r="7426" s="3161" customFormat="1" ht="12.75"/>
    <row r="7427" s="3161" customFormat="1" ht="12.75"/>
    <row r="7428" s="3161" customFormat="1" ht="12.75"/>
    <row r="7429" s="3161" customFormat="1" ht="12.75"/>
    <row r="7430" s="3161" customFormat="1" ht="12.75"/>
    <row r="7431" s="3161" customFormat="1" ht="12.75"/>
    <row r="7432" s="3161" customFormat="1" ht="12.75"/>
    <row r="7433" s="3161" customFormat="1" ht="12.75"/>
    <row r="7434" s="3161" customFormat="1" ht="12.75"/>
    <row r="7435" s="3161" customFormat="1" ht="12.75"/>
    <row r="7436" s="3161" customFormat="1" ht="12.75"/>
    <row r="7437" s="3161" customFormat="1" ht="12.75"/>
    <row r="7438" s="3161" customFormat="1" ht="12.75"/>
    <row r="7439" s="3161" customFormat="1" ht="12.75"/>
    <row r="7440" s="3161" customFormat="1" ht="12.75"/>
    <row r="7441" s="3161" customFormat="1" ht="12.75"/>
    <row r="7442" s="3161" customFormat="1" ht="12.75"/>
    <row r="7443" s="3161" customFormat="1" ht="12.75"/>
    <row r="7444" s="3161" customFormat="1" ht="12.75"/>
    <row r="7445" s="3161" customFormat="1" ht="12.75"/>
    <row r="7446" s="3161" customFormat="1" ht="12.75"/>
    <row r="7447" s="3161" customFormat="1" ht="12.75"/>
    <row r="7448" s="3161" customFormat="1" ht="12.75"/>
    <row r="7449" s="3161" customFormat="1" ht="12.75"/>
    <row r="7450" s="3161" customFormat="1" ht="12.75"/>
    <row r="7451" s="3161" customFormat="1" ht="12.75"/>
    <row r="7452" s="3161" customFormat="1" ht="12.75"/>
    <row r="7453" s="3161" customFormat="1" ht="12.75"/>
    <row r="7454" s="3161" customFormat="1" ht="12.75"/>
    <row r="7455" s="3161" customFormat="1" ht="12.75"/>
    <row r="7456" s="3161" customFormat="1" ht="12.75"/>
    <row r="7457" s="3161" customFormat="1" ht="12.75"/>
    <row r="7458" s="3161" customFormat="1" ht="12.75"/>
    <row r="7459" s="3161" customFormat="1" ht="12.75"/>
    <row r="7460" s="3161" customFormat="1" ht="12.75"/>
    <row r="7461" s="3161" customFormat="1" ht="12.75"/>
    <row r="7462" s="3161" customFormat="1" ht="12.75"/>
    <row r="7463" s="3161" customFormat="1" ht="12.75"/>
    <row r="7464" s="3161" customFormat="1" ht="12.75"/>
    <row r="7465" s="3161" customFormat="1" ht="12.75"/>
    <row r="7466" s="3161" customFormat="1" ht="12.75"/>
    <row r="7467" s="3161" customFormat="1" ht="12.75"/>
    <row r="7468" s="3161" customFormat="1" ht="12.75"/>
    <row r="7469" s="3161" customFormat="1" ht="12.75"/>
    <row r="7470" s="3161" customFormat="1" ht="12.75"/>
    <row r="7471" s="3161" customFormat="1" ht="12.75"/>
    <row r="7472" s="3161" customFormat="1" ht="12.75"/>
    <row r="7473" s="3161" customFormat="1" ht="12.75"/>
    <row r="7474" s="3161" customFormat="1" ht="12.75"/>
    <row r="7475" s="3161" customFormat="1" ht="12.75"/>
    <row r="7476" s="3161" customFormat="1" ht="12.75"/>
    <row r="7477" s="3161" customFormat="1" ht="12.75"/>
    <row r="7478" s="3161" customFormat="1" ht="12.75"/>
    <row r="7479" s="3161" customFormat="1" ht="12.75"/>
    <row r="7480" s="3161" customFormat="1" ht="12.75"/>
    <row r="7481" s="3161" customFormat="1" ht="12.75"/>
    <row r="7482" s="3161" customFormat="1" ht="12.75"/>
    <row r="7483" s="3161" customFormat="1" ht="12.75"/>
    <row r="7484" s="3161" customFormat="1" ht="12.75"/>
    <row r="7485" s="3161" customFormat="1" ht="12.75"/>
    <row r="7486" s="3161" customFormat="1" ht="12.75"/>
    <row r="7487" s="3161" customFormat="1" ht="12.75"/>
    <row r="7488" s="3161" customFormat="1" ht="12.75"/>
    <row r="7489" s="3161" customFormat="1" ht="12.75"/>
    <row r="7490" s="3161" customFormat="1" ht="12.75"/>
    <row r="7491" s="3161" customFormat="1" ht="12.75"/>
    <row r="7492" s="3161" customFormat="1" ht="12.75"/>
    <row r="7493" s="3161" customFormat="1" ht="12.75"/>
    <row r="7494" s="3161" customFormat="1" ht="12.75"/>
    <row r="7495" s="3161" customFormat="1" ht="12.75"/>
    <row r="7496" s="3161" customFormat="1" ht="12.75"/>
    <row r="7497" s="3161" customFormat="1" ht="12.75"/>
    <row r="7498" s="3161" customFormat="1" ht="12.75"/>
    <row r="7499" s="3161" customFormat="1" ht="12.75"/>
    <row r="7500" s="3161" customFormat="1" ht="12.75"/>
    <row r="7501" s="3161" customFormat="1" ht="12.75"/>
    <row r="7502" s="3161" customFormat="1" ht="12.75"/>
    <row r="7503" s="3161" customFormat="1" ht="12.75"/>
    <row r="7504" s="3161" customFormat="1" ht="12.75"/>
    <row r="7505" s="3161" customFormat="1" ht="12.75"/>
    <row r="7506" s="3161" customFormat="1" ht="12.75"/>
    <row r="7507" s="3161" customFormat="1" ht="12.75"/>
    <row r="7508" s="3161" customFormat="1" ht="12.75"/>
    <row r="7509" s="3161" customFormat="1" ht="12.75"/>
    <row r="7510" s="3161" customFormat="1" ht="12.75"/>
    <row r="7511" s="3161" customFormat="1" ht="12.75"/>
    <row r="7512" s="3161" customFormat="1" ht="12.75"/>
    <row r="7513" s="3161" customFormat="1" ht="12.75"/>
    <row r="7514" s="3161" customFormat="1" ht="12.75"/>
    <row r="7515" s="3161" customFormat="1" ht="12.75"/>
    <row r="7516" s="3161" customFormat="1" ht="12.75"/>
    <row r="7517" s="3161" customFormat="1" ht="12.75"/>
    <row r="7518" s="3161" customFormat="1" ht="12.75"/>
    <row r="7519" s="3161" customFormat="1" ht="12.75"/>
    <row r="7520" s="3161" customFormat="1" ht="12.75"/>
    <row r="7521" s="3161" customFormat="1" ht="12.75"/>
    <row r="7522" s="3161" customFormat="1" ht="12.75"/>
    <row r="7523" s="3161" customFormat="1" ht="12.75"/>
    <row r="7524" s="3161" customFormat="1" ht="12.75"/>
    <row r="7525" s="3161" customFormat="1" ht="12.75"/>
    <row r="7526" s="3161" customFormat="1" ht="12.75"/>
    <row r="7527" s="3161" customFormat="1" ht="12.75"/>
    <row r="7528" s="3161" customFormat="1" ht="12.75"/>
    <row r="7529" s="3161" customFormat="1" ht="12.75"/>
    <row r="7530" s="3161" customFormat="1" ht="12.75"/>
    <row r="7531" s="3161" customFormat="1" ht="12.75"/>
    <row r="7532" s="3161" customFormat="1" ht="12.75"/>
    <row r="7533" s="3161" customFormat="1" ht="12.75"/>
    <row r="7534" s="3161" customFormat="1" ht="12.75"/>
    <row r="7535" s="3161" customFormat="1" ht="12.75"/>
    <row r="7536" s="3161" customFormat="1" ht="12.75"/>
    <row r="7537" s="3161" customFormat="1" ht="12.75"/>
    <row r="7538" s="3161" customFormat="1" ht="12.75"/>
    <row r="7539" s="3161" customFormat="1" ht="12.75"/>
    <row r="7540" s="3161" customFormat="1" ht="12.75"/>
    <row r="7541" s="3161" customFormat="1" ht="12.75"/>
    <row r="7542" s="3161" customFormat="1" ht="12.75"/>
    <row r="7543" s="3161" customFormat="1" ht="12.75"/>
    <row r="7544" s="3161" customFormat="1" ht="12.75"/>
    <row r="7545" s="3161" customFormat="1" ht="12.75"/>
    <row r="7546" s="3161" customFormat="1" ht="12.75"/>
    <row r="7547" s="3161" customFormat="1" ht="12.75"/>
    <row r="7548" s="3161" customFormat="1" ht="12.75"/>
    <row r="7549" s="3161" customFormat="1" ht="12.75"/>
    <row r="7550" s="3161" customFormat="1" ht="12.75"/>
    <row r="7551" s="3161" customFormat="1" ht="12.75"/>
    <row r="7552" s="3161" customFormat="1" ht="12.75"/>
    <row r="7553" s="3161" customFormat="1" ht="12.75"/>
    <row r="7554" s="3161" customFormat="1" ht="12.75"/>
    <row r="7555" s="3161" customFormat="1" ht="12.75"/>
    <row r="7556" s="3161" customFormat="1" ht="12.75"/>
    <row r="7557" s="3161" customFormat="1" ht="12.75"/>
    <row r="7558" s="3161" customFormat="1" ht="12.75"/>
    <row r="7559" s="3161" customFormat="1" ht="12.75"/>
    <row r="7560" s="3161" customFormat="1" ht="12.75"/>
    <row r="7561" s="3161" customFormat="1" ht="12.75"/>
    <row r="7562" s="3161" customFormat="1" ht="12.75"/>
    <row r="7563" s="3161" customFormat="1" ht="12.75"/>
    <row r="7564" s="3161" customFormat="1" ht="12.75"/>
    <row r="7565" s="3161" customFormat="1" ht="12.75"/>
    <row r="7566" s="3161" customFormat="1" ht="12.75"/>
    <row r="7567" s="3161" customFormat="1" ht="12.75"/>
    <row r="7568" s="3161" customFormat="1" ht="12.75"/>
    <row r="7569" s="3161" customFormat="1" ht="12.75"/>
    <row r="7570" s="3161" customFormat="1" ht="12.75"/>
    <row r="7571" s="3161" customFormat="1" ht="12.75"/>
    <row r="7572" s="3161" customFormat="1" ht="12.75"/>
    <row r="7573" s="3161" customFormat="1" ht="12.75"/>
    <row r="7574" s="3161" customFormat="1" ht="12.75"/>
    <row r="7575" s="3161" customFormat="1" ht="12.75"/>
    <row r="7576" s="3161" customFormat="1" ht="12.75"/>
    <row r="7577" s="3161" customFormat="1" ht="12.75"/>
    <row r="7578" s="3161" customFormat="1" ht="12.75"/>
    <row r="7579" s="3161" customFormat="1" ht="12.75"/>
    <row r="7580" s="3161" customFormat="1" ht="12.75"/>
    <row r="7581" s="3161" customFormat="1" ht="12.75"/>
    <row r="7582" s="3161" customFormat="1" ht="12.75"/>
    <row r="7583" s="3161" customFormat="1" ht="12.75"/>
    <row r="7584" s="3161" customFormat="1" ht="12.75"/>
    <row r="7585" s="3161" customFormat="1" ht="12.75"/>
    <row r="7586" s="3161" customFormat="1" ht="12.75"/>
    <row r="7587" s="3161" customFormat="1" ht="12.75"/>
    <row r="7588" s="3161" customFormat="1" ht="12.75"/>
    <row r="7589" s="3161" customFormat="1" ht="12.75"/>
    <row r="7590" s="3161" customFormat="1" ht="12.75"/>
    <row r="7591" s="3161" customFormat="1" ht="12.75"/>
    <row r="7592" s="3161" customFormat="1" ht="12.75"/>
    <row r="7593" s="3161" customFormat="1" ht="12.75"/>
    <row r="7594" s="3161" customFormat="1" ht="12.75"/>
    <row r="7595" s="3161" customFormat="1" ht="12.75"/>
    <row r="7596" s="3161" customFormat="1" ht="12.75"/>
    <row r="7597" s="3161" customFormat="1" ht="12.75"/>
    <row r="7598" s="3161" customFormat="1" ht="12.75"/>
    <row r="7599" s="3161" customFormat="1" ht="12.75"/>
    <row r="7600" s="3161" customFormat="1" ht="12.75"/>
    <row r="7601" s="3161" customFormat="1" ht="12.75"/>
    <row r="7602" s="3161" customFormat="1" ht="12.75"/>
    <row r="7603" s="3161" customFormat="1" ht="12.75"/>
    <row r="7604" s="3161" customFormat="1" ht="12.75"/>
    <row r="7605" s="3161" customFormat="1" ht="12.75"/>
    <row r="7606" s="3161" customFormat="1" ht="12.75"/>
    <row r="7607" s="3161" customFormat="1" ht="12.75"/>
    <row r="7608" s="3161" customFormat="1" ht="12.75"/>
    <row r="7609" s="3161" customFormat="1" ht="12.75"/>
    <row r="7610" s="3161" customFormat="1" ht="12.75"/>
    <row r="7611" s="3161" customFormat="1" ht="12.75"/>
    <row r="7612" s="3161" customFormat="1" ht="12.75"/>
    <row r="7613" s="3161" customFormat="1" ht="12.75"/>
    <row r="7614" s="3161" customFormat="1" ht="12.75"/>
    <row r="7615" s="3161" customFormat="1" ht="12.75"/>
    <row r="7616" s="3161" customFormat="1" ht="12.75"/>
    <row r="7617" s="3161" customFormat="1" ht="12.75"/>
    <row r="7618" s="3161" customFormat="1" ht="12.75"/>
    <row r="7619" s="3161" customFormat="1" ht="12.75"/>
    <row r="7620" s="3161" customFormat="1" ht="12.75"/>
    <row r="7621" s="3161" customFormat="1" ht="12.75"/>
    <row r="7622" s="3161" customFormat="1" ht="12.75"/>
    <row r="7623" s="3161" customFormat="1" ht="12.75"/>
    <row r="7624" s="3161" customFormat="1" ht="12.75"/>
    <row r="7625" s="3161" customFormat="1" ht="12.75"/>
    <row r="7626" s="3161" customFormat="1" ht="12.75"/>
    <row r="7627" s="3161" customFormat="1" ht="12.75"/>
    <row r="7628" s="3161" customFormat="1" ht="12.75"/>
    <row r="7629" s="3161" customFormat="1" ht="12.75"/>
    <row r="7630" s="3161" customFormat="1" ht="12.75"/>
    <row r="7631" s="3161" customFormat="1" ht="12.75"/>
    <row r="7632" s="3161" customFormat="1" ht="12.75"/>
    <row r="7633" s="3161" customFormat="1" ht="12.75"/>
    <row r="7634" s="3161" customFormat="1" ht="12.75"/>
    <row r="7635" s="3161" customFormat="1" ht="12.75"/>
    <row r="7636" s="3161" customFormat="1" ht="12.75"/>
    <row r="7637" s="3161" customFormat="1" ht="12.75"/>
    <row r="7638" s="3161" customFormat="1" ht="12.75"/>
    <row r="7639" s="3161" customFormat="1" ht="12.75"/>
    <row r="7640" s="3161" customFormat="1" ht="12.75"/>
    <row r="7641" s="3161" customFormat="1" ht="12.75"/>
    <row r="7642" s="3161" customFormat="1" ht="12.75"/>
    <row r="7643" s="3161" customFormat="1" ht="12.75"/>
    <row r="7644" s="3161" customFormat="1" ht="12.75"/>
    <row r="7645" s="3161" customFormat="1" ht="12.75"/>
    <row r="7646" s="3161" customFormat="1" ht="12.75"/>
    <row r="7647" s="3161" customFormat="1" ht="12.75"/>
    <row r="7648" s="3161" customFormat="1" ht="12.75"/>
    <row r="7649" s="3161" customFormat="1" ht="12.75"/>
    <row r="7650" s="3161" customFormat="1" ht="12.75"/>
    <row r="7651" s="3161" customFormat="1" ht="12.75"/>
    <row r="7652" s="3161" customFormat="1" ht="12.75"/>
    <row r="7653" s="3161" customFormat="1" ht="12.75"/>
    <row r="7654" s="3161" customFormat="1" ht="12.75"/>
    <row r="7655" s="3161" customFormat="1" ht="12.75"/>
    <row r="7656" s="3161" customFormat="1" ht="12.75"/>
    <row r="7657" s="3161" customFormat="1" ht="12.75"/>
    <row r="7658" s="3161" customFormat="1" ht="12.75"/>
    <row r="7659" s="3161" customFormat="1" ht="12.75"/>
    <row r="7660" s="3161" customFormat="1" ht="12.75"/>
    <row r="7661" s="3161" customFormat="1" ht="12.75"/>
    <row r="7662" s="3161" customFormat="1" ht="12.75"/>
    <row r="7663" s="3161" customFormat="1" ht="12.75"/>
    <row r="7664" s="3161" customFormat="1" ht="12.75"/>
    <row r="7665" s="3161" customFormat="1" ht="12.75"/>
    <row r="7666" s="3161" customFormat="1" ht="12.75"/>
    <row r="7667" s="3161" customFormat="1" ht="12.75"/>
    <row r="7668" s="3161" customFormat="1" ht="12.75"/>
    <row r="7669" s="3161" customFormat="1" ht="12.75"/>
    <row r="7670" s="3161" customFormat="1" ht="12.75"/>
    <row r="7671" s="3161" customFormat="1" ht="12.75"/>
    <row r="7672" s="3161" customFormat="1" ht="12.75"/>
    <row r="7673" s="3161" customFormat="1" ht="12.75"/>
    <row r="7674" s="3161" customFormat="1" ht="12.75"/>
    <row r="7675" s="3161" customFormat="1" ht="12.75"/>
    <row r="7676" s="3161" customFormat="1" ht="12.75"/>
    <row r="7677" s="3161" customFormat="1" ht="12.75"/>
    <row r="7678" s="3161" customFormat="1" ht="12.75"/>
    <row r="7679" s="3161" customFormat="1" ht="12.75"/>
    <row r="7680" s="3161" customFormat="1" ht="12.75"/>
    <row r="7681" s="3161" customFormat="1" ht="12.75"/>
    <row r="7682" s="3161" customFormat="1" ht="12.75"/>
    <row r="7683" s="3161" customFormat="1" ht="12.75"/>
    <row r="7684" s="3161" customFormat="1" ht="12.75"/>
    <row r="7685" s="3161" customFormat="1" ht="12.75"/>
    <row r="7686" s="3161" customFormat="1" ht="12.75"/>
    <row r="7687" s="3161" customFormat="1" ht="12.75"/>
    <row r="7688" s="3161" customFormat="1" ht="12.75"/>
    <row r="7689" s="3161" customFormat="1" ht="12.75"/>
    <row r="7690" s="3161" customFormat="1" ht="12.75"/>
    <row r="7691" s="3161" customFormat="1" ht="12.75"/>
    <row r="7692" s="3161" customFormat="1" ht="12.75"/>
    <row r="7693" s="3161" customFormat="1" ht="12.75"/>
    <row r="7694" s="3161" customFormat="1" ht="12.75"/>
    <row r="7695" s="3161" customFormat="1" ht="12.75"/>
    <row r="7696" s="3161" customFormat="1" ht="12.75"/>
    <row r="7697" s="3161" customFormat="1" ht="12.75"/>
    <row r="7698" s="3161" customFormat="1" ht="12.75"/>
    <row r="7699" s="3161" customFormat="1" ht="12.75"/>
    <row r="7700" s="3161" customFormat="1" ht="12.75"/>
    <row r="7701" s="3161" customFormat="1" ht="12.75"/>
    <row r="7702" s="3161" customFormat="1" ht="12.75"/>
    <row r="7703" s="3161" customFormat="1" ht="12.75"/>
    <row r="7704" s="3161" customFormat="1" ht="12.75"/>
    <row r="7705" s="3161" customFormat="1" ht="12.75"/>
    <row r="7706" s="3161" customFormat="1" ht="12.75"/>
    <row r="7707" s="3161" customFormat="1" ht="12.75"/>
    <row r="7708" s="3161" customFormat="1" ht="12.75"/>
    <row r="7709" s="3161" customFormat="1" ht="12.75"/>
    <row r="7710" s="3161" customFormat="1" ht="12.75"/>
    <row r="7711" s="3161" customFormat="1" ht="12.75"/>
    <row r="7712" s="3161" customFormat="1" ht="12.75"/>
    <row r="7713" s="3161" customFormat="1" ht="12.75"/>
    <row r="7714" s="3161" customFormat="1" ht="12.75"/>
    <row r="7715" s="3161" customFormat="1" ht="12.75"/>
    <row r="7716" s="3161" customFormat="1" ht="12.75"/>
    <row r="7717" s="3161" customFormat="1" ht="12.75"/>
    <row r="7718" s="3161" customFormat="1" ht="12.75"/>
    <row r="7719" s="3161" customFormat="1" ht="12.75"/>
    <row r="7720" s="3161" customFormat="1" ht="12.75"/>
    <row r="7721" s="3161" customFormat="1" ht="12.75"/>
    <row r="7722" s="3161" customFormat="1" ht="12.75"/>
    <row r="7723" s="3161" customFormat="1" ht="12.75"/>
    <row r="7724" s="3161" customFormat="1" ht="12.75"/>
    <row r="7725" s="3161" customFormat="1" ht="12.75"/>
    <row r="7726" s="3161" customFormat="1" ht="12.75"/>
    <row r="7727" s="3161" customFormat="1" ht="12.75"/>
    <row r="7728" s="3161" customFormat="1" ht="12.75"/>
    <row r="7729" s="3161" customFormat="1" ht="12.75"/>
    <row r="7730" s="3161" customFormat="1" ht="12.75"/>
    <row r="7731" s="3161" customFormat="1" ht="12.75"/>
    <row r="7732" s="3161" customFormat="1" ht="12.75"/>
    <row r="7733" s="3161" customFormat="1" ht="12.75"/>
    <row r="7734" s="3161" customFormat="1" ht="12.75"/>
    <row r="7735" s="3161" customFormat="1" ht="12.75"/>
    <row r="7736" s="3161" customFormat="1" ht="12.75"/>
    <row r="7737" s="3161" customFormat="1" ht="12.75"/>
    <row r="7738" s="3161" customFormat="1" ht="12.75"/>
    <row r="7739" s="3161" customFormat="1" ht="12.75"/>
    <row r="7740" s="3161" customFormat="1" ht="12.75"/>
    <row r="7741" s="3161" customFormat="1" ht="12.75"/>
    <row r="7742" s="3161" customFormat="1" ht="12.75"/>
    <row r="7743" s="3161" customFormat="1" ht="12.75"/>
    <row r="7744" s="3161" customFormat="1" ht="12.75"/>
    <row r="7745" s="3161" customFormat="1" ht="12.75"/>
    <row r="7746" s="3161" customFormat="1" ht="12.75"/>
    <row r="7747" s="3161" customFormat="1" ht="12.75"/>
    <row r="7748" s="3161" customFormat="1" ht="12.75"/>
    <row r="7749" s="3161" customFormat="1" ht="12.75"/>
    <row r="7750" s="3161" customFormat="1" ht="12.75"/>
    <row r="7751" s="3161" customFormat="1" ht="12.75"/>
    <row r="7752" s="3161" customFormat="1" ht="12.75"/>
    <row r="7753" s="3161" customFormat="1" ht="12.75"/>
    <row r="7754" s="3161" customFormat="1" ht="12.75"/>
    <row r="7755" s="3161" customFormat="1" ht="12.75"/>
    <row r="7756" s="3161" customFormat="1" ht="12.75"/>
    <row r="7757" s="3161" customFormat="1" ht="12.75"/>
    <row r="7758" s="3161" customFormat="1" ht="12.75"/>
    <row r="7759" s="3161" customFormat="1" ht="12.75"/>
    <row r="7760" s="3161" customFormat="1" ht="12.75"/>
    <row r="7761" s="3161" customFormat="1" ht="12.75"/>
    <row r="7762" s="3161" customFormat="1" ht="12.75"/>
    <row r="7763" s="3161" customFormat="1" ht="12.75"/>
    <row r="7764" s="3161" customFormat="1" ht="12.75"/>
    <row r="7765" s="3161" customFormat="1" ht="12.75"/>
    <row r="7766" s="3161" customFormat="1" ht="12.75"/>
    <row r="7767" s="3161" customFormat="1" ht="12.75"/>
    <row r="7768" s="3161" customFormat="1" ht="12.75"/>
    <row r="7769" s="3161" customFormat="1" ht="12.75"/>
    <row r="7770" s="3161" customFormat="1" ht="12.75"/>
    <row r="7771" s="3161" customFormat="1" ht="12.75"/>
    <row r="7772" s="3161" customFormat="1" ht="12.75"/>
    <row r="7773" s="3161" customFormat="1" ht="12.75"/>
    <row r="7774" s="3161" customFormat="1" ht="12.75"/>
    <row r="7775" s="3161" customFormat="1" ht="12.75"/>
    <row r="7776" s="3161" customFormat="1" ht="12.75"/>
    <row r="7777" s="3161" customFormat="1" ht="12.75"/>
    <row r="7778" s="3161" customFormat="1" ht="12.75"/>
    <row r="7779" s="3161" customFormat="1" ht="12.75"/>
    <row r="7780" s="3161" customFormat="1" ht="12.75"/>
    <row r="7781" s="3161" customFormat="1" ht="12.75"/>
    <row r="7782" s="3161" customFormat="1" ht="12.75"/>
    <row r="7783" s="3161" customFormat="1" ht="12.75"/>
    <row r="7784" s="3161" customFormat="1" ht="12.75"/>
    <row r="7785" s="3161" customFormat="1" ht="12.75"/>
    <row r="7786" s="3161" customFormat="1" ht="12.75"/>
    <row r="7787" s="3161" customFormat="1" ht="12.75"/>
    <row r="7788" s="3161" customFormat="1" ht="12.75"/>
    <row r="7789" s="3161" customFormat="1" ht="12.75"/>
    <row r="7790" s="3161" customFormat="1" ht="12.75"/>
    <row r="7791" s="3161" customFormat="1" ht="12.75"/>
    <row r="7792" s="3161" customFormat="1" ht="12.75"/>
    <row r="7793" s="3161" customFormat="1" ht="12.75"/>
    <row r="7794" s="3161" customFormat="1" ht="12.75"/>
    <row r="7795" s="3161" customFormat="1" ht="12.75"/>
    <row r="7796" s="3161" customFormat="1" ht="12.75"/>
    <row r="7797" s="3161" customFormat="1" ht="12.75"/>
    <row r="7798" s="3161" customFormat="1" ht="12.75"/>
    <row r="7799" s="3161" customFormat="1" ht="12.75"/>
    <row r="7800" s="3161" customFormat="1" ht="12.75"/>
    <row r="7801" s="3161" customFormat="1" ht="12.75"/>
    <row r="7802" s="3161" customFormat="1" ht="12.75"/>
    <row r="7803" s="3161" customFormat="1" ht="12.75"/>
    <row r="7804" s="3161" customFormat="1" ht="12.75"/>
    <row r="7805" s="3161" customFormat="1" ht="12.75"/>
    <row r="7806" s="3161" customFormat="1" ht="12.75"/>
    <row r="7807" s="3161" customFormat="1" ht="12.75"/>
    <row r="7808" s="3161" customFormat="1" ht="12.75"/>
    <row r="7809" s="3161" customFormat="1" ht="12.75"/>
    <row r="7810" s="3161" customFormat="1" ht="12.75"/>
    <row r="7811" s="3161" customFormat="1" ht="12.75"/>
    <row r="7812" s="3161" customFormat="1" ht="12.75"/>
    <row r="7813" s="3161" customFormat="1" ht="12.75"/>
    <row r="7814" s="3161" customFormat="1" ht="12.75"/>
    <row r="7815" s="3161" customFormat="1" ht="12.75"/>
    <row r="7816" s="3161" customFormat="1" ht="12.75"/>
    <row r="7817" s="3161" customFormat="1" ht="12.75"/>
    <row r="7818" s="3161" customFormat="1" ht="12.75"/>
    <row r="7819" s="3161" customFormat="1" ht="12.75"/>
    <row r="7820" s="3161" customFormat="1" ht="12.75"/>
    <row r="7821" s="3161" customFormat="1" ht="12.75"/>
    <row r="7822" s="3161" customFormat="1" ht="12.75"/>
    <row r="7823" s="3161" customFormat="1" ht="12.75"/>
    <row r="7824" s="3161" customFormat="1" ht="12.75"/>
    <row r="7825" s="3161" customFormat="1" ht="12.75"/>
    <row r="7826" s="3161" customFormat="1" ht="12.75"/>
    <row r="7827" s="3161" customFormat="1" ht="12.75"/>
    <row r="7828" s="3161" customFormat="1" ht="12.75"/>
    <row r="7829" s="3161" customFormat="1" ht="12.75"/>
    <row r="7830" s="3161" customFormat="1" ht="12.75"/>
    <row r="7831" s="3161" customFormat="1" ht="12.75"/>
    <row r="7832" s="3161" customFormat="1" ht="12.75"/>
    <row r="7833" s="3161" customFormat="1" ht="12.75"/>
    <row r="7834" s="3161" customFormat="1" ht="12.75"/>
    <row r="7835" s="3161" customFormat="1" ht="12.75"/>
    <row r="7836" s="3161" customFormat="1" ht="12.75"/>
    <row r="7837" s="3161" customFormat="1" ht="12.75"/>
    <row r="7838" s="3161" customFormat="1" ht="12.75"/>
    <row r="7839" s="3161" customFormat="1" ht="12.75"/>
    <row r="7840" s="3161" customFormat="1" ht="12.75"/>
    <row r="7841" s="3161" customFormat="1" ht="12.75"/>
    <row r="7842" s="3161" customFormat="1" ht="12.75"/>
    <row r="7843" s="3161" customFormat="1" ht="12.75"/>
    <row r="7844" s="3161" customFormat="1" ht="12.75"/>
    <row r="7845" s="3161" customFormat="1" ht="12.75"/>
    <row r="7846" s="3161" customFormat="1" ht="12.75"/>
    <row r="7847" s="3161" customFormat="1" ht="12.75"/>
    <row r="7848" s="3161" customFormat="1" ht="12.75"/>
    <row r="7849" s="3161" customFormat="1" ht="12.75"/>
    <row r="7850" s="3161" customFormat="1" ht="12.75"/>
    <row r="7851" s="3161" customFormat="1" ht="12.75"/>
    <row r="7852" s="3161" customFormat="1" ht="12.75"/>
    <row r="7853" s="3161" customFormat="1" ht="12.75"/>
    <row r="7854" s="3161" customFormat="1" ht="12.75"/>
    <row r="7855" s="3161" customFormat="1" ht="12.75"/>
    <row r="7856" s="3161" customFormat="1" ht="12.75"/>
    <row r="7857" s="3161" customFormat="1" ht="12.75"/>
    <row r="7858" s="3161" customFormat="1" ht="12.75"/>
    <row r="7859" s="3161" customFormat="1" ht="12.75"/>
    <row r="7860" s="3161" customFormat="1" ht="12.75"/>
    <row r="7861" s="3161" customFormat="1" ht="12.75"/>
    <row r="7862" s="3161" customFormat="1" ht="12.75"/>
    <row r="7863" s="3161" customFormat="1" ht="12.75"/>
    <row r="7864" s="3161" customFormat="1" ht="12.75"/>
    <row r="7865" s="3161" customFormat="1" ht="12.75"/>
    <row r="7866" s="3161" customFormat="1" ht="12.75"/>
    <row r="7867" s="3161" customFormat="1" ht="12.75"/>
    <row r="7868" s="3161" customFormat="1" ht="12.75"/>
    <row r="7869" s="3161" customFormat="1" ht="12.75"/>
    <row r="7870" s="3161" customFormat="1" ht="12.75"/>
    <row r="7871" s="3161" customFormat="1" ht="12.75"/>
    <row r="7872" s="3161" customFormat="1" ht="12.75"/>
    <row r="7873" s="3161" customFormat="1" ht="12.75"/>
    <row r="7874" s="3161" customFormat="1" ht="12.75"/>
    <row r="7875" s="3161" customFormat="1" ht="12.75"/>
    <row r="7876" s="3161" customFormat="1" ht="12.75"/>
    <row r="7877" s="3161" customFormat="1" ht="12.75"/>
    <row r="7878" s="3161" customFormat="1" ht="12.75"/>
    <row r="7879" s="3161" customFormat="1" ht="12.75"/>
    <row r="7880" s="3161" customFormat="1" ht="12.75"/>
    <row r="7881" s="3161" customFormat="1" ht="12.75"/>
    <row r="7882" s="3161" customFormat="1" ht="12.75"/>
    <row r="7883" s="3161" customFormat="1" ht="12.75"/>
    <row r="7884" s="3161" customFormat="1" ht="12.75"/>
    <row r="7885" s="3161" customFormat="1" ht="12.75"/>
    <row r="7886" s="3161" customFormat="1" ht="12.75"/>
    <row r="7887" s="3161" customFormat="1" ht="12.75"/>
    <row r="7888" s="3161" customFormat="1" ht="12.75"/>
    <row r="7889" s="3161" customFormat="1" ht="12.75"/>
    <row r="7890" s="3161" customFormat="1" ht="12.75"/>
    <row r="7891" s="3161" customFormat="1" ht="12.75"/>
    <row r="7892" s="3161" customFormat="1" ht="12.75"/>
    <row r="7893" s="3161" customFormat="1" ht="12.75"/>
    <row r="7894" s="3161" customFormat="1" ht="12.75"/>
    <row r="7895" s="3161" customFormat="1" ht="12.75"/>
    <row r="7896" s="3161" customFormat="1" ht="12.75"/>
    <row r="7897" s="3161" customFormat="1" ht="12.75"/>
    <row r="7898" s="3161" customFormat="1" ht="12.75"/>
    <row r="7899" s="3161" customFormat="1" ht="12.75"/>
    <row r="7900" s="3161" customFormat="1" ht="12.75"/>
    <row r="7901" s="3161" customFormat="1" ht="12.75"/>
    <row r="7902" s="3161" customFormat="1" ht="12.75"/>
    <row r="7903" s="3161" customFormat="1" ht="12.75"/>
    <row r="7904" s="3161" customFormat="1" ht="12.75"/>
    <row r="7905" s="3161" customFormat="1" ht="12.75"/>
    <row r="7906" s="3161" customFormat="1" ht="12.75"/>
    <row r="7907" s="3161" customFormat="1" ht="12.75"/>
    <row r="7908" s="3161" customFormat="1" ht="12.75"/>
    <row r="7909" s="3161" customFormat="1" ht="12.75"/>
    <row r="7910" s="3161" customFormat="1" ht="12.75"/>
    <row r="7911" s="3161" customFormat="1" ht="12.75"/>
    <row r="7912" s="3161" customFormat="1" ht="12.75"/>
    <row r="7913" s="3161" customFormat="1" ht="12.75"/>
    <row r="7914" s="3161" customFormat="1" ht="12.75"/>
    <row r="7915" s="3161" customFormat="1" ht="12.75"/>
    <row r="7916" s="3161" customFormat="1" ht="12.75"/>
    <row r="7917" s="3161" customFormat="1" ht="12.75"/>
    <row r="7918" s="3161" customFormat="1" ht="12.75"/>
    <row r="7919" s="3161" customFormat="1" ht="12.75"/>
    <row r="7920" s="3161" customFormat="1" ht="12.75"/>
    <row r="7921" s="3161" customFormat="1" ht="12.75"/>
    <row r="7922" s="3161" customFormat="1" ht="12.75"/>
    <row r="7923" s="3161" customFormat="1" ht="12.75"/>
    <row r="7924" s="3161" customFormat="1" ht="12.75"/>
    <row r="7925" s="3161" customFormat="1" ht="12.75"/>
    <row r="7926" s="3161" customFormat="1" ht="12.75"/>
    <row r="7927" s="3161" customFormat="1" ht="12.75"/>
    <row r="7928" s="3161" customFormat="1" ht="12.75"/>
    <row r="7929" s="3161" customFormat="1" ht="12.75"/>
    <row r="7930" s="3161" customFormat="1" ht="12.75"/>
    <row r="7931" s="3161" customFormat="1" ht="12.75"/>
    <row r="7932" s="3161" customFormat="1" ht="12.75"/>
    <row r="7933" s="3161" customFormat="1" ht="12.75"/>
    <row r="7934" s="3161" customFormat="1" ht="12.75"/>
    <row r="7935" s="3161" customFormat="1" ht="12.75"/>
    <row r="7936" s="3161" customFormat="1" ht="12.75"/>
    <row r="7937" s="3161" customFormat="1" ht="12.75"/>
    <row r="7938" s="3161" customFormat="1" ht="12.75"/>
    <row r="7939" s="3161" customFormat="1" ht="12.75"/>
    <row r="7940" s="3161" customFormat="1" ht="12.75"/>
    <row r="7941" s="3161" customFormat="1" ht="12.75"/>
    <row r="7942" s="3161" customFormat="1" ht="12.75"/>
    <row r="7943" s="3161" customFormat="1" ht="12.75"/>
    <row r="7944" s="3161" customFormat="1" ht="12.75"/>
    <row r="7945" s="3161" customFormat="1" ht="12.75"/>
    <row r="7946" s="3161" customFormat="1" ht="12.75"/>
    <row r="7947" s="3161" customFormat="1" ht="12.75"/>
    <row r="7948" s="3161" customFormat="1" ht="12.75"/>
    <row r="7949" s="3161" customFormat="1" ht="12.75"/>
    <row r="7950" s="3161" customFormat="1" ht="12.75"/>
    <row r="7951" s="3161" customFormat="1" ht="12.75"/>
    <row r="7952" s="3161" customFormat="1" ht="12.75"/>
    <row r="7953" s="3161" customFormat="1" ht="12.75"/>
    <row r="7954" s="3161" customFormat="1" ht="12.75"/>
    <row r="7955" s="3161" customFormat="1" ht="12.75"/>
    <row r="7956" s="3161" customFormat="1" ht="12.75"/>
    <row r="7957" s="3161" customFormat="1" ht="12.75"/>
    <row r="7958" s="3161" customFormat="1" ht="12.75"/>
    <row r="7959" s="3161" customFormat="1" ht="12.75"/>
    <row r="7960" s="3161" customFormat="1" ht="12.75"/>
    <row r="7961" s="3161" customFormat="1" ht="12.75"/>
    <row r="7962" s="3161" customFormat="1" ht="12.75"/>
    <row r="7963" s="3161" customFormat="1" ht="12.75"/>
    <row r="7964" s="3161" customFormat="1" ht="12.75"/>
    <row r="7965" s="3161" customFormat="1" ht="12.75"/>
    <row r="7966" s="3161" customFormat="1" ht="12.75"/>
    <row r="7967" s="3161" customFormat="1" ht="12.75"/>
    <row r="7968" s="3161" customFormat="1" ht="12.75"/>
    <row r="7969" s="3161" customFormat="1" ht="12.75"/>
    <row r="7970" s="3161" customFormat="1" ht="12.75"/>
    <row r="7971" s="3161" customFormat="1" ht="12.75"/>
    <row r="7972" s="3161" customFormat="1" ht="12.75"/>
    <row r="7973" s="3161" customFormat="1" ht="12.75"/>
    <row r="7974" s="3161" customFormat="1" ht="12.75"/>
    <row r="7975" s="3161" customFormat="1" ht="12.75"/>
    <row r="7976" s="3161" customFormat="1" ht="12.75"/>
    <row r="7977" s="3161" customFormat="1" ht="12.75"/>
    <row r="7978" s="3161" customFormat="1" ht="12.75"/>
    <row r="7979" s="3161" customFormat="1" ht="12.75"/>
    <row r="7980" s="3161" customFormat="1" ht="12.75"/>
    <row r="7981" s="3161" customFormat="1" ht="12.75"/>
    <row r="7982" s="3161" customFormat="1" ht="12.75"/>
    <row r="7983" s="3161" customFormat="1" ht="12.75"/>
    <row r="7984" s="3161" customFormat="1" ht="12.75"/>
    <row r="7985" s="3161" customFormat="1" ht="12.75"/>
    <row r="7986" s="3161" customFormat="1" ht="12.75"/>
    <row r="7987" s="3161" customFormat="1" ht="12.75"/>
    <row r="7988" s="3161" customFormat="1" ht="12.75"/>
    <row r="7989" s="3161" customFormat="1" ht="12.75"/>
    <row r="7990" s="3161" customFormat="1" ht="12.75"/>
    <row r="7991" s="3161" customFormat="1" ht="12.75"/>
    <row r="7992" s="3161" customFormat="1" ht="12.75"/>
    <row r="7993" s="3161" customFormat="1" ht="12.75"/>
    <row r="7994" s="3161" customFormat="1" ht="12.75"/>
    <row r="7995" s="3161" customFormat="1" ht="12.75"/>
    <row r="7996" s="3161" customFormat="1" ht="12.75"/>
    <row r="7997" s="3161" customFormat="1" ht="12.75"/>
    <row r="7998" s="3161" customFormat="1" ht="12.75"/>
    <row r="7999" s="3161" customFormat="1" ht="12.75"/>
    <row r="8000" s="3161" customFormat="1" ht="12.75"/>
    <row r="8001" s="3161" customFormat="1" ht="12.75"/>
    <row r="8002" s="3161" customFormat="1" ht="12.75"/>
    <row r="8003" s="3161" customFormat="1" ht="12.75"/>
    <row r="8004" s="3161" customFormat="1" ht="12.75"/>
    <row r="8005" s="3161" customFormat="1" ht="12.75"/>
    <row r="8006" s="3161" customFormat="1" ht="12.75"/>
    <row r="8007" s="3161" customFormat="1" ht="12.75"/>
    <row r="8008" s="3161" customFormat="1" ht="12.75"/>
    <row r="8009" s="3161" customFormat="1" ht="12.75"/>
    <row r="8010" s="3161" customFormat="1" ht="12.75"/>
    <row r="8011" s="3161" customFormat="1" ht="12.75"/>
    <row r="8012" s="3161" customFormat="1" ht="12.75"/>
    <row r="8013" s="3161" customFormat="1" ht="12.75"/>
    <row r="8014" s="3161" customFormat="1" ht="12.75"/>
    <row r="8015" s="3161" customFormat="1" ht="12.75"/>
    <row r="8016" s="3161" customFormat="1" ht="12.75"/>
    <row r="8017" s="3161" customFormat="1" ht="12.75"/>
    <row r="8018" s="3161" customFormat="1" ht="12.75"/>
    <row r="8019" s="3161" customFormat="1" ht="12.75"/>
    <row r="8020" s="3161" customFormat="1" ht="12.75"/>
    <row r="8021" s="3161" customFormat="1" ht="12.75"/>
    <row r="8022" s="3161" customFormat="1" ht="12.75"/>
    <row r="8023" s="3161" customFormat="1" ht="12.75"/>
    <row r="8024" s="3161" customFormat="1" ht="12.75"/>
    <row r="8025" s="3161" customFormat="1" ht="12.75"/>
    <row r="8026" s="3161" customFormat="1" ht="12.75"/>
    <row r="8027" s="3161" customFormat="1" ht="12.75"/>
    <row r="8028" s="3161" customFormat="1" ht="12.75"/>
    <row r="8029" s="3161" customFormat="1" ht="12.75"/>
    <row r="8030" s="3161" customFormat="1" ht="12.75"/>
    <row r="8031" s="3161" customFormat="1" ht="12.75"/>
    <row r="8032" s="3161" customFormat="1" ht="12.75"/>
    <row r="8033" s="3161" customFormat="1" ht="12.75"/>
    <row r="8034" s="3161" customFormat="1" ht="12.75"/>
    <row r="8035" s="3161" customFormat="1" ht="12.75"/>
    <row r="8036" s="3161" customFormat="1" ht="12.75"/>
    <row r="8037" s="3161" customFormat="1" ht="12.75"/>
    <row r="8038" s="3161" customFormat="1" ht="12.75"/>
    <row r="8039" s="3161" customFormat="1" ht="12.75"/>
    <row r="8040" s="3161" customFormat="1" ht="12.75"/>
    <row r="8041" s="3161" customFormat="1" ht="12.75"/>
    <row r="8042" s="3161" customFormat="1" ht="12.75"/>
    <row r="8043" s="3161" customFormat="1" ht="12.75"/>
    <row r="8044" s="3161" customFormat="1" ht="12.75"/>
    <row r="8045" s="3161" customFormat="1" ht="12.75"/>
    <row r="8046" s="3161" customFormat="1" ht="12.75"/>
    <row r="8047" s="3161" customFormat="1" ht="12.75"/>
    <row r="8048" s="3161" customFormat="1" ht="12.75"/>
    <row r="8049" s="3161" customFormat="1" ht="12.75"/>
    <row r="8050" s="3161" customFormat="1" ht="12.75"/>
    <row r="8051" s="3161" customFormat="1" ht="12.75"/>
    <row r="8052" s="3161" customFormat="1" ht="12.75"/>
    <row r="8053" s="3161" customFormat="1" ht="12.75"/>
    <row r="8054" s="3161" customFormat="1" ht="12.75"/>
    <row r="8055" s="3161" customFormat="1" ht="12.75"/>
    <row r="8056" s="3161" customFormat="1" ht="12.75"/>
    <row r="8057" s="3161" customFormat="1" ht="12.75"/>
    <row r="8058" s="3161" customFormat="1" ht="12.75"/>
    <row r="8059" s="3161" customFormat="1" ht="12.75"/>
    <row r="8060" s="3161" customFormat="1" ht="12.75"/>
    <row r="8061" s="3161" customFormat="1" ht="12.75"/>
    <row r="8062" s="3161" customFormat="1" ht="12.75"/>
    <row r="8063" s="3161" customFormat="1" ht="12.75"/>
    <row r="8064" s="3161" customFormat="1" ht="12.75"/>
    <row r="8065" s="3161" customFormat="1" ht="12.75"/>
    <row r="8066" s="3161" customFormat="1" ht="12.75"/>
    <row r="8067" s="3161" customFormat="1" ht="12.75"/>
    <row r="8068" s="3161" customFormat="1" ht="12.75"/>
    <row r="8069" s="3161" customFormat="1" ht="12.75"/>
    <row r="8070" s="3161" customFormat="1" ht="12.75"/>
    <row r="8071" s="3161" customFormat="1" ht="12.75"/>
    <row r="8072" s="3161" customFormat="1" ht="12.75"/>
    <row r="8073" s="3161" customFormat="1" ht="12.75"/>
    <row r="8074" s="3161" customFormat="1" ht="12.75"/>
    <row r="8075" s="3161" customFormat="1" ht="12.75"/>
    <row r="8076" s="3161" customFormat="1" ht="12.75"/>
    <row r="8077" s="3161" customFormat="1" ht="12.75"/>
    <row r="8078" s="3161" customFormat="1" ht="12.75"/>
    <row r="8079" s="3161" customFormat="1" ht="12.75"/>
    <row r="8080" s="3161" customFormat="1" ht="12.75"/>
    <row r="8081" s="3161" customFormat="1" ht="12.75"/>
    <row r="8082" s="3161" customFormat="1" ht="12.75"/>
    <row r="8083" s="3161" customFormat="1" ht="12.75"/>
    <row r="8084" s="3161" customFormat="1" ht="12.75"/>
    <row r="8085" s="3161" customFormat="1" ht="12.75"/>
    <row r="8086" s="3161" customFormat="1" ht="12.75"/>
    <row r="8087" s="3161" customFormat="1" ht="12.75"/>
    <row r="8088" s="3161" customFormat="1" ht="12.75"/>
    <row r="8089" s="3161" customFormat="1" ht="12.75"/>
    <row r="8090" s="3161" customFormat="1" ht="12.75"/>
    <row r="8091" s="3161" customFormat="1" ht="12.75"/>
    <row r="8092" s="3161" customFormat="1" ht="12.75"/>
    <row r="8093" s="3161" customFormat="1" ht="12.75"/>
    <row r="8094" s="3161" customFormat="1" ht="12.75"/>
    <row r="8095" s="3161" customFormat="1" ht="12.75"/>
    <row r="8096" s="3161" customFormat="1" ht="12.75"/>
    <row r="8097" s="3161" customFormat="1" ht="12.75"/>
    <row r="8098" s="3161" customFormat="1" ht="12.75"/>
    <row r="8099" s="3161" customFormat="1" ht="12.75"/>
    <row r="8100" s="3161" customFormat="1" ht="12.75"/>
    <row r="8101" s="3161" customFormat="1" ht="12.75"/>
    <row r="8102" s="3161" customFormat="1" ht="12.75"/>
    <row r="8103" s="3161" customFormat="1" ht="12.75"/>
    <row r="8104" s="3161" customFormat="1" ht="12.75"/>
    <row r="8105" s="3161" customFormat="1" ht="12.75"/>
    <row r="8106" s="3161" customFormat="1" ht="12.75"/>
    <row r="8107" s="3161" customFormat="1" ht="12.75"/>
    <row r="8108" s="3161" customFormat="1" ht="12.75"/>
    <row r="8109" s="3161" customFormat="1" ht="12.75"/>
    <row r="8110" s="3161" customFormat="1" ht="12.75"/>
    <row r="8111" s="3161" customFormat="1" ht="12.75"/>
    <row r="8112" s="3161" customFormat="1" ht="12.75"/>
    <row r="8113" s="3161" customFormat="1" ht="12.75"/>
    <row r="8114" s="3161" customFormat="1" ht="12.75"/>
    <row r="8115" s="3161" customFormat="1" ht="12.75"/>
    <row r="8116" s="3161" customFormat="1" ht="12.75"/>
    <row r="8117" s="3161" customFormat="1" ht="12.75"/>
    <row r="8118" s="3161" customFormat="1" ht="12.75"/>
    <row r="8119" s="3161" customFormat="1" ht="12.75"/>
    <row r="8120" s="3161" customFormat="1" ht="12.75"/>
    <row r="8121" s="3161" customFormat="1" ht="12.75"/>
    <row r="8122" s="3161" customFormat="1" ht="12.75"/>
    <row r="8123" s="3161" customFormat="1" ht="12.75"/>
    <row r="8124" s="3161" customFormat="1" ht="12.75"/>
    <row r="8125" s="3161" customFormat="1" ht="12.75"/>
    <row r="8126" s="3161" customFormat="1" ht="12.75"/>
    <row r="8127" s="3161" customFormat="1" ht="12.75"/>
    <row r="8128" s="3161" customFormat="1" ht="12.75"/>
    <row r="8129" s="3161" customFormat="1" ht="12.75"/>
    <row r="8130" s="3161" customFormat="1" ht="12.75"/>
    <row r="8131" s="3161" customFormat="1" ht="12.75"/>
    <row r="8132" s="3161" customFormat="1" ht="12.75"/>
    <row r="8133" s="3161" customFormat="1" ht="12.75"/>
    <row r="8134" s="3161" customFormat="1" ht="12.75"/>
    <row r="8135" s="3161" customFormat="1" ht="12.75"/>
    <row r="8136" s="3161" customFormat="1" ht="12.75"/>
    <row r="8137" s="3161" customFormat="1" ht="12.75"/>
    <row r="8138" s="3161" customFormat="1" ht="12.75"/>
    <row r="8139" s="3161" customFormat="1" ht="12.75"/>
    <row r="8140" s="3161" customFormat="1" ht="12.75"/>
    <row r="8141" s="3161" customFormat="1" ht="12.75"/>
    <row r="8142" s="3161" customFormat="1" ht="12.75"/>
    <row r="8143" s="3161" customFormat="1" ht="12.75"/>
    <row r="8144" s="3161" customFormat="1" ht="12.75"/>
    <row r="8145" s="3161" customFormat="1" ht="12.75"/>
    <row r="8146" s="3161" customFormat="1" ht="12.75"/>
    <row r="8147" s="3161" customFormat="1" ht="12.75"/>
    <row r="8148" s="3161" customFormat="1" ht="12.75"/>
    <row r="8149" s="3161" customFormat="1" ht="12.75"/>
    <row r="8150" s="3161" customFormat="1" ht="12.75"/>
    <row r="8151" s="3161" customFormat="1" ht="12.75"/>
    <row r="8152" s="3161" customFormat="1" ht="12.75"/>
    <row r="8153" s="3161" customFormat="1" ht="12.75"/>
    <row r="8154" s="3161" customFormat="1" ht="12.75"/>
    <row r="8155" s="3161" customFormat="1" ht="12.75"/>
    <row r="8156" s="3161" customFormat="1" ht="12.75"/>
    <row r="8157" s="3161" customFormat="1" ht="12.75"/>
    <row r="8158" s="3161" customFormat="1" ht="12.75"/>
    <row r="8159" s="3161" customFormat="1" ht="12.75"/>
    <row r="8160" s="3161" customFormat="1" ht="12.75"/>
    <row r="8161" s="3161" customFormat="1" ht="12.75"/>
    <row r="8162" s="3161" customFormat="1" ht="12.75"/>
    <row r="8163" s="3161" customFormat="1" ht="12.75"/>
    <row r="8164" s="3161" customFormat="1" ht="12.75"/>
    <row r="8165" s="3161" customFormat="1" ht="12.75"/>
    <row r="8166" s="3161" customFormat="1" ht="12.75"/>
    <row r="8167" s="3161" customFormat="1" ht="12.75"/>
    <row r="8168" s="3161" customFormat="1" ht="12.75"/>
    <row r="8169" s="3161" customFormat="1" ht="12.75"/>
    <row r="8170" s="3161" customFormat="1" ht="12.75"/>
    <row r="8171" s="3161" customFormat="1" ht="12.75"/>
    <row r="8172" s="3161" customFormat="1" ht="12.75"/>
    <row r="8173" s="3161" customFormat="1" ht="12.75"/>
    <row r="8174" s="3161" customFormat="1" ht="12.75"/>
    <row r="8175" s="3161" customFormat="1" ht="12.75"/>
    <row r="8176" s="3161" customFormat="1" ht="12.75"/>
    <row r="8177" s="3161" customFormat="1" ht="12.75"/>
    <row r="8178" s="3161" customFormat="1" ht="12.75"/>
    <row r="8179" s="3161" customFormat="1" ht="12.75"/>
    <row r="8180" s="3161" customFormat="1" ht="12.75"/>
    <row r="8181" s="3161" customFormat="1" ht="12.75"/>
    <row r="8182" s="3161" customFormat="1" ht="12.75"/>
    <row r="8183" s="3161" customFormat="1" ht="12.75"/>
    <row r="8184" s="3161" customFormat="1" ht="12.75"/>
    <row r="8185" s="3161" customFormat="1" ht="12.75"/>
    <row r="8186" s="3161" customFormat="1" ht="12.75"/>
    <row r="8187" s="3161" customFormat="1" ht="12.75"/>
    <row r="8188" s="3161" customFormat="1" ht="12.75"/>
    <row r="8189" s="3161" customFormat="1" ht="12.75"/>
    <row r="8190" s="3161" customFormat="1" ht="12.75"/>
    <row r="8191" s="3161" customFormat="1" ht="12.75"/>
    <row r="8192" s="3161" customFormat="1" ht="12.75"/>
    <row r="8193" s="3161" customFormat="1" ht="12.75"/>
    <row r="8194" s="3161" customFormat="1" ht="12.75"/>
    <row r="8195" s="3161" customFormat="1" ht="12.75"/>
    <row r="8196" s="3161" customFormat="1" ht="12.75"/>
    <row r="8197" s="3161" customFormat="1" ht="12.75"/>
    <row r="8198" s="3161" customFormat="1" ht="12.75"/>
    <row r="8199" s="3161" customFormat="1" ht="12.75"/>
    <row r="8200" s="3161" customFormat="1" ht="12.75"/>
    <row r="8201" s="3161" customFormat="1" ht="12.75"/>
    <row r="8202" s="3161" customFormat="1" ht="12.75"/>
    <row r="8203" s="3161" customFormat="1" ht="12.75"/>
    <row r="8204" s="3161" customFormat="1" ht="12.75"/>
    <row r="8205" s="3161" customFormat="1" ht="12.75"/>
    <row r="8206" s="3161" customFormat="1" ht="12.75"/>
    <row r="8207" s="3161" customFormat="1" ht="12.75"/>
    <row r="8208" s="3161" customFormat="1" ht="12.75"/>
    <row r="8209" s="3161" customFormat="1" ht="12.75"/>
    <row r="8210" s="3161" customFormat="1" ht="12.75"/>
    <row r="8211" s="3161" customFormat="1" ht="12.75"/>
    <row r="8212" s="3161" customFormat="1" ht="12.75"/>
    <row r="8213" s="3161" customFormat="1" ht="12.75"/>
    <row r="8214" s="3161" customFormat="1" ht="12.75"/>
    <row r="8215" s="3161" customFormat="1" ht="12.75"/>
    <row r="8216" s="3161" customFormat="1" ht="12.75"/>
    <row r="8217" s="3161" customFormat="1" ht="12.75"/>
    <row r="8218" s="3161" customFormat="1" ht="12.75"/>
    <row r="8219" s="3161" customFormat="1" ht="12.75"/>
    <row r="8220" s="3161" customFormat="1" ht="12.75"/>
    <row r="8221" s="3161" customFormat="1" ht="12.75"/>
    <row r="8222" s="3161" customFormat="1" ht="12.75"/>
    <row r="8223" s="3161" customFormat="1" ht="12.75"/>
    <row r="8224" s="3161" customFormat="1" ht="12.75"/>
    <row r="8225" s="3161" customFormat="1" ht="12.75"/>
    <row r="8226" s="3161" customFormat="1" ht="12.75"/>
    <row r="8227" s="3161" customFormat="1" ht="12.75"/>
    <row r="8228" s="3161" customFormat="1" ht="12.75"/>
    <row r="8229" s="3161" customFormat="1" ht="12.75"/>
    <row r="8230" s="3161" customFormat="1" ht="12.75"/>
    <row r="8231" s="3161" customFormat="1" ht="12.75"/>
    <row r="8232" s="3161" customFormat="1" ht="12.75"/>
    <row r="8233" s="3161" customFormat="1" ht="12.75"/>
    <row r="8234" s="3161" customFormat="1" ht="12.75"/>
    <row r="8235" s="3161" customFormat="1" ht="12.75"/>
    <row r="8236" s="3161" customFormat="1" ht="12.75"/>
    <row r="8237" s="3161" customFormat="1" ht="12.75"/>
    <row r="8238" s="3161" customFormat="1" ht="12.75"/>
    <row r="8239" s="3161" customFormat="1" ht="12.75"/>
    <row r="8240" s="3161" customFormat="1" ht="12.75"/>
    <row r="8241" s="3161" customFormat="1" ht="12.75"/>
    <row r="8242" s="3161" customFormat="1" ht="12.75"/>
    <row r="8243" s="3161" customFormat="1" ht="12.75"/>
    <row r="8244" s="3161" customFormat="1" ht="12.75"/>
    <row r="8245" s="3161" customFormat="1" ht="12.75"/>
    <row r="8246" s="3161" customFormat="1" ht="12.75"/>
    <row r="8247" s="3161" customFormat="1" ht="12.75"/>
    <row r="8248" s="3161" customFormat="1" ht="12.75"/>
    <row r="8249" s="3161" customFormat="1" ht="12.75"/>
    <row r="8250" s="3161" customFormat="1" ht="12.75"/>
    <row r="8251" s="3161" customFormat="1" ht="12.75"/>
    <row r="8252" s="3161" customFormat="1" ht="12.75"/>
    <row r="8253" s="3161" customFormat="1" ht="12.75"/>
    <row r="8254" s="3161" customFormat="1" ht="12.75"/>
    <row r="8255" s="3161" customFormat="1" ht="12.75"/>
    <row r="8256" s="3161" customFormat="1" ht="12.75"/>
    <row r="8257" s="3161" customFormat="1" ht="12.75"/>
    <row r="8258" s="3161" customFormat="1" ht="12.75"/>
    <row r="8259" s="3161" customFormat="1" ht="12.75"/>
    <row r="8260" s="3161" customFormat="1" ht="12.75"/>
    <row r="8261" s="3161" customFormat="1" ht="12.75"/>
    <row r="8262" s="3161" customFormat="1" ht="12.75"/>
    <row r="8263" s="3161" customFormat="1" ht="12.75"/>
    <row r="8264" s="3161" customFormat="1" ht="12.75"/>
    <row r="8265" s="3161" customFormat="1" ht="12.75"/>
    <row r="8266" s="3161" customFormat="1" ht="12.75"/>
    <row r="8267" s="3161" customFormat="1" ht="12.75"/>
    <row r="8268" s="3161" customFormat="1" ht="12.75"/>
    <row r="8269" s="3161" customFormat="1" ht="12.75"/>
    <row r="8270" s="3161" customFormat="1" ht="12.75"/>
    <row r="8271" s="3161" customFormat="1" ht="12.75"/>
    <row r="8272" s="3161" customFormat="1" ht="12.75"/>
    <row r="8273" s="3161" customFormat="1" ht="12.75"/>
    <row r="8274" s="3161" customFormat="1" ht="12.75"/>
    <row r="8275" s="3161" customFormat="1" ht="12.75"/>
    <row r="8276" s="3161" customFormat="1" ht="12.75"/>
    <row r="8277" s="3161" customFormat="1" ht="12.75"/>
    <row r="8278" s="3161" customFormat="1" ht="12.75"/>
    <row r="8279" s="3161" customFormat="1" ht="12.75"/>
    <row r="8280" s="3161" customFormat="1" ht="12.75"/>
    <row r="8281" s="3161" customFormat="1" ht="12.75"/>
    <row r="8282" s="3161" customFormat="1" ht="12.75"/>
    <row r="8283" s="3161" customFormat="1" ht="12.75"/>
    <row r="8284" s="3161" customFormat="1" ht="12.75"/>
    <row r="8285" s="3161" customFormat="1" ht="12.75"/>
    <row r="8286" s="3161" customFormat="1" ht="12.75"/>
    <row r="8287" s="3161" customFormat="1" ht="12.75"/>
    <row r="8288" s="3161" customFormat="1" ht="12.75"/>
    <row r="8289" s="3161" customFormat="1" ht="12.75"/>
    <row r="8290" s="3161" customFormat="1" ht="12.75"/>
    <row r="8291" s="3161" customFormat="1" ht="12.75"/>
    <row r="8292" s="3161" customFormat="1" ht="12.75"/>
    <row r="8293" s="3161" customFormat="1" ht="12.75"/>
    <row r="8294" s="3161" customFormat="1" ht="12.75"/>
    <row r="8295" s="3161" customFormat="1" ht="12.75"/>
    <row r="8296" s="3161" customFormat="1" ht="12.75"/>
    <row r="8297" s="3161" customFormat="1" ht="12.75"/>
    <row r="8298" s="3161" customFormat="1" ht="12.75"/>
    <row r="8299" s="3161" customFormat="1" ht="12.75"/>
    <row r="8300" s="3161" customFormat="1" ht="12.75"/>
    <row r="8301" s="3161" customFormat="1" ht="12.75"/>
    <row r="8302" s="3161" customFormat="1" ht="12.75"/>
    <row r="8303" s="3161" customFormat="1" ht="12.75"/>
    <row r="8304" s="3161" customFormat="1" ht="12.75"/>
    <row r="8305" s="3161" customFormat="1" ht="12.75"/>
    <row r="8306" s="3161" customFormat="1" ht="12.75"/>
    <row r="8307" s="3161" customFormat="1" ht="12.75"/>
    <row r="8308" s="3161" customFormat="1" ht="12.75"/>
    <row r="8309" s="3161" customFormat="1" ht="12.75"/>
    <row r="8310" s="3161" customFormat="1" ht="12.75"/>
    <row r="8311" s="3161" customFormat="1" ht="12.75"/>
    <row r="8312" s="3161" customFormat="1" ht="12.75"/>
    <row r="8313" s="3161" customFormat="1" ht="12.75"/>
    <row r="8314" s="3161" customFormat="1" ht="12.75"/>
    <row r="8315" s="3161" customFormat="1" ht="12.75"/>
    <row r="8316" s="3161" customFormat="1" ht="12.75"/>
    <row r="8317" s="3161" customFormat="1" ht="12.75"/>
    <row r="8318" s="3161" customFormat="1" ht="12.75"/>
    <row r="8319" s="3161" customFormat="1" ht="12.75"/>
    <row r="8320" s="3161" customFormat="1" ht="12.75"/>
    <row r="8321" s="3161" customFormat="1" ht="12.75"/>
    <row r="8322" s="3161" customFormat="1" ht="12.75"/>
    <row r="8323" s="3161" customFormat="1" ht="12.75"/>
    <row r="8324" s="3161" customFormat="1" ht="12.75"/>
    <row r="8325" s="3161" customFormat="1" ht="12.75"/>
    <row r="8326" s="3161" customFormat="1" ht="12.75"/>
    <row r="8327" s="3161" customFormat="1" ht="12.75"/>
    <row r="8328" s="3161" customFormat="1" ht="12.75"/>
    <row r="8329" s="3161" customFormat="1" ht="12.75"/>
    <row r="8330" s="3161" customFormat="1" ht="12.75"/>
    <row r="8331" s="3161" customFormat="1" ht="12.75"/>
    <row r="8332" s="3161" customFormat="1" ht="12.75"/>
    <row r="8333" s="3161" customFormat="1" ht="12.75"/>
    <row r="8334" s="3161" customFormat="1" ht="12.75"/>
    <row r="8335" s="3161" customFormat="1" ht="12.75"/>
    <row r="8336" s="3161" customFormat="1" ht="12.75"/>
    <row r="8337" s="3161" customFormat="1" ht="12.75"/>
    <row r="8338" s="3161" customFormat="1" ht="12.75"/>
    <row r="8339" s="3161" customFormat="1" ht="12.75"/>
    <row r="8340" s="3161" customFormat="1" ht="12.75"/>
    <row r="8341" s="3161" customFormat="1" ht="12.75"/>
    <row r="8342" s="3161" customFormat="1" ht="12.75"/>
    <row r="8343" s="3161" customFormat="1" ht="12.75"/>
    <row r="8344" s="3161" customFormat="1" ht="12.75"/>
    <row r="8345" s="3161" customFormat="1" ht="12.75"/>
    <row r="8346" s="3161" customFormat="1" ht="12.75"/>
    <row r="8347" s="3161" customFormat="1" ht="12.75"/>
    <row r="8348" s="3161" customFormat="1" ht="12.75"/>
    <row r="8349" s="3161" customFormat="1" ht="12.75"/>
    <row r="8350" s="3161" customFormat="1" ht="12.75"/>
    <row r="8351" s="3161" customFormat="1" ht="12.75"/>
    <row r="8352" s="3161" customFormat="1" ht="12.75"/>
    <row r="8353" s="3161" customFormat="1" ht="12.75"/>
    <row r="8354" s="3161" customFormat="1" ht="12.75"/>
    <row r="8355" s="3161" customFormat="1" ht="12.75"/>
    <row r="8356" s="3161" customFormat="1" ht="12.75"/>
    <row r="8357" s="3161" customFormat="1" ht="12.75"/>
    <row r="8358" s="3161" customFormat="1" ht="12.75"/>
    <row r="8359" s="3161" customFormat="1" ht="12.75"/>
    <row r="8360" s="3161" customFormat="1" ht="12.75"/>
    <row r="8361" s="3161" customFormat="1" ht="12.75"/>
    <row r="8362" s="3161" customFormat="1" ht="12.75"/>
    <row r="8363" s="3161" customFormat="1" ht="12.75"/>
    <row r="8364" s="3161" customFormat="1" ht="12.75"/>
    <row r="8365" s="3161" customFormat="1" ht="12.75"/>
    <row r="8366" s="3161" customFormat="1" ht="12.75"/>
    <row r="8367" s="3161" customFormat="1" ht="12.75"/>
    <row r="8368" s="3161" customFormat="1" ht="12.75"/>
    <row r="8369" s="3161" customFormat="1" ht="12.75"/>
    <row r="8370" s="3161" customFormat="1" ht="12.75"/>
    <row r="8371" s="3161" customFormat="1" ht="12.75"/>
    <row r="8372" s="3161" customFormat="1" ht="12.75"/>
    <row r="8373" s="3161" customFormat="1" ht="12.75"/>
    <row r="8374" s="3161" customFormat="1" ht="12.75"/>
    <row r="8375" s="3161" customFormat="1" ht="12.75"/>
    <row r="8376" s="3161" customFormat="1" ht="12.75"/>
    <row r="8377" s="3161" customFormat="1" ht="12.75"/>
    <row r="8378" s="3161" customFormat="1" ht="12.75"/>
    <row r="8379" s="3161" customFormat="1" ht="12.75"/>
    <row r="8380" s="3161" customFormat="1" ht="12.75"/>
    <row r="8381" s="3161" customFormat="1" ht="12.75"/>
    <row r="8382" s="3161" customFormat="1" ht="12.75"/>
    <row r="8383" s="3161" customFormat="1" ht="12.75"/>
    <row r="8384" s="3161" customFormat="1" ht="12.75"/>
    <row r="8385" s="3161" customFormat="1" ht="12.75"/>
    <row r="8386" s="3161" customFormat="1" ht="12.75"/>
    <row r="8387" s="3161" customFormat="1" ht="12.75"/>
    <row r="8388" s="3161" customFormat="1" ht="12.75"/>
    <row r="8389" s="3161" customFormat="1" ht="12.75"/>
    <row r="8390" s="3161" customFormat="1" ht="12.75"/>
    <row r="8391" s="3161" customFormat="1" ht="12.75"/>
    <row r="8392" s="3161" customFormat="1" ht="12.75"/>
    <row r="8393" s="3161" customFormat="1" ht="12.75"/>
    <row r="8394" s="3161" customFormat="1" ht="12.75"/>
    <row r="8395" s="3161" customFormat="1" ht="12.75"/>
    <row r="8396" s="3161" customFormat="1" ht="12.75"/>
    <row r="8397" s="3161" customFormat="1" ht="12.75"/>
    <row r="8398" s="3161" customFormat="1" ht="12.75"/>
    <row r="8399" s="3161" customFormat="1" ht="12.75"/>
    <row r="8400" s="3161" customFormat="1" ht="12.75"/>
    <row r="8401" s="3161" customFormat="1" ht="12.75"/>
    <row r="8402" s="3161" customFormat="1" ht="12.75"/>
    <row r="8403" s="3161" customFormat="1" ht="12.75"/>
    <row r="8404" s="3161" customFormat="1" ht="12.75"/>
    <row r="8405" s="3161" customFormat="1" ht="12.75"/>
    <row r="8406" s="3161" customFormat="1" ht="12.75"/>
    <row r="8407" s="3161" customFormat="1" ht="12.75"/>
    <row r="8408" s="3161" customFormat="1" ht="12.75"/>
    <row r="8409" s="3161" customFormat="1" ht="12.75"/>
    <row r="8410" s="3161" customFormat="1" ht="12.75"/>
    <row r="8411" s="3161" customFormat="1" ht="12.75"/>
    <row r="8412" s="3161" customFormat="1" ht="12.75"/>
    <row r="8413" s="3161" customFormat="1" ht="12.75"/>
    <row r="8414" s="3161" customFormat="1" ht="12.75"/>
    <row r="8415" s="3161" customFormat="1" ht="12.75"/>
    <row r="8416" s="3161" customFormat="1" ht="12.75"/>
    <row r="8417" s="3161" customFormat="1" ht="12.75"/>
    <row r="8418" s="3161" customFormat="1" ht="12.75"/>
    <row r="8419" s="3161" customFormat="1" ht="12.75"/>
    <row r="8420" s="3161" customFormat="1" ht="12.75"/>
    <row r="8421" s="3161" customFormat="1" ht="12.75"/>
    <row r="8422" s="3161" customFormat="1" ht="12.75"/>
    <row r="8423" s="3161" customFormat="1" ht="12.75"/>
    <row r="8424" s="3161" customFormat="1" ht="12.75"/>
    <row r="8425" s="3161" customFormat="1" ht="12.75"/>
    <row r="8426" s="3161" customFormat="1" ht="12.75"/>
    <row r="8427" s="3161" customFormat="1" ht="12.75"/>
    <row r="8428" s="3161" customFormat="1" ht="12.75"/>
    <row r="8429" s="3161" customFormat="1" ht="12.75"/>
    <row r="8430" s="3161" customFormat="1" ht="12.75"/>
    <row r="8431" s="3161" customFormat="1" ht="12.75"/>
    <row r="8432" s="3161" customFormat="1" ht="12.75"/>
    <row r="8433" s="3161" customFormat="1" ht="12.75"/>
    <row r="8434" s="3161" customFormat="1" ht="12.75"/>
    <row r="8435" s="3161" customFormat="1" ht="12.75"/>
    <row r="8436" s="3161" customFormat="1" ht="12.75"/>
    <row r="8437" s="3161" customFormat="1" ht="12.75"/>
    <row r="8438" s="3161" customFormat="1" ht="12.75"/>
    <row r="8439" s="3161" customFormat="1" ht="12.75"/>
    <row r="8440" s="3161" customFormat="1" ht="12.75"/>
    <row r="8441" s="3161" customFormat="1" ht="12.75"/>
    <row r="8442" s="3161" customFormat="1" ht="12.75"/>
    <row r="8443" s="3161" customFormat="1" ht="12.75"/>
    <row r="8444" s="3161" customFormat="1" ht="12.75"/>
    <row r="8445" s="3161" customFormat="1" ht="12.75"/>
    <row r="8446" s="3161" customFormat="1" ht="12.75"/>
    <row r="8447" s="3161" customFormat="1" ht="12.75"/>
    <row r="8448" s="3161" customFormat="1" ht="12.75"/>
    <row r="8449" s="3161" customFormat="1" ht="12.75"/>
    <row r="8450" s="3161" customFormat="1" ht="12.75"/>
    <row r="8451" s="3161" customFormat="1" ht="12.75"/>
    <row r="8452" s="3161" customFormat="1" ht="12.75"/>
    <row r="8453" s="3161" customFormat="1" ht="12.75"/>
    <row r="8454" s="3161" customFormat="1" ht="12.75"/>
    <row r="8455" s="3161" customFormat="1" ht="12.75"/>
    <row r="8456" s="3161" customFormat="1" ht="12.75"/>
    <row r="8457" s="3161" customFormat="1" ht="12.75"/>
    <row r="8458" s="3161" customFormat="1" ht="12.75"/>
    <row r="8459" s="3161" customFormat="1" ht="12.75"/>
    <row r="8460" s="3161" customFormat="1" ht="12.75"/>
    <row r="8461" s="3161" customFormat="1" ht="12.75"/>
    <row r="8462" s="3161" customFormat="1" ht="12.75"/>
    <row r="8463" s="3161" customFormat="1" ht="12.75"/>
    <row r="8464" s="3161" customFormat="1" ht="12.75"/>
    <row r="8465" s="3161" customFormat="1" ht="12.75"/>
    <row r="8466" s="3161" customFormat="1" ht="12.75"/>
    <row r="8467" s="3161" customFormat="1" ht="12.75"/>
    <row r="8468" s="3161" customFormat="1" ht="12.75"/>
    <row r="8469" s="3161" customFormat="1" ht="12.75"/>
    <row r="8470" s="3161" customFormat="1" ht="12.75"/>
    <row r="8471" s="3161" customFormat="1" ht="12.75"/>
    <row r="8472" s="3161" customFormat="1" ht="12.75"/>
    <row r="8473" s="3161" customFormat="1" ht="12.75"/>
    <row r="8474" s="3161" customFormat="1" ht="12.75"/>
    <row r="8475" s="3161" customFormat="1" ht="12.75"/>
    <row r="8476" s="3161" customFormat="1" ht="12.75"/>
    <row r="8477" s="3161" customFormat="1" ht="12.75"/>
    <row r="8478" s="3161" customFormat="1" ht="12.75"/>
    <row r="8479" s="3161" customFormat="1" ht="12.75"/>
    <row r="8480" s="3161" customFormat="1" ht="12.75"/>
    <row r="8481" s="3161" customFormat="1" ht="12.75"/>
    <row r="8482" s="3161" customFormat="1" ht="12.75"/>
    <row r="8483" s="3161" customFormat="1" ht="12.75"/>
    <row r="8484" s="3161" customFormat="1" ht="12.75"/>
    <row r="8485" s="3161" customFormat="1" ht="12.75"/>
    <row r="8486" s="3161" customFormat="1" ht="12.75"/>
    <row r="8487" s="3161" customFormat="1" ht="12.75"/>
    <row r="8488" s="3161" customFormat="1" ht="12.75"/>
    <row r="8489" s="3161" customFormat="1" ht="12.75"/>
    <row r="8490" s="3161" customFormat="1" ht="12.75"/>
    <row r="8491" s="3161" customFormat="1" ht="12.75"/>
    <row r="8492" s="3161" customFormat="1" ht="12.75"/>
    <row r="8493" s="3161" customFormat="1" ht="12.75"/>
    <row r="8494" s="3161" customFormat="1" ht="12.75"/>
    <row r="8495" s="3161" customFormat="1" ht="12.75"/>
    <row r="8496" s="3161" customFormat="1" ht="12.75"/>
    <row r="8497" s="3161" customFormat="1" ht="12.75"/>
    <row r="8498" s="3161" customFormat="1" ht="12.75"/>
    <row r="8499" s="3161" customFormat="1" ht="12.75"/>
    <row r="8500" s="3161" customFormat="1" ht="12.75"/>
    <row r="8501" s="3161" customFormat="1" ht="12.75"/>
    <row r="8502" s="3161" customFormat="1" ht="12.75"/>
    <row r="8503" s="3161" customFormat="1" ht="12.75"/>
    <row r="8504" s="3161" customFormat="1" ht="12.75"/>
    <row r="8505" s="3161" customFormat="1" ht="12.75"/>
    <row r="8506" s="3161" customFormat="1" ht="12.75"/>
    <row r="8507" s="3161" customFormat="1" ht="12.75"/>
    <row r="8508" s="3161" customFormat="1" ht="12.75"/>
    <row r="8509" s="3161" customFormat="1" ht="12.75"/>
    <row r="8510" s="3161" customFormat="1" ht="12.75"/>
    <row r="8511" s="3161" customFormat="1" ht="12.75"/>
    <row r="8512" s="3161" customFormat="1" ht="12.75"/>
    <row r="8513" s="3161" customFormat="1" ht="12.75"/>
    <row r="8514" s="3161" customFormat="1" ht="12.75"/>
    <row r="8515" s="3161" customFormat="1" ht="12.75"/>
    <row r="8516" s="3161" customFormat="1" ht="12.75"/>
    <row r="8517" s="3161" customFormat="1" ht="12.75"/>
    <row r="8518" s="3161" customFormat="1" ht="12.75"/>
    <row r="8519" s="3161" customFormat="1" ht="12.75"/>
    <row r="8520" s="3161" customFormat="1" ht="12.75"/>
    <row r="8521" s="3161" customFormat="1" ht="12.75"/>
    <row r="8522" s="3161" customFormat="1" ht="12.75"/>
    <row r="8523" s="3161" customFormat="1" ht="12.75"/>
    <row r="8524" s="3161" customFormat="1" ht="12.75"/>
    <row r="8525" s="3161" customFormat="1" ht="12.75"/>
    <row r="8526" s="3161" customFormat="1" ht="12.75"/>
    <row r="8527" s="3161" customFormat="1" ht="12.75"/>
    <row r="8528" s="3161" customFormat="1" ht="12.75"/>
    <row r="8529" s="3161" customFormat="1" ht="12.75"/>
    <row r="8530" s="3161" customFormat="1" ht="12.75"/>
    <row r="8531" s="3161" customFormat="1" ht="12.75"/>
    <row r="8532" s="3161" customFormat="1" ht="12.75"/>
    <row r="8533" s="3161" customFormat="1" ht="12.75"/>
    <row r="8534" s="3161" customFormat="1" ht="12.75"/>
    <row r="8535" s="3161" customFormat="1" ht="12.75"/>
    <row r="8536" s="3161" customFormat="1" ht="12.75"/>
    <row r="8537" s="3161" customFormat="1" ht="12.75"/>
    <row r="8538" s="3161" customFormat="1" ht="12.75"/>
    <row r="8539" s="3161" customFormat="1" ht="12.75"/>
    <row r="8540" s="3161" customFormat="1" ht="12.75"/>
    <row r="8541" s="3161" customFormat="1" ht="12.75"/>
    <row r="8542" s="3161" customFormat="1" ht="12.75"/>
    <row r="8543" s="3161" customFormat="1" ht="12.75"/>
    <row r="8544" s="3161" customFormat="1" ht="12.75"/>
    <row r="8545" s="3161" customFormat="1" ht="12.75"/>
    <row r="8546" s="3161" customFormat="1" ht="12.75"/>
    <row r="8547" s="3161" customFormat="1" ht="12.75"/>
    <row r="8548" s="3161" customFormat="1" ht="12.75"/>
    <row r="8549" s="3161" customFormat="1" ht="12.75"/>
    <row r="8550" s="3161" customFormat="1" ht="12.75"/>
    <row r="8551" s="3161" customFormat="1" ht="12.75"/>
    <row r="8552" s="3161" customFormat="1" ht="12.75"/>
    <row r="8553" s="3161" customFormat="1" ht="12.75"/>
    <row r="8554" s="3161" customFormat="1" ht="12.75"/>
    <row r="8555" s="3161" customFormat="1" ht="12.75"/>
    <row r="8556" s="3161" customFormat="1" ht="12.75"/>
    <row r="8557" s="3161" customFormat="1" ht="12.75"/>
    <row r="8558" s="3161" customFormat="1" ht="12.75"/>
    <row r="8559" s="3161" customFormat="1" ht="12.75"/>
    <row r="8560" s="3161" customFormat="1" ht="12.75"/>
    <row r="8561" s="3161" customFormat="1" ht="12.75"/>
    <row r="8562" s="3161" customFormat="1" ht="12.75"/>
    <row r="8563" s="3161" customFormat="1" ht="12.75"/>
    <row r="8564" s="3161" customFormat="1" ht="12.75"/>
    <row r="8565" s="3161" customFormat="1" ht="12.75"/>
    <row r="8566" s="3161" customFormat="1" ht="12.75"/>
    <row r="8567" s="3161" customFormat="1" ht="12.75"/>
    <row r="8568" s="3161" customFormat="1" ht="12.75"/>
    <row r="8569" s="3161" customFormat="1" ht="12.75"/>
    <row r="8570" s="3161" customFormat="1" ht="12.75"/>
    <row r="8571" s="3161" customFormat="1" ht="12.75"/>
    <row r="8572" s="3161" customFormat="1" ht="12.75"/>
    <row r="8573" s="3161" customFormat="1" ht="12.75"/>
    <row r="8574" s="3161" customFormat="1" ht="12.75"/>
    <row r="8575" s="3161" customFormat="1" ht="12.75"/>
    <row r="8576" s="3161" customFormat="1" ht="12.75"/>
    <row r="8577" s="3161" customFormat="1" ht="12.75"/>
    <row r="8578" s="3161" customFormat="1" ht="12.75"/>
    <row r="8579" s="3161" customFormat="1" ht="12.75"/>
    <row r="8580" s="3161" customFormat="1" ht="12.75"/>
    <row r="8581" s="3161" customFormat="1" ht="12.75"/>
    <row r="8582" s="3161" customFormat="1" ht="12.75"/>
    <row r="8583" s="3161" customFormat="1" ht="12.75"/>
    <row r="8584" s="3161" customFormat="1" ht="12.75"/>
    <row r="8585" s="3161" customFormat="1" ht="12.75"/>
    <row r="8586" s="3161" customFormat="1" ht="12.75"/>
    <row r="8587" s="3161" customFormat="1" ht="12.75"/>
    <row r="8588" s="3161" customFormat="1" ht="12.75"/>
    <row r="8589" s="3161" customFormat="1" ht="12.75"/>
    <row r="8590" s="3161" customFormat="1" ht="12.75"/>
    <row r="8591" s="3161" customFormat="1" ht="12.75"/>
    <row r="8592" s="3161" customFormat="1" ht="12.75"/>
    <row r="8593" s="3161" customFormat="1" ht="12.75"/>
    <row r="8594" s="3161" customFormat="1" ht="12.75"/>
    <row r="8595" s="3161" customFormat="1" ht="12.75"/>
    <row r="8596" s="3161" customFormat="1" ht="12.75"/>
    <row r="8597" s="3161" customFormat="1" ht="12.75"/>
    <row r="8598" s="3161" customFormat="1" ht="12.75"/>
    <row r="8599" s="3161" customFormat="1" ht="12.75"/>
    <row r="8600" s="3161" customFormat="1" ht="12.75"/>
    <row r="8601" s="3161" customFormat="1" ht="12.75"/>
    <row r="8602" s="3161" customFormat="1" ht="12.75"/>
    <row r="8603" s="3161" customFormat="1" ht="12.75"/>
    <row r="8604" s="3161" customFormat="1" ht="12.75"/>
    <row r="8605" s="3161" customFormat="1" ht="12.75"/>
    <row r="8606" s="3161" customFormat="1" ht="12.75"/>
    <row r="8607" s="3161" customFormat="1" ht="12.75"/>
    <row r="8608" s="3161" customFormat="1" ht="12.75"/>
    <row r="8609" s="3161" customFormat="1" ht="12.75"/>
    <row r="8610" s="3161" customFormat="1" ht="12.75"/>
    <row r="8611" s="3161" customFormat="1" ht="12.75"/>
    <row r="8612" s="3161" customFormat="1" ht="12.75"/>
    <row r="8613" s="3161" customFormat="1" ht="12.75"/>
    <row r="8614" s="3161" customFormat="1" ht="12.75"/>
    <row r="8615" s="3161" customFormat="1" ht="12.75"/>
    <row r="8616" s="3161" customFormat="1" ht="12.75"/>
    <row r="8617" s="3161" customFormat="1" ht="12.75"/>
    <row r="8618" s="3161" customFormat="1" ht="12.75"/>
    <row r="8619" s="3161" customFormat="1" ht="12.75"/>
    <row r="8620" s="3161" customFormat="1" ht="12.75"/>
    <row r="8621" s="3161" customFormat="1" ht="12.75"/>
    <row r="8622" s="3161" customFormat="1" ht="12.75"/>
    <row r="8623" s="3161" customFormat="1" ht="12.75"/>
    <row r="8624" s="3161" customFormat="1" ht="12.75"/>
    <row r="8625" s="3161" customFormat="1" ht="12.75"/>
    <row r="8626" s="3161" customFormat="1" ht="12.75"/>
    <row r="8627" s="3161" customFormat="1" ht="12.75"/>
    <row r="8628" s="3161" customFormat="1" ht="12.75"/>
    <row r="8629" s="3161" customFormat="1" ht="12.75"/>
    <row r="8630" s="3161" customFormat="1" ht="12.75"/>
    <row r="8631" s="3161" customFormat="1" ht="12.75"/>
    <row r="8632" s="3161" customFormat="1" ht="12.75"/>
    <row r="8633" s="3161" customFormat="1" ht="12.75"/>
    <row r="8634" s="3161" customFormat="1" ht="12.75"/>
    <row r="8635" s="3161" customFormat="1" ht="12.75"/>
    <row r="8636" s="3161" customFormat="1" ht="12.75"/>
    <row r="8637" s="3161" customFormat="1" ht="12.75"/>
    <row r="8638" s="3161" customFormat="1" ht="12.75"/>
    <row r="8639" s="3161" customFormat="1" ht="12.75"/>
    <row r="8640" s="3161" customFormat="1" ht="12.75"/>
    <row r="8641" s="3161" customFormat="1" ht="12.75"/>
    <row r="8642" s="3161" customFormat="1" ht="12.75"/>
    <row r="8643" s="3161" customFormat="1" ht="12.75"/>
    <row r="8644" s="3161" customFormat="1" ht="12.75"/>
    <row r="8645" s="3161" customFormat="1" ht="12.75"/>
    <row r="8646" s="3161" customFormat="1" ht="12.75"/>
    <row r="8647" s="3161" customFormat="1" ht="12.75"/>
    <row r="8648" s="3161" customFormat="1" ht="12.75"/>
    <row r="8649" s="3161" customFormat="1" ht="12.75"/>
    <row r="8650" s="3161" customFormat="1" ht="12.75"/>
    <row r="8651" s="3161" customFormat="1" ht="12.75"/>
    <row r="8652" s="3161" customFormat="1" ht="12.75"/>
    <row r="8653" s="3161" customFormat="1" ht="12.75"/>
    <row r="8654" s="3161" customFormat="1" ht="12.75"/>
    <row r="8655" s="3161" customFormat="1" ht="12.75"/>
    <row r="8656" s="3161" customFormat="1" ht="12.75"/>
    <row r="8657" s="3161" customFormat="1" ht="12.75"/>
    <row r="8658" s="3161" customFormat="1" ht="12.75"/>
    <row r="8659" s="3161" customFormat="1" ht="12.75"/>
    <row r="8660" s="3161" customFormat="1" ht="12.75"/>
    <row r="8661" s="3161" customFormat="1" ht="12.75"/>
    <row r="8662" s="3161" customFormat="1" ht="12.75"/>
    <row r="8663" s="3161" customFormat="1" ht="12.75"/>
    <row r="8664" s="3161" customFormat="1" ht="12.75"/>
    <row r="8665" s="3161" customFormat="1" ht="12.75"/>
    <row r="8666" s="3161" customFormat="1" ht="12.75"/>
    <row r="8667" s="3161" customFormat="1" ht="12.75"/>
    <row r="8668" s="3161" customFormat="1" ht="12.75"/>
    <row r="8669" s="3161" customFormat="1" ht="12.75"/>
    <row r="8670" s="3161" customFormat="1" ht="12.75"/>
    <row r="8671" s="3161" customFormat="1" ht="12.75"/>
    <row r="8672" s="3161" customFormat="1" ht="12.75"/>
    <row r="8673" s="3161" customFormat="1" ht="12.75"/>
    <row r="8674" s="3161" customFormat="1" ht="12.75"/>
    <row r="8675" s="3161" customFormat="1" ht="12.75"/>
    <row r="8676" s="3161" customFormat="1" ht="12.75"/>
    <row r="8677" s="3161" customFormat="1" ht="12.75"/>
    <row r="8678" s="3161" customFormat="1" ht="12.75"/>
    <row r="8679" s="3161" customFormat="1" ht="12.75"/>
    <row r="8680" s="3161" customFormat="1" ht="12.75"/>
    <row r="8681" s="3161" customFormat="1" ht="12.75"/>
    <row r="8682" s="3161" customFormat="1" ht="12.75"/>
    <row r="8683" s="3161" customFormat="1" ht="12.75"/>
    <row r="8684" s="3161" customFormat="1" ht="12.75"/>
    <row r="8685" s="3161" customFormat="1" ht="12.75"/>
    <row r="8686" s="3161" customFormat="1" ht="12.75"/>
    <row r="8687" s="3161" customFormat="1" ht="12.75"/>
    <row r="8688" s="3161" customFormat="1" ht="12.75"/>
    <row r="8689" s="3161" customFormat="1" ht="12.75"/>
    <row r="8690" s="3161" customFormat="1" ht="12.75"/>
    <row r="8691" s="3161" customFormat="1" ht="12.75"/>
    <row r="8692" s="3161" customFormat="1" ht="12.75"/>
    <row r="8693" s="3161" customFormat="1" ht="12.75"/>
    <row r="8694" s="3161" customFormat="1" ht="12.75"/>
    <row r="8695" s="3161" customFormat="1" ht="12.75"/>
    <row r="8696" s="3161" customFormat="1" ht="12.75"/>
    <row r="8697" s="3161" customFormat="1" ht="12.75"/>
    <row r="8698" s="3161" customFormat="1" ht="12.75"/>
    <row r="8699" s="3161" customFormat="1" ht="12.75"/>
    <row r="8700" s="3161" customFormat="1" ht="12.75"/>
    <row r="8701" s="3161" customFormat="1" ht="12.75"/>
    <row r="8702" s="3161" customFormat="1" ht="12.75"/>
    <row r="8703" s="3161" customFormat="1" ht="12.75"/>
    <row r="8704" s="3161" customFormat="1" ht="12.75"/>
    <row r="8705" s="3161" customFormat="1" ht="12.75"/>
    <row r="8706" s="3161" customFormat="1" ht="12.75"/>
    <row r="8707" s="3161" customFormat="1" ht="12.75"/>
    <row r="8708" s="3161" customFormat="1" ht="12.75"/>
    <row r="8709" s="3161" customFormat="1" ht="12.75"/>
    <row r="8710" s="3161" customFormat="1" ht="12.75"/>
    <row r="8711" s="3161" customFormat="1" ht="12.75"/>
    <row r="8712" s="3161" customFormat="1" ht="12.75"/>
    <row r="8713" s="3161" customFormat="1" ht="12.75"/>
    <row r="8714" s="3161" customFormat="1" ht="12.75"/>
    <row r="8715" s="3161" customFormat="1" ht="12.75"/>
    <row r="8716" s="3161" customFormat="1" ht="12.75"/>
    <row r="8717" s="3161" customFormat="1" ht="12.75"/>
    <row r="8718" s="3161" customFormat="1" ht="12.75"/>
    <row r="8719" s="3161" customFormat="1" ht="12.75"/>
    <row r="8720" s="3161" customFormat="1" ht="12.75"/>
    <row r="8721" s="3161" customFormat="1" ht="12.75"/>
    <row r="8722" s="3161" customFormat="1" ht="12.75"/>
    <row r="8723" s="3161" customFormat="1" ht="12.75"/>
    <row r="8724" s="3161" customFormat="1" ht="12.75"/>
    <row r="8725" s="3161" customFormat="1" ht="12.75"/>
    <row r="8726" s="3161" customFormat="1" ht="12.75"/>
    <row r="8727" s="3161" customFormat="1" ht="12.75"/>
    <row r="8728" s="3161" customFormat="1" ht="12.75"/>
    <row r="8729" s="3161" customFormat="1" ht="12.75"/>
    <row r="8730" s="3161" customFormat="1" ht="12.75"/>
    <row r="8731" s="3161" customFormat="1" ht="12.75"/>
    <row r="8732" s="3161" customFormat="1" ht="12.75"/>
    <row r="8733" s="3161" customFormat="1" ht="12.75"/>
    <row r="8734" s="3161" customFormat="1" ht="12.75"/>
    <row r="8735" s="3161" customFormat="1" ht="12.75"/>
    <row r="8736" s="3161" customFormat="1" ht="12.75"/>
    <row r="8737" s="3161" customFormat="1" ht="12.75"/>
    <row r="8738" s="3161" customFormat="1" ht="12.75"/>
    <row r="8739" s="3161" customFormat="1" ht="12.75"/>
    <row r="8740" s="3161" customFormat="1" ht="12.75"/>
    <row r="8741" s="3161" customFormat="1" ht="12.75"/>
    <row r="8742" s="3161" customFormat="1" ht="12.75"/>
    <row r="8743" s="3161" customFormat="1" ht="12.75"/>
    <row r="8744" s="3161" customFormat="1" ht="12.75"/>
    <row r="8745" s="3161" customFormat="1" ht="12.75"/>
    <row r="8746" s="3161" customFormat="1" ht="12.75"/>
    <row r="8747" s="3161" customFormat="1" ht="12.75"/>
    <row r="8748" s="3161" customFormat="1" ht="12.75"/>
    <row r="8749" s="3161" customFormat="1" ht="12.75"/>
    <row r="8750" s="3161" customFormat="1" ht="12.75"/>
    <row r="8751" s="3161" customFormat="1" ht="12.75"/>
    <row r="8752" s="3161" customFormat="1" ht="12.75"/>
    <row r="8753" s="3161" customFormat="1" ht="12.75"/>
    <row r="8754" s="3161" customFormat="1" ht="12.75"/>
    <row r="8755" s="3161" customFormat="1" ht="12.75"/>
    <row r="8756" s="3161" customFormat="1" ht="12.75"/>
    <row r="8757" s="3161" customFormat="1" ht="12.75"/>
    <row r="8758" s="3161" customFormat="1" ht="12.75"/>
    <row r="8759" s="3161" customFormat="1" ht="12.75"/>
    <row r="8760" s="3161" customFormat="1" ht="12.75"/>
    <row r="8761" s="3161" customFormat="1" ht="12.75"/>
    <row r="8762" s="3161" customFormat="1" ht="12.75"/>
    <row r="8763" s="3161" customFormat="1" ht="12.75"/>
    <row r="8764" s="3161" customFormat="1" ht="12.75"/>
    <row r="8765" s="3161" customFormat="1" ht="12.75"/>
    <row r="8766" s="3161" customFormat="1" ht="12.75"/>
    <row r="8767" s="3161" customFormat="1" ht="12.75"/>
    <row r="8768" s="3161" customFormat="1" ht="12.75"/>
    <row r="8769" s="3161" customFormat="1" ht="12.75"/>
    <row r="8770" s="3161" customFormat="1" ht="12.75"/>
    <row r="8771" s="3161" customFormat="1" ht="12.75"/>
    <row r="8772" s="3161" customFormat="1" ht="12.75"/>
    <row r="8773" s="3161" customFormat="1" ht="12.75"/>
    <row r="8774" s="3161" customFormat="1" ht="12.75"/>
    <row r="8775" s="3161" customFormat="1" ht="12.75"/>
    <row r="8776" s="3161" customFormat="1" ht="12.75"/>
    <row r="8777" s="3161" customFormat="1" ht="12.75"/>
    <row r="8778" s="3161" customFormat="1" ht="12.75"/>
    <row r="8779" s="3161" customFormat="1" ht="12.75"/>
    <row r="8780" s="3161" customFormat="1" ht="12.75"/>
    <row r="8781" s="3161" customFormat="1" ht="12.75"/>
    <row r="8782" s="3161" customFormat="1" ht="12.75"/>
    <row r="8783" s="3161" customFormat="1" ht="12.75"/>
    <row r="8784" s="3161" customFormat="1" ht="12.75"/>
    <row r="8785" s="3161" customFormat="1" ht="12.75"/>
    <row r="8786" s="3161" customFormat="1" ht="12.75"/>
    <row r="8787" s="3161" customFormat="1" ht="12.75"/>
    <row r="8788" s="3161" customFormat="1" ht="12.75"/>
    <row r="8789" s="3161" customFormat="1" ht="12.75"/>
    <row r="8790" s="3161" customFormat="1" ht="12.75"/>
    <row r="8791" s="3161" customFormat="1" ht="12.75"/>
    <row r="8792" s="3161" customFormat="1" ht="12.75"/>
    <row r="8793" s="3161" customFormat="1" ht="12.75"/>
    <row r="8794" s="3161" customFormat="1" ht="12.75"/>
    <row r="8795" s="3161" customFormat="1" ht="12.75"/>
    <row r="8796" s="3161" customFormat="1" ht="12.75"/>
    <row r="8797" s="3161" customFormat="1" ht="12.75"/>
    <row r="8798" s="3161" customFormat="1" ht="12.75"/>
    <row r="8799" s="3161" customFormat="1" ht="12.75"/>
    <row r="8800" s="3161" customFormat="1" ht="12.75"/>
    <row r="8801" s="3161" customFormat="1" ht="12.75"/>
    <row r="8802" s="3161" customFormat="1" ht="12.75"/>
    <row r="8803" s="3161" customFormat="1" ht="12.75"/>
    <row r="8804" s="3161" customFormat="1" ht="12.75"/>
    <row r="8805" s="3161" customFormat="1" ht="12.75"/>
    <row r="8806" s="3161" customFormat="1" ht="12.75"/>
    <row r="8807" s="3161" customFormat="1" ht="12.75"/>
    <row r="8808" s="3161" customFormat="1" ht="12.75"/>
    <row r="8809" s="3161" customFormat="1" ht="12.75"/>
    <row r="8810" s="3161" customFormat="1" ht="12.75"/>
    <row r="8811" s="3161" customFormat="1" ht="12.75"/>
    <row r="8812" s="3161" customFormat="1" ht="12.75"/>
    <row r="8813" s="3161" customFormat="1" ht="12.75"/>
    <row r="8814" s="3161" customFormat="1" ht="12.75"/>
    <row r="8815" s="3161" customFormat="1" ht="12.75"/>
    <row r="8816" s="3161" customFormat="1" ht="12.75"/>
    <row r="8817" s="3161" customFormat="1" ht="12.75"/>
    <row r="8818" s="3161" customFormat="1" ht="12.75"/>
    <row r="8819" s="3161" customFormat="1" ht="12.75"/>
    <row r="8820" s="3161" customFormat="1" ht="12.75"/>
    <row r="8821" s="3161" customFormat="1" ht="12.75"/>
    <row r="8822" s="3161" customFormat="1" ht="12.75"/>
    <row r="8823" s="3161" customFormat="1" ht="12.75"/>
    <row r="8824" s="3161" customFormat="1" ht="12.75"/>
    <row r="8825" s="3161" customFormat="1" ht="12.75"/>
    <row r="8826" s="3161" customFormat="1" ht="12.75"/>
    <row r="8827" s="3161" customFormat="1" ht="12.75"/>
    <row r="8828" s="3161" customFormat="1" ht="12.75"/>
    <row r="8829" s="3161" customFormat="1" ht="12.75"/>
    <row r="8830" s="3161" customFormat="1" ht="12.75"/>
    <row r="8831" s="3161" customFormat="1" ht="12.75"/>
    <row r="8832" s="3161" customFormat="1" ht="12.75"/>
    <row r="8833" s="3161" customFormat="1" ht="12.75"/>
    <row r="8834" s="3161" customFormat="1" ht="12.75"/>
    <row r="8835" s="3161" customFormat="1" ht="12.75"/>
    <row r="8836" s="3161" customFormat="1" ht="12.75"/>
    <row r="8837" s="3161" customFormat="1" ht="12.75"/>
    <row r="8838" s="3161" customFormat="1" ht="12.75"/>
    <row r="8839" s="3161" customFormat="1" ht="12.75"/>
    <row r="8840" s="3161" customFormat="1" ht="12.75"/>
    <row r="8841" s="3161" customFormat="1" ht="12.75"/>
    <row r="8842" s="3161" customFormat="1" ht="12.75"/>
    <row r="8843" s="3161" customFormat="1" ht="12.75"/>
    <row r="8844" s="3161" customFormat="1" ht="12.75"/>
    <row r="8845" s="3161" customFormat="1" ht="12.75"/>
    <row r="8846" s="3161" customFormat="1" ht="12.75"/>
    <row r="8847" s="3161" customFormat="1" ht="12.75"/>
    <row r="8848" s="3161" customFormat="1" ht="12.75"/>
    <row r="8849" s="3161" customFormat="1" ht="12.75"/>
    <row r="8850" s="3161" customFormat="1" ht="12.75"/>
    <row r="8851" s="3161" customFormat="1" ht="12.75"/>
    <row r="8852" s="3161" customFormat="1" ht="12.75"/>
    <row r="8853" s="3161" customFormat="1" ht="12.75"/>
    <row r="8854" s="3161" customFormat="1" ht="12.75"/>
    <row r="8855" s="3161" customFormat="1" ht="12.75"/>
    <row r="8856" s="3161" customFormat="1" ht="12.75"/>
    <row r="8857" s="3161" customFormat="1" ht="12.75"/>
    <row r="8858" s="3161" customFormat="1" ht="12.75"/>
    <row r="8859" s="3161" customFormat="1" ht="12.75"/>
    <row r="8860" s="3161" customFormat="1" ht="12.75"/>
    <row r="8861" s="3161" customFormat="1" ht="12.75"/>
    <row r="8862" s="3161" customFormat="1" ht="12.75"/>
    <row r="8863" s="3161" customFormat="1" ht="12.75"/>
    <row r="8864" s="3161" customFormat="1" ht="12.75"/>
    <row r="8865" s="3161" customFormat="1" ht="12.75"/>
    <row r="8866" s="3161" customFormat="1" ht="12.75"/>
    <row r="8867" s="3161" customFormat="1" ht="12.75"/>
    <row r="8868" s="3161" customFormat="1" ht="12.75"/>
    <row r="8869" s="3161" customFormat="1" ht="12.75"/>
    <row r="8870" s="3161" customFormat="1" ht="12.75"/>
    <row r="8871" s="3161" customFormat="1" ht="12.75"/>
    <row r="8872" s="3161" customFormat="1" ht="12.75"/>
    <row r="8873" s="3161" customFormat="1" ht="12.75"/>
    <row r="8874" s="3161" customFormat="1" ht="12.75"/>
    <row r="8875" s="3161" customFormat="1" ht="12.75"/>
    <row r="8876" s="3161" customFormat="1" ht="12.75"/>
    <row r="8877" s="3161" customFormat="1" ht="12.75"/>
    <row r="8878" s="3161" customFormat="1" ht="12.75"/>
    <row r="8879" s="3161" customFormat="1" ht="12.75"/>
    <row r="8880" s="3161" customFormat="1" ht="12.75"/>
    <row r="8881" s="3161" customFormat="1" ht="12.75"/>
    <row r="8882" s="3161" customFormat="1" ht="12.75"/>
    <row r="8883" s="3161" customFormat="1" ht="12.75"/>
    <row r="8884" s="3161" customFormat="1" ht="12.75"/>
    <row r="8885" s="3161" customFormat="1" ht="12.75"/>
    <row r="8886" s="3161" customFormat="1" ht="12.75"/>
    <row r="8887" s="3161" customFormat="1" ht="12.75"/>
    <row r="8888" s="3161" customFormat="1" ht="12.75"/>
    <row r="8889" s="3161" customFormat="1" ht="12.75"/>
    <row r="8890" s="3161" customFormat="1" ht="12.75"/>
    <row r="8891" s="3161" customFormat="1" ht="12.75"/>
    <row r="8892" s="3161" customFormat="1" ht="12.75"/>
    <row r="8893" s="3161" customFormat="1" ht="12.75"/>
    <row r="8894" s="3161" customFormat="1" ht="12.75"/>
    <row r="8895" s="3161" customFormat="1" ht="12.75"/>
    <row r="8896" s="3161" customFormat="1" ht="12.75"/>
    <row r="8897" s="3161" customFormat="1" ht="12.75"/>
    <row r="8898" s="3161" customFormat="1" ht="12.75"/>
    <row r="8899" s="3161" customFormat="1" ht="12.75"/>
    <row r="8900" s="3161" customFormat="1" ht="12.75"/>
    <row r="8901" s="3161" customFormat="1" ht="12.75"/>
    <row r="8902" s="3161" customFormat="1" ht="12.75"/>
    <row r="8903" s="3161" customFormat="1" ht="12.75"/>
    <row r="8904" s="3161" customFormat="1" ht="12.75"/>
    <row r="8905" s="3161" customFormat="1" ht="12.75"/>
    <row r="8906" s="3161" customFormat="1" ht="12.75"/>
    <row r="8907" s="3161" customFormat="1" ht="12.75"/>
    <row r="8908" s="3161" customFormat="1" ht="12.75"/>
    <row r="8909" s="3161" customFormat="1" ht="12.75"/>
    <row r="8910" s="3161" customFormat="1" ht="12.75"/>
    <row r="8911" s="3161" customFormat="1" ht="12.75"/>
    <row r="8912" s="3161" customFormat="1" ht="12.75"/>
    <row r="8913" s="3161" customFormat="1" ht="12.75"/>
    <row r="8914" s="3161" customFormat="1" ht="12.75"/>
    <row r="8915" s="3161" customFormat="1" ht="12.75"/>
    <row r="8916" s="3161" customFormat="1" ht="12.75"/>
    <row r="8917" s="3161" customFormat="1" ht="12.75"/>
    <row r="8918" s="3161" customFormat="1" ht="12.75"/>
    <row r="8919" s="3161" customFormat="1" ht="12.75"/>
    <row r="8920" s="3161" customFormat="1" ht="12.75"/>
    <row r="8921" s="3161" customFormat="1" ht="12.75"/>
    <row r="8922" s="3161" customFormat="1" ht="12.75"/>
    <row r="8923" s="3161" customFormat="1" ht="12.75"/>
    <row r="8924" s="3161" customFormat="1" ht="12.75"/>
    <row r="8925" s="3161" customFormat="1" ht="12.75"/>
    <row r="8926" s="3161" customFormat="1" ht="12.75"/>
    <row r="8927" s="3161" customFormat="1" ht="12.75"/>
    <row r="8928" s="3161" customFormat="1" ht="12.75"/>
    <row r="8929" s="3161" customFormat="1" ht="12.75"/>
    <row r="8930" s="3161" customFormat="1" ht="12.75"/>
    <row r="8931" s="3161" customFormat="1" ht="12.75"/>
    <row r="8932" s="3161" customFormat="1" ht="12.75"/>
    <row r="8933" s="3161" customFormat="1" ht="12.75"/>
    <row r="8934" s="3161" customFormat="1" ht="12.75"/>
    <row r="8935" s="3161" customFormat="1" ht="12.75"/>
    <row r="8936" s="3161" customFormat="1" ht="12.75"/>
    <row r="8937" s="3161" customFormat="1" ht="12.75"/>
    <row r="8938" s="3161" customFormat="1" ht="12.75"/>
    <row r="8939" s="3161" customFormat="1" ht="12.75"/>
    <row r="8940" s="3161" customFormat="1" ht="12.75"/>
    <row r="8941" s="3161" customFormat="1" ht="12.75"/>
    <row r="8942" s="3161" customFormat="1" ht="12.75"/>
    <row r="8943" s="3161" customFormat="1" ht="12.75"/>
    <row r="8944" s="3161" customFormat="1" ht="12.75"/>
    <row r="8945" s="3161" customFormat="1" ht="12.75"/>
    <row r="8946" s="3161" customFormat="1" ht="12.75"/>
    <row r="8947" s="3161" customFormat="1" ht="12.75"/>
    <row r="8948" s="3161" customFormat="1" ht="12.75"/>
    <row r="8949" s="3161" customFormat="1" ht="12.75"/>
    <row r="8950" s="3161" customFormat="1" ht="12.75"/>
    <row r="8951" s="3161" customFormat="1" ht="12.75"/>
    <row r="8952" s="3161" customFormat="1" ht="12.75"/>
    <row r="8953" s="3161" customFormat="1" ht="12.75"/>
    <row r="8954" s="3161" customFormat="1" ht="12.75"/>
    <row r="8955" s="3161" customFormat="1" ht="12.75"/>
    <row r="8956" s="3161" customFormat="1" ht="12.75"/>
    <row r="8957" s="3161" customFormat="1" ht="12.75"/>
    <row r="8958" s="3161" customFormat="1" ht="12.75"/>
    <row r="8959" s="3161" customFormat="1" ht="12.75"/>
    <row r="8960" s="3161" customFormat="1" ht="12.75"/>
    <row r="8961" s="3161" customFormat="1" ht="12.75"/>
    <row r="8962" s="3161" customFormat="1" ht="12.75"/>
    <row r="8963" s="3161" customFormat="1" ht="12.75"/>
    <row r="8964" s="3161" customFormat="1" ht="12.75"/>
    <row r="8965" s="3161" customFormat="1" ht="12.75"/>
    <row r="8966" s="3161" customFormat="1" ht="12.75"/>
    <row r="8967" s="3161" customFormat="1" ht="12.75"/>
    <row r="8968" s="3161" customFormat="1" ht="12.75"/>
    <row r="8969" s="3161" customFormat="1" ht="12.75"/>
    <row r="8970" s="3161" customFormat="1" ht="12.75"/>
    <row r="8971" s="3161" customFormat="1" ht="12.75"/>
    <row r="8972" s="3161" customFormat="1" ht="12.75"/>
    <row r="8973" s="3161" customFormat="1" ht="12.75"/>
    <row r="8974" s="3161" customFormat="1" ht="12.75"/>
    <row r="8975" s="3161" customFormat="1" ht="12.75"/>
    <row r="8976" s="3161" customFormat="1" ht="12.75"/>
    <row r="8977" s="3161" customFormat="1" ht="12.75"/>
    <row r="8978" s="3161" customFormat="1" ht="12.75"/>
    <row r="8979" s="3161" customFormat="1" ht="12.75"/>
    <row r="8980" s="3161" customFormat="1" ht="12.75"/>
    <row r="8981" s="3161" customFormat="1" ht="12.75"/>
    <row r="8982" s="3161" customFormat="1" ht="12.75"/>
    <row r="8983" s="3161" customFormat="1" ht="12.75"/>
    <row r="8984" s="3161" customFormat="1" ht="12.75"/>
    <row r="8985" s="3161" customFormat="1" ht="12.75"/>
    <row r="8986" s="3161" customFormat="1" ht="12.75"/>
    <row r="8987" s="3161" customFormat="1" ht="12.75"/>
    <row r="8988" s="3161" customFormat="1" ht="12.75"/>
    <row r="8989" s="3161" customFormat="1" ht="12.75"/>
    <row r="8990" s="3161" customFormat="1" ht="12.75"/>
    <row r="8991" s="3161" customFormat="1" ht="12.75"/>
    <row r="8992" s="3161" customFormat="1" ht="12.75"/>
    <row r="8993" s="3161" customFormat="1" ht="12.75"/>
    <row r="8994" s="3161" customFormat="1" ht="12.75"/>
    <row r="8995" s="3161" customFormat="1" ht="12.75"/>
    <row r="8996" s="3161" customFormat="1" ht="12.75"/>
    <row r="8997" s="3161" customFormat="1" ht="12.75"/>
    <row r="8998" s="3161" customFormat="1" ht="12.75"/>
    <row r="8999" s="3161" customFormat="1" ht="12.75"/>
    <row r="9000" s="3161" customFormat="1" ht="12.75"/>
    <row r="9001" s="3161" customFormat="1" ht="12.75"/>
    <row r="9002" s="3161" customFormat="1" ht="12.75"/>
    <row r="9003" s="3161" customFormat="1" ht="12.75"/>
    <row r="9004" s="3161" customFormat="1" ht="12.75"/>
    <row r="9005" s="3161" customFormat="1" ht="12.75"/>
    <row r="9006" s="3161" customFormat="1" ht="12.75"/>
    <row r="9007" s="3161" customFormat="1" ht="12.75"/>
    <row r="9008" s="3161" customFormat="1" ht="12.75"/>
    <row r="9009" s="3161" customFormat="1" ht="12.75"/>
    <row r="9010" s="3161" customFormat="1" ht="12.75"/>
    <row r="9011" s="3161" customFormat="1" ht="12.75"/>
    <row r="9012" s="3161" customFormat="1" ht="12.75"/>
    <row r="9013" s="3161" customFormat="1" ht="12.75"/>
    <row r="9014" s="3161" customFormat="1" ht="12.75"/>
    <row r="9015" s="3161" customFormat="1" ht="12.75"/>
    <row r="9016" s="3161" customFormat="1" ht="12.75"/>
    <row r="9017" s="3161" customFormat="1" ht="12.75"/>
    <row r="9018" s="3161" customFormat="1" ht="12.75"/>
    <row r="9019" s="3161" customFormat="1" ht="12.75"/>
    <row r="9020" s="3161" customFormat="1" ht="12.75"/>
    <row r="9021" s="3161" customFormat="1" ht="12.75"/>
    <row r="9022" s="3161" customFormat="1" ht="12.75"/>
    <row r="9023" s="3161" customFormat="1" ht="12.75"/>
    <row r="9024" s="3161" customFormat="1" ht="12.75"/>
    <row r="9025" s="3161" customFormat="1" ht="12.75"/>
    <row r="9026" s="3161" customFormat="1" ht="12.75"/>
    <row r="9027" s="3161" customFormat="1" ht="12.75"/>
    <row r="9028" s="3161" customFormat="1" ht="12.75"/>
    <row r="9029" s="3161" customFormat="1" ht="12.75"/>
    <row r="9030" s="3161" customFormat="1" ht="12.75"/>
    <row r="9031" s="3161" customFormat="1" ht="12.75"/>
    <row r="9032" s="3161" customFormat="1" ht="12.75"/>
    <row r="9033" s="3161" customFormat="1" ht="12.75"/>
    <row r="9034" s="3161" customFormat="1" ht="12.75"/>
    <row r="9035" s="3161" customFormat="1" ht="12.75"/>
    <row r="9036" s="3161" customFormat="1" ht="12.75"/>
    <row r="9037" s="3161" customFormat="1" ht="12.75"/>
    <row r="9038" s="3161" customFormat="1" ht="12.75"/>
    <row r="9039" s="3161" customFormat="1" ht="12.75"/>
    <row r="9040" s="3161" customFormat="1" ht="12.75"/>
    <row r="9041" s="3161" customFormat="1" ht="12.75"/>
    <row r="9042" s="3161" customFormat="1" ht="12.75"/>
    <row r="9043" s="3161" customFormat="1" ht="12.75"/>
    <row r="9044" s="3161" customFormat="1" ht="12.75"/>
    <row r="9045" s="3161" customFormat="1" ht="12.75"/>
    <row r="9046" s="3161" customFormat="1" ht="12.75"/>
    <row r="9047" s="3161" customFormat="1" ht="12.75"/>
    <row r="9048" s="3161" customFormat="1" ht="12.75"/>
    <row r="9049" s="3161" customFormat="1" ht="12.75"/>
    <row r="9050" s="3161" customFormat="1" ht="12.75"/>
    <row r="9051" s="3161" customFormat="1" ht="12.75"/>
    <row r="9052" s="3161" customFormat="1" ht="12.75"/>
    <row r="9053" s="3161" customFormat="1" ht="12.75"/>
    <row r="9054" s="3161" customFormat="1" ht="12.75"/>
    <row r="9055" s="3161" customFormat="1" ht="12.75"/>
    <row r="9056" s="3161" customFormat="1" ht="12.75"/>
    <row r="9057" s="3161" customFormat="1" ht="12.75"/>
    <row r="9058" s="3161" customFormat="1" ht="12.75"/>
    <row r="9059" s="3161" customFormat="1" ht="12.75"/>
    <row r="9060" s="3161" customFormat="1" ht="12.75"/>
    <row r="9061" s="3161" customFormat="1" ht="12.75"/>
    <row r="9062" s="3161" customFormat="1" ht="12.75"/>
    <row r="9063" s="3161" customFormat="1" ht="12.75"/>
    <row r="9064" s="3161" customFormat="1" ht="12.75"/>
    <row r="9065" s="3161" customFormat="1" ht="12.75"/>
    <row r="9066" s="3161" customFormat="1" ht="12.75"/>
    <row r="9067" s="3161" customFormat="1" ht="12.75"/>
    <row r="9068" s="3161" customFormat="1" ht="12.75"/>
    <row r="9069" s="3161" customFormat="1" ht="12.75"/>
    <row r="9070" s="3161" customFormat="1" ht="12.75"/>
    <row r="9071" s="3161" customFormat="1" ht="12.75"/>
    <row r="9072" s="3161" customFormat="1" ht="12.75"/>
    <row r="9073" s="3161" customFormat="1" ht="12.75"/>
    <row r="9074" s="3161" customFormat="1" ht="12.75"/>
    <row r="9075" s="3161" customFormat="1" ht="12.75"/>
    <row r="9076" s="3161" customFormat="1" ht="12.75"/>
    <row r="9077" s="3161" customFormat="1" ht="12.75"/>
    <row r="9078" s="3161" customFormat="1" ht="12.75"/>
    <row r="9079" s="3161" customFormat="1" ht="12.75"/>
    <row r="9080" s="3161" customFormat="1" ht="12.75"/>
    <row r="9081" s="3161" customFormat="1" ht="12.75"/>
    <row r="9082" s="3161" customFormat="1" ht="12.75"/>
    <row r="9083" s="3161" customFormat="1" ht="12.75"/>
    <row r="9084" s="3161" customFormat="1" ht="12.75"/>
    <row r="9085" s="3161" customFormat="1" ht="12.75"/>
    <row r="9086" s="3161" customFormat="1" ht="12.75"/>
    <row r="9087" s="3161" customFormat="1" ht="12.75"/>
    <row r="9088" s="3161" customFormat="1" ht="12.75"/>
    <row r="9089" s="3161" customFormat="1" ht="12.75"/>
    <row r="9090" s="3161" customFormat="1" ht="12.75"/>
    <row r="9091" s="3161" customFormat="1" ht="12.75"/>
    <row r="9092" s="3161" customFormat="1" ht="12.75"/>
    <row r="9093" s="3161" customFormat="1" ht="12.75"/>
    <row r="9094" s="3161" customFormat="1" ht="12.75"/>
    <row r="9095" s="3161" customFormat="1" ht="12.75"/>
    <row r="9096" s="3161" customFormat="1" ht="12.75"/>
    <row r="9097" s="3161" customFormat="1" ht="12.75"/>
    <row r="9098" s="3161" customFormat="1" ht="12.75"/>
    <row r="9099" s="3161" customFormat="1" ht="12.75"/>
    <row r="9100" s="3161" customFormat="1" ht="12.75"/>
    <row r="9101" s="3161" customFormat="1" ht="12.75"/>
    <row r="9102" s="3161" customFormat="1" ht="12.75"/>
    <row r="9103" s="3161" customFormat="1" ht="12.75"/>
    <row r="9104" s="3161" customFormat="1" ht="12.75"/>
    <row r="9105" s="3161" customFormat="1" ht="12.75"/>
    <row r="9106" s="3161" customFormat="1" ht="12.75"/>
    <row r="9107" s="3161" customFormat="1" ht="12.75"/>
    <row r="9108" s="3161" customFormat="1" ht="12.75"/>
    <row r="9109" s="3161" customFormat="1" ht="12.75"/>
    <row r="9110" s="3161" customFormat="1" ht="12.75"/>
    <row r="9111" s="3161" customFormat="1" ht="12.75"/>
    <row r="9112" s="3161" customFormat="1" ht="12.75"/>
    <row r="9113" s="3161" customFormat="1" ht="12.75"/>
    <row r="9114" s="3161" customFormat="1" ht="12.75"/>
    <row r="9115" s="3161" customFormat="1" ht="12.75"/>
    <row r="9116" s="3161" customFormat="1" ht="12.75"/>
    <row r="9117" s="3161" customFormat="1" ht="12.75"/>
    <row r="9118" s="3161" customFormat="1" ht="12.75"/>
    <row r="9119" s="3161" customFormat="1" ht="12.75"/>
    <row r="9120" s="3161" customFormat="1" ht="12.75"/>
    <row r="9121" s="3161" customFormat="1" ht="12.75"/>
    <row r="9122" s="3161" customFormat="1" ht="12.75"/>
    <row r="9123" s="3161" customFormat="1" ht="12.75"/>
    <row r="9124" s="3161" customFormat="1" ht="12.75"/>
    <row r="9125" s="3161" customFormat="1" ht="12.75"/>
    <row r="9126" s="3161" customFormat="1" ht="12.75"/>
    <row r="9127" s="3161" customFormat="1" ht="12.75"/>
    <row r="9128" s="3161" customFormat="1" ht="12.75"/>
    <row r="9129" s="3161" customFormat="1" ht="12.75"/>
    <row r="9130" s="3161" customFormat="1" ht="12.75"/>
    <row r="9131" s="3161" customFormat="1" ht="12.75"/>
    <row r="9132" s="3161" customFormat="1" ht="12.75"/>
    <row r="9133" s="3161" customFormat="1" ht="12.75"/>
    <row r="9134" s="3161" customFormat="1" ht="12.75"/>
    <row r="9135" s="3161" customFormat="1" ht="12.75"/>
    <row r="9136" s="3161" customFormat="1" ht="12.75"/>
    <row r="9137" s="3161" customFormat="1" ht="12.75"/>
    <row r="9138" s="3161" customFormat="1" ht="12.75"/>
    <row r="9139" s="3161" customFormat="1" ht="12.75"/>
    <row r="9140" s="3161" customFormat="1" ht="12.75"/>
    <row r="9141" s="3161" customFormat="1" ht="12.75"/>
    <row r="9142" s="3161" customFormat="1" ht="12.75"/>
    <row r="9143" s="3161" customFormat="1" ht="12.75"/>
    <row r="9144" s="3161" customFormat="1" ht="12.75"/>
    <row r="9145" s="3161" customFormat="1" ht="12.75"/>
    <row r="9146" s="3161" customFormat="1" ht="12.75"/>
    <row r="9147" s="3161" customFormat="1" ht="12.75"/>
    <row r="9148" s="3161" customFormat="1" ht="12.75"/>
    <row r="9149" s="3161" customFormat="1" ht="12.75"/>
    <row r="9150" s="3161" customFormat="1" ht="12.75"/>
    <row r="9151" s="3161" customFormat="1" ht="12.75"/>
    <row r="9152" s="3161" customFormat="1" ht="12.75"/>
    <row r="9153" s="3161" customFormat="1" ht="12.75"/>
    <row r="9154" s="3161" customFormat="1" ht="12.75"/>
    <row r="9155" s="3161" customFormat="1" ht="12.75"/>
    <row r="9156" s="3161" customFormat="1" ht="12.75"/>
    <row r="9157" s="3161" customFormat="1" ht="12.75"/>
    <row r="9158" s="3161" customFormat="1" ht="12.75"/>
    <row r="9159" s="3161" customFormat="1" ht="12.75"/>
    <row r="9160" s="3161" customFormat="1" ht="12.75"/>
    <row r="9161" s="3161" customFormat="1" ht="12.75"/>
    <row r="9162" s="3161" customFormat="1" ht="12.75"/>
    <row r="9163" s="3161" customFormat="1" ht="12.75"/>
    <row r="9164" s="3161" customFormat="1" ht="12.75"/>
    <row r="9165" s="3161" customFormat="1" ht="12.75"/>
    <row r="9166" s="3161" customFormat="1" ht="12.75"/>
    <row r="9167" s="3161" customFormat="1" ht="12.75"/>
    <row r="9168" s="3161" customFormat="1" ht="12.75"/>
    <row r="9169" s="3161" customFormat="1" ht="12.75"/>
    <row r="9170" s="3161" customFormat="1" ht="12.75"/>
    <row r="9171" s="3161" customFormat="1" ht="12.75"/>
    <row r="9172" s="3161" customFormat="1" ht="12.75"/>
    <row r="9173" s="3161" customFormat="1" ht="12.75"/>
    <row r="9174" s="3161" customFormat="1" ht="12.75"/>
    <row r="9175" s="3161" customFormat="1" ht="12.75"/>
    <row r="9176" s="3161" customFormat="1" ht="12.75"/>
    <row r="9177" s="3161" customFormat="1" ht="12.75"/>
    <row r="9178" s="3161" customFormat="1" ht="12.75"/>
    <row r="9179" s="3161" customFormat="1" ht="12.75"/>
    <row r="9180" s="3161" customFormat="1" ht="12.75"/>
    <row r="9181" s="3161" customFormat="1" ht="12.75"/>
    <row r="9182" s="3161" customFormat="1" ht="12.75"/>
    <row r="9183" s="3161" customFormat="1" ht="12.75"/>
    <row r="9184" s="3161" customFormat="1" ht="12.75"/>
    <row r="9185" s="3161" customFormat="1" ht="12.75"/>
    <row r="9186" s="3161" customFormat="1" ht="12.75"/>
    <row r="9187" s="3161" customFormat="1" ht="12.75"/>
    <row r="9188" s="3161" customFormat="1" ht="12.75"/>
    <row r="9189" s="3161" customFormat="1" ht="12.75"/>
    <row r="9190" s="3161" customFormat="1" ht="12.75"/>
    <row r="9191" s="3161" customFormat="1" ht="12.75"/>
    <row r="9192" s="3161" customFormat="1" ht="12.75"/>
    <row r="9193" s="3161" customFormat="1" ht="12.75"/>
    <row r="9194" s="3161" customFormat="1" ht="12.75"/>
    <row r="9195" s="3161" customFormat="1" ht="12.75"/>
    <row r="9196" s="3161" customFormat="1" ht="12.75"/>
    <row r="9197" s="3161" customFormat="1" ht="12.75"/>
    <row r="9198" s="3161" customFormat="1" ht="12.75"/>
    <row r="9199" s="3161" customFormat="1" ht="12.75"/>
    <row r="9200" s="3161" customFormat="1" ht="12.75"/>
    <row r="9201" s="3161" customFormat="1" ht="12.75"/>
    <row r="9202" s="3161" customFormat="1" ht="12.75"/>
    <row r="9203" s="3161" customFormat="1" ht="12.75"/>
    <row r="9204" s="3161" customFormat="1" ht="12.75"/>
    <row r="9205" s="3161" customFormat="1" ht="12.75"/>
    <row r="9206" s="3161" customFormat="1" ht="12.75"/>
    <row r="9207" s="3161" customFormat="1" ht="12.75"/>
    <row r="9208" s="3161" customFormat="1" ht="12.75"/>
    <row r="9209" s="3161" customFormat="1" ht="12.75"/>
    <row r="9210" s="3161" customFormat="1" ht="12.75"/>
    <row r="9211" s="3161" customFormat="1" ht="12.75"/>
    <row r="9212" s="3161" customFormat="1" ht="12.75"/>
    <row r="9213" s="3161" customFormat="1" ht="12.75"/>
    <row r="9214" s="3161" customFormat="1" ht="12.75"/>
    <row r="9215" s="3161" customFormat="1" ht="12.75"/>
    <row r="9216" s="3161" customFormat="1" ht="12.75"/>
    <row r="9217" s="3161" customFormat="1" ht="12.75"/>
    <row r="9218" s="3161" customFormat="1" ht="12.75"/>
    <row r="9219" s="3161" customFormat="1" ht="12.75"/>
    <row r="9220" s="3161" customFormat="1" ht="12.75"/>
    <row r="9221" s="3161" customFormat="1" ht="12.75"/>
    <row r="9222" s="3161" customFormat="1" ht="12.75"/>
    <row r="9223" s="3161" customFormat="1" ht="12.75"/>
    <row r="9224" s="3161" customFormat="1" ht="12.75"/>
    <row r="9225" s="3161" customFormat="1" ht="12.75"/>
    <row r="9226" s="3161" customFormat="1" ht="12.75"/>
    <row r="9227" s="3161" customFormat="1" ht="12.75"/>
    <row r="9228" s="3161" customFormat="1" ht="12.75"/>
    <row r="9229" s="3161" customFormat="1" ht="12.75"/>
    <row r="9230" s="3161" customFormat="1" ht="12.75"/>
    <row r="9231" s="3161" customFormat="1" ht="12.75"/>
    <row r="9232" s="3161" customFormat="1" ht="12.75"/>
    <row r="9233" s="3161" customFormat="1" ht="12.75"/>
    <row r="9234" s="3161" customFormat="1" ht="12.75"/>
    <row r="9235" s="3161" customFormat="1" ht="12.75"/>
    <row r="9236" s="3161" customFormat="1" ht="12.75"/>
    <row r="9237" s="3161" customFormat="1" ht="12.75"/>
    <row r="9238" s="3161" customFormat="1" ht="12.75"/>
    <row r="9239" s="3161" customFormat="1" ht="12.75"/>
    <row r="9240" s="3161" customFormat="1" ht="12.75"/>
    <row r="9241" s="3161" customFormat="1" ht="12.75"/>
    <row r="9242" s="3161" customFormat="1" ht="12.75"/>
    <row r="9243" s="3161" customFormat="1" ht="12.75"/>
    <row r="9244" s="3161" customFormat="1" ht="12.75"/>
    <row r="9245" s="3161" customFormat="1" ht="12.75"/>
    <row r="9246" s="3161" customFormat="1" ht="12.75"/>
    <row r="9247" s="3161" customFormat="1" ht="12.75"/>
    <row r="9248" s="3161" customFormat="1" ht="12.75"/>
    <row r="9249" s="3161" customFormat="1" ht="12.75"/>
    <row r="9250" s="3161" customFormat="1" ht="12.75"/>
    <row r="9251" s="3161" customFormat="1" ht="12.75"/>
    <row r="9252" s="3161" customFormat="1" ht="12.75"/>
    <row r="9253" s="3161" customFormat="1" ht="12.75"/>
    <row r="9254" s="3161" customFormat="1" ht="12.75"/>
    <row r="9255" s="3161" customFormat="1" ht="12.75"/>
    <row r="9256" s="3161" customFormat="1" ht="12.75"/>
    <row r="9257" s="3161" customFormat="1" ht="12.75"/>
    <row r="9258" s="3161" customFormat="1" ht="12.75"/>
    <row r="9259" s="3161" customFormat="1" ht="12.75"/>
    <row r="9260" s="3161" customFormat="1" ht="12.75"/>
    <row r="9261" s="3161" customFormat="1" ht="12.75"/>
    <row r="9262" s="3161" customFormat="1" ht="12.75"/>
    <row r="9263" s="3161" customFormat="1" ht="12.75"/>
    <row r="9264" s="3161" customFormat="1" ht="12.75"/>
    <row r="9265" s="3161" customFormat="1" ht="12.75"/>
    <row r="9266" s="3161" customFormat="1" ht="12.75"/>
    <row r="9267" s="3161" customFormat="1" ht="12.75"/>
    <row r="9268" s="3161" customFormat="1" ht="12.75"/>
    <row r="9269" s="3161" customFormat="1" ht="12.75"/>
    <row r="9270" s="3161" customFormat="1" ht="12.75"/>
    <row r="9271" s="3161" customFormat="1" ht="12.75"/>
    <row r="9272" s="3161" customFormat="1" ht="12.75"/>
    <row r="9273" s="3161" customFormat="1" ht="12.75"/>
    <row r="9274" s="3161" customFormat="1" ht="12.75"/>
    <row r="9275" s="3161" customFormat="1" ht="12.75"/>
    <row r="9276" s="3161" customFormat="1" ht="12.75"/>
    <row r="9277" s="3161" customFormat="1" ht="12.75"/>
    <row r="9278" s="3161" customFormat="1" ht="12.75"/>
    <row r="9279" s="3161" customFormat="1" ht="12.75"/>
    <row r="9280" s="3161" customFormat="1" ht="12.75"/>
    <row r="9281" s="3161" customFormat="1" ht="12.75"/>
    <row r="9282" s="3161" customFormat="1" ht="12.75"/>
    <row r="9283" s="3161" customFormat="1" ht="12.75"/>
    <row r="9284" s="3161" customFormat="1" ht="12.75"/>
    <row r="9285" s="3161" customFormat="1" ht="12.75"/>
    <row r="9286" s="3161" customFormat="1" ht="12.75"/>
    <row r="9287" s="3161" customFormat="1" ht="12.75"/>
    <row r="9288" s="3161" customFormat="1" ht="12.75"/>
    <row r="9289" s="3161" customFormat="1" ht="12.75"/>
    <row r="9290" s="3161" customFormat="1" ht="12.75"/>
    <row r="9291" s="3161" customFormat="1" ht="12.75"/>
    <row r="9292" s="3161" customFormat="1" ht="12.75"/>
    <row r="9293" s="3161" customFormat="1" ht="12.75"/>
    <row r="9294" s="3161" customFormat="1" ht="12.75"/>
    <row r="9295" s="3161" customFormat="1" ht="12.75"/>
    <row r="9296" s="3161" customFormat="1" ht="12.75"/>
    <row r="9297" s="3161" customFormat="1" ht="12.75"/>
    <row r="9298" s="3161" customFormat="1" ht="12.75"/>
    <row r="9299" s="3161" customFormat="1" ht="12.75"/>
    <row r="9300" s="3161" customFormat="1" ht="12.75"/>
    <row r="9301" s="3161" customFormat="1" ht="12.75"/>
    <row r="9302" s="3161" customFormat="1" ht="12.75"/>
    <row r="9303" s="3161" customFormat="1" ht="12.75"/>
    <row r="9304" s="3161" customFormat="1" ht="12.75"/>
    <row r="9305" s="3161" customFormat="1" ht="12.75"/>
    <row r="9306" s="3161" customFormat="1" ht="12.75"/>
    <row r="9307" s="3161" customFormat="1" ht="12.75"/>
    <row r="9308" s="3161" customFormat="1" ht="12.75"/>
    <row r="9309" s="3161" customFormat="1" ht="12.75"/>
    <row r="9310" s="3161" customFormat="1" ht="12.75"/>
    <row r="9311" s="3161" customFormat="1" ht="12.75"/>
    <row r="9312" s="3161" customFormat="1" ht="12.75"/>
    <row r="9313" s="3161" customFormat="1" ht="12.75"/>
    <row r="9314" s="3161" customFormat="1" ht="12.75"/>
    <row r="9315" s="3161" customFormat="1" ht="12.75"/>
    <row r="9316" s="3161" customFormat="1" ht="12.75"/>
    <row r="9317" s="3161" customFormat="1" ht="12.75"/>
    <row r="9318" s="3161" customFormat="1" ht="12.75"/>
    <row r="9319" s="3161" customFormat="1" ht="12.75"/>
    <row r="9320" s="3161" customFormat="1" ht="12.75"/>
    <row r="9321" s="3161" customFormat="1" ht="12.75"/>
    <row r="9322" s="3161" customFormat="1" ht="12.75"/>
    <row r="9323" s="3161" customFormat="1" ht="12.75"/>
    <row r="9324" s="3161" customFormat="1" ht="12.75"/>
    <row r="9325" s="3161" customFormat="1" ht="12.75"/>
    <row r="9326" s="3161" customFormat="1" ht="12.75"/>
    <row r="9327" s="3161" customFormat="1" ht="12.75"/>
    <row r="9328" s="3161" customFormat="1" ht="12.75"/>
    <row r="9329" s="3161" customFormat="1" ht="12.75"/>
    <row r="9330" s="3161" customFormat="1" ht="12.75"/>
    <row r="9331" s="3161" customFormat="1" ht="12.75"/>
    <row r="9332" s="3161" customFormat="1" ht="12.75"/>
    <row r="9333" s="3161" customFormat="1" ht="12.75"/>
    <row r="9334" s="3161" customFormat="1" ht="12.75"/>
    <row r="9335" s="3161" customFormat="1" ht="12.75"/>
    <row r="9336" s="3161" customFormat="1" ht="12.75"/>
    <row r="9337" s="3161" customFormat="1" ht="12.75"/>
    <row r="9338" s="3161" customFormat="1" ht="12.75"/>
    <row r="9339" s="3161" customFormat="1" ht="12.75"/>
    <row r="9340" s="3161" customFormat="1" ht="12.75"/>
    <row r="9341" s="3161" customFormat="1" ht="12.75"/>
    <row r="9342" s="3161" customFormat="1" ht="12.75"/>
    <row r="9343" s="3161" customFormat="1" ht="12.75"/>
    <row r="9344" s="3161" customFormat="1" ht="12.75"/>
    <row r="9345" s="3161" customFormat="1" ht="12.75"/>
    <row r="9346" s="3161" customFormat="1" ht="12.75"/>
    <row r="9347" s="3161" customFormat="1" ht="12.75"/>
    <row r="9348" s="3161" customFormat="1" ht="12.75"/>
    <row r="9349" s="3161" customFormat="1" ht="12.75"/>
    <row r="9350" s="3161" customFormat="1" ht="12.75"/>
    <row r="9351" s="3161" customFormat="1" ht="12.75"/>
    <row r="9352" s="3161" customFormat="1" ht="12.75"/>
    <row r="9353" s="3161" customFormat="1" ht="12.75"/>
    <row r="9354" s="3161" customFormat="1" ht="12.75"/>
    <row r="9355" s="3161" customFormat="1" ht="12.75"/>
    <row r="9356" s="3161" customFormat="1" ht="12.75"/>
    <row r="9357" s="3161" customFormat="1" ht="12.75"/>
    <row r="9358" s="3161" customFormat="1" ht="12.75"/>
    <row r="9359" s="3161" customFormat="1" ht="12.75"/>
    <row r="9360" s="3161" customFormat="1" ht="12.75"/>
    <row r="9361" s="3161" customFormat="1" ht="12.75"/>
    <row r="9362" s="3161" customFormat="1" ht="12.75"/>
    <row r="9363" s="3161" customFormat="1" ht="12.75"/>
    <row r="9364" s="3161" customFormat="1" ht="12.75"/>
    <row r="9365" s="3161" customFormat="1" ht="12.75"/>
    <row r="9366" s="3161" customFormat="1" ht="12.75"/>
    <row r="9367" s="3161" customFormat="1" ht="12.75"/>
    <row r="9368" s="3161" customFormat="1" ht="12.75"/>
    <row r="9369" s="3161" customFormat="1" ht="12.75"/>
    <row r="9370" s="3161" customFormat="1" ht="12.75"/>
    <row r="9371" s="3161" customFormat="1" ht="12.75"/>
    <row r="9372" s="3161" customFormat="1" ht="12.75"/>
    <row r="9373" s="3161" customFormat="1" ht="12.75"/>
    <row r="9374" s="3161" customFormat="1" ht="12.75"/>
    <row r="9375" s="3161" customFormat="1" ht="12.75"/>
    <row r="9376" s="3161" customFormat="1" ht="12.75"/>
    <row r="9377" s="3161" customFormat="1" ht="12.75"/>
    <row r="9378" s="3161" customFormat="1" ht="12.75"/>
    <row r="9379" s="3161" customFormat="1" ht="12.75"/>
    <row r="9380" s="3161" customFormat="1" ht="12.75"/>
    <row r="9381" s="3161" customFormat="1" ht="12.75"/>
    <row r="9382" s="3161" customFormat="1" ht="12.75"/>
    <row r="9383" s="3161" customFormat="1" ht="12.75"/>
    <row r="9384" s="3161" customFormat="1" ht="12.75"/>
    <row r="9385" s="3161" customFormat="1" ht="12.75"/>
    <row r="9386" s="3161" customFormat="1" ht="12.75"/>
    <row r="9387" s="3161" customFormat="1" ht="12.75"/>
    <row r="9388" s="3161" customFormat="1" ht="12.75"/>
    <row r="9389" s="3161" customFormat="1" ht="12.75"/>
    <row r="9390" s="3161" customFormat="1" ht="12.75"/>
    <row r="9391" s="3161" customFormat="1" ht="12.75"/>
    <row r="9392" s="3161" customFormat="1" ht="12.75"/>
    <row r="9393" s="3161" customFormat="1" ht="12.75"/>
    <row r="9394" s="3161" customFormat="1" ht="12.75"/>
    <row r="9395" s="3161" customFormat="1" ht="12.75"/>
    <row r="9396" s="3161" customFormat="1" ht="12.75"/>
    <row r="9397" s="3161" customFormat="1" ht="12.75"/>
    <row r="9398" s="3161" customFormat="1" ht="12.75"/>
    <row r="9399" s="3161" customFormat="1" ht="12.75"/>
    <row r="9400" s="3161" customFormat="1" ht="12.75"/>
    <row r="9401" s="3161" customFormat="1" ht="12.75"/>
    <row r="9402" s="3161" customFormat="1" ht="12.75"/>
    <row r="9403" s="3161" customFormat="1" ht="12.75"/>
    <row r="9404" s="3161" customFormat="1" ht="12.75"/>
    <row r="9405" s="3161" customFormat="1" ht="12.75"/>
    <row r="9406" s="3161" customFormat="1" ht="12.75"/>
    <row r="9407" s="3161" customFormat="1" ht="12.75"/>
    <row r="9408" s="3161" customFormat="1" ht="12.75"/>
    <row r="9409" s="3161" customFormat="1" ht="12.75"/>
    <row r="9410" s="3161" customFormat="1" ht="12.75"/>
    <row r="9411" s="3161" customFormat="1" ht="12.75"/>
    <row r="9412" s="3161" customFormat="1" ht="12.75"/>
    <row r="9413" s="3161" customFormat="1" ht="12.75"/>
    <row r="9414" s="3161" customFormat="1" ht="12.75"/>
    <row r="9415" s="3161" customFormat="1" ht="12.75"/>
    <row r="9416" s="3161" customFormat="1" ht="12.75"/>
    <row r="9417" s="3161" customFormat="1" ht="12.75"/>
    <row r="9418" s="3161" customFormat="1" ht="12.75"/>
    <row r="9419" s="3161" customFormat="1" ht="12.75"/>
    <row r="9420" s="3161" customFormat="1" ht="12.75"/>
    <row r="9421" s="3161" customFormat="1" ht="12.75"/>
    <row r="9422" s="3161" customFormat="1" ht="12.75"/>
    <row r="9423" s="3161" customFormat="1" ht="12.75"/>
    <row r="9424" s="3161" customFormat="1" ht="12.75"/>
    <row r="9425" s="3161" customFormat="1" ht="12.75"/>
    <row r="9426" s="3161" customFormat="1" ht="12.75"/>
    <row r="9427" s="3161" customFormat="1" ht="12.75"/>
    <row r="9428" s="3161" customFormat="1" ht="12.75"/>
    <row r="9429" s="3161" customFormat="1" ht="12.75"/>
    <row r="9430" s="3161" customFormat="1" ht="12.75"/>
    <row r="9431" s="3161" customFormat="1" ht="12.75"/>
    <row r="9432" s="3161" customFormat="1" ht="12.75"/>
    <row r="9433" s="3161" customFormat="1" ht="12.75"/>
    <row r="9434" s="3161" customFormat="1" ht="12.75"/>
    <row r="9435" s="3161" customFormat="1" ht="12.75"/>
    <row r="9436" s="3161" customFormat="1" ht="12.75"/>
    <row r="9437" s="3161" customFormat="1" ht="12.75"/>
    <row r="9438" s="3161" customFormat="1" ht="12.75"/>
    <row r="9439" s="3161" customFormat="1" ht="12.75"/>
    <row r="9440" s="3161" customFormat="1" ht="12.75"/>
    <row r="9441" s="3161" customFormat="1" ht="12.75"/>
    <row r="9442" s="3161" customFormat="1" ht="12.75"/>
    <row r="9443" s="3161" customFormat="1" ht="12.75"/>
    <row r="9444" s="3161" customFormat="1" ht="12.75"/>
    <row r="9445" s="3161" customFormat="1" ht="12.75"/>
    <row r="9446" s="3161" customFormat="1" ht="12.75"/>
    <row r="9447" s="3161" customFormat="1" ht="12.75"/>
    <row r="9448" s="3161" customFormat="1" ht="12.75"/>
    <row r="9449" s="3161" customFormat="1" ht="12.75"/>
    <row r="9450" s="3161" customFormat="1" ht="12.75"/>
    <row r="9451" s="3161" customFormat="1" ht="12.75"/>
    <row r="9452" s="3161" customFormat="1" ht="12.75"/>
    <row r="9453" s="3161" customFormat="1" ht="12.75"/>
    <row r="9454" s="3161" customFormat="1" ht="12.75"/>
    <row r="9455" s="3161" customFormat="1" ht="12.75"/>
    <row r="9456" s="3161" customFormat="1" ht="12.75"/>
    <row r="9457" s="3161" customFormat="1" ht="12.75"/>
    <row r="9458" s="3161" customFormat="1" ht="12.75"/>
    <row r="9459" s="3161" customFormat="1" ht="12.75"/>
    <row r="9460" s="3161" customFormat="1" ht="12.75"/>
    <row r="9461" s="3161" customFormat="1" ht="12.75"/>
    <row r="9462" s="3161" customFormat="1" ht="12.75"/>
    <row r="9463" s="3161" customFormat="1" ht="12.75"/>
    <row r="9464" s="3161" customFormat="1" ht="12.75"/>
    <row r="9465" s="3161" customFormat="1" ht="12.75"/>
    <row r="9466" s="3161" customFormat="1" ht="12.75"/>
    <row r="9467" s="3161" customFormat="1" ht="12.75"/>
    <row r="9468" s="3161" customFormat="1" ht="12.75"/>
    <row r="9469" s="3161" customFormat="1" ht="12.75"/>
    <row r="9470" s="3161" customFormat="1" ht="12.75"/>
    <row r="9471" s="3161" customFormat="1" ht="12.75"/>
    <row r="9472" s="3161" customFormat="1" ht="12.75"/>
    <row r="9473" s="3161" customFormat="1" ht="12.75"/>
    <row r="9474" s="3161" customFormat="1" ht="12.75"/>
    <row r="9475" s="3161" customFormat="1" ht="12.75"/>
    <row r="9476" s="3161" customFormat="1" ht="12.75"/>
    <row r="9477" s="3161" customFormat="1" ht="12.75"/>
    <row r="9478" s="3161" customFormat="1" ht="12.75"/>
    <row r="9479" s="3161" customFormat="1" ht="12.75"/>
    <row r="9480" s="3161" customFormat="1" ht="12.75"/>
    <row r="9481" s="3161" customFormat="1" ht="12.75"/>
    <row r="9482" s="3161" customFormat="1" ht="12.75"/>
    <row r="9483" s="3161" customFormat="1" ht="12.75"/>
    <row r="9484" s="3161" customFormat="1" ht="12.75"/>
    <row r="9485" s="3161" customFormat="1" ht="12.75"/>
    <row r="9486" s="3161" customFormat="1" ht="12.75"/>
    <row r="9487" s="3161" customFormat="1" ht="12.75"/>
    <row r="9488" s="3161" customFormat="1" ht="12.75"/>
    <row r="9489" s="3161" customFormat="1" ht="12.75"/>
    <row r="9490" s="3161" customFormat="1" ht="12.75"/>
    <row r="9491" s="3161" customFormat="1" ht="12.75"/>
    <row r="9492" s="3161" customFormat="1" ht="12.75"/>
    <row r="9493" s="3161" customFormat="1" ht="12.75"/>
    <row r="9494" s="3161" customFormat="1" ht="12.75"/>
    <row r="9495" s="3161" customFormat="1" ht="12.75"/>
    <row r="9496" s="3161" customFormat="1" ht="12.75"/>
    <row r="9497" s="3161" customFormat="1" ht="12.75"/>
    <row r="9498" s="3161" customFormat="1" ht="12.75"/>
    <row r="9499" s="3161" customFormat="1" ht="12.75"/>
    <row r="9500" s="3161" customFormat="1" ht="12.75"/>
    <row r="9501" s="3161" customFormat="1" ht="12.75"/>
    <row r="9502" s="3161" customFormat="1" ht="12.75"/>
    <row r="9503" s="3161" customFormat="1" ht="12.75"/>
    <row r="9504" s="3161" customFormat="1" ht="12.75"/>
    <row r="9505" s="3161" customFormat="1" ht="12.75"/>
    <row r="9506" s="3161" customFormat="1" ht="12.75"/>
    <row r="9507" s="3161" customFormat="1" ht="12.75"/>
    <row r="9508" s="3161" customFormat="1" ht="12.75"/>
    <row r="9509" s="3161" customFormat="1" ht="12.75"/>
    <row r="9510" s="3161" customFormat="1" ht="12.75"/>
    <row r="9511" s="3161" customFormat="1" ht="12.75"/>
    <row r="9512" s="3161" customFormat="1" ht="12.75"/>
    <row r="9513" s="3161" customFormat="1" ht="12.75"/>
    <row r="9514" s="3161" customFormat="1" ht="12.75"/>
    <row r="9515" s="3161" customFormat="1" ht="12.75"/>
    <row r="9516" s="3161" customFormat="1" ht="12.75"/>
    <row r="9517" s="3161" customFormat="1" ht="12.75"/>
    <row r="9518" s="3161" customFormat="1" ht="12.75"/>
    <row r="9519" s="3161" customFormat="1" ht="12.75"/>
    <row r="9520" s="3161" customFormat="1" ht="12.75"/>
    <row r="9521" s="3161" customFormat="1" ht="12.75"/>
    <row r="9522" s="3161" customFormat="1" ht="12.75"/>
    <row r="9523" s="3161" customFormat="1" ht="12.75"/>
    <row r="9524" s="3161" customFormat="1" ht="12.75"/>
    <row r="9525" s="3161" customFormat="1" ht="12.75"/>
    <row r="9526" s="3161" customFormat="1" ht="12.75"/>
    <row r="9527" s="3161" customFormat="1" ht="12.75"/>
    <row r="9528" s="3161" customFormat="1" ht="12.75"/>
    <row r="9529" s="3161" customFormat="1" ht="12.75"/>
    <row r="9530" s="3161" customFormat="1" ht="12.75"/>
    <row r="9531" s="3161" customFormat="1" ht="12.75"/>
    <row r="9532" s="3161" customFormat="1" ht="12.75"/>
    <row r="9533" s="3161" customFormat="1" ht="12.75"/>
    <row r="9534" s="3161" customFormat="1" ht="12.75"/>
    <row r="9535" s="3161" customFormat="1" ht="12.75"/>
    <row r="9536" s="3161" customFormat="1" ht="12.75"/>
    <row r="9537" s="3161" customFormat="1" ht="12.75"/>
    <row r="9538" s="3161" customFormat="1" ht="12.75"/>
    <row r="9539" s="3161" customFormat="1" ht="12.75"/>
    <row r="9540" s="3161" customFormat="1" ht="12.75"/>
    <row r="9541" s="3161" customFormat="1" ht="12.75"/>
    <row r="9542" s="3161" customFormat="1" ht="12.75"/>
    <row r="9543" s="3161" customFormat="1" ht="12.75"/>
    <row r="9544" s="3161" customFormat="1" ht="12.75"/>
    <row r="9545" s="3161" customFormat="1" ht="12.75"/>
    <row r="9546" s="3161" customFormat="1" ht="12.75"/>
    <row r="9547" s="3161" customFormat="1" ht="12.75"/>
    <row r="9548" s="3161" customFormat="1" ht="12.75"/>
    <row r="9549" s="3161" customFormat="1" ht="12.75"/>
    <row r="9550" s="3161" customFormat="1" ht="12.75"/>
    <row r="9551" s="3161" customFormat="1" ht="12.75"/>
    <row r="9552" s="3161" customFormat="1" ht="12.75"/>
    <row r="9553" s="3161" customFormat="1" ht="12.75"/>
    <row r="9554" s="3161" customFormat="1" ht="12.75"/>
    <row r="9555" s="3161" customFormat="1" ht="12.75"/>
    <row r="9556" s="3161" customFormat="1" ht="12.75"/>
    <row r="9557" s="3161" customFormat="1" ht="12.75"/>
    <row r="9558" s="3161" customFormat="1" ht="12.75"/>
    <row r="9559" s="3161" customFormat="1" ht="12.75"/>
    <row r="9560" s="3161" customFormat="1" ht="12.75"/>
    <row r="9561" s="3161" customFormat="1" ht="12.75"/>
    <row r="9562" s="3161" customFormat="1" ht="12.75"/>
    <row r="9563" s="3161" customFormat="1" ht="12.75"/>
    <row r="9564" s="3161" customFormat="1" ht="12.75"/>
    <row r="9565" s="3161" customFormat="1" ht="12.75"/>
    <row r="9566" s="3161" customFormat="1" ht="12.75"/>
    <row r="9567" s="3161" customFormat="1" ht="12.75"/>
    <row r="9568" s="3161" customFormat="1" ht="12.75"/>
    <row r="9569" s="3161" customFormat="1" ht="12.75"/>
    <row r="9570" s="3161" customFormat="1" ht="12.75"/>
    <row r="9571" s="3161" customFormat="1" ht="12.75"/>
    <row r="9572" s="3161" customFormat="1" ht="12.75"/>
    <row r="9573" s="3161" customFormat="1" ht="12.75"/>
    <row r="9574" s="3161" customFormat="1" ht="12.75"/>
    <row r="9575" s="3161" customFormat="1" ht="12.75"/>
    <row r="9576" s="3161" customFormat="1" ht="12.75"/>
    <row r="9577" s="3161" customFormat="1" ht="12.75"/>
    <row r="9578" s="3161" customFormat="1" ht="12.75"/>
    <row r="9579" s="3161" customFormat="1" ht="12.75"/>
    <row r="9580" s="3161" customFormat="1" ht="12.75"/>
    <row r="9581" s="3161" customFormat="1" ht="12.75"/>
    <row r="9582" s="3161" customFormat="1" ht="12.75"/>
    <row r="9583" s="3161" customFormat="1" ht="12.75"/>
    <row r="9584" s="3161" customFormat="1" ht="12.75"/>
    <row r="9585" s="3161" customFormat="1" ht="12.75"/>
    <row r="9586" s="3161" customFormat="1" ht="12.75"/>
    <row r="9587" s="3161" customFormat="1" ht="12.75"/>
    <row r="9588" s="3161" customFormat="1" ht="12.75"/>
    <row r="9589" s="3161" customFormat="1" ht="12.75"/>
    <row r="9590" s="3161" customFormat="1" ht="12.75"/>
    <row r="9591" s="3161" customFormat="1" ht="12.75"/>
    <row r="9592" s="3161" customFormat="1" ht="12.75"/>
    <row r="9593" s="3161" customFormat="1" ht="12.75"/>
    <row r="9594" s="3161" customFormat="1" ht="12.75"/>
    <row r="9595" s="3161" customFormat="1" ht="12.75"/>
    <row r="9596" s="3161" customFormat="1" ht="12.75"/>
    <row r="9597" s="3161" customFormat="1" ht="12.75"/>
    <row r="9598" s="3161" customFormat="1" ht="12.75"/>
    <row r="9599" s="3161" customFormat="1" ht="12.75"/>
    <row r="9600" s="3161" customFormat="1" ht="12.75"/>
    <row r="9601" s="3161" customFormat="1" ht="12.75"/>
    <row r="9602" s="3161" customFormat="1" ht="12.75"/>
    <row r="9603" s="3161" customFormat="1" ht="12.75"/>
    <row r="9604" s="3161" customFormat="1" ht="12.75"/>
    <row r="9605" s="3161" customFormat="1" ht="12.75"/>
    <row r="9606" s="3161" customFormat="1" ht="12.75"/>
    <row r="9607" s="3161" customFormat="1" ht="12.75"/>
    <row r="9608" s="3161" customFormat="1" ht="12.75"/>
    <row r="9609" s="3161" customFormat="1" ht="12.75"/>
    <row r="9610" s="3161" customFormat="1" ht="12.75"/>
    <row r="9611" s="3161" customFormat="1" ht="12.75"/>
    <row r="9612" s="3161" customFormat="1" ht="12.75"/>
    <row r="9613" s="3161" customFormat="1" ht="12.75"/>
    <row r="9614" s="3161" customFormat="1" ht="12.75"/>
    <row r="9615" s="3161" customFormat="1" ht="12.75"/>
    <row r="9616" s="3161" customFormat="1" ht="12.75"/>
    <row r="9617" s="3161" customFormat="1" ht="12.75"/>
    <row r="9618" s="3161" customFormat="1" ht="12.75"/>
    <row r="9619" s="3161" customFormat="1" ht="12.75"/>
    <row r="9620" s="3161" customFormat="1" ht="12.75"/>
    <row r="9621" s="3161" customFormat="1" ht="12.75"/>
    <row r="9622" s="3161" customFormat="1" ht="12.75"/>
    <row r="9623" s="3161" customFormat="1" ht="12.75"/>
    <row r="9624" s="3161" customFormat="1" ht="12.75"/>
    <row r="9625" s="3161" customFormat="1" ht="12.75"/>
    <row r="9626" s="3161" customFormat="1" ht="12.75"/>
    <row r="9627" s="3161" customFormat="1" ht="12.75"/>
    <row r="9628" s="3161" customFormat="1" ht="12.75"/>
    <row r="9629" s="3161" customFormat="1" ht="12.75"/>
    <row r="9630" s="3161" customFormat="1" ht="12.75"/>
    <row r="9631" s="3161" customFormat="1" ht="12.75"/>
    <row r="9632" s="3161" customFormat="1" ht="12.75"/>
    <row r="9633" s="3161" customFormat="1" ht="12.75"/>
    <row r="9634" s="3161" customFormat="1" ht="12.75"/>
    <row r="9635" s="3161" customFormat="1" ht="12.75"/>
    <row r="9636" s="3161" customFormat="1" ht="12.75"/>
    <row r="9637" s="3161" customFormat="1" ht="12.75"/>
    <row r="9638" s="3161" customFormat="1" ht="12.75"/>
    <row r="9639" s="3161" customFormat="1" ht="12.75"/>
    <row r="9640" s="3161" customFormat="1" ht="12.75"/>
    <row r="9641" s="3161" customFormat="1" ht="12.75"/>
    <row r="9642" s="3161" customFormat="1" ht="12.75"/>
    <row r="9643" s="3161" customFormat="1" ht="12.75"/>
    <row r="9644" s="3161" customFormat="1" ht="12.75"/>
    <row r="9645" s="3161" customFormat="1" ht="12.75"/>
    <row r="9646" s="3161" customFormat="1" ht="12.75"/>
    <row r="9647" s="3161" customFormat="1" ht="12.75"/>
    <row r="9648" s="3161" customFormat="1" ht="12.75"/>
    <row r="9649" s="3161" customFormat="1" ht="12.75"/>
    <row r="9650" s="3161" customFormat="1" ht="12.75"/>
    <row r="9651" s="3161" customFormat="1" ht="12.75"/>
    <row r="9652" s="3161" customFormat="1" ht="12.75"/>
    <row r="9653" s="3161" customFormat="1" ht="12.75"/>
    <row r="9654" s="3161" customFormat="1" ht="12.75"/>
    <row r="9655" s="3161" customFormat="1" ht="12.75"/>
    <row r="9656" s="3161" customFormat="1" ht="12.75"/>
    <row r="9657" s="3161" customFormat="1" ht="12.75"/>
    <row r="9658" s="3161" customFormat="1" ht="12.75"/>
    <row r="9659" s="3161" customFormat="1" ht="12.75"/>
    <row r="9660" s="3161" customFormat="1" ht="12.75"/>
    <row r="9661" s="3161" customFormat="1" ht="12.75"/>
    <row r="9662" s="3161" customFormat="1" ht="12.75"/>
    <row r="9663" s="3161" customFormat="1" ht="12.75"/>
    <row r="9664" s="3161" customFormat="1" ht="12.75"/>
    <row r="9665" s="3161" customFormat="1" ht="12.75"/>
    <row r="9666" s="3161" customFormat="1" ht="12.75"/>
    <row r="9667" s="3161" customFormat="1" ht="12.75"/>
    <row r="9668" s="3161" customFormat="1" ht="12.75"/>
    <row r="9669" s="3161" customFormat="1" ht="12.75"/>
    <row r="9670" s="3161" customFormat="1" ht="12.75"/>
    <row r="9671" s="3161" customFormat="1" ht="12.75"/>
    <row r="9672" s="3161" customFormat="1" ht="12.75"/>
    <row r="9673" s="3161" customFormat="1" ht="12.75"/>
    <row r="9674" s="3161" customFormat="1" ht="12.75"/>
    <row r="9675" s="3161" customFormat="1" ht="12.75"/>
    <row r="9676" s="3161" customFormat="1" ht="12.75"/>
    <row r="9677" s="3161" customFormat="1" ht="12.75"/>
    <row r="9678" s="3161" customFormat="1" ht="12.75"/>
    <row r="9679" s="3161" customFormat="1" ht="12.75"/>
    <row r="9680" s="3161" customFormat="1" ht="12.75"/>
    <row r="9681" s="3161" customFormat="1" ht="12.75"/>
    <row r="9682" s="3161" customFormat="1" ht="12.75"/>
    <row r="9683" s="3161" customFormat="1" ht="12.75"/>
    <row r="9684" s="3161" customFormat="1" ht="12.75"/>
    <row r="9685" s="3161" customFormat="1" ht="12.75"/>
    <row r="9686" s="3161" customFormat="1" ht="12.75"/>
    <row r="9687" s="3161" customFormat="1" ht="12.75"/>
    <row r="9688" s="3161" customFormat="1" ht="12.75"/>
    <row r="9689" s="3161" customFormat="1" ht="12.75"/>
    <row r="9690" s="3161" customFormat="1" ht="12.75"/>
    <row r="9691" s="3161" customFormat="1" ht="12.75"/>
    <row r="9692" s="3161" customFormat="1" ht="12.75"/>
    <row r="9693" s="3161" customFormat="1" ht="12.75"/>
    <row r="9694" s="3161" customFormat="1" ht="12.75"/>
    <row r="9695" s="3161" customFormat="1" ht="12.75"/>
    <row r="9696" s="3161" customFormat="1" ht="12.75"/>
    <row r="9697" s="3161" customFormat="1" ht="12.75"/>
    <row r="9698" s="3161" customFormat="1" ht="12.75"/>
    <row r="9699" s="3161" customFormat="1" ht="12.75"/>
    <row r="9700" s="3161" customFormat="1" ht="12.75"/>
    <row r="9701" s="3161" customFormat="1" ht="12.75"/>
    <row r="9702" s="3161" customFormat="1" ht="12.75"/>
    <row r="9703" s="3161" customFormat="1" ht="12.75"/>
    <row r="9704" s="3161" customFormat="1" ht="12.75"/>
    <row r="9705" s="3161" customFormat="1" ht="12.75"/>
    <row r="9706" s="3161" customFormat="1" ht="12.75"/>
    <row r="9707" s="3161" customFormat="1" ht="12.75"/>
    <row r="9708" s="3161" customFormat="1" ht="12.75"/>
    <row r="9709" s="3161" customFormat="1" ht="12.75"/>
    <row r="9710" s="3161" customFormat="1" ht="12.75"/>
    <row r="9711" s="3161" customFormat="1" ht="12.75"/>
    <row r="9712" s="3161" customFormat="1" ht="12.75"/>
    <row r="9713" s="3161" customFormat="1" ht="12.75"/>
    <row r="9714" s="3161" customFormat="1" ht="12.75"/>
    <row r="9715" s="3161" customFormat="1" ht="12.75"/>
    <row r="9716" s="3161" customFormat="1" ht="12.75"/>
    <row r="9717" s="3161" customFormat="1" ht="12.75"/>
    <row r="9718" s="3161" customFormat="1" ht="12.75"/>
    <row r="9719" s="3161" customFormat="1" ht="12.75"/>
    <row r="9720" s="3161" customFormat="1" ht="12.75"/>
    <row r="9721" s="3161" customFormat="1" ht="12.75"/>
    <row r="9722" s="3161" customFormat="1" ht="12.75"/>
    <row r="9723" s="3161" customFormat="1" ht="12.75"/>
    <row r="9724" s="3161" customFormat="1" ht="12.75"/>
    <row r="9725" s="3161" customFormat="1" ht="12.75"/>
    <row r="9726" s="3161" customFormat="1" ht="12.75"/>
    <row r="9727" s="3161" customFormat="1" ht="12.75"/>
    <row r="9728" s="3161" customFormat="1" ht="12.75"/>
    <row r="9729" s="3161" customFormat="1" ht="12.75"/>
    <row r="9730" s="3161" customFormat="1" ht="12.75"/>
    <row r="9731" s="3161" customFormat="1" ht="12.75"/>
    <row r="9732" s="3161" customFormat="1" ht="12.75"/>
    <row r="9733" s="3161" customFormat="1" ht="12.75"/>
    <row r="9734" s="3161" customFormat="1" ht="12.75"/>
    <row r="9735" s="3161" customFormat="1" ht="12.75"/>
    <row r="9736" s="3161" customFormat="1" ht="12.75"/>
    <row r="9737" s="3161" customFormat="1" ht="12.75"/>
    <row r="9738" s="3161" customFormat="1" ht="12.75"/>
    <row r="9739" s="3161" customFormat="1" ht="12.75"/>
    <row r="9740" s="3161" customFormat="1" ht="12.75"/>
    <row r="9741" s="3161" customFormat="1" ht="12.75"/>
    <row r="9742" s="3161" customFormat="1" ht="12.75"/>
    <row r="9743" s="3161" customFormat="1" ht="12.75"/>
    <row r="9744" s="3161" customFormat="1" ht="12.75"/>
    <row r="9745" s="3161" customFormat="1" ht="12.75"/>
    <row r="9746" s="3161" customFormat="1" ht="12.75"/>
    <row r="9747" s="3161" customFormat="1" ht="12.75"/>
    <row r="9748" s="3161" customFormat="1" ht="12.75"/>
    <row r="9749" s="3161" customFormat="1" ht="12.75"/>
    <row r="9750" s="3161" customFormat="1" ht="12.75"/>
    <row r="9751" s="3161" customFormat="1" ht="12.75"/>
    <row r="9752" s="3161" customFormat="1" ht="12.75"/>
    <row r="9753" s="3161" customFormat="1" ht="12.75"/>
    <row r="9754" s="3161" customFormat="1" ht="12.75"/>
    <row r="9755" s="3161" customFormat="1" ht="12.75"/>
    <row r="9756" s="3161" customFormat="1" ht="12.75"/>
    <row r="9757" s="3161" customFormat="1" ht="12.75"/>
    <row r="9758" s="3161" customFormat="1" ht="12.75"/>
    <row r="9759" s="3161" customFormat="1" ht="12.75"/>
    <row r="9760" s="3161" customFormat="1" ht="12.75"/>
    <row r="9761" s="3161" customFormat="1" ht="12.75"/>
    <row r="9762" s="3161" customFormat="1" ht="12.75"/>
    <row r="9763" s="3161" customFormat="1" ht="12.75"/>
    <row r="9764" s="3161" customFormat="1" ht="12.75"/>
    <row r="9765" s="3161" customFormat="1" ht="12.75"/>
    <row r="9766" s="3161" customFormat="1" ht="12.75"/>
    <row r="9767" s="3161" customFormat="1" ht="12.75"/>
    <row r="9768" s="3161" customFormat="1" ht="12.75"/>
    <row r="9769" s="3161" customFormat="1" ht="12.75"/>
    <row r="9770" s="3161" customFormat="1" ht="12.75"/>
    <row r="9771" s="3161" customFormat="1" ht="12.75"/>
    <row r="9772" s="3161" customFormat="1" ht="12.75"/>
    <row r="9773" s="3161" customFormat="1" ht="12.75"/>
    <row r="9774" s="3161" customFormat="1" ht="12.75"/>
    <row r="9775" s="3161" customFormat="1" ht="12.75"/>
    <row r="9776" s="3161" customFormat="1" ht="12.75"/>
    <row r="9777" s="3161" customFormat="1" ht="12.75"/>
    <row r="9778" s="3161" customFormat="1" ht="12.75"/>
    <row r="9779" s="3161" customFormat="1" ht="12.75"/>
    <row r="9780" s="3161" customFormat="1" ht="12.75"/>
    <row r="9781" s="3161" customFormat="1" ht="12.75"/>
    <row r="9782" s="3161" customFormat="1" ht="12.75"/>
    <row r="9783" s="3161" customFormat="1" ht="12.75"/>
    <row r="9784" s="3161" customFormat="1" ht="12.75"/>
    <row r="9785" s="3161" customFormat="1" ht="12.75"/>
    <row r="9786" s="3161" customFormat="1" ht="12.75"/>
    <row r="9787" s="3161" customFormat="1" ht="12.75"/>
    <row r="9788" s="3161" customFormat="1" ht="12.75"/>
    <row r="9789" s="3161" customFormat="1" ht="12.75"/>
    <row r="9790" s="3161" customFormat="1" ht="12.75"/>
    <row r="9791" s="3161" customFormat="1" ht="12.75"/>
    <row r="9792" s="3161" customFormat="1" ht="12.75"/>
    <row r="9793" s="3161" customFormat="1" ht="12.75"/>
    <row r="9794" s="3161" customFormat="1" ht="12.75"/>
    <row r="9795" s="3161" customFormat="1" ht="12.75"/>
    <row r="9796" s="3161" customFormat="1" ht="12.75"/>
    <row r="9797" s="3161" customFormat="1" ht="12.75"/>
    <row r="9798" s="3161" customFormat="1" ht="12.75"/>
    <row r="9799" s="3161" customFormat="1" ht="12.75"/>
    <row r="9800" s="3161" customFormat="1" ht="12.75"/>
    <row r="9801" s="3161" customFormat="1" ht="12.75"/>
    <row r="9802" s="3161" customFormat="1" ht="12.75"/>
    <row r="9803" s="3161" customFormat="1" ht="12.75"/>
    <row r="9804" s="3161" customFormat="1" ht="12.75"/>
    <row r="9805" s="3161" customFormat="1" ht="12.75"/>
    <row r="9806" s="3161" customFormat="1" ht="12.75"/>
    <row r="9807" s="3161" customFormat="1" ht="12.75"/>
    <row r="9808" s="3161" customFormat="1" ht="12.75"/>
    <row r="9809" s="3161" customFormat="1" ht="12.75"/>
    <row r="9810" s="3161" customFormat="1" ht="12.75"/>
    <row r="9811" s="3161" customFormat="1" ht="12.75"/>
    <row r="9812" s="3161" customFormat="1" ht="12.75"/>
    <row r="9813" s="3161" customFormat="1" ht="12.75"/>
    <row r="9814" s="3161" customFormat="1" ht="12.75"/>
    <row r="9815" s="3161" customFormat="1" ht="12.75"/>
    <row r="9816" s="3161" customFormat="1" ht="12.75"/>
    <row r="9817" s="3161" customFormat="1" ht="12.75"/>
    <row r="9818" s="3161" customFormat="1" ht="12.75"/>
    <row r="9819" s="3161" customFormat="1" ht="12.75"/>
    <row r="9820" s="3161" customFormat="1" ht="12.75"/>
    <row r="9821" s="3161" customFormat="1" ht="12.75"/>
    <row r="9822" s="3161" customFormat="1" ht="12.75"/>
    <row r="9823" s="3161" customFormat="1" ht="12.75"/>
    <row r="9824" s="3161" customFormat="1" ht="12.75"/>
    <row r="9825" s="3161" customFormat="1" ht="12.75"/>
    <row r="9826" s="3161" customFormat="1" ht="12.75"/>
    <row r="9827" s="3161" customFormat="1" ht="12.75"/>
    <row r="9828" s="3161" customFormat="1" ht="12.75"/>
    <row r="9829" s="3161" customFormat="1" ht="12.75"/>
    <row r="9830" s="3161" customFormat="1" ht="12.75"/>
    <row r="9831" s="3161" customFormat="1" ht="12.75"/>
    <row r="9832" s="3161" customFormat="1" ht="12.75"/>
    <row r="9833" s="3161" customFormat="1" ht="12.75"/>
    <row r="9834" s="3161" customFormat="1" ht="12.75"/>
    <row r="9835" s="3161" customFormat="1" ht="12.75"/>
    <row r="9836" s="3161" customFormat="1" ht="12.75"/>
    <row r="9837" s="3161" customFormat="1" ht="12.75"/>
    <row r="9838" s="3161" customFormat="1" ht="12.75"/>
    <row r="9839" s="3161" customFormat="1" ht="12.75"/>
    <row r="9840" s="3161" customFormat="1" ht="12.75"/>
    <row r="9841" s="3161" customFormat="1" ht="12.75"/>
    <row r="9842" s="3161" customFormat="1" ht="12.75"/>
    <row r="9843" s="3161" customFormat="1" ht="12.75"/>
    <row r="9844" s="3161" customFormat="1" ht="12.75"/>
    <row r="9845" s="3161" customFormat="1" ht="12.75"/>
    <row r="9846" s="3161" customFormat="1" ht="12.75"/>
    <row r="9847" s="3161" customFormat="1" ht="12.75"/>
    <row r="9848" s="3161" customFormat="1" ht="12.75"/>
    <row r="9849" s="3161" customFormat="1" ht="12.75"/>
    <row r="9850" s="3161" customFormat="1" ht="12.75"/>
    <row r="9851" s="3161" customFormat="1" ht="12.75"/>
    <row r="9852" s="3161" customFormat="1" ht="12.75"/>
    <row r="9853" s="3161" customFormat="1" ht="12.75"/>
    <row r="9854" s="3161" customFormat="1" ht="12.75"/>
    <row r="9855" s="3161" customFormat="1" ht="12.75"/>
    <row r="9856" s="3161" customFormat="1" ht="12.75"/>
    <row r="9857" s="3161" customFormat="1" ht="12.75"/>
    <row r="9858" s="3161" customFormat="1" ht="12.75"/>
    <row r="9859" s="3161" customFormat="1" ht="12.75"/>
    <row r="9860" s="3161" customFormat="1" ht="12.75"/>
    <row r="9861" s="3161" customFormat="1" ht="12.75"/>
    <row r="9862" s="3161" customFormat="1" ht="12.75"/>
    <row r="9863" s="3161" customFormat="1" ht="12.75"/>
    <row r="9864" s="3161" customFormat="1" ht="12.75"/>
    <row r="9865" s="3161" customFormat="1" ht="12.75"/>
    <row r="9866" s="3161" customFormat="1" ht="12.75"/>
    <row r="9867" s="3161" customFormat="1" ht="12.75"/>
    <row r="9868" s="3161" customFormat="1" ht="12.75"/>
    <row r="9869" s="3161" customFormat="1" ht="12.75"/>
    <row r="9870" s="3161" customFormat="1" ht="12.75"/>
    <row r="9871" s="3161" customFormat="1" ht="12.75"/>
    <row r="9872" s="3161" customFormat="1" ht="12.75"/>
    <row r="9873" s="3161" customFormat="1" ht="12.75"/>
    <row r="9874" s="3161" customFormat="1" ht="12.75"/>
    <row r="9875" s="3161" customFormat="1" ht="12.75"/>
    <row r="9876" s="3161" customFormat="1" ht="12.75"/>
    <row r="9877" s="3161" customFormat="1" ht="12.75"/>
    <row r="9878" s="3161" customFormat="1" ht="12.75"/>
    <row r="9879" s="3161" customFormat="1" ht="12.75"/>
    <row r="9880" s="3161" customFormat="1" ht="12.75"/>
    <row r="9881" s="3161" customFormat="1" ht="12.75"/>
    <row r="9882" s="3161" customFormat="1" ht="12.75"/>
    <row r="9883" s="3161" customFormat="1" ht="12.75"/>
    <row r="9884" s="3161" customFormat="1" ht="12.75"/>
    <row r="9885" s="3161" customFormat="1" ht="12.75"/>
    <row r="9886" s="3161" customFormat="1" ht="12.75"/>
    <row r="9887" s="3161" customFormat="1" ht="12.75"/>
    <row r="9888" s="3161" customFormat="1" ht="12.75"/>
    <row r="9889" s="3161" customFormat="1" ht="12.75"/>
    <row r="9890" s="3161" customFormat="1" ht="12.75"/>
    <row r="9891" s="3161" customFormat="1" ht="12.75"/>
    <row r="9892" s="3161" customFormat="1" ht="12.75"/>
    <row r="9893" s="3161" customFormat="1" ht="12.75"/>
    <row r="9894" s="3161" customFormat="1" ht="12.75"/>
    <row r="9895" s="3161" customFormat="1" ht="12.75"/>
    <row r="9896" s="3161" customFormat="1" ht="12.75"/>
    <row r="9897" s="3161" customFormat="1" ht="12.75"/>
    <row r="9898" s="3161" customFormat="1" ht="12.75"/>
    <row r="9899" s="3161" customFormat="1" ht="12.75"/>
    <row r="9900" s="3161" customFormat="1" ht="12.75"/>
    <row r="9901" s="3161" customFormat="1" ht="12.75"/>
    <row r="9902" s="3161" customFormat="1" ht="12.75"/>
    <row r="9903" s="3161" customFormat="1" ht="12.75"/>
    <row r="9904" s="3161" customFormat="1" ht="12.75"/>
    <row r="9905" s="3161" customFormat="1" ht="12.75"/>
    <row r="9906" s="3161" customFormat="1" ht="12.75"/>
    <row r="9907" s="3161" customFormat="1" ht="12.75"/>
    <row r="9908" s="3161" customFormat="1" ht="12.75"/>
    <row r="9909" s="3161" customFormat="1" ht="12.75"/>
    <row r="9910" s="3161" customFormat="1" ht="12.75"/>
    <row r="9911" s="3161" customFormat="1" ht="12.75"/>
    <row r="9912" s="3161" customFormat="1" ht="12.75"/>
    <row r="9913" s="3161" customFormat="1" ht="12.75"/>
    <row r="9914" s="3161" customFormat="1" ht="12.75"/>
    <row r="9915" s="3161" customFormat="1" ht="12.75"/>
    <row r="9916" s="3161" customFormat="1" ht="12.75"/>
    <row r="9917" s="3161" customFormat="1" ht="12.75"/>
    <row r="9918" s="3161" customFormat="1" ht="12.75"/>
    <row r="9919" s="3161" customFormat="1" ht="12.75"/>
    <row r="9920" s="3161" customFormat="1" ht="12.75"/>
    <row r="9921" s="3161" customFormat="1" ht="12.75"/>
    <row r="9922" s="3161" customFormat="1" ht="12.75"/>
    <row r="9923" s="3161" customFormat="1" ht="12.75"/>
    <row r="9924" s="3161" customFormat="1" ht="12.75"/>
    <row r="9925" s="3161" customFormat="1" ht="12.75"/>
    <row r="9926" s="3161" customFormat="1" ht="12.75"/>
    <row r="9927" s="3161" customFormat="1" ht="12.75"/>
    <row r="9928" s="3161" customFormat="1" ht="12.75"/>
    <row r="9929" s="3161" customFormat="1" ht="12.75"/>
    <row r="9930" s="3161" customFormat="1" ht="12.75"/>
    <row r="9931" s="3161" customFormat="1" ht="12.75"/>
    <row r="9932" s="3161" customFormat="1" ht="12.75"/>
    <row r="9933" s="3161" customFormat="1" ht="12.75"/>
    <row r="9934" s="3161" customFormat="1" ht="12.75"/>
    <row r="9935" s="3161" customFormat="1" ht="12.75"/>
    <row r="9936" s="3161" customFormat="1" ht="12.75"/>
    <row r="9937" s="3161" customFormat="1" ht="12.75"/>
    <row r="9938" s="3161" customFormat="1" ht="12.75"/>
    <row r="9939" s="3161" customFormat="1" ht="12.75"/>
    <row r="9940" s="3161" customFormat="1" ht="12.75"/>
    <row r="9941" s="3161" customFormat="1" ht="12.75"/>
    <row r="9942" s="3161" customFormat="1" ht="12.75"/>
    <row r="9943" s="3161" customFormat="1" ht="12.75"/>
    <row r="9944" s="3161" customFormat="1" ht="12.75"/>
    <row r="9945" s="3161" customFormat="1" ht="12.75"/>
    <row r="9946" s="3161" customFormat="1" ht="12.75"/>
    <row r="9947" s="3161" customFormat="1" ht="12.75"/>
    <row r="9948" s="3161" customFormat="1" ht="12.75"/>
    <row r="9949" s="3161" customFormat="1" ht="12.75"/>
    <row r="9950" s="3161" customFormat="1" ht="12.75"/>
    <row r="9951" s="3161" customFormat="1" ht="12.75"/>
    <row r="9952" s="3161" customFormat="1" ht="12.75"/>
    <row r="9953" s="3161" customFormat="1" ht="12.75"/>
    <row r="9954" s="3161" customFormat="1" ht="12.75"/>
    <row r="9955" s="3161" customFormat="1" ht="12.75"/>
    <row r="9956" s="3161" customFormat="1" ht="12.75"/>
    <row r="9957" s="3161" customFormat="1" ht="12.75"/>
    <row r="9958" s="3161" customFormat="1" ht="12.75"/>
    <row r="9959" s="3161" customFormat="1" ht="12.75"/>
    <row r="9960" s="3161" customFormat="1" ht="12.75"/>
    <row r="9961" s="3161" customFormat="1" ht="12.75"/>
    <row r="9962" s="3161" customFormat="1" ht="12.75"/>
    <row r="9963" s="3161" customFormat="1" ht="12.75"/>
    <row r="9964" s="3161" customFormat="1" ht="12.75"/>
    <row r="9965" s="3161" customFormat="1" ht="12.75"/>
    <row r="9966" s="3161" customFormat="1" ht="12.75"/>
    <row r="9967" s="3161" customFormat="1" ht="12.75"/>
    <row r="9968" s="3161" customFormat="1" ht="12.75"/>
    <row r="9969" s="3161" customFormat="1" ht="12.75"/>
    <row r="9970" s="3161" customFormat="1" ht="12.75"/>
    <row r="9971" s="3161" customFormat="1" ht="12.75"/>
    <row r="9972" s="3161" customFormat="1" ht="12.75"/>
    <row r="9973" s="3161" customFormat="1" ht="12.75"/>
    <row r="9974" s="3161" customFormat="1" ht="12.75"/>
    <row r="9975" s="3161" customFormat="1" ht="12.75"/>
    <row r="9976" s="3161" customFormat="1" ht="12.75"/>
    <row r="9977" s="3161" customFormat="1" ht="12.75"/>
    <row r="9978" s="3161" customFormat="1" ht="12.75"/>
    <row r="9979" s="3161" customFormat="1" ht="12.75"/>
    <row r="9980" s="3161" customFormat="1" ht="12.75"/>
    <row r="9981" s="3161" customFormat="1" ht="12.75"/>
    <row r="9982" s="3161" customFormat="1" ht="12.75"/>
    <row r="9983" s="3161" customFormat="1" ht="12.75"/>
    <row r="9984" s="3161" customFormat="1" ht="12.75"/>
    <row r="9985" s="3161" customFormat="1" ht="12.75"/>
    <row r="9986" s="3161" customFormat="1" ht="12.75"/>
    <row r="9987" s="3161" customFormat="1" ht="12.75"/>
    <row r="9988" s="3161" customFormat="1" ht="12.75"/>
    <row r="9989" s="3161" customFormat="1" ht="12.75"/>
    <row r="9990" s="3161" customFormat="1" ht="12.75"/>
    <row r="9991" s="3161" customFormat="1" ht="12.75"/>
    <row r="9992" s="3161" customFormat="1" ht="12.75"/>
    <row r="9993" s="3161" customFormat="1" ht="12.75"/>
    <row r="9994" s="3161" customFormat="1" ht="12.75"/>
    <row r="9995" s="3161" customFormat="1" ht="12.75"/>
    <row r="9996" s="3161" customFormat="1" ht="12.75"/>
    <row r="9997" s="3161" customFormat="1" ht="12.75"/>
    <row r="9998" s="3161" customFormat="1" ht="12.75"/>
    <row r="9999" s="3161" customFormat="1" ht="12.75"/>
    <row r="10000" s="3161" customFormat="1" ht="12.75"/>
    <row r="10001" s="3161" customFormat="1" ht="12.75"/>
    <row r="10002" s="3161" customFormat="1" ht="12.75"/>
    <row r="10003" s="3161" customFormat="1" ht="12.75"/>
    <row r="10004" s="3161" customFormat="1" ht="12.75"/>
    <row r="10005" s="3161" customFormat="1" ht="12.75"/>
    <row r="10006" s="3161" customFormat="1" ht="12.75"/>
    <row r="10007" s="3161" customFormat="1" ht="12.75"/>
    <row r="10008" s="3161" customFormat="1" ht="12.75"/>
    <row r="10009" s="3161" customFormat="1" ht="12.75"/>
    <row r="10010" s="3161" customFormat="1" ht="12.75"/>
    <row r="10011" s="3161" customFormat="1" ht="12.75"/>
    <row r="10012" s="3161" customFormat="1" ht="12.75"/>
    <row r="10013" s="3161" customFormat="1" ht="12.75"/>
    <row r="10014" s="3161" customFormat="1" ht="12.75"/>
    <row r="10015" s="3161" customFormat="1" ht="12.75"/>
    <row r="10016" s="3161" customFormat="1" ht="12.75"/>
    <row r="10017" s="3161" customFormat="1" ht="12.75"/>
    <row r="10018" s="3161" customFormat="1" ht="12.75"/>
    <row r="10019" s="3161" customFormat="1" ht="12.75"/>
    <row r="10020" s="3161" customFormat="1" ht="12.75"/>
    <row r="10021" s="3161" customFormat="1" ht="12.75"/>
    <row r="10022" s="3161" customFormat="1" ht="12.75"/>
    <row r="10023" s="3161" customFormat="1" ht="12.75"/>
    <row r="10024" s="3161" customFormat="1" ht="12.75"/>
    <row r="10025" s="3161" customFormat="1" ht="12.75"/>
    <row r="10026" s="3161" customFormat="1" ht="12.75"/>
    <row r="10027" s="3161" customFormat="1" ht="12.75"/>
    <row r="10028" s="3161" customFormat="1" ht="12.75"/>
    <row r="10029" s="3161" customFormat="1" ht="12.75"/>
    <row r="10030" s="3161" customFormat="1" ht="12.75"/>
    <row r="10031" s="3161" customFormat="1" ht="12.75"/>
    <row r="10032" s="3161" customFormat="1" ht="12.75"/>
    <row r="10033" s="3161" customFormat="1" ht="12.75"/>
    <row r="10034" s="3161" customFormat="1" ht="12.75"/>
    <row r="10035" s="3161" customFormat="1" ht="12.75"/>
    <row r="10036" s="3161" customFormat="1" ht="12.75"/>
    <row r="10037" s="3161" customFormat="1" ht="12.75"/>
    <row r="10038" s="3161" customFormat="1" ht="12.75"/>
    <row r="10039" s="3161" customFormat="1" ht="12.75"/>
    <row r="10040" s="3161" customFormat="1" ht="12.75"/>
    <row r="10041" s="3161" customFormat="1" ht="12.75"/>
    <row r="10042" s="3161" customFormat="1" ht="12.75"/>
    <row r="10043" s="3161" customFormat="1" ht="12.75"/>
    <row r="10044" s="3161" customFormat="1" ht="12.75"/>
    <row r="10045" s="3161" customFormat="1" ht="12.75"/>
    <row r="10046" s="3161" customFormat="1" ht="12.75"/>
    <row r="10047" s="3161" customFormat="1" ht="12.75"/>
    <row r="10048" s="3161" customFormat="1" ht="12.75"/>
    <row r="10049" s="3161" customFormat="1" ht="12.75"/>
    <row r="10050" s="3161" customFormat="1" ht="12.75"/>
    <row r="10051" s="3161" customFormat="1" ht="12.75"/>
    <row r="10052" s="3161" customFormat="1" ht="12.75"/>
    <row r="10053" s="3161" customFormat="1" ht="12.75"/>
    <row r="10054" s="3161" customFormat="1" ht="12.75"/>
    <row r="10055" s="3161" customFormat="1" ht="12.75"/>
    <row r="10056" s="3161" customFormat="1" ht="12.75"/>
    <row r="10057" s="3161" customFormat="1" ht="12.75"/>
    <row r="10058" s="3161" customFormat="1" ht="12.75"/>
    <row r="10059" s="3161" customFormat="1" ht="12.75"/>
    <row r="10060" s="3161" customFormat="1" ht="12.75"/>
    <row r="10061" s="3161" customFormat="1" ht="12.75"/>
    <row r="10062" s="3161" customFormat="1" ht="12.75"/>
    <row r="10063" s="3161" customFormat="1" ht="12.75"/>
    <row r="10064" s="3161" customFormat="1" ht="12.75"/>
    <row r="10065" s="3161" customFormat="1" ht="12.75"/>
    <row r="10066" s="3161" customFormat="1" ht="12.75"/>
    <row r="10067" s="3161" customFormat="1" ht="12.75"/>
    <row r="10068" s="3161" customFormat="1" ht="12.75"/>
    <row r="10069" s="3161" customFormat="1" ht="12.75"/>
    <row r="10070" s="3161" customFormat="1" ht="12.75"/>
    <row r="10071" s="3161" customFormat="1" ht="12.75"/>
    <row r="10072" s="3161" customFormat="1" ht="12.75"/>
    <row r="10073" s="3161" customFormat="1" ht="12.75"/>
    <row r="10074" s="3161" customFormat="1" ht="12.75"/>
    <row r="10075" s="3161" customFormat="1" ht="12.75"/>
    <row r="10076" s="3161" customFormat="1" ht="12.75"/>
    <row r="10077" s="3161" customFormat="1" ht="12.75"/>
    <row r="10078" s="3161" customFormat="1" ht="12.75"/>
    <row r="10079" s="3161" customFormat="1" ht="12.75"/>
    <row r="10080" s="3161" customFormat="1" ht="12.75"/>
    <row r="10081" s="3161" customFormat="1" ht="12.75"/>
    <row r="10082" s="3161" customFormat="1" ht="12.75"/>
    <row r="10083" s="3161" customFormat="1" ht="12.75"/>
    <row r="10084" s="3161" customFormat="1" ht="12.75"/>
    <row r="10085" s="3161" customFormat="1" ht="12.75"/>
    <row r="10086" s="3161" customFormat="1" ht="12.75"/>
    <row r="10087" s="3161" customFormat="1" ht="12.75"/>
    <row r="10088" s="3161" customFormat="1" ht="12.75"/>
    <row r="10089" s="3161" customFormat="1" ht="12.75"/>
    <row r="10090" s="3161" customFormat="1" ht="12.75"/>
    <row r="10091" s="3161" customFormat="1" ht="12.75"/>
    <row r="10092" s="3161" customFormat="1" ht="12.75"/>
    <row r="10093" s="3161" customFormat="1" ht="12.75"/>
    <row r="10094" s="3161" customFormat="1" ht="12.75"/>
    <row r="10095" s="3161" customFormat="1" ht="12.75"/>
    <row r="10096" s="3161" customFormat="1" ht="12.75"/>
    <row r="10097" s="3161" customFormat="1" ht="12.75"/>
    <row r="10098" s="3161" customFormat="1" ht="12.75"/>
    <row r="10099" s="3161" customFormat="1" ht="12.75"/>
    <row r="10100" s="3161" customFormat="1" ht="12.75"/>
    <row r="10101" s="3161" customFormat="1" ht="12.75"/>
    <row r="10102" s="3161" customFormat="1" ht="12.75"/>
    <row r="10103" s="3161" customFormat="1" ht="12.75"/>
    <row r="10104" s="3161" customFormat="1" ht="12.75"/>
    <row r="10105" s="3161" customFormat="1" ht="12.75"/>
    <row r="10106" s="3161" customFormat="1" ht="12.75"/>
    <row r="10107" s="3161" customFormat="1" ht="12.75"/>
    <row r="10108" s="3161" customFormat="1" ht="12.75"/>
    <row r="10109" s="3161" customFormat="1" ht="12.75"/>
    <row r="10110" s="3161" customFormat="1" ht="12.75"/>
    <row r="10111" s="3161" customFormat="1" ht="12.75"/>
    <row r="10112" s="3161" customFormat="1" ht="12.75"/>
    <row r="10113" s="3161" customFormat="1" ht="12.75"/>
    <row r="10114" s="3161" customFormat="1" ht="12.75"/>
    <row r="10115" s="3161" customFormat="1" ht="12.75"/>
    <row r="10116" s="3161" customFormat="1" ht="12.75"/>
    <row r="10117" s="3161" customFormat="1" ht="12.75"/>
    <row r="10118" s="3161" customFormat="1" ht="12.75"/>
    <row r="10119" s="3161" customFormat="1" ht="12.75"/>
    <row r="10120" s="3161" customFormat="1" ht="12.75"/>
    <row r="10121" s="3161" customFormat="1" ht="12.75"/>
    <row r="10122" s="3161" customFormat="1" ht="12.75"/>
    <row r="10123" s="3161" customFormat="1" ht="12.75"/>
    <row r="10124" s="3161" customFormat="1" ht="12.75"/>
    <row r="10125" s="3161" customFormat="1" ht="12.75"/>
    <row r="10126" s="3161" customFormat="1" ht="12.75"/>
    <row r="10127" s="3161" customFormat="1" ht="12.75"/>
    <row r="10128" s="3161" customFormat="1" ht="12.75"/>
    <row r="10129" s="3161" customFormat="1" ht="12.75"/>
    <row r="10130" s="3161" customFormat="1" ht="12.75"/>
    <row r="10131" s="3161" customFormat="1" ht="12.75"/>
    <row r="10132" s="3161" customFormat="1" ht="12.75"/>
    <row r="10133" s="3161" customFormat="1" ht="12.75"/>
    <row r="10134" s="3161" customFormat="1" ht="12.75"/>
    <row r="10135" s="3161" customFormat="1" ht="12.75"/>
    <row r="10136" s="3161" customFormat="1" ht="12.75"/>
    <row r="10137" s="3161" customFormat="1" ht="12.75"/>
    <row r="10138" s="3161" customFormat="1" ht="12.75"/>
    <row r="10139" s="3161" customFormat="1" ht="12.75"/>
    <row r="10140" s="3161" customFormat="1" ht="12.75"/>
    <row r="10141" s="3161" customFormat="1" ht="12.75"/>
    <row r="10142" s="3161" customFormat="1" ht="12.75"/>
    <row r="10143" s="3161" customFormat="1" ht="12.75"/>
    <row r="10144" s="3161" customFormat="1" ht="12.75"/>
    <row r="10145" s="3161" customFormat="1" ht="12.75"/>
    <row r="10146" s="3161" customFormat="1" ht="12.75"/>
    <row r="10147" s="3161" customFormat="1" ht="12.75"/>
    <row r="10148" s="3161" customFormat="1" ht="12.75"/>
    <row r="10149" s="3161" customFormat="1" ht="12.75"/>
    <row r="10150" s="3161" customFormat="1" ht="12.75"/>
    <row r="10151" s="3161" customFormat="1" ht="12.75"/>
    <row r="10152" s="3161" customFormat="1" ht="12.75"/>
    <row r="10153" s="3161" customFormat="1" ht="12.75"/>
    <row r="10154" s="3161" customFormat="1" ht="12.75"/>
    <row r="10155" s="3161" customFormat="1" ht="12.75"/>
    <row r="10156" s="3161" customFormat="1" ht="12.75"/>
    <row r="10157" s="3161" customFormat="1" ht="12.75"/>
    <row r="10158" s="3161" customFormat="1" ht="12.75"/>
    <row r="10159" s="3161" customFormat="1" ht="12.75"/>
    <row r="10160" s="3161" customFormat="1" ht="12.75"/>
    <row r="10161" s="3161" customFormat="1" ht="12.75"/>
    <row r="10162" s="3161" customFormat="1" ht="12.75"/>
    <row r="10163" s="3161" customFormat="1" ht="12.75"/>
    <row r="10164" s="3161" customFormat="1" ht="12.75"/>
    <row r="10165" s="3161" customFormat="1" ht="12.75"/>
    <row r="10166" s="3161" customFormat="1" ht="12.75"/>
    <row r="10167" s="3161" customFormat="1" ht="12.75"/>
    <row r="10168" s="3161" customFormat="1" ht="12.75"/>
    <row r="10169" s="3161" customFormat="1" ht="12.75"/>
    <row r="10170" s="3161" customFormat="1" ht="12.75"/>
    <row r="10171" s="3161" customFormat="1" ht="12.75"/>
    <row r="10172" s="3161" customFormat="1" ht="12.75"/>
    <row r="10173" s="3161" customFormat="1" ht="12.75"/>
    <row r="10174" s="3161" customFormat="1" ht="12.75"/>
    <row r="10175" s="3161" customFormat="1" ht="12.75"/>
    <row r="10176" s="3161" customFormat="1" ht="12.75"/>
    <row r="10177" s="3161" customFormat="1" ht="12.75"/>
    <row r="10178" s="3161" customFormat="1" ht="12.75"/>
    <row r="10179" s="3161" customFormat="1" ht="12.75"/>
    <row r="10180" s="3161" customFormat="1" ht="12.75"/>
    <row r="10181" s="3161" customFormat="1" ht="12.75"/>
    <row r="10182" s="3161" customFormat="1" ht="12.75"/>
    <row r="10183" s="3161" customFormat="1" ht="12.75"/>
    <row r="10184" s="3161" customFormat="1" ht="12.75"/>
    <row r="10185" s="3161" customFormat="1" ht="12.75"/>
    <row r="10186" s="3161" customFormat="1" ht="12.75"/>
    <row r="10187" s="3161" customFormat="1" ht="12.75"/>
    <row r="10188" s="3161" customFormat="1" ht="12.75"/>
    <row r="10189" s="3161" customFormat="1" ht="12.75"/>
    <row r="10190" s="3161" customFormat="1" ht="12.75"/>
    <row r="10191" s="3161" customFormat="1" ht="12.75"/>
    <row r="10192" s="3161" customFormat="1" ht="12.75"/>
    <row r="10193" s="3161" customFormat="1" ht="12.75"/>
    <row r="10194" s="3161" customFormat="1" ht="12.75"/>
    <row r="10195" s="3161" customFormat="1" ht="12.75"/>
    <row r="10196" s="3161" customFormat="1" ht="12.75"/>
    <row r="10197" s="3161" customFormat="1" ht="12.75"/>
    <row r="10198" s="3161" customFormat="1" ht="12.75"/>
    <row r="10199" s="3161" customFormat="1" ht="12.75"/>
    <row r="10200" s="3161" customFormat="1" ht="12.75"/>
    <row r="10201" s="3161" customFormat="1" ht="12.75"/>
    <row r="10202" s="3161" customFormat="1" ht="12.75"/>
    <row r="10203" s="3161" customFormat="1" ht="12.75"/>
    <row r="10204" s="3161" customFormat="1" ht="12.75"/>
    <row r="10205" s="3161" customFormat="1" ht="12.75"/>
    <row r="10206" s="3161" customFormat="1" ht="12.75"/>
    <row r="10207" s="3161" customFormat="1" ht="12.75"/>
    <row r="10208" s="3161" customFormat="1" ht="12.75"/>
    <row r="10209" s="3161" customFormat="1" ht="12.75"/>
    <row r="10210" s="3161" customFormat="1" ht="12.75"/>
    <row r="10211" s="3161" customFormat="1" ht="12.75"/>
    <row r="10212" s="3161" customFormat="1" ht="12.75"/>
    <row r="10213" s="3161" customFormat="1" ht="12.75"/>
    <row r="10214" s="3161" customFormat="1" ht="12.75"/>
    <row r="10215" s="3161" customFormat="1" ht="12.75"/>
    <row r="10216" s="3161" customFormat="1" ht="12.75"/>
    <row r="10217" s="3161" customFormat="1" ht="12.75"/>
    <row r="10218" s="3161" customFormat="1" ht="12.75"/>
    <row r="10219" s="3161" customFormat="1" ht="12.75"/>
    <row r="10220" s="3161" customFormat="1" ht="12.75"/>
    <row r="10221" s="3161" customFormat="1" ht="12.75"/>
    <row r="10222" s="3161" customFormat="1" ht="12.75"/>
    <row r="10223" s="3161" customFormat="1" ht="12.75"/>
    <row r="10224" s="3161" customFormat="1" ht="12.75"/>
    <row r="10225" s="3161" customFormat="1" ht="12.75"/>
    <row r="10226" s="3161" customFormat="1" ht="12.75"/>
    <row r="10227" s="3161" customFormat="1" ht="12.75"/>
    <row r="10228" s="3161" customFormat="1" ht="12.75"/>
    <row r="10229" s="3161" customFormat="1" ht="12.75"/>
    <row r="10230" s="3161" customFormat="1" ht="12.75"/>
    <row r="10231" s="3161" customFormat="1" ht="12.75"/>
    <row r="10232" s="3161" customFormat="1" ht="12.75"/>
    <row r="10233" s="3161" customFormat="1" ht="12.75"/>
    <row r="10234" s="3161" customFormat="1" ht="12.75"/>
    <row r="10235" s="3161" customFormat="1" ht="12.75"/>
    <row r="10236" s="3161" customFormat="1" ht="12.75"/>
    <row r="10237" s="3161" customFormat="1" ht="12.75"/>
    <row r="10238" s="3161" customFormat="1" ht="12.75"/>
    <row r="10239" s="3161" customFormat="1" ht="12.75"/>
    <row r="10240" s="3161" customFormat="1" ht="12.75"/>
    <row r="10241" s="3161" customFormat="1" ht="12.75"/>
    <row r="10242" s="3161" customFormat="1" ht="12.75"/>
    <row r="10243" s="3161" customFormat="1" ht="12.75"/>
    <row r="10244" s="3161" customFormat="1" ht="12.75"/>
    <row r="10245" s="3161" customFormat="1" ht="12.75"/>
    <row r="10246" s="3161" customFormat="1" ht="12.75"/>
    <row r="10247" s="3161" customFormat="1" ht="12.75"/>
    <row r="10248" s="3161" customFormat="1" ht="12.75"/>
    <row r="10249" s="3161" customFormat="1" ht="12.75"/>
    <row r="10250" s="3161" customFormat="1" ht="12.75"/>
    <row r="10251" s="3161" customFormat="1" ht="12.75"/>
    <row r="10252" s="3161" customFormat="1" ht="12.75"/>
    <row r="10253" s="3161" customFormat="1" ht="12.75"/>
    <row r="10254" s="3161" customFormat="1" ht="12.75"/>
    <row r="10255" s="3161" customFormat="1" ht="12.75"/>
    <row r="10256" s="3161" customFormat="1" ht="12.75"/>
    <row r="10257" s="3161" customFormat="1" ht="12.75"/>
    <row r="10258" s="3161" customFormat="1" ht="12.75"/>
    <row r="10259" s="3161" customFormat="1" ht="12.75"/>
    <row r="10260" s="3161" customFormat="1" ht="12.75"/>
    <row r="10261" s="3161" customFormat="1" ht="12.75"/>
    <row r="10262" s="3161" customFormat="1" ht="12.75"/>
    <row r="10263" s="3161" customFormat="1" ht="12.75"/>
    <row r="10264" s="3161" customFormat="1" ht="12.75"/>
    <row r="10265" s="3161" customFormat="1" ht="12.75"/>
    <row r="10266" s="3161" customFormat="1" ht="12.75"/>
    <row r="10267" s="3161" customFormat="1" ht="12.75"/>
    <row r="10268" s="3161" customFormat="1" ht="12.75"/>
    <row r="10269" s="3161" customFormat="1" ht="12.75"/>
    <row r="10270" s="3161" customFormat="1" ht="12.75"/>
    <row r="10271" s="3161" customFormat="1" ht="12.75"/>
    <row r="10272" s="3161" customFormat="1" ht="12.75"/>
    <row r="10273" s="3161" customFormat="1" ht="12.75"/>
    <row r="10274" s="3161" customFormat="1" ht="12.75"/>
    <row r="10275" s="3161" customFormat="1" ht="12.75"/>
    <row r="10276" s="3161" customFormat="1" ht="12.75"/>
    <row r="10277" s="3161" customFormat="1" ht="12.75"/>
    <row r="10278" s="3161" customFormat="1" ht="12.75"/>
    <row r="10279" s="3161" customFormat="1" ht="12.75"/>
    <row r="10280" s="3161" customFormat="1" ht="12.75"/>
    <row r="10281" s="3161" customFormat="1" ht="12.75"/>
    <row r="10282" s="3161" customFormat="1" ht="12.75"/>
    <row r="10283" s="3161" customFormat="1" ht="12.75"/>
    <row r="10284" s="3161" customFormat="1" ht="12.75"/>
    <row r="10285" s="3161" customFormat="1" ht="12.75"/>
    <row r="10286" s="3161" customFormat="1" ht="12.75"/>
    <row r="10287" s="3161" customFormat="1" ht="12.75"/>
    <row r="10288" s="3161" customFormat="1" ht="12.75"/>
    <row r="10289" s="3161" customFormat="1" ht="12.75"/>
    <row r="10290" s="3161" customFormat="1" ht="12.75"/>
    <row r="10291" s="3161" customFormat="1" ht="12.75"/>
    <row r="10292" s="3161" customFormat="1" ht="12.75"/>
    <row r="10293" s="3161" customFormat="1" ht="12.75"/>
    <row r="10294" s="3161" customFormat="1" ht="12.75"/>
    <row r="10295" s="3161" customFormat="1" ht="12.75"/>
    <row r="10296" s="3161" customFormat="1" ht="12.75"/>
    <row r="10297" s="3161" customFormat="1" ht="12.75"/>
    <row r="10298" s="3161" customFormat="1" ht="12.75"/>
    <row r="10299" s="3161" customFormat="1" ht="12.75"/>
    <row r="10300" s="3161" customFormat="1" ht="12.75"/>
    <row r="10301" s="3161" customFormat="1" ht="12.75"/>
    <row r="10302" s="3161" customFormat="1" ht="12.75"/>
    <row r="10303" s="3161" customFormat="1" ht="12.75"/>
    <row r="10304" s="3161" customFormat="1" ht="12.75"/>
    <row r="10305" s="3161" customFormat="1" ht="12.75"/>
    <row r="10306" s="3161" customFormat="1" ht="12.75"/>
    <row r="10307" s="3161" customFormat="1" ht="12.75"/>
    <row r="10308" s="3161" customFormat="1" ht="12.75"/>
    <row r="10309" s="3161" customFormat="1" ht="12.75"/>
    <row r="10310" s="3161" customFormat="1" ht="12.75"/>
    <row r="10311" s="3161" customFormat="1" ht="12.75"/>
    <row r="10312" s="3161" customFormat="1" ht="12.75"/>
    <row r="10313" s="3161" customFormat="1" ht="12.75"/>
    <row r="10314" s="3161" customFormat="1" ht="12.75"/>
    <row r="10315" s="3161" customFormat="1" ht="12.75"/>
    <row r="10316" s="3161" customFormat="1" ht="12.75"/>
    <row r="10317" s="3161" customFormat="1" ht="12.75"/>
    <row r="10318" s="3161" customFormat="1" ht="12.75"/>
    <row r="10319" s="3161" customFormat="1" ht="12.75"/>
    <row r="10320" s="3161" customFormat="1" ht="12.75"/>
    <row r="10321" s="3161" customFormat="1" ht="12.75"/>
    <row r="10322" s="3161" customFormat="1" ht="12.75"/>
    <row r="10323" s="3161" customFormat="1" ht="12.75"/>
    <row r="10324" s="3161" customFormat="1" ht="12.75"/>
    <row r="10325" s="3161" customFormat="1" ht="12.75"/>
    <row r="10326" s="3161" customFormat="1" ht="12.75"/>
    <row r="10327" s="3161" customFormat="1" ht="12.75"/>
    <row r="10328" s="3161" customFormat="1" ht="12.75"/>
    <row r="10329" s="3161" customFormat="1" ht="12.75"/>
    <row r="10330" s="3161" customFormat="1" ht="12.75"/>
    <row r="10331" s="3161" customFormat="1" ht="12.75"/>
    <row r="10332" s="3161" customFormat="1" ht="12.75"/>
    <row r="10333" s="3161" customFormat="1" ht="12.75"/>
    <row r="10334" s="3161" customFormat="1" ht="12.75"/>
    <row r="10335" s="3161" customFormat="1" ht="12.75"/>
    <row r="10336" s="3161" customFormat="1" ht="12.75"/>
    <row r="10337" s="3161" customFormat="1" ht="12.75"/>
    <row r="10338" s="3161" customFormat="1" ht="12.75"/>
    <row r="10339" s="3161" customFormat="1" ht="12.75"/>
    <row r="10340" s="3161" customFormat="1" ht="12.75"/>
    <row r="10341" s="3161" customFormat="1" ht="12.75"/>
    <row r="10342" s="3161" customFormat="1" ht="12.75"/>
    <row r="10343" s="3161" customFormat="1" ht="12.75"/>
    <row r="10344" s="3161" customFormat="1" ht="12.75"/>
    <row r="10345" s="3161" customFormat="1" ht="12.75"/>
    <row r="10346" s="3161" customFormat="1" ht="12.75"/>
    <row r="10347" s="3161" customFormat="1" ht="12.75"/>
    <row r="10348" s="3161" customFormat="1" ht="12.75"/>
    <row r="10349" s="3161" customFormat="1" ht="12.75"/>
    <row r="10350" s="3161" customFormat="1" ht="12.75"/>
    <row r="10351" s="3161" customFormat="1" ht="12.75"/>
    <row r="10352" s="3161" customFormat="1" ht="12.75"/>
    <row r="10353" s="3161" customFormat="1" ht="12.75"/>
    <row r="10354" s="3161" customFormat="1" ht="12.75"/>
    <row r="10355" s="3161" customFormat="1" ht="12.75"/>
    <row r="10356" s="3161" customFormat="1" ht="12.75"/>
    <row r="10357" s="3161" customFormat="1" ht="12.75"/>
    <row r="10358" s="3161" customFormat="1" ht="12.75"/>
    <row r="10359" s="3161" customFormat="1" ht="12.75"/>
    <row r="10360" s="3161" customFormat="1" ht="12.75"/>
    <row r="10361" s="3161" customFormat="1" ht="12.75"/>
    <row r="10362" s="3161" customFormat="1" ht="12.75"/>
    <row r="10363" s="3161" customFormat="1" ht="12.75"/>
    <row r="10364" s="3161" customFormat="1" ht="12.75"/>
    <row r="10365" s="3161" customFormat="1" ht="12.75"/>
    <row r="10366" s="3161" customFormat="1" ht="12.75"/>
    <row r="10367" s="3161" customFormat="1" ht="12.75"/>
    <row r="10368" s="3161" customFormat="1" ht="12.75"/>
    <row r="10369" s="3161" customFormat="1" ht="12.75"/>
    <row r="10370" s="3161" customFormat="1" ht="12.75"/>
    <row r="10371" s="3161" customFormat="1" ht="12.75"/>
    <row r="10372" s="3161" customFormat="1" ht="12.75"/>
    <row r="10373" s="3161" customFormat="1" ht="12.75"/>
    <row r="10374" s="3161" customFormat="1" ht="12.75"/>
    <row r="10375" s="3161" customFormat="1" ht="12.75"/>
    <row r="10376" s="3161" customFormat="1" ht="12.75"/>
    <row r="10377" s="3161" customFormat="1" ht="12.75"/>
    <row r="10378" s="3161" customFormat="1" ht="12.75"/>
    <row r="10379" s="3161" customFormat="1" ht="12.75"/>
    <row r="10380" s="3161" customFormat="1" ht="12.75"/>
    <row r="10381" s="3161" customFormat="1" ht="12.75"/>
    <row r="10382" s="3161" customFormat="1" ht="12.75"/>
    <row r="10383" s="3161" customFormat="1" ht="12.75"/>
    <row r="10384" s="3161" customFormat="1" ht="12.75"/>
    <row r="10385" s="3161" customFormat="1" ht="12.75"/>
    <row r="10386" s="3161" customFormat="1" ht="12.75"/>
    <row r="10387" s="3161" customFormat="1" ht="12.75"/>
    <row r="10388" s="3161" customFormat="1" ht="12.75"/>
    <row r="10389" s="3161" customFormat="1" ht="12.75"/>
    <row r="10390" s="3161" customFormat="1" ht="12.75"/>
    <row r="10391" s="3161" customFormat="1" ht="12.75"/>
    <row r="10392" s="3161" customFormat="1" ht="12.75"/>
    <row r="10393" s="3161" customFormat="1" ht="12.75"/>
    <row r="10394" s="3161" customFormat="1" ht="12.75"/>
    <row r="10395" s="3161" customFormat="1" ht="12.75"/>
    <row r="10396" s="3161" customFormat="1" ht="12.75"/>
    <row r="10397" s="3161" customFormat="1" ht="12.75"/>
    <row r="10398" s="3161" customFormat="1" ht="12.75"/>
    <row r="10399" s="3161" customFormat="1" ht="12.75"/>
    <row r="10400" s="3161" customFormat="1" ht="12.75"/>
    <row r="10401" s="3161" customFormat="1" ht="12.75"/>
    <row r="10402" s="3161" customFormat="1" ht="12.75"/>
    <row r="10403" s="3161" customFormat="1" ht="12.75"/>
    <row r="10404" s="3161" customFormat="1" ht="12.75"/>
    <row r="10405" s="3161" customFormat="1" ht="12.75"/>
    <row r="10406" s="3161" customFormat="1" ht="12.75"/>
    <row r="10407" s="3161" customFormat="1" ht="12.75"/>
    <row r="10408" s="3161" customFormat="1" ht="12.75"/>
    <row r="10409" s="3161" customFormat="1" ht="12.75"/>
    <row r="10410" s="3161" customFormat="1" ht="12.75"/>
    <row r="10411" s="3161" customFormat="1" ht="12.75"/>
    <row r="10412" s="3161" customFormat="1" ht="12.75"/>
    <row r="10413" s="3161" customFormat="1" ht="12.75"/>
    <row r="10414" s="3161" customFormat="1" ht="12.75"/>
    <row r="10415" s="3161" customFormat="1" ht="12.75"/>
    <row r="10416" s="3161" customFormat="1" ht="12.75"/>
    <row r="10417" s="3161" customFormat="1" ht="12.75"/>
    <row r="10418" s="3161" customFormat="1" ht="12.75"/>
    <row r="10419" s="3161" customFormat="1" ht="12.75"/>
    <row r="10420" s="3161" customFormat="1" ht="12.75"/>
    <row r="10421" s="3161" customFormat="1" ht="12.75"/>
    <row r="10422" s="3161" customFormat="1" ht="12.75"/>
    <row r="10423" s="3161" customFormat="1" ht="12.75"/>
    <row r="10424" s="3161" customFormat="1" ht="12.75"/>
    <row r="10425" s="3161" customFormat="1" ht="12.75"/>
    <row r="10426" s="3161" customFormat="1" ht="12.75"/>
    <row r="10427" s="3161" customFormat="1" ht="12.75"/>
    <row r="10428" s="3161" customFormat="1" ht="12.75"/>
    <row r="10429" s="3161" customFormat="1" ht="12.75"/>
    <row r="10430" s="3161" customFormat="1" ht="12.75"/>
    <row r="10431" s="3161" customFormat="1" ht="12.75"/>
    <row r="10432" s="3161" customFormat="1" ht="12.75"/>
    <row r="10433" s="3161" customFormat="1" ht="12.75"/>
    <row r="10434" s="3161" customFormat="1" ht="12.75"/>
    <row r="10435" s="3161" customFormat="1" ht="12.75"/>
    <row r="10436" s="3161" customFormat="1" ht="12.75"/>
    <row r="10437" s="3161" customFormat="1" ht="12.75"/>
    <row r="10438" s="3161" customFormat="1" ht="12.75"/>
    <row r="10439" s="3161" customFormat="1" ht="12.75"/>
    <row r="10440" s="3161" customFormat="1" ht="12.75"/>
    <row r="10441" s="3161" customFormat="1" ht="12.75"/>
    <row r="10442" s="3161" customFormat="1" ht="12.75"/>
    <row r="10443" s="3161" customFormat="1" ht="12.75"/>
    <row r="10444" s="3161" customFormat="1" ht="12.75"/>
    <row r="10445" s="3161" customFormat="1" ht="12.75"/>
    <row r="10446" s="3161" customFormat="1" ht="12.75"/>
    <row r="10447" s="3161" customFormat="1" ht="12.75"/>
    <row r="10448" s="3161" customFormat="1" ht="12.75"/>
    <row r="10449" s="3161" customFormat="1" ht="12.75"/>
    <row r="10450" s="3161" customFormat="1" ht="12.75"/>
    <row r="10451" s="3161" customFormat="1" ht="12.75"/>
    <row r="10452" s="3161" customFormat="1" ht="12.75"/>
    <row r="10453" s="3161" customFormat="1" ht="12.75"/>
    <row r="10454" s="3161" customFormat="1" ht="12.75"/>
    <row r="10455" s="3161" customFormat="1" ht="12.75"/>
    <row r="10456" s="3161" customFormat="1" ht="12.75"/>
    <row r="10457" s="3161" customFormat="1" ht="12.75"/>
    <row r="10458" s="3161" customFormat="1" ht="12.75"/>
    <row r="10459" s="3161" customFormat="1" ht="12.75"/>
    <row r="10460" s="3161" customFormat="1" ht="12.75"/>
    <row r="10461" s="3161" customFormat="1" ht="12.75"/>
    <row r="10462" s="3161" customFormat="1" ht="12.75"/>
    <row r="10463" s="3161" customFormat="1" ht="12.75"/>
    <row r="10464" s="3161" customFormat="1" ht="12.75"/>
    <row r="10465" s="3161" customFormat="1" ht="12.75"/>
    <row r="10466" s="3161" customFormat="1" ht="12.75"/>
    <row r="10467" s="3161" customFormat="1" ht="12.75"/>
    <row r="10468" s="3161" customFormat="1" ht="12.75"/>
    <row r="10469" s="3161" customFormat="1" ht="12.75"/>
    <row r="10470" s="3161" customFormat="1" ht="12.75"/>
    <row r="10471" s="3161" customFormat="1" ht="12.75"/>
    <row r="10472" s="3161" customFormat="1" ht="12.75"/>
    <row r="10473" s="3161" customFormat="1" ht="12.75"/>
    <row r="10474" s="3161" customFormat="1" ht="12.75"/>
    <row r="10475" s="3161" customFormat="1" ht="12.75"/>
    <row r="10476" s="3161" customFormat="1" ht="12.75"/>
    <row r="10477" s="3161" customFormat="1" ht="12.75"/>
    <row r="10478" s="3161" customFormat="1" ht="12.75"/>
    <row r="10479" s="3161" customFormat="1" ht="12.75"/>
    <row r="10480" s="3161" customFormat="1" ht="12.75"/>
    <row r="10481" s="3161" customFormat="1" ht="12.75"/>
    <row r="10482" s="3161" customFormat="1" ht="12.75"/>
    <row r="10483" s="3161" customFormat="1" ht="12.75"/>
    <row r="10484" s="3161" customFormat="1" ht="12.75"/>
    <row r="10485" s="3161" customFormat="1" ht="12.75"/>
    <row r="10486" s="3161" customFormat="1" ht="12.75"/>
    <row r="10487" s="3161" customFormat="1" ht="12.75"/>
    <row r="10488" s="3161" customFormat="1" ht="12.75"/>
    <row r="10489" s="3161" customFormat="1" ht="12.75"/>
    <row r="10490" s="3161" customFormat="1" ht="12.75"/>
    <row r="10491" s="3161" customFormat="1" ht="12.75"/>
    <row r="10492" s="3161" customFormat="1" ht="12.75"/>
    <row r="10493" s="3161" customFormat="1" ht="12.75"/>
    <row r="10494" s="3161" customFormat="1" ht="12.75"/>
    <row r="10495" s="3161" customFormat="1" ht="12.75"/>
    <row r="10496" s="3161" customFormat="1" ht="12.75"/>
    <row r="10497" s="3161" customFormat="1" ht="12.75"/>
    <row r="10498" s="3161" customFormat="1" ht="12.75"/>
    <row r="10499" s="3161" customFormat="1" ht="12.75"/>
    <row r="10500" s="3161" customFormat="1" ht="12.75"/>
    <row r="10501" s="3161" customFormat="1" ht="12.75"/>
    <row r="10502" s="3161" customFormat="1" ht="12.75"/>
    <row r="10503" s="3161" customFormat="1" ht="12.75"/>
    <row r="10504" s="3161" customFormat="1" ht="12.75"/>
    <row r="10505" s="3161" customFormat="1" ht="12.75"/>
    <row r="10506" s="3161" customFormat="1" ht="12.75"/>
    <row r="10507" s="3161" customFormat="1" ht="12.75"/>
    <row r="10508" s="3161" customFormat="1" ht="12.75"/>
    <row r="10509" s="3161" customFormat="1" ht="12.75"/>
    <row r="10510" s="3161" customFormat="1" ht="12.75"/>
    <row r="10511" s="3161" customFormat="1" ht="12.75"/>
    <row r="10512" s="3161" customFormat="1" ht="12.75"/>
    <row r="10513" s="3161" customFormat="1" ht="12.75"/>
    <row r="10514" s="3161" customFormat="1" ht="12.75"/>
    <row r="10515" s="3161" customFormat="1" ht="12.75"/>
    <row r="10516" s="3161" customFormat="1" ht="12.75"/>
    <row r="10517" s="3161" customFormat="1" ht="12.75"/>
    <row r="10518" s="3161" customFormat="1" ht="12.75"/>
    <row r="10519" s="3161" customFormat="1" ht="12.75"/>
    <row r="10520" s="3161" customFormat="1" ht="12.75"/>
    <row r="10521" s="3161" customFormat="1" ht="12.75"/>
    <row r="10522" s="3161" customFormat="1" ht="12.75"/>
    <row r="10523" s="3161" customFormat="1" ht="12.75"/>
    <row r="10524" s="3161" customFormat="1" ht="12.75"/>
    <row r="10525" s="3161" customFormat="1" ht="12.75"/>
    <row r="10526" s="3161" customFormat="1" ht="12.75"/>
    <row r="10527" s="3161" customFormat="1" ht="12.75"/>
    <row r="10528" s="3161" customFormat="1" ht="12.75"/>
    <row r="10529" s="3161" customFormat="1" ht="12.75"/>
    <row r="10530" s="3161" customFormat="1" ht="12.75"/>
    <row r="10531" s="3161" customFormat="1" ht="12.75"/>
    <row r="10532" s="3161" customFormat="1" ht="12.75"/>
    <row r="10533" s="3161" customFormat="1" ht="12.75"/>
    <row r="10534" s="3161" customFormat="1" ht="12.75"/>
    <row r="10535" s="3161" customFormat="1" ht="12.75"/>
    <row r="10536" s="3161" customFormat="1" ht="12.75"/>
    <row r="10537" s="3161" customFormat="1" ht="12.75"/>
    <row r="10538" s="3161" customFormat="1" ht="12.75"/>
    <row r="10539" s="3161" customFormat="1" ht="12.75"/>
    <row r="10540" s="3161" customFormat="1" ht="12.75"/>
    <row r="10541" s="3161" customFormat="1" ht="12.75"/>
    <row r="10542" s="3161" customFormat="1" ht="12.75"/>
    <row r="10543" s="3161" customFormat="1" ht="12.75"/>
    <row r="10544" s="3161" customFormat="1" ht="12.75"/>
    <row r="10545" s="3161" customFormat="1" ht="12.75"/>
    <row r="10546" s="3161" customFormat="1" ht="12.75"/>
    <row r="10547" s="3161" customFormat="1" ht="12.75"/>
    <row r="10548" s="3161" customFormat="1" ht="12.75"/>
    <row r="10549" s="3161" customFormat="1" ht="12.75"/>
    <row r="10550" s="3161" customFormat="1" ht="12.75"/>
    <row r="10551" s="3161" customFormat="1" ht="12.75"/>
    <row r="10552" s="3161" customFormat="1" ht="12.75"/>
    <row r="10553" s="3161" customFormat="1" ht="12.75"/>
    <row r="10554" s="3161" customFormat="1" ht="12.75"/>
    <row r="10555" s="3161" customFormat="1" ht="12.75"/>
    <row r="10556" s="3161" customFormat="1" ht="12.75"/>
    <row r="10557" s="3161" customFormat="1" ht="12.75"/>
    <row r="10558" s="3161" customFormat="1" ht="12.75"/>
    <row r="10559" s="3161" customFormat="1" ht="12.75"/>
    <row r="10560" s="3161" customFormat="1" ht="12.75"/>
    <row r="10561" s="3161" customFormat="1" ht="12.75"/>
    <row r="10562" s="3161" customFormat="1" ht="12.75"/>
    <row r="10563" s="3161" customFormat="1" ht="12.75"/>
    <row r="10564" s="3161" customFormat="1" ht="12.75"/>
    <row r="10565" s="3161" customFormat="1" ht="12.75"/>
    <row r="10566" s="3161" customFormat="1" ht="12.75"/>
    <row r="10567" s="3161" customFormat="1" ht="12.75"/>
    <row r="10568" s="3161" customFormat="1" ht="12.75"/>
    <row r="10569" s="3161" customFormat="1" ht="12.75"/>
    <row r="10570" s="3161" customFormat="1" ht="12.75"/>
    <row r="10571" s="3161" customFormat="1" ht="12.75"/>
    <row r="10572" s="3161" customFormat="1" ht="12.75"/>
    <row r="10573" s="3161" customFormat="1" ht="12.75"/>
    <row r="10574" s="3161" customFormat="1" ht="12.75"/>
    <row r="10575" s="3161" customFormat="1" ht="12.75"/>
    <row r="10576" s="3161" customFormat="1" ht="12.75"/>
    <row r="10577" s="3161" customFormat="1" ht="12.75"/>
    <row r="10578" s="3161" customFormat="1" ht="12.75"/>
    <row r="10579" s="3161" customFormat="1" ht="12.75"/>
    <row r="10580" s="3161" customFormat="1" ht="12.75"/>
    <row r="10581" s="3161" customFormat="1" ht="12.75"/>
    <row r="10582" s="3161" customFormat="1" ht="12.75"/>
    <row r="10583" s="3161" customFormat="1" ht="12.75"/>
    <row r="10584" s="3161" customFormat="1" ht="12.75"/>
    <row r="10585" s="3161" customFormat="1" ht="12.75"/>
    <row r="10586" s="3161" customFormat="1" ht="12.75"/>
    <row r="10587" s="3161" customFormat="1" ht="12.75"/>
    <row r="10588" s="3161" customFormat="1" ht="12.75"/>
    <row r="10589" s="3161" customFormat="1" ht="12.75"/>
    <row r="10590" s="3161" customFormat="1" ht="12.75"/>
    <row r="10591" s="3161" customFormat="1" ht="12.75"/>
    <row r="10592" s="3161" customFormat="1" ht="12.75"/>
    <row r="10593" s="3161" customFormat="1" ht="12.75"/>
    <row r="10594" s="3161" customFormat="1" ht="12.75"/>
    <row r="10595" s="3161" customFormat="1" ht="12.75"/>
    <row r="10596" s="3161" customFormat="1" ht="12.75"/>
    <row r="10597" s="3161" customFormat="1" ht="12.75"/>
    <row r="10598" s="3161" customFormat="1" ht="12.75"/>
    <row r="10599" s="3161" customFormat="1" ht="12.75"/>
    <row r="10600" s="3161" customFormat="1" ht="12.75"/>
    <row r="10601" s="3161" customFormat="1" ht="12.75"/>
    <row r="10602" s="3161" customFormat="1" ht="12.75"/>
    <row r="10603" s="3161" customFormat="1" ht="12.75"/>
    <row r="10604" s="3161" customFormat="1" ht="12.75"/>
    <row r="10605" s="3161" customFormat="1" ht="12.75"/>
    <row r="10606" s="3161" customFormat="1" ht="12.75"/>
    <row r="10607" s="3161" customFormat="1" ht="12.75"/>
    <row r="10608" s="3161" customFormat="1" ht="12.75"/>
    <row r="10609" s="3161" customFormat="1" ht="12.75"/>
    <row r="10610" s="3161" customFormat="1" ht="12.75"/>
    <row r="10611" s="3161" customFormat="1" ht="12.75"/>
    <row r="10612" s="3161" customFormat="1" ht="12.75"/>
    <row r="10613" s="3161" customFormat="1" ht="12.75"/>
    <row r="10614" s="3161" customFormat="1" ht="12.75"/>
    <row r="10615" s="3161" customFormat="1" ht="12.75"/>
    <row r="10616" s="3161" customFormat="1" ht="12.75"/>
    <row r="10617" s="3161" customFormat="1" ht="12.75"/>
    <row r="10618" s="3161" customFormat="1" ht="12.75"/>
    <row r="10619" s="3161" customFormat="1" ht="12.75"/>
    <row r="10620" s="3161" customFormat="1" ht="12.75"/>
    <row r="10621" s="3161" customFormat="1" ht="12.75"/>
    <row r="10622" s="3161" customFormat="1" ht="12.75"/>
    <row r="10623" s="3161" customFormat="1" ht="12.75"/>
    <row r="10624" s="3161" customFormat="1" ht="12.75"/>
    <row r="10625" s="3161" customFormat="1" ht="12.75"/>
    <row r="10626" s="3161" customFormat="1" ht="12.75"/>
    <row r="10627" s="3161" customFormat="1" ht="12.75"/>
    <row r="10628" s="3161" customFormat="1" ht="12.75"/>
    <row r="10629" s="3161" customFormat="1" ht="12.75"/>
    <row r="10630" s="3161" customFormat="1" ht="12.75"/>
    <row r="10631" s="3161" customFormat="1" ht="12.75"/>
    <row r="10632" s="3161" customFormat="1" ht="12.75"/>
    <row r="10633" s="3161" customFormat="1" ht="12.75"/>
    <row r="10634" s="3161" customFormat="1" ht="12.75"/>
    <row r="10635" s="3161" customFormat="1" ht="12.75"/>
    <row r="10636" s="3161" customFormat="1" ht="12.75"/>
    <row r="10637" s="3161" customFormat="1" ht="12.75"/>
    <row r="10638" s="3161" customFormat="1" ht="12.75"/>
    <row r="10639" s="3161" customFormat="1" ht="12.75"/>
    <row r="10640" s="3161" customFormat="1" ht="12.75"/>
    <row r="10641" s="3161" customFormat="1" ht="12.75"/>
    <row r="10642" s="3161" customFormat="1" ht="12.75"/>
    <row r="10643" s="3161" customFormat="1" ht="12.75"/>
    <row r="10644" s="3161" customFormat="1" ht="12.75"/>
    <row r="10645" s="3161" customFormat="1" ht="12.75"/>
    <row r="10646" s="3161" customFormat="1" ht="12.75"/>
    <row r="10647" s="3161" customFormat="1" ht="12.75"/>
    <row r="10648" s="3161" customFormat="1" ht="12.75"/>
    <row r="10649" s="3161" customFormat="1" ht="12.75"/>
    <row r="10650" s="3161" customFormat="1" ht="12.75"/>
    <row r="10651" s="3161" customFormat="1" ht="12.75"/>
    <row r="10652" s="3161" customFormat="1" ht="12.75"/>
    <row r="10653" s="3161" customFormat="1" ht="12.75"/>
    <row r="10654" s="3161" customFormat="1" ht="12.75"/>
    <row r="10655" s="3161" customFormat="1" ht="12.75"/>
    <row r="10656" s="3161" customFormat="1" ht="12.75"/>
    <row r="10657" s="3161" customFormat="1" ht="12.75"/>
    <row r="10658" s="3161" customFormat="1" ht="12.75"/>
    <row r="10659" s="3161" customFormat="1" ht="12.75"/>
    <row r="10660" s="3161" customFormat="1" ht="12.75"/>
    <row r="10661" s="3161" customFormat="1" ht="12.75"/>
    <row r="10662" s="3161" customFormat="1" ht="12.75"/>
    <row r="10663" s="3161" customFormat="1" ht="12.75"/>
    <row r="10664" s="3161" customFormat="1" ht="12.75"/>
    <row r="10665" s="3161" customFormat="1" ht="12.75"/>
    <row r="10666" s="3161" customFormat="1" ht="12.75"/>
    <row r="10667" s="3161" customFormat="1" ht="12.75"/>
    <row r="10668" s="3161" customFormat="1" ht="12.75"/>
    <row r="10669" s="3161" customFormat="1" ht="12.75"/>
    <row r="10670" s="3161" customFormat="1" ht="12.75"/>
    <row r="10671" s="3161" customFormat="1" ht="12.75"/>
    <row r="10672" s="3161" customFormat="1" ht="12.75"/>
    <row r="10673" s="3161" customFormat="1" ht="12.75"/>
    <row r="10674" s="3161" customFormat="1" ht="12.75"/>
    <row r="10675" s="3161" customFormat="1" ht="12.75"/>
    <row r="10676" s="3161" customFormat="1" ht="12.75"/>
    <row r="10677" s="3161" customFormat="1" ht="12.75"/>
    <row r="10678" s="3161" customFormat="1" ht="12.75"/>
    <row r="10679" s="3161" customFormat="1" ht="12.75"/>
    <row r="10680" s="3161" customFormat="1" ht="12.75"/>
    <row r="10681" s="3161" customFormat="1" ht="12.75"/>
    <row r="10682" s="3161" customFormat="1" ht="12.75"/>
    <row r="10683" s="3161" customFormat="1" ht="12.75"/>
    <row r="10684" s="3161" customFormat="1" ht="12.75"/>
    <row r="10685" s="3161" customFormat="1" ht="12.75"/>
    <row r="10686" s="3161" customFormat="1" ht="12.75"/>
    <row r="10687" s="3161" customFormat="1" ht="12.75"/>
    <row r="10688" s="3161" customFormat="1" ht="12.75"/>
    <row r="10689" s="3161" customFormat="1" ht="12.75"/>
    <row r="10690" s="3161" customFormat="1" ht="12.75"/>
    <row r="10691" s="3161" customFormat="1" ht="12.75"/>
    <row r="10692" s="3161" customFormat="1" ht="12.75"/>
    <row r="10693" s="3161" customFormat="1" ht="12.75"/>
    <row r="10694" s="3161" customFormat="1" ht="12.75"/>
    <row r="10695" s="3161" customFormat="1" ht="12.75"/>
    <row r="10696" s="3161" customFormat="1" ht="12.75"/>
    <row r="10697" s="3161" customFormat="1" ht="12.75"/>
    <row r="10698" s="3161" customFormat="1" ht="12.75"/>
    <row r="10699" s="3161" customFormat="1" ht="12.75"/>
    <row r="10700" s="3161" customFormat="1" ht="12.75"/>
    <row r="10701" s="3161" customFormat="1" ht="12.75"/>
    <row r="10702" s="3161" customFormat="1" ht="12.75"/>
    <row r="10703" s="3161" customFormat="1" ht="12.75"/>
    <row r="10704" s="3161" customFormat="1" ht="12.75"/>
    <row r="10705" s="3161" customFormat="1" ht="12.75"/>
    <row r="10706" s="3161" customFormat="1" ht="12.75"/>
    <row r="10707" s="3161" customFormat="1" ht="12.75"/>
    <row r="10708" s="3161" customFormat="1" ht="12.75"/>
    <row r="10709" s="3161" customFormat="1" ht="12.75"/>
    <row r="10710" s="3161" customFormat="1" ht="12.75"/>
    <row r="10711" s="3161" customFormat="1" ht="12.75"/>
    <row r="10712" s="3161" customFormat="1" ht="12.75"/>
    <row r="10713" s="3161" customFormat="1" ht="12.75"/>
    <row r="10714" s="3161" customFormat="1" ht="12.75"/>
    <row r="10715" s="3161" customFormat="1" ht="12.75"/>
    <row r="10716" s="3161" customFormat="1" ht="12.75"/>
    <row r="10717" s="3161" customFormat="1" ht="12.75"/>
    <row r="10718" s="3161" customFormat="1" ht="12.75"/>
    <row r="10719" s="3161" customFormat="1" ht="12.75"/>
    <row r="10720" s="3161" customFormat="1" ht="12.75"/>
    <row r="10721" s="3161" customFormat="1" ht="12.75"/>
    <row r="10722" s="3161" customFormat="1" ht="12.75"/>
    <row r="10723" s="3161" customFormat="1" ht="12.75"/>
    <row r="10724" s="3161" customFormat="1" ht="12.75"/>
    <row r="10725" s="3161" customFormat="1" ht="12.75"/>
    <row r="10726" s="3161" customFormat="1" ht="12.75"/>
    <row r="10727" s="3161" customFormat="1" ht="12.75"/>
    <row r="10728" s="3161" customFormat="1" ht="12.75"/>
    <row r="10729" s="3161" customFormat="1" ht="12.75"/>
    <row r="10730" s="3161" customFormat="1" ht="12.75"/>
    <row r="10731" s="3161" customFormat="1" ht="12.75"/>
    <row r="10732" s="3161" customFormat="1" ht="12.75"/>
    <row r="10733" s="3161" customFormat="1" ht="12.75"/>
    <row r="10734" s="3161" customFormat="1" ht="12.75"/>
    <row r="10735" s="3161" customFormat="1" ht="12.75"/>
    <row r="10736" s="3161" customFormat="1" ht="12.75"/>
    <row r="10737" s="3161" customFormat="1" ht="12.75"/>
    <row r="10738" s="3161" customFormat="1" ht="12.75"/>
    <row r="10739" s="3161" customFormat="1" ht="12.75"/>
    <row r="10740" s="3161" customFormat="1" ht="12.75"/>
    <row r="10741" s="3161" customFormat="1" ht="12.75"/>
    <row r="10742" s="3161" customFormat="1" ht="12.75"/>
    <row r="10743" s="3161" customFormat="1" ht="12.75"/>
    <row r="10744" s="3161" customFormat="1" ht="12.75"/>
    <row r="10745" s="3161" customFormat="1" ht="12.75"/>
    <row r="10746" s="3161" customFormat="1" ht="12.75"/>
    <row r="10747" s="3161" customFormat="1" ht="12.75"/>
    <row r="10748" s="3161" customFormat="1" ht="12.75"/>
    <row r="10749" s="3161" customFormat="1" ht="12.75"/>
    <row r="10750" s="3161" customFormat="1" ht="12.75"/>
    <row r="10751" s="3161" customFormat="1" ht="12.75"/>
    <row r="10752" s="3161" customFormat="1" ht="12.75"/>
    <row r="10753" s="3161" customFormat="1" ht="12.75"/>
    <row r="10754" s="3161" customFormat="1" ht="12.75"/>
    <row r="10755" s="3161" customFormat="1" ht="12.75"/>
    <row r="10756" s="3161" customFormat="1" ht="12.75"/>
    <row r="10757" s="3161" customFormat="1" ht="12.75"/>
    <row r="10758" s="3161" customFormat="1" ht="12.75"/>
    <row r="10759" s="3161" customFormat="1" ht="12.75"/>
    <row r="10760" s="3161" customFormat="1" ht="12.75"/>
    <row r="10761" s="3161" customFormat="1" ht="12.75"/>
    <row r="10762" s="3161" customFormat="1" ht="12.75"/>
    <row r="10763" s="3161" customFormat="1" ht="12.75"/>
    <row r="10764" s="3161" customFormat="1" ht="12.75"/>
    <row r="10765" s="3161" customFormat="1" ht="12.75"/>
    <row r="10766" s="3161" customFormat="1" ht="12.75"/>
    <row r="10767" s="3161" customFormat="1" ht="12.75"/>
    <row r="10768" s="3161" customFormat="1" ht="12.75"/>
    <row r="10769" s="3161" customFormat="1" ht="12.75"/>
    <row r="10770" s="3161" customFormat="1" ht="12.75"/>
    <row r="10771" s="3161" customFormat="1" ht="12.75"/>
    <row r="10772" s="3161" customFormat="1" ht="12.75"/>
    <row r="10773" s="3161" customFormat="1" ht="12.75"/>
    <row r="10774" s="3161" customFormat="1" ht="12.75"/>
    <row r="10775" s="3161" customFormat="1" ht="12.75"/>
    <row r="10776" s="3161" customFormat="1" ht="12.75"/>
    <row r="10777" s="3161" customFormat="1" ht="12.75"/>
    <row r="10778" s="3161" customFormat="1" ht="12.75"/>
    <row r="10779" s="3161" customFormat="1" ht="12.75"/>
    <row r="10780" s="3161" customFormat="1" ht="12.75"/>
    <row r="10781" s="3161" customFormat="1" ht="12.75"/>
    <row r="10782" s="3161" customFormat="1" ht="12.75"/>
    <row r="10783" s="3161" customFormat="1" ht="12.75"/>
    <row r="10784" s="3161" customFormat="1" ht="12.75"/>
    <row r="10785" s="3161" customFormat="1" ht="12.75"/>
    <row r="10786" s="3161" customFormat="1" ht="12.75"/>
    <row r="10787" s="3161" customFormat="1" ht="12.75"/>
    <row r="10788" s="3161" customFormat="1" ht="12.75"/>
    <row r="10789" s="3161" customFormat="1" ht="12.75"/>
    <row r="10790" s="3161" customFormat="1" ht="12.75"/>
    <row r="10791" s="3161" customFormat="1" ht="12.75"/>
    <row r="10792" s="3161" customFormat="1" ht="12.75"/>
    <row r="10793" s="3161" customFormat="1" ht="12.75"/>
    <row r="10794" s="3161" customFormat="1" ht="12.75"/>
    <row r="10795" s="3161" customFormat="1" ht="12.75"/>
    <row r="10796" s="3161" customFormat="1" ht="12.75"/>
    <row r="10797" s="3161" customFormat="1" ht="12.75"/>
    <row r="10798" s="3161" customFormat="1" ht="12.75"/>
    <row r="10799" s="3161" customFormat="1" ht="12.75"/>
    <row r="10800" s="3161" customFormat="1" ht="12.75"/>
    <row r="10801" s="3161" customFormat="1" ht="12.75"/>
    <row r="10802" s="3161" customFormat="1" ht="12.75"/>
    <row r="10803" s="3161" customFormat="1" ht="12.75"/>
    <row r="10804" s="3161" customFormat="1" ht="12.75"/>
    <row r="10805" s="3161" customFormat="1" ht="12.75"/>
    <row r="10806" s="3161" customFormat="1" ht="12.75"/>
    <row r="10807" s="3161" customFormat="1" ht="12.75"/>
    <row r="10808" s="3161" customFormat="1" ht="12.75"/>
    <row r="10809" s="3161" customFormat="1" ht="12.75"/>
    <row r="10810" s="3161" customFormat="1" ht="12.75"/>
    <row r="10811" s="3161" customFormat="1" ht="12.75"/>
    <row r="10812" s="3161" customFormat="1" ht="12.75"/>
    <row r="10813" s="3161" customFormat="1" ht="12.75"/>
    <row r="10814" s="3161" customFormat="1" ht="12.75"/>
    <row r="10815" s="3161" customFormat="1" ht="12.75"/>
    <row r="10816" s="3161" customFormat="1" ht="12.75"/>
    <row r="10817" s="3161" customFormat="1" ht="12.75"/>
    <row r="10818" s="3161" customFormat="1" ht="12.75"/>
    <row r="10819" s="3161" customFormat="1" ht="12.75"/>
    <row r="10820" s="3161" customFormat="1" ht="12.75"/>
    <row r="10821" s="3161" customFormat="1" ht="12.75"/>
    <row r="10822" s="3161" customFormat="1" ht="12.75"/>
    <row r="10823" s="3161" customFormat="1" ht="12.75"/>
    <row r="10824" s="3161" customFormat="1" ht="12.75"/>
    <row r="10825" s="3161" customFormat="1" ht="12.75"/>
    <row r="10826" s="3161" customFormat="1" ht="12.75"/>
    <row r="10827" s="3161" customFormat="1" ht="12.75"/>
    <row r="10828" s="3161" customFormat="1" ht="12.75"/>
    <row r="10829" s="3161" customFormat="1" ht="12.75"/>
    <row r="10830" s="3161" customFormat="1" ht="12.75"/>
    <row r="10831" s="3161" customFormat="1" ht="12.75"/>
    <row r="10832" s="3161" customFormat="1" ht="12.75"/>
    <row r="10833" s="3161" customFormat="1" ht="12.75"/>
    <row r="10834" s="3161" customFormat="1" ht="12.75"/>
    <row r="10835" s="3161" customFormat="1" ht="12.75"/>
    <row r="10836" s="3161" customFormat="1" ht="12.75"/>
    <row r="10837" s="3161" customFormat="1" ht="12.75"/>
    <row r="10838" s="3161" customFormat="1" ht="12.75"/>
    <row r="10839" s="3161" customFormat="1" ht="12.75"/>
    <row r="10840" s="3161" customFormat="1" ht="12.75"/>
    <row r="10841" s="3161" customFormat="1" ht="12.75"/>
    <row r="10842" s="3161" customFormat="1" ht="12.75"/>
    <row r="10843" s="3161" customFormat="1" ht="12.75"/>
    <row r="10844" s="3161" customFormat="1" ht="12.75"/>
    <row r="10845" s="3161" customFormat="1" ht="12.75"/>
    <row r="10846" s="3161" customFormat="1" ht="12.75"/>
    <row r="10847" s="3161" customFormat="1" ht="12.75"/>
    <row r="10848" s="3161" customFormat="1" ht="12.75"/>
    <row r="10849" s="3161" customFormat="1" ht="12.75"/>
    <row r="10850" s="3161" customFormat="1" ht="12.75"/>
    <row r="10851" s="3161" customFormat="1" ht="12.75"/>
    <row r="10852" s="3161" customFormat="1" ht="12.75"/>
    <row r="10853" s="3161" customFormat="1" ht="12.75"/>
    <row r="10854" s="3161" customFormat="1" ht="12.75"/>
    <row r="10855" s="3161" customFormat="1" ht="12.75"/>
    <row r="10856" s="3161" customFormat="1" ht="12.75"/>
    <row r="10857" s="3161" customFormat="1" ht="12.75"/>
    <row r="10858" s="3161" customFormat="1" ht="12.75"/>
    <row r="10859" s="3161" customFormat="1" ht="12.75"/>
    <row r="10860" s="3161" customFormat="1" ht="12.75"/>
    <row r="10861" s="3161" customFormat="1" ht="12.75"/>
    <row r="10862" s="3161" customFormat="1" ht="12.75"/>
    <row r="10863" s="3161" customFormat="1" ht="12.75"/>
    <row r="10864" s="3161" customFormat="1" ht="12.75"/>
    <row r="10865" s="3161" customFormat="1" ht="12.75"/>
    <row r="10866" s="3161" customFormat="1" ht="12.75"/>
    <row r="10867" s="3161" customFormat="1" ht="12.75"/>
    <row r="10868" s="3161" customFormat="1" ht="12.75"/>
    <row r="10869" s="3161" customFormat="1" ht="12.75"/>
    <row r="10870" s="3161" customFormat="1" ht="12.75"/>
    <row r="10871" s="3161" customFormat="1" ht="12.75"/>
    <row r="10872" s="3161" customFormat="1" ht="12.75"/>
    <row r="10873" s="3161" customFormat="1" ht="12.75"/>
    <row r="10874" s="3161" customFormat="1" ht="12.75"/>
    <row r="10875" s="3161" customFormat="1" ht="12.75"/>
    <row r="10876" s="3161" customFormat="1" ht="12.75"/>
    <row r="10877" s="3161" customFormat="1" ht="12.75"/>
    <row r="10878" s="3161" customFormat="1" ht="12.75"/>
    <row r="10879" s="3161" customFormat="1" ht="12.75"/>
    <row r="10880" s="3161" customFormat="1" ht="12.75"/>
    <row r="10881" s="3161" customFormat="1" ht="12.75"/>
    <row r="10882" s="3161" customFormat="1" ht="12.75"/>
    <row r="10883" s="3161" customFormat="1" ht="12.75"/>
    <row r="10884" s="3161" customFormat="1" ht="12.75"/>
    <row r="10885" s="3161" customFormat="1" ht="12.75"/>
    <row r="10886" s="3161" customFormat="1" ht="12.75"/>
    <row r="10887" s="3161" customFormat="1" ht="12.75"/>
    <row r="10888" s="3161" customFormat="1" ht="12.75"/>
    <row r="10889" s="3161" customFormat="1" ht="12.75"/>
    <row r="10890" s="3161" customFormat="1" ht="12.75"/>
    <row r="10891" s="3161" customFormat="1" ht="12.75"/>
    <row r="10892" s="3161" customFormat="1" ht="12.75"/>
    <row r="10893" s="3161" customFormat="1" ht="12.75"/>
    <row r="10894" s="3161" customFormat="1" ht="12.75"/>
    <row r="10895" s="3161" customFormat="1" ht="12.75"/>
    <row r="10896" s="3161" customFormat="1" ht="12.75"/>
    <row r="10897" s="3161" customFormat="1" ht="12.75"/>
    <row r="10898" s="3161" customFormat="1" ht="12.75"/>
    <row r="10899" s="3161" customFormat="1" ht="12.75"/>
    <row r="10900" s="3161" customFormat="1" ht="12.75"/>
    <row r="10901" s="3161" customFormat="1" ht="12.75"/>
    <row r="10902" s="3161" customFormat="1" ht="12.75"/>
    <row r="10903" s="3161" customFormat="1" ht="12.75"/>
    <row r="10904" s="3161" customFormat="1" ht="12.75"/>
    <row r="10905" s="3161" customFormat="1" ht="12.75"/>
    <row r="10906" s="3161" customFormat="1" ht="12.75"/>
    <row r="10907" s="3161" customFormat="1" ht="12.75"/>
    <row r="10908" s="3161" customFormat="1" ht="12.75"/>
    <row r="10909" s="3161" customFormat="1" ht="12.75"/>
    <row r="10910" s="3161" customFormat="1" ht="12.75"/>
    <row r="10911" s="3161" customFormat="1" ht="12.75"/>
    <row r="10912" s="3161" customFormat="1" ht="12.75"/>
    <row r="10913" s="3161" customFormat="1" ht="12.75"/>
    <row r="10914" s="3161" customFormat="1" ht="12.75"/>
    <row r="10915" s="3161" customFormat="1" ht="12.75"/>
    <row r="10916" s="3161" customFormat="1" ht="12.75"/>
    <row r="10917" s="3161" customFormat="1" ht="12.75"/>
    <row r="10918" s="3161" customFormat="1" ht="12.75"/>
    <row r="10919" s="3161" customFormat="1" ht="12.75"/>
    <row r="10920" s="3161" customFormat="1" ht="12.75"/>
    <row r="10921" s="3161" customFormat="1" ht="12.75"/>
    <row r="10922" s="3161" customFormat="1" ht="12.75"/>
    <row r="10923" s="3161" customFormat="1" ht="12.75"/>
    <row r="10924" s="3161" customFormat="1" ht="12.75"/>
    <row r="10925" s="3161" customFormat="1" ht="12.75"/>
    <row r="10926" s="3161" customFormat="1" ht="12.75"/>
    <row r="10927" s="3161" customFormat="1" ht="12.75"/>
    <row r="10928" s="3161" customFormat="1" ht="12.75"/>
    <row r="10929" s="3161" customFormat="1" ht="12.75"/>
    <row r="10930" s="3161" customFormat="1" ht="12.75"/>
    <row r="10931" s="3161" customFormat="1" ht="12.75"/>
    <row r="10932" s="3161" customFormat="1" ht="12.75"/>
    <row r="10933" s="3161" customFormat="1" ht="12.75"/>
    <row r="10934" s="3161" customFormat="1" ht="12.75"/>
    <row r="10935" s="3161" customFormat="1" ht="12.75"/>
    <row r="10936" s="3161" customFormat="1" ht="12.75"/>
    <row r="10937" s="3161" customFormat="1" ht="12.75"/>
    <row r="10938" s="3161" customFormat="1" ht="12.75"/>
    <row r="10939" s="3161" customFormat="1" ht="12.75"/>
    <row r="10940" s="3161" customFormat="1" ht="12.75"/>
    <row r="10941" s="3161" customFormat="1" ht="12.75"/>
    <row r="10942" s="3161" customFormat="1" ht="12.75"/>
    <row r="10943" s="3161" customFormat="1" ht="12.75"/>
    <row r="10944" s="3161" customFormat="1" ht="12.75"/>
    <row r="10945" s="3161" customFormat="1" ht="12.75"/>
    <row r="10946" s="3161" customFormat="1" ht="12.75"/>
    <row r="10947" s="3161" customFormat="1" ht="12.75"/>
    <row r="10948" s="3161" customFormat="1" ht="12.75"/>
    <row r="10949" s="3161" customFormat="1" ht="12.75"/>
    <row r="10950" s="3161" customFormat="1" ht="12.75"/>
    <row r="10951" s="3161" customFormat="1" ht="12.75"/>
    <row r="10952" s="3161" customFormat="1" ht="12.75"/>
    <row r="10953" s="3161" customFormat="1" ht="12.75"/>
    <row r="10954" s="3161" customFormat="1" ht="12.75"/>
    <row r="10955" s="3161" customFormat="1" ht="12.75"/>
    <row r="10956" s="3161" customFormat="1" ht="12.75"/>
    <row r="10957" s="3161" customFormat="1" ht="12.75"/>
    <row r="10958" s="3161" customFormat="1" ht="12.75"/>
    <row r="10959" s="3161" customFormat="1" ht="12.75"/>
    <row r="10960" s="3161" customFormat="1" ht="12.75"/>
    <row r="10961" s="3161" customFormat="1" ht="12.75"/>
    <row r="10962" s="3161" customFormat="1" ht="12.75"/>
    <row r="10963" s="3161" customFormat="1" ht="12.75"/>
    <row r="10964" s="3161" customFormat="1" ht="12.75"/>
    <row r="10965" s="3161" customFormat="1" ht="12.75"/>
    <row r="10966" s="3161" customFormat="1" ht="12.75"/>
    <row r="10967" s="3161" customFormat="1" ht="12.75"/>
    <row r="10968" s="3161" customFormat="1" ht="12.75"/>
    <row r="10969" s="3161" customFormat="1" ht="12.75"/>
    <row r="10970" s="3161" customFormat="1" ht="12.75"/>
    <row r="10971" s="3161" customFormat="1" ht="12.75"/>
    <row r="10972" s="3161" customFormat="1" ht="12.75"/>
    <row r="10973" s="3161" customFormat="1" ht="12.75"/>
    <row r="10974" s="3161" customFormat="1" ht="12.75"/>
    <row r="10975" s="3161" customFormat="1" ht="12.75"/>
    <row r="10976" s="3161" customFormat="1" ht="12.75"/>
    <row r="10977" s="3161" customFormat="1" ht="12.75"/>
    <row r="10978" s="3161" customFormat="1" ht="12.75"/>
    <row r="10979" s="3161" customFormat="1" ht="12.75"/>
    <row r="10980" s="3161" customFormat="1" ht="12.75"/>
    <row r="10981" s="3161" customFormat="1" ht="12.75"/>
    <row r="10982" s="3161" customFormat="1" ht="12.75"/>
    <row r="10983" s="3161" customFormat="1" ht="12.75"/>
    <row r="10984" s="3161" customFormat="1" ht="12.75"/>
    <row r="10985" s="3161" customFormat="1" ht="12.75"/>
    <row r="10986" s="3161" customFormat="1" ht="12.75"/>
    <row r="10987" s="3161" customFormat="1" ht="12.75"/>
    <row r="10988" s="3161" customFormat="1" ht="12.75"/>
    <row r="10989" s="3161" customFormat="1" ht="12.75"/>
    <row r="10990" s="3161" customFormat="1" ht="12.75"/>
    <row r="10991" s="3161" customFormat="1" ht="12.75"/>
    <row r="10992" s="3161" customFormat="1" ht="12.75"/>
    <row r="10993" s="3161" customFormat="1" ht="12.75"/>
    <row r="10994" s="3161" customFormat="1" ht="12.75"/>
    <row r="10995" s="3161" customFormat="1" ht="12.75"/>
    <row r="10996" s="3161" customFormat="1" ht="12.75"/>
    <row r="10997" s="3161" customFormat="1" ht="12.75"/>
    <row r="10998" s="3161" customFormat="1" ht="12.75"/>
    <row r="10999" s="3161" customFormat="1" ht="12.75"/>
    <row r="11000" s="3161" customFormat="1" ht="12.75"/>
    <row r="11001" s="3161" customFormat="1" ht="12.75"/>
    <row r="11002" s="3161" customFormat="1" ht="12.75"/>
    <row r="11003" s="3161" customFormat="1" ht="12.75"/>
    <row r="11004" s="3161" customFormat="1" ht="12.75"/>
    <row r="11005" s="3161" customFormat="1" ht="12.75"/>
    <row r="11006" s="3161" customFormat="1" ht="12.75"/>
    <row r="11007" s="3161" customFormat="1" ht="12.75"/>
    <row r="11008" s="3161" customFormat="1" ht="12.75"/>
    <row r="11009" s="3161" customFormat="1" ht="12.75"/>
    <row r="11010" s="3161" customFormat="1" ht="12.75"/>
    <row r="11011" s="3161" customFormat="1" ht="12.75"/>
    <row r="11012" s="3161" customFormat="1" ht="12.75"/>
    <row r="11013" s="3161" customFormat="1" ht="12.75"/>
    <row r="11014" s="3161" customFormat="1" ht="12.75"/>
    <row r="11015" s="3161" customFormat="1" ht="12.75"/>
    <row r="11016" s="3161" customFormat="1" ht="12.75"/>
    <row r="11017" s="3161" customFormat="1" ht="12.75"/>
    <row r="11018" s="3161" customFormat="1" ht="12.75"/>
    <row r="11019" s="3161" customFormat="1" ht="12.75"/>
    <row r="11020" s="3161" customFormat="1" ht="12.75"/>
    <row r="11021" s="3161" customFormat="1" ht="12.75"/>
    <row r="11022" s="3161" customFormat="1" ht="12.75"/>
    <row r="11023" s="3161" customFormat="1" ht="12.75"/>
    <row r="11024" s="3161" customFormat="1" ht="12.75"/>
    <row r="11025" s="3161" customFormat="1" ht="12.75"/>
    <row r="11026" s="3161" customFormat="1" ht="12.75"/>
    <row r="11027" s="3161" customFormat="1" ht="12.75"/>
    <row r="11028" s="3161" customFormat="1" ht="12.75"/>
    <row r="11029" s="3161" customFormat="1" ht="12.75"/>
    <row r="11030" s="3161" customFormat="1" ht="12.75"/>
    <row r="11031" s="3161" customFormat="1" ht="12.75"/>
    <row r="11032" s="3161" customFormat="1" ht="12.75"/>
    <row r="11033" s="3161" customFormat="1" ht="12.75"/>
    <row r="11034" s="3161" customFormat="1" ht="12.75"/>
    <row r="11035" s="3161" customFormat="1" ht="12.75"/>
    <row r="11036" s="3161" customFormat="1" ht="12.75"/>
    <row r="11037" s="3161" customFormat="1" ht="12.75"/>
    <row r="11038" s="3161" customFormat="1" ht="12.75"/>
    <row r="11039" s="3161" customFormat="1" ht="12.75"/>
    <row r="11040" s="3161" customFormat="1" ht="12.75"/>
    <row r="11041" s="3161" customFormat="1" ht="12.75"/>
    <row r="11042" s="3161" customFormat="1" ht="12.75"/>
    <row r="11043" s="3161" customFormat="1" ht="12.75"/>
    <row r="11044" s="3161" customFormat="1" ht="12.75"/>
    <row r="11045" s="3161" customFormat="1" ht="12.75"/>
    <row r="11046" s="3161" customFormat="1" ht="12.75"/>
    <row r="11047" s="3161" customFormat="1" ht="12.75"/>
    <row r="11048" s="3161" customFormat="1" ht="12.75"/>
    <row r="11049" s="3161" customFormat="1" ht="12.75"/>
    <row r="11050" s="3161" customFormat="1" ht="12.75"/>
    <row r="11051" s="3161" customFormat="1" ht="12.75"/>
    <row r="11052" s="3161" customFormat="1" ht="12.75"/>
    <row r="11053" s="3161" customFormat="1" ht="12.75"/>
    <row r="11054" s="3161" customFormat="1" ht="12.75"/>
    <row r="11055" s="3161" customFormat="1" ht="12.75"/>
    <row r="11056" s="3161" customFormat="1" ht="12.75"/>
    <row r="11057" s="3161" customFormat="1" ht="12.75"/>
    <row r="11058" s="3161" customFormat="1" ht="12.75"/>
    <row r="11059" s="3161" customFormat="1" ht="12.75"/>
    <row r="11060" s="3161" customFormat="1" ht="12.75"/>
    <row r="11061" s="3161" customFormat="1" ht="12.75"/>
    <row r="11062" s="3161" customFormat="1" ht="12.75"/>
    <row r="11063" s="3161" customFormat="1" ht="12.75"/>
    <row r="11064" s="3161" customFormat="1" ht="12.75"/>
    <row r="11065" s="3161" customFormat="1" ht="12.75"/>
    <row r="11066" s="3161" customFormat="1" ht="12.75"/>
    <row r="11067" s="3161" customFormat="1" ht="12.75"/>
    <row r="11068" s="3161" customFormat="1" ht="12.75"/>
    <row r="11069" s="3161" customFormat="1" ht="12.75"/>
    <row r="11070" s="3161" customFormat="1" ht="12.75"/>
    <row r="11071" s="3161" customFormat="1" ht="12.75"/>
    <row r="11072" s="3161" customFormat="1" ht="12.75"/>
    <row r="11073" s="3161" customFormat="1" ht="12.75"/>
    <row r="11074" s="3161" customFormat="1" ht="12.75"/>
    <row r="11075" s="3161" customFormat="1" ht="12.75"/>
    <row r="11076" s="3161" customFormat="1" ht="12.75"/>
    <row r="11077" s="3161" customFormat="1" ht="12.75"/>
    <row r="11078" s="3161" customFormat="1" ht="12.75"/>
    <row r="11079" s="3161" customFormat="1" ht="12.75"/>
    <row r="11080" s="3161" customFormat="1" ht="12.75"/>
    <row r="11081" s="3161" customFormat="1" ht="12.75"/>
    <row r="11082" s="3161" customFormat="1" ht="12.75"/>
    <row r="11083" s="3161" customFormat="1" ht="12.75"/>
    <row r="11084" s="3161" customFormat="1" ht="12.75"/>
    <row r="11085" s="3161" customFormat="1" ht="12.75"/>
    <row r="11086" s="3161" customFormat="1" ht="12.75"/>
    <row r="11087" s="3161" customFormat="1" ht="12.75"/>
    <row r="11088" s="3161" customFormat="1" ht="12.75"/>
    <row r="11089" s="3161" customFormat="1" ht="12.75"/>
    <row r="11090" s="3161" customFormat="1" ht="12.75"/>
    <row r="11091" s="3161" customFormat="1" ht="12.75"/>
    <row r="11092" s="3161" customFormat="1" ht="12.75"/>
    <row r="11093" s="3161" customFormat="1" ht="12.75"/>
    <row r="11094" s="3161" customFormat="1" ht="12.75"/>
    <row r="11095" s="3161" customFormat="1" ht="12.75"/>
    <row r="11096" s="3161" customFormat="1" ht="12.75"/>
    <row r="11097" s="3161" customFormat="1" ht="12.75"/>
    <row r="11098" s="3161" customFormat="1" ht="12.75"/>
    <row r="11099" s="3161" customFormat="1" ht="12.75"/>
    <row r="11100" s="3161" customFormat="1" ht="12.75"/>
    <row r="11101" s="3161" customFormat="1" ht="12.75"/>
    <row r="11102" s="3161" customFormat="1" ht="12.75"/>
    <row r="11103" s="3161" customFormat="1" ht="12.75"/>
    <row r="11104" s="3161" customFormat="1" ht="12.75"/>
    <row r="11105" s="3161" customFormat="1" ht="12.75"/>
    <row r="11106" s="3161" customFormat="1" ht="12.75"/>
    <row r="11107" s="3161" customFormat="1" ht="12.75"/>
    <row r="11108" s="3161" customFormat="1" ht="12.75"/>
    <row r="11109" s="3161" customFormat="1" ht="12.75"/>
    <row r="11110" s="3161" customFormat="1" ht="12.75"/>
    <row r="11111" s="3161" customFormat="1" ht="12.75"/>
    <row r="11112" s="3161" customFormat="1" ht="12.75"/>
    <row r="11113" s="3161" customFormat="1" ht="12.75"/>
    <row r="11114" s="3161" customFormat="1" ht="12.75"/>
    <row r="11115" s="3161" customFormat="1" ht="12.75"/>
    <row r="11116" s="3161" customFormat="1" ht="12.75"/>
    <row r="11117" s="3161" customFormat="1" ht="12.75"/>
    <row r="11118" s="3161" customFormat="1" ht="12.75"/>
    <row r="11119" s="3161" customFormat="1" ht="12.75"/>
    <row r="11120" s="3161" customFormat="1" ht="12.75"/>
    <row r="11121" s="3161" customFormat="1" ht="12.75"/>
    <row r="11122" s="3161" customFormat="1" ht="12.75"/>
    <row r="11123" s="3161" customFormat="1" ht="12.75"/>
    <row r="11124" s="3161" customFormat="1" ht="12.75"/>
    <row r="11125" s="3161" customFormat="1" ht="12.75"/>
    <row r="11126" s="3161" customFormat="1" ht="12.75"/>
    <row r="11127" s="3161" customFormat="1" ht="12.75"/>
    <row r="11128" s="3161" customFormat="1" ht="12.75"/>
    <row r="11129" s="3161" customFormat="1" ht="12.75"/>
    <row r="11130" s="3161" customFormat="1" ht="12.75"/>
    <row r="11131" s="3161" customFormat="1" ht="12.75"/>
    <row r="11132" s="3161" customFormat="1" ht="12.75"/>
    <row r="11133" s="3161" customFormat="1" ht="12.75"/>
    <row r="11134" s="3161" customFormat="1" ht="12.75"/>
    <row r="11135" s="3161" customFormat="1" ht="12.75"/>
    <row r="11136" s="3161" customFormat="1" ht="12.75"/>
    <row r="11137" s="3161" customFormat="1" ht="12.75"/>
    <row r="11138" s="3161" customFormat="1" ht="12.75"/>
    <row r="11139" s="3161" customFormat="1" ht="12.75"/>
    <row r="11140" s="3161" customFormat="1" ht="12.75"/>
    <row r="11141" s="3161" customFormat="1" ht="12.75"/>
    <row r="11142" s="3161" customFormat="1" ht="12.75"/>
    <row r="11143" s="3161" customFormat="1" ht="12.75"/>
    <row r="11144" s="3161" customFormat="1" ht="12.75"/>
    <row r="11145" s="3161" customFormat="1" ht="12.75"/>
    <row r="11146" s="3161" customFormat="1" ht="12.75"/>
    <row r="11147" s="3161" customFormat="1" ht="12.75"/>
    <row r="11148" s="3161" customFormat="1" ht="12.75"/>
    <row r="11149" s="3161" customFormat="1" ht="12.75"/>
    <row r="11150" s="3161" customFormat="1" ht="12.75"/>
    <row r="11151" s="3161" customFormat="1" ht="12.75"/>
    <row r="11152" s="3161" customFormat="1" ht="12.75"/>
    <row r="11153" s="3161" customFormat="1" ht="12.75"/>
    <row r="11154" s="3161" customFormat="1" ht="12.75"/>
    <row r="11155" s="3161" customFormat="1" ht="12.75"/>
    <row r="11156" s="3161" customFormat="1" ht="12.75"/>
    <row r="11157" s="3161" customFormat="1" ht="12.75"/>
    <row r="11158" s="3161" customFormat="1" ht="12.75"/>
    <row r="11159" s="3161" customFormat="1" ht="12.75"/>
    <row r="11160" s="3161" customFormat="1" ht="12.75"/>
    <row r="11161" s="3161" customFormat="1" ht="12.75"/>
    <row r="11162" s="3161" customFormat="1" ht="12.75"/>
    <row r="11163" s="3161" customFormat="1" ht="12.75"/>
    <row r="11164" s="3161" customFormat="1" ht="12.75"/>
    <row r="11165" s="3161" customFormat="1" ht="12.75"/>
    <row r="11166" s="3161" customFormat="1" ht="12.75"/>
    <row r="11167" s="3161" customFormat="1" ht="12.75"/>
    <row r="11168" s="3161" customFormat="1" ht="12.75"/>
    <row r="11169" s="3161" customFormat="1" ht="12.75"/>
    <row r="11170" s="3161" customFormat="1" ht="12.75"/>
    <row r="11171" s="3161" customFormat="1" ht="12.75"/>
    <row r="11172" s="3161" customFormat="1" ht="12.75"/>
    <row r="11173" s="3161" customFormat="1" ht="12.75"/>
    <row r="11174" s="3161" customFormat="1" ht="12.75"/>
    <row r="11175" s="3161" customFormat="1" ht="12.75"/>
    <row r="11176" s="3161" customFormat="1" ht="12.75"/>
    <row r="11177" s="3161" customFormat="1" ht="12.75"/>
    <row r="11178" s="3161" customFormat="1" ht="12.75"/>
    <row r="11179" s="3161" customFormat="1" ht="12.75"/>
    <row r="11180" s="3161" customFormat="1" ht="12.75"/>
    <row r="11181" s="3161" customFormat="1" ht="12.75"/>
    <row r="11182" s="3161" customFormat="1" ht="12.75"/>
    <row r="11183" s="3161" customFormat="1" ht="12.75"/>
    <row r="11184" s="3161" customFormat="1" ht="12.75"/>
    <row r="11185" s="3161" customFormat="1" ht="12.75"/>
    <row r="11186" s="3161" customFormat="1" ht="12.75"/>
    <row r="11187" s="3161" customFormat="1" ht="12.75"/>
    <row r="11188" s="3161" customFormat="1" ht="12.75"/>
    <row r="11189" s="3161" customFormat="1" ht="12.75"/>
    <row r="11190" s="3161" customFormat="1" ht="12.75"/>
    <row r="11191" s="3161" customFormat="1" ht="12.75"/>
    <row r="11192" s="3161" customFormat="1" ht="12.75"/>
    <row r="11193" s="3161" customFormat="1" ht="12.75"/>
    <row r="11194" s="3161" customFormat="1" ht="12.75"/>
    <row r="11195" s="3161" customFormat="1" ht="12.75"/>
    <row r="11196" s="3161" customFormat="1" ht="12.75"/>
    <row r="11197" s="3161" customFormat="1" ht="12.75"/>
    <row r="11198" s="3161" customFormat="1" ht="12.75"/>
    <row r="11199" s="3161" customFormat="1" ht="12.75"/>
    <row r="11200" s="3161" customFormat="1" ht="12.75"/>
    <row r="11201" s="3161" customFormat="1" ht="12.75"/>
    <row r="11202" s="3161" customFormat="1" ht="12.75"/>
    <row r="11203" s="3161" customFormat="1" ht="12.75"/>
    <row r="11204" s="3161" customFormat="1" ht="12.75"/>
    <row r="11205" s="3161" customFormat="1" ht="12.75"/>
    <row r="11206" s="3161" customFormat="1" ht="12.75"/>
    <row r="11207" s="3161" customFormat="1" ht="12.75"/>
    <row r="11208" s="3161" customFormat="1" ht="12.75"/>
    <row r="11209" s="3161" customFormat="1" ht="12.75"/>
    <row r="11210" s="3161" customFormat="1" ht="12.75"/>
    <row r="11211" s="3161" customFormat="1" ht="12.75"/>
    <row r="11212" s="3161" customFormat="1" ht="12.75"/>
    <row r="11213" s="3161" customFormat="1" ht="12.75"/>
    <row r="11214" s="3161" customFormat="1" ht="12.75"/>
    <row r="11215" s="3161" customFormat="1" ht="12.75"/>
    <row r="11216" s="3161" customFormat="1" ht="12.75"/>
    <row r="11217" s="3161" customFormat="1" ht="12.75"/>
    <row r="11218" s="3161" customFormat="1" ht="12.75"/>
    <row r="11219" s="3161" customFormat="1" ht="12.75"/>
    <row r="11220" s="3161" customFormat="1" ht="12.75"/>
    <row r="11221" s="3161" customFormat="1" ht="12.75"/>
    <row r="11222" s="3161" customFormat="1" ht="12.75"/>
    <row r="11223" s="3161" customFormat="1" ht="12.75"/>
    <row r="11224" s="3161" customFormat="1" ht="12.75"/>
    <row r="11225" s="3161" customFormat="1" ht="12.75"/>
    <row r="11226" s="3161" customFormat="1" ht="12.75"/>
    <row r="11227" s="3161" customFormat="1" ht="12.75"/>
    <row r="11228" s="3161" customFormat="1" ht="12.75"/>
    <row r="11229" s="3161" customFormat="1" ht="12.75"/>
    <row r="11230" s="3161" customFormat="1" ht="12.75"/>
    <row r="11231" s="3161" customFormat="1" ht="12.75"/>
    <row r="11232" s="3161" customFormat="1" ht="12.75"/>
    <row r="11233" s="3161" customFormat="1" ht="12.75"/>
    <row r="11234" s="3161" customFormat="1" ht="12.75"/>
    <row r="11235" s="3161" customFormat="1" ht="12.75"/>
    <row r="11236" s="3161" customFormat="1" ht="12.75"/>
    <row r="11237" s="3161" customFormat="1" ht="12.75"/>
    <row r="11238" s="3161" customFormat="1" ht="12.75"/>
    <row r="11239" s="3161" customFormat="1" ht="12.75"/>
    <row r="11240" s="3161" customFormat="1" ht="12.75"/>
    <row r="11241" s="3161" customFormat="1" ht="12.75"/>
    <row r="11242" s="3161" customFormat="1" ht="12.75"/>
    <row r="11243" s="3161" customFormat="1" ht="12.75"/>
    <row r="11244" s="3161" customFormat="1" ht="12.75"/>
    <row r="11245" s="3161" customFormat="1" ht="12.75"/>
    <row r="11246" s="3161" customFormat="1" ht="12.75"/>
    <row r="11247" s="3161" customFormat="1" ht="12.75"/>
    <row r="11248" s="3161" customFormat="1" ht="12.75"/>
    <row r="11249" s="3161" customFormat="1" ht="12.75"/>
    <row r="11250" s="3161" customFormat="1" ht="12.75"/>
    <row r="11251" s="3161" customFormat="1" ht="12.75"/>
    <row r="11252" s="3161" customFormat="1" ht="12.75"/>
    <row r="11253" s="3161" customFormat="1" ht="12.75"/>
    <row r="11254" s="3161" customFormat="1" ht="12.75"/>
    <row r="11255" s="3161" customFormat="1" ht="12.75"/>
    <row r="11256" s="3161" customFormat="1" ht="12.75"/>
    <row r="11257" s="3161" customFormat="1" ht="12.75"/>
    <row r="11258" s="3161" customFormat="1" ht="12.75"/>
    <row r="11259" s="3161" customFormat="1" ht="12.75"/>
    <row r="11260" s="3161" customFormat="1" ht="12.75"/>
    <row r="11261" s="3161" customFormat="1" ht="12.75"/>
    <row r="11262" s="3161" customFormat="1" ht="12.75"/>
    <row r="11263" s="3161" customFormat="1" ht="12.75"/>
    <row r="11264" s="3161" customFormat="1" ht="12.75"/>
    <row r="11265" s="3161" customFormat="1" ht="12.75"/>
    <row r="11266" s="3161" customFormat="1" ht="12.75"/>
    <row r="11267" s="3161" customFormat="1" ht="12.75"/>
    <row r="11268" s="3161" customFormat="1" ht="12.75"/>
    <row r="11269" s="3161" customFormat="1" ht="12.75"/>
    <row r="11270" s="3161" customFormat="1" ht="12.75"/>
    <row r="11271" s="3161" customFormat="1" ht="12.75"/>
    <row r="11272" s="3161" customFormat="1" ht="12.75"/>
    <row r="11273" s="3161" customFormat="1" ht="12.75"/>
    <row r="11274" s="3161" customFormat="1" ht="12.75"/>
    <row r="11275" s="3161" customFormat="1" ht="12.75"/>
    <row r="11276" s="3161" customFormat="1" ht="12.75"/>
    <row r="11277" s="3161" customFormat="1" ht="12.75"/>
    <row r="11278" s="3161" customFormat="1" ht="12.75"/>
    <row r="11279" s="3161" customFormat="1" ht="12.75"/>
    <row r="11280" s="3161" customFormat="1" ht="12.75"/>
    <row r="11281" s="3161" customFormat="1" ht="12.75"/>
    <row r="11282" s="3161" customFormat="1" ht="12.75"/>
    <row r="11283" s="3161" customFormat="1" ht="12.75"/>
    <row r="11284" s="3161" customFormat="1" ht="12.75"/>
    <row r="11285" s="3161" customFormat="1" ht="12.75"/>
    <row r="11286" s="3161" customFormat="1" ht="12.75"/>
    <row r="11287" s="3161" customFormat="1" ht="12.75"/>
    <row r="11288" s="3161" customFormat="1" ht="12.75"/>
    <row r="11289" s="3161" customFormat="1" ht="12.75"/>
    <row r="11290" s="3161" customFormat="1" ht="12.75"/>
    <row r="11291" s="3161" customFormat="1" ht="12.75"/>
    <row r="11292" s="3161" customFormat="1" ht="12.75"/>
    <row r="11293" s="3161" customFormat="1" ht="12.75"/>
    <row r="11294" s="3161" customFormat="1" ht="12.75"/>
    <row r="11295" s="3161" customFormat="1" ht="12.75"/>
    <row r="11296" s="3161" customFormat="1" ht="12.75"/>
    <row r="11297" s="3161" customFormat="1" ht="12.75"/>
    <row r="11298" s="3161" customFormat="1" ht="12.75"/>
    <row r="11299" s="3161" customFormat="1" ht="12.75"/>
    <row r="11300" s="3161" customFormat="1" ht="12.75"/>
    <row r="11301" s="3161" customFormat="1" ht="12.75"/>
    <row r="11302" s="3161" customFormat="1" ht="12.75"/>
    <row r="11303" s="3161" customFormat="1" ht="12.75"/>
    <row r="11304" s="3161" customFormat="1" ht="12.75"/>
    <row r="11305" s="3161" customFormat="1" ht="12.75"/>
    <row r="11306" s="3161" customFormat="1" ht="12.75"/>
    <row r="11307" s="3161" customFormat="1" ht="12.75"/>
    <row r="11308" s="3161" customFormat="1" ht="12.75"/>
    <row r="11309" s="3161" customFormat="1" ht="12.75"/>
    <row r="11310" s="3161" customFormat="1" ht="12.75"/>
    <row r="11311" s="3161" customFormat="1" ht="12.75"/>
    <row r="11312" s="3161" customFormat="1" ht="12.75"/>
    <row r="11313" s="3161" customFormat="1" ht="12.75"/>
    <row r="11314" s="3161" customFormat="1" ht="12.75"/>
    <row r="11315" s="3161" customFormat="1" ht="12.75"/>
    <row r="11316" s="3161" customFormat="1" ht="12.75"/>
    <row r="11317" s="3161" customFormat="1" ht="12.75"/>
    <row r="11318" s="3161" customFormat="1" ht="12.75"/>
    <row r="11319" s="3161" customFormat="1" ht="12.75"/>
    <row r="11320" s="3161" customFormat="1" ht="12.75"/>
    <row r="11321" s="3161" customFormat="1" ht="12.75"/>
    <row r="11322" s="3161" customFormat="1" ht="12.75"/>
    <row r="11323" s="3161" customFormat="1" ht="12.75"/>
    <row r="11324" s="3161" customFormat="1" ht="12.75"/>
    <row r="11325" s="3161" customFormat="1" ht="12.75"/>
    <row r="11326" s="3161" customFormat="1" ht="12.75"/>
    <row r="11327" s="3161" customFormat="1" ht="12.75"/>
    <row r="11328" s="3161" customFormat="1" ht="12.75"/>
    <row r="11329" s="3161" customFormat="1" ht="12.75"/>
    <row r="11330" s="3161" customFormat="1" ht="12.75"/>
    <row r="11331" s="3161" customFormat="1" ht="12.75"/>
    <row r="11332" s="3161" customFormat="1" ht="12.75"/>
    <row r="11333" s="3161" customFormat="1" ht="12.75"/>
    <row r="11334" s="3161" customFormat="1" ht="12.75"/>
    <row r="11335" s="3161" customFormat="1" ht="12.75"/>
    <row r="11336" s="3161" customFormat="1" ht="12.75"/>
    <row r="11337" s="3161" customFormat="1" ht="12.75"/>
    <row r="11338" s="3161" customFormat="1" ht="12.75"/>
    <row r="11339" s="3161" customFormat="1" ht="12.75"/>
    <row r="11340" s="3161" customFormat="1" ht="12.75"/>
    <row r="11341" s="3161" customFormat="1" ht="12.75"/>
    <row r="11342" s="3161" customFormat="1" ht="12.75"/>
    <row r="11343" s="3161" customFormat="1" ht="12.75"/>
    <row r="11344" s="3161" customFormat="1" ht="12.75"/>
    <row r="11345" s="3161" customFormat="1" ht="12.75"/>
    <row r="11346" s="3161" customFormat="1" ht="12.75"/>
    <row r="11347" s="3161" customFormat="1" ht="12.75"/>
    <row r="11348" s="3161" customFormat="1" ht="12.75"/>
    <row r="11349" s="3161" customFormat="1" ht="12.75"/>
    <row r="11350" s="3161" customFormat="1" ht="12.75"/>
    <row r="11351" s="3161" customFormat="1" ht="12.75"/>
    <row r="11352" s="3161" customFormat="1" ht="12.75"/>
    <row r="11353" s="3161" customFormat="1" ht="12.75"/>
    <row r="11354" s="3161" customFormat="1" ht="12.75"/>
    <row r="11355" s="3161" customFormat="1" ht="12.75"/>
    <row r="11356" s="3161" customFormat="1" ht="12.75"/>
    <row r="11357" s="3161" customFormat="1" ht="12.75"/>
    <row r="11358" s="3161" customFormat="1" ht="12.75"/>
    <row r="11359" s="3161" customFormat="1" ht="12.75"/>
    <row r="11360" s="3161" customFormat="1" ht="12.75"/>
    <row r="11361" s="3161" customFormat="1" ht="12.75"/>
    <row r="11362" s="3161" customFormat="1" ht="12.75"/>
    <row r="11363" s="3161" customFormat="1" ht="12.75"/>
    <row r="11364" s="3161" customFormat="1" ht="12.75"/>
    <row r="11365" s="3161" customFormat="1" ht="12.75"/>
    <row r="11366" s="3161" customFormat="1" ht="12.75"/>
    <row r="11367" s="3161" customFormat="1" ht="12.75"/>
    <row r="11368" s="3161" customFormat="1" ht="12.75"/>
    <row r="11369" s="3161" customFormat="1" ht="12.75"/>
    <row r="11370" s="3161" customFormat="1" ht="12.75"/>
    <row r="11371" s="3161" customFormat="1" ht="12.75"/>
    <row r="11372" s="3161" customFormat="1" ht="12.75"/>
    <row r="11373" s="3161" customFormat="1" ht="12.75"/>
    <row r="11374" s="3161" customFormat="1" ht="12.75"/>
    <row r="11375" s="3161" customFormat="1" ht="12.75"/>
    <row r="11376" s="3161" customFormat="1" ht="12.75"/>
    <row r="11377" s="3161" customFormat="1" ht="12.75"/>
    <row r="11378" s="3161" customFormat="1" ht="12.75"/>
    <row r="11379" s="3161" customFormat="1" ht="12.75"/>
    <row r="11380" s="3161" customFormat="1" ht="12.75"/>
    <row r="11381" s="3161" customFormat="1" ht="12.75"/>
    <row r="11382" s="3161" customFormat="1" ht="12.75"/>
    <row r="11383" s="3161" customFormat="1" ht="12.75"/>
    <row r="11384" s="3161" customFormat="1" ht="12.75"/>
    <row r="11385" s="3161" customFormat="1" ht="12.75"/>
    <row r="11386" s="3161" customFormat="1" ht="12.75"/>
    <row r="11387" s="3161" customFormat="1" ht="12.75"/>
    <row r="11388" s="3161" customFormat="1" ht="12.75"/>
    <row r="11389" s="3161" customFormat="1" ht="12.75"/>
    <row r="11390" s="3161" customFormat="1" ht="12.75"/>
    <row r="11391" s="3161" customFormat="1" ht="12.75"/>
    <row r="11392" s="3161" customFormat="1" ht="12.75"/>
    <row r="11393" s="3161" customFormat="1" ht="12.75"/>
    <row r="11394" s="3161" customFormat="1" ht="12.75"/>
    <row r="11395" s="3161" customFormat="1" ht="12.75"/>
    <row r="11396" s="3161" customFormat="1" ht="12.75"/>
    <row r="11397" s="3161" customFormat="1" ht="12.75"/>
    <row r="11398" s="3161" customFormat="1" ht="12.75"/>
    <row r="11399" s="3161" customFormat="1" ht="12.75"/>
    <row r="11400" s="3161" customFormat="1" ht="12.75"/>
    <row r="11401" s="3161" customFormat="1" ht="12.75"/>
    <row r="11402" s="3161" customFormat="1" ht="12.75"/>
    <row r="11403" s="3161" customFormat="1" ht="12.75"/>
    <row r="11404" s="3161" customFormat="1" ht="12.75"/>
    <row r="11405" s="3161" customFormat="1" ht="12.75"/>
    <row r="11406" s="3161" customFormat="1" ht="12.75"/>
    <row r="11407" s="3161" customFormat="1" ht="12.75"/>
    <row r="11408" s="3161" customFormat="1" ht="12.75"/>
    <row r="11409" s="3161" customFormat="1" ht="12.75"/>
    <row r="11410" s="3161" customFormat="1" ht="12.75"/>
    <row r="11411" s="3161" customFormat="1" ht="12.75"/>
    <row r="11412" s="3161" customFormat="1" ht="12.75"/>
    <row r="11413" s="3161" customFormat="1" ht="12.75"/>
    <row r="11414" s="3161" customFormat="1" ht="12.75"/>
    <row r="11415" s="3161" customFormat="1" ht="12.75"/>
    <row r="11416" s="3161" customFormat="1" ht="12.75"/>
    <row r="11417" s="3161" customFormat="1" ht="12.75"/>
    <row r="11418" s="3161" customFormat="1" ht="12.75"/>
    <row r="11419" s="3161" customFormat="1" ht="12.75"/>
    <row r="11420" s="3161" customFormat="1" ht="12.75"/>
    <row r="11421" s="3161" customFormat="1" ht="12.75"/>
    <row r="11422" s="3161" customFormat="1" ht="12.75"/>
    <row r="11423" s="3161" customFormat="1" ht="12.75"/>
    <row r="11424" s="3161" customFormat="1" ht="12.75"/>
    <row r="11425" s="3161" customFormat="1" ht="12.75"/>
    <row r="11426" s="3161" customFormat="1" ht="12.75"/>
    <row r="11427" s="3161" customFormat="1" ht="12.75"/>
    <row r="11428" s="3161" customFormat="1" ht="12.75"/>
    <row r="11429" s="3161" customFormat="1" ht="12.75"/>
    <row r="11430" s="3161" customFormat="1" ht="12.75"/>
    <row r="11431" s="3161" customFormat="1" ht="12.75"/>
    <row r="11432" s="3161" customFormat="1" ht="12.75"/>
    <row r="11433" s="3161" customFormat="1" ht="12.75"/>
    <row r="11434" s="3161" customFormat="1" ht="12.75"/>
    <row r="11435" s="3161" customFormat="1" ht="12.75"/>
    <row r="11436" s="3161" customFormat="1" ht="12.75"/>
    <row r="11437" s="3161" customFormat="1" ht="12.75"/>
    <row r="11438" s="3161" customFormat="1" ht="12.75"/>
    <row r="11439" s="3161" customFormat="1" ht="12.75"/>
    <row r="11440" s="3161" customFormat="1" ht="12.75"/>
    <row r="11441" s="3161" customFormat="1" ht="12.75"/>
    <row r="11442" s="3161" customFormat="1" ht="12.75"/>
    <row r="11443" s="3161" customFormat="1" ht="12.75"/>
    <row r="11444" s="3161" customFormat="1" ht="12.75"/>
    <row r="11445" s="3161" customFormat="1" ht="12.75"/>
    <row r="11446" s="3161" customFormat="1" ht="12.75"/>
    <row r="11447" s="3161" customFormat="1" ht="12.75"/>
    <row r="11448" s="3161" customFormat="1" ht="12.75"/>
    <row r="11449" s="3161" customFormat="1" ht="12.75"/>
    <row r="11450" s="3161" customFormat="1" ht="12.75"/>
    <row r="11451" s="3161" customFormat="1" ht="12.75"/>
    <row r="11452" s="3161" customFormat="1" ht="12.75"/>
    <row r="11453" s="3161" customFormat="1" ht="12.75"/>
    <row r="11454" s="3161" customFormat="1" ht="12.75"/>
    <row r="11455" s="3161" customFormat="1" ht="12.75"/>
    <row r="11456" s="3161" customFormat="1" ht="12.75"/>
    <row r="11457" s="3161" customFormat="1" ht="12.75"/>
    <row r="11458" s="3161" customFormat="1" ht="12.75"/>
    <row r="11459" s="3161" customFormat="1" ht="12.75"/>
    <row r="11460" s="3161" customFormat="1" ht="12.75"/>
    <row r="11461" s="3161" customFormat="1" ht="12.75"/>
    <row r="11462" s="3161" customFormat="1" ht="12.75"/>
    <row r="11463" s="3161" customFormat="1" ht="12.75"/>
    <row r="11464" s="3161" customFormat="1" ht="12.75"/>
    <row r="11465" s="3161" customFormat="1" ht="12.75"/>
    <row r="11466" s="3161" customFormat="1" ht="12.75"/>
    <row r="11467" s="3161" customFormat="1" ht="12.75"/>
    <row r="11468" s="3161" customFormat="1" ht="12.75"/>
    <row r="11469" s="3161" customFormat="1" ht="12.75"/>
    <row r="11470" s="3161" customFormat="1" ht="12.75"/>
    <row r="11471" s="3161" customFormat="1" ht="12.75"/>
    <row r="11472" s="3161" customFormat="1" ht="12.75"/>
    <row r="11473" s="3161" customFormat="1" ht="12.75"/>
    <row r="11474" s="3161" customFormat="1" ht="12.75"/>
    <row r="11475" s="3161" customFormat="1" ht="12.75"/>
    <row r="11476" s="3161" customFormat="1" ht="12.75"/>
    <row r="11477" s="3161" customFormat="1" ht="12.75"/>
    <row r="11478" s="3161" customFormat="1" ht="12.75"/>
    <row r="11479" s="3161" customFormat="1" ht="12.75"/>
    <row r="11480" s="3161" customFormat="1" ht="12.75"/>
    <row r="11481" s="3161" customFormat="1" ht="12.75"/>
    <row r="11482" s="3161" customFormat="1" ht="12.75"/>
    <row r="11483" s="3161" customFormat="1" ht="12.75"/>
    <row r="11484" s="3161" customFormat="1" ht="12.75"/>
    <row r="11485" s="3161" customFormat="1" ht="12.75"/>
    <row r="11486" s="3161" customFormat="1" ht="12.75"/>
    <row r="11487" s="3161" customFormat="1" ht="12.75"/>
    <row r="11488" s="3161" customFormat="1" ht="12.75"/>
    <row r="11489" s="3161" customFormat="1" ht="12.75"/>
    <row r="11490" s="3161" customFormat="1" ht="12.75"/>
    <row r="11491" s="3161" customFormat="1" ht="12.75"/>
    <row r="11492" s="3161" customFormat="1" ht="12.75"/>
    <row r="11493" s="3161" customFormat="1" ht="12.75"/>
    <row r="11494" s="3161" customFormat="1" ht="12.75"/>
    <row r="11495" s="3161" customFormat="1" ht="12.75"/>
    <row r="11496" s="3161" customFormat="1" ht="12.75"/>
    <row r="11497" s="3161" customFormat="1" ht="12.75"/>
    <row r="11498" s="3161" customFormat="1" ht="12.75"/>
    <row r="11499" s="3161" customFormat="1" ht="12.75"/>
    <row r="11500" s="3161" customFormat="1" ht="12.75"/>
    <row r="11501" s="3161" customFormat="1" ht="12.75"/>
    <row r="11502" s="3161" customFormat="1" ht="12.75"/>
    <row r="11503" s="3161" customFormat="1" ht="12.75"/>
    <row r="11504" s="3161" customFormat="1" ht="12.75"/>
    <row r="11505" s="3161" customFormat="1" ht="12.75"/>
    <row r="11506" s="3161" customFormat="1" ht="12.75"/>
    <row r="11507" s="3161" customFormat="1" ht="12.75"/>
    <row r="11508" s="3161" customFormat="1" ht="12.75"/>
    <row r="11509" s="3161" customFormat="1" ht="12.75"/>
    <row r="11510" s="3161" customFormat="1" ht="12.75"/>
    <row r="11511" s="3161" customFormat="1" ht="12.75"/>
    <row r="11512" s="3161" customFormat="1" ht="12.75"/>
    <row r="11513" s="3161" customFormat="1" ht="12.75"/>
    <row r="11514" s="3161" customFormat="1" ht="12.75"/>
    <row r="11515" s="3161" customFormat="1" ht="12.75"/>
    <row r="11516" s="3161" customFormat="1" ht="12.75"/>
    <row r="11517" s="3161" customFormat="1" ht="12.75"/>
    <row r="11518" s="3161" customFormat="1" ht="12.75"/>
    <row r="11519" s="3161" customFormat="1" ht="12.75"/>
    <row r="11520" s="3161" customFormat="1" ht="12.75"/>
    <row r="11521" s="3161" customFormat="1" ht="12.75"/>
    <row r="11522" s="3161" customFormat="1" ht="12.75"/>
    <row r="11523" s="3161" customFormat="1" ht="12.75"/>
    <row r="11524" s="3161" customFormat="1" ht="12.75"/>
    <row r="11525" s="3161" customFormat="1" ht="12.75"/>
    <row r="11526" s="3161" customFormat="1" ht="12.75"/>
    <row r="11527" s="3161" customFormat="1" ht="12.75"/>
    <row r="11528" s="3161" customFormat="1" ht="12.75"/>
    <row r="11529" s="3161" customFormat="1" ht="12.75"/>
    <row r="11530" s="3161" customFormat="1" ht="12.75"/>
    <row r="11531" s="3161" customFormat="1" ht="12.75"/>
    <row r="11532" s="3161" customFormat="1" ht="12.75"/>
    <row r="11533" s="3161" customFormat="1" ht="12.75"/>
    <row r="11534" s="3161" customFormat="1" ht="12.75"/>
    <row r="11535" s="3161" customFormat="1" ht="12.75"/>
    <row r="11536" s="3161" customFormat="1" ht="12.75"/>
    <row r="11537" s="3161" customFormat="1" ht="12.75"/>
    <row r="11538" s="3161" customFormat="1" ht="12.75"/>
    <row r="11539" s="3161" customFormat="1" ht="12.75"/>
    <row r="11540" s="3161" customFormat="1" ht="12.75"/>
    <row r="11541" s="3161" customFormat="1" ht="12.75"/>
    <row r="11542" s="3161" customFormat="1" ht="12.75"/>
    <row r="11543" s="3161" customFormat="1" ht="12.75"/>
    <row r="11544" s="3161" customFormat="1" ht="12.75"/>
    <row r="11545" s="3161" customFormat="1" ht="12.75"/>
    <row r="11546" s="3161" customFormat="1" ht="12.75"/>
    <row r="11547" s="3161" customFormat="1" ht="12.75"/>
    <row r="11548" s="3161" customFormat="1" ht="12.75"/>
    <row r="11549" s="3161" customFormat="1" ht="12.75"/>
    <row r="11550" s="3161" customFormat="1" ht="12.75"/>
    <row r="11551" s="3161" customFormat="1" ht="12.75"/>
    <row r="11552" s="3161" customFormat="1" ht="12.75"/>
    <row r="11553" s="3161" customFormat="1" ht="12.75"/>
    <row r="11554" s="3161" customFormat="1" ht="12.75"/>
    <row r="11555" s="3161" customFormat="1" ht="12.75"/>
    <row r="11556" s="3161" customFormat="1" ht="12.75"/>
    <row r="11557" s="3161" customFormat="1" ht="12.75"/>
    <row r="11558" s="3161" customFormat="1" ht="12.75"/>
    <row r="11559" s="3161" customFormat="1" ht="12.75"/>
    <row r="11560" s="3161" customFormat="1" ht="12.75"/>
    <row r="11561" s="3161" customFormat="1" ht="12.75"/>
    <row r="11562" s="3161" customFormat="1" ht="12.75"/>
    <row r="11563" s="3161" customFormat="1" ht="12.75"/>
    <row r="11564" s="3161" customFormat="1" ht="12.75"/>
    <row r="11565" s="3161" customFormat="1" ht="12.75"/>
    <row r="11566" s="3161" customFormat="1" ht="12.75"/>
    <row r="11567" s="3161" customFormat="1" ht="12.75"/>
    <row r="11568" s="3161" customFormat="1" ht="12.75"/>
    <row r="11569" s="3161" customFormat="1" ht="12.75"/>
    <row r="11570" s="3161" customFormat="1" ht="12.75"/>
    <row r="11571" s="3161" customFormat="1" ht="12.75"/>
    <row r="11572" s="3161" customFormat="1" ht="12.75"/>
    <row r="11573" s="3161" customFormat="1" ht="12.75"/>
    <row r="11574" s="3161" customFormat="1" ht="12.75"/>
    <row r="11575" s="3161" customFormat="1" ht="12.75"/>
    <row r="11576" s="3161" customFormat="1" ht="12.75"/>
    <row r="11577" s="3161" customFormat="1" ht="12.75"/>
    <row r="11578" s="3161" customFormat="1" ht="12.75"/>
    <row r="11579" s="3161" customFormat="1" ht="12.75"/>
    <row r="11580" s="3161" customFormat="1" ht="12.75"/>
    <row r="11581" s="3161" customFormat="1" ht="12.75"/>
    <row r="11582" s="3161" customFormat="1" ht="12.75"/>
    <row r="11583" s="3161" customFormat="1" ht="12.75"/>
    <row r="11584" s="3161" customFormat="1" ht="12.75"/>
    <row r="11585" s="3161" customFormat="1" ht="12.75"/>
    <row r="11586" s="3161" customFormat="1" ht="12.75"/>
    <row r="11587" s="3161" customFormat="1" ht="12.75"/>
    <row r="11588" s="3161" customFormat="1" ht="12.75"/>
    <row r="11589" s="3161" customFormat="1" ht="12.75"/>
    <row r="11590" s="3161" customFormat="1" ht="12.75"/>
    <row r="11591" s="3161" customFormat="1" ht="12.75"/>
    <row r="11592" s="3161" customFormat="1" ht="12.75"/>
    <row r="11593" s="3161" customFormat="1" ht="12.75"/>
    <row r="11594" s="3161" customFormat="1" ht="12.75"/>
    <row r="11595" s="3161" customFormat="1" ht="12.75"/>
    <row r="11596" s="3161" customFormat="1" ht="12.75"/>
    <row r="11597" s="3161" customFormat="1" ht="12.75"/>
    <row r="11598" s="3161" customFormat="1" ht="12.75"/>
    <row r="11599" s="3161" customFormat="1" ht="12.75"/>
    <row r="11600" s="3161" customFormat="1" ht="12.75"/>
    <row r="11601" s="3161" customFormat="1" ht="12.75"/>
    <row r="11602" s="3161" customFormat="1" ht="12.75"/>
    <row r="11603" s="3161" customFormat="1" ht="12.75"/>
    <row r="11604" s="3161" customFormat="1" ht="12.75"/>
    <row r="11605" s="3161" customFormat="1" ht="12.75"/>
    <row r="11606" s="3161" customFormat="1" ht="12.75"/>
    <row r="11607" s="3161" customFormat="1" ht="12.75"/>
    <row r="11608" s="3161" customFormat="1" ht="12.75"/>
    <row r="11609" s="3161" customFormat="1" ht="12.75"/>
    <row r="11610" s="3161" customFormat="1" ht="12.75"/>
    <row r="11611" s="3161" customFormat="1" ht="12.75"/>
    <row r="11612" s="3161" customFormat="1" ht="12.75"/>
    <row r="11613" s="3161" customFormat="1" ht="12.75"/>
    <row r="11614" s="3161" customFormat="1" ht="12.75"/>
    <row r="11615" s="3161" customFormat="1" ht="12.75"/>
    <row r="11616" s="3161" customFormat="1" ht="12.75"/>
    <row r="11617" s="3161" customFormat="1" ht="12.75"/>
    <row r="11618" s="3161" customFormat="1" ht="12.75"/>
    <row r="11619" s="3161" customFormat="1" ht="12.75"/>
    <row r="11620" s="3161" customFormat="1" ht="12.75"/>
    <row r="11621" s="3161" customFormat="1" ht="12.75"/>
    <row r="11622" s="3161" customFormat="1" ht="12.75"/>
    <row r="11623" s="3161" customFormat="1" ht="12.75"/>
    <row r="11624" s="3161" customFormat="1" ht="12.75"/>
    <row r="11625" s="3161" customFormat="1" ht="12.75"/>
    <row r="11626" s="3161" customFormat="1" ht="12.75"/>
    <row r="11627" s="3161" customFormat="1" ht="12.75"/>
    <row r="11628" s="3161" customFormat="1" ht="12.75"/>
    <row r="11629" s="3161" customFormat="1" ht="12.75"/>
    <row r="11630" s="3161" customFormat="1" ht="12.75"/>
    <row r="11631" s="3161" customFormat="1" ht="12.75"/>
    <row r="11632" s="3161" customFormat="1" ht="12.75"/>
    <row r="11633" s="3161" customFormat="1" ht="12.75"/>
    <row r="11634" s="3161" customFormat="1" ht="12.75"/>
    <row r="11635" s="3161" customFormat="1" ht="12.75"/>
    <row r="11636" s="3161" customFormat="1" ht="12.75"/>
    <row r="11637" s="3161" customFormat="1" ht="12.75"/>
    <row r="11638" s="3161" customFormat="1" ht="12.75"/>
    <row r="11639" s="3161" customFormat="1" ht="12.75"/>
    <row r="11640" s="3161" customFormat="1" ht="12.75"/>
    <row r="11641" s="3161" customFormat="1" ht="12.75"/>
    <row r="11642" s="3161" customFormat="1" ht="12.75"/>
    <row r="11643" s="3161" customFormat="1" ht="12.75"/>
    <row r="11644" s="3161" customFormat="1" ht="12.75"/>
    <row r="11645" s="3161" customFormat="1" ht="12.75"/>
    <row r="11646" s="3161" customFormat="1" ht="12.75"/>
    <row r="11647" s="3161" customFormat="1" ht="12.75"/>
    <row r="11648" s="3161" customFormat="1" ht="12.75"/>
    <row r="11649" s="3161" customFormat="1" ht="12.75"/>
    <row r="11650" s="3161" customFormat="1" ht="12.75"/>
    <row r="11651" s="3161" customFormat="1" ht="12.75"/>
    <row r="11652" s="3161" customFormat="1" ht="12.75"/>
    <row r="11653" s="3161" customFormat="1" ht="12.75"/>
    <row r="11654" s="3161" customFormat="1" ht="12.75"/>
    <row r="11655" s="3161" customFormat="1" ht="12.75"/>
    <row r="11656" s="3161" customFormat="1" ht="12.75"/>
    <row r="11657" s="3161" customFormat="1" ht="12.75"/>
    <row r="11658" s="3161" customFormat="1" ht="12.75"/>
    <row r="11659" s="3161" customFormat="1" ht="12.75"/>
    <row r="11660" s="3161" customFormat="1" ht="12.75"/>
    <row r="11661" s="3161" customFormat="1" ht="12.75"/>
    <row r="11662" s="3161" customFormat="1" ht="12.75"/>
    <row r="11663" s="3161" customFormat="1" ht="12.75"/>
    <row r="11664" s="3161" customFormat="1" ht="12.75"/>
    <row r="11665" s="3161" customFormat="1" ht="12.75"/>
    <row r="11666" s="3161" customFormat="1" ht="12.75"/>
    <row r="11667" s="3161" customFormat="1" ht="12.75"/>
    <row r="11668" s="3161" customFormat="1" ht="12.75"/>
    <row r="11669" s="3161" customFormat="1" ht="12.75"/>
    <row r="11670" s="3161" customFormat="1" ht="12.75"/>
    <row r="11671" s="3161" customFormat="1" ht="12.75"/>
    <row r="11672" s="3161" customFormat="1" ht="12.75"/>
    <row r="11673" s="3161" customFormat="1" ht="12.75"/>
    <row r="11674" s="3161" customFormat="1" ht="12.75"/>
    <row r="11675" s="3161" customFormat="1" ht="12.75"/>
    <row r="11676" s="3161" customFormat="1" ht="12.75"/>
    <row r="11677" s="3161" customFormat="1" ht="12.75"/>
    <row r="11678" s="3161" customFormat="1" ht="12.75"/>
    <row r="11679" s="3161" customFormat="1" ht="12.75"/>
    <row r="11680" s="3161" customFormat="1" ht="12.75"/>
    <row r="11681" s="3161" customFormat="1" ht="12.75"/>
    <row r="11682" s="3161" customFormat="1" ht="12.75"/>
    <row r="11683" s="3161" customFormat="1" ht="12.75"/>
    <row r="11684" s="3161" customFormat="1" ht="12.75"/>
    <row r="11685" s="3161" customFormat="1" ht="12.75"/>
    <row r="11686" s="3161" customFormat="1" ht="12.75"/>
    <row r="11687" s="3161" customFormat="1" ht="12.75"/>
    <row r="11688" s="3161" customFormat="1" ht="12.75"/>
    <row r="11689" s="3161" customFormat="1" ht="12.75"/>
    <row r="11690" s="3161" customFormat="1" ht="12.75"/>
    <row r="11691" s="3161" customFormat="1" ht="12.75"/>
    <row r="11692" s="3161" customFormat="1" ht="12.75"/>
    <row r="11693" s="3161" customFormat="1" ht="12.75"/>
    <row r="11694" s="3161" customFormat="1" ht="12.75"/>
    <row r="11695" s="3161" customFormat="1" ht="12.75"/>
    <row r="11696" s="3161" customFormat="1" ht="12.75"/>
    <row r="11697" s="3161" customFormat="1" ht="12.75"/>
    <row r="11698" s="3161" customFormat="1" ht="12.75"/>
    <row r="11699" s="3161" customFormat="1" ht="12.75"/>
    <row r="11700" s="3161" customFormat="1" ht="12.75"/>
    <row r="11701" s="3161" customFormat="1" ht="12.75"/>
    <row r="11702" s="3161" customFormat="1" ht="12.75"/>
    <row r="11703" s="3161" customFormat="1" ht="12.75"/>
    <row r="11704" s="3161" customFormat="1" ht="12.75"/>
    <row r="11705" s="3161" customFormat="1" ht="12.75"/>
    <row r="11706" s="3161" customFormat="1" ht="12.75"/>
    <row r="11707" s="3161" customFormat="1" ht="12.75"/>
    <row r="11708" s="3161" customFormat="1" ht="12.75"/>
    <row r="11709" s="3161" customFormat="1" ht="12.75"/>
    <row r="11710" s="3161" customFormat="1" ht="12.75"/>
    <row r="11711" s="3161" customFormat="1" ht="12.75"/>
    <row r="11712" s="3161" customFormat="1" ht="12.75"/>
    <row r="11713" s="3161" customFormat="1" ht="12.75"/>
    <row r="11714" s="3161" customFormat="1" ht="12.75"/>
    <row r="11715" s="3161" customFormat="1" ht="12.75"/>
    <row r="11716" s="3161" customFormat="1" ht="12.75"/>
    <row r="11717" s="3161" customFormat="1" ht="12.75"/>
    <row r="11718" s="3161" customFormat="1" ht="12.75"/>
    <row r="11719" s="3161" customFormat="1" ht="12.75"/>
    <row r="11720" s="3161" customFormat="1" ht="12.75"/>
    <row r="11721" s="3161" customFormat="1" ht="12.75"/>
    <row r="11722" s="3161" customFormat="1" ht="12.75"/>
    <row r="11723" s="3161" customFormat="1" ht="12.75"/>
    <row r="11724" s="3161" customFormat="1" ht="12.75"/>
    <row r="11725" s="3161" customFormat="1" ht="12.75"/>
    <row r="11726" s="3161" customFormat="1" ht="12.75"/>
    <row r="11727" s="3161" customFormat="1" ht="12.75"/>
    <row r="11728" s="3161" customFormat="1" ht="12.75"/>
    <row r="11729" s="3161" customFormat="1" ht="12.75"/>
    <row r="11730" s="3161" customFormat="1" ht="12.75"/>
    <row r="11731" s="3161" customFormat="1" ht="12.75"/>
    <row r="11732" s="3161" customFormat="1" ht="12.75"/>
    <row r="11733" s="3161" customFormat="1" ht="12.75"/>
    <row r="11734" s="3161" customFormat="1" ht="12.75"/>
    <row r="11735" s="3161" customFormat="1" ht="12.75"/>
    <row r="11736" s="3161" customFormat="1" ht="12.75"/>
    <row r="11737" s="3161" customFormat="1" ht="12.75"/>
    <row r="11738" s="3161" customFormat="1" ht="12.75"/>
    <row r="11739" s="3161" customFormat="1" ht="12.75"/>
    <row r="11740" s="3161" customFormat="1" ht="12.75"/>
    <row r="11741" s="3161" customFormat="1" ht="12.75"/>
    <row r="11742" s="3161" customFormat="1" ht="12.75"/>
    <row r="11743" s="3161" customFormat="1" ht="12.75"/>
    <row r="11744" s="3161" customFormat="1" ht="12.75"/>
    <row r="11745" s="3161" customFormat="1" ht="12.75"/>
    <row r="11746" s="3161" customFormat="1" ht="12.75"/>
    <row r="11747" s="3161" customFormat="1" ht="12.75"/>
    <row r="11748" s="3161" customFormat="1" ht="12.75"/>
    <row r="11749" s="3161" customFormat="1" ht="12.75"/>
    <row r="11750" s="3161" customFormat="1" ht="12.75"/>
    <row r="11751" s="3161" customFormat="1" ht="12.75"/>
    <row r="11752" s="3161" customFormat="1" ht="12.75"/>
    <row r="11753" s="3161" customFormat="1" ht="12.75"/>
    <row r="11754" s="3161" customFormat="1" ht="12.75"/>
    <row r="11755" s="3161" customFormat="1" ht="12.75"/>
    <row r="11756" s="3161" customFormat="1" ht="12.75"/>
    <row r="11757" s="3161" customFormat="1" ht="12.75"/>
    <row r="11758" s="3161" customFormat="1" ht="12.75"/>
    <row r="11759" s="3161" customFormat="1" ht="12.75"/>
    <row r="11760" s="3161" customFormat="1" ht="12.75"/>
    <row r="11761" s="3161" customFormat="1" ht="12.75"/>
    <row r="11762" s="3161" customFormat="1" ht="12.75"/>
    <row r="11763" s="3161" customFormat="1" ht="12.75"/>
    <row r="11764" s="3161" customFormat="1" ht="12.75"/>
    <row r="11765" s="3161" customFormat="1" ht="12.75"/>
    <row r="11766" s="3161" customFormat="1" ht="12.75"/>
    <row r="11767" s="3161" customFormat="1" ht="12.75"/>
    <row r="11768" s="3161" customFormat="1" ht="12.75"/>
    <row r="11769" s="3161" customFormat="1" ht="12.75"/>
    <row r="11770" s="3161" customFormat="1" ht="12.75"/>
    <row r="11771" s="3161" customFormat="1" ht="12.75"/>
    <row r="11772" s="3161" customFormat="1" ht="12.75"/>
    <row r="11773" s="3161" customFormat="1" ht="12.75"/>
    <row r="11774" s="3161" customFormat="1" ht="12.75"/>
    <row r="11775" s="3161" customFormat="1" ht="12.75"/>
    <row r="11776" s="3161" customFormat="1" ht="12.75"/>
    <row r="11777" s="3161" customFormat="1" ht="12.75"/>
    <row r="11778" s="3161" customFormat="1" ht="12.75"/>
    <row r="11779" s="3161" customFormat="1" ht="12.75"/>
    <row r="11780" s="3161" customFormat="1" ht="12.75"/>
    <row r="11781" s="3161" customFormat="1" ht="12.75"/>
    <row r="11782" s="3161" customFormat="1" ht="12.75"/>
    <row r="11783" s="3161" customFormat="1" ht="12.75"/>
    <row r="11784" s="3161" customFormat="1" ht="12.75"/>
    <row r="11785" s="3161" customFormat="1" ht="12.75"/>
    <row r="11786" s="3161" customFormat="1" ht="12.75"/>
    <row r="11787" s="3161" customFormat="1" ht="12.75"/>
    <row r="11788" s="3161" customFormat="1" ht="12.75"/>
    <row r="11789" s="3161" customFormat="1" ht="12.75"/>
    <row r="11790" s="3161" customFormat="1" ht="12.75"/>
    <row r="11791" s="3161" customFormat="1" ht="12.75"/>
    <row r="11792" s="3161" customFormat="1" ht="12.75"/>
    <row r="11793" s="3161" customFormat="1" ht="12.75"/>
    <row r="11794" s="3161" customFormat="1" ht="12.75"/>
    <row r="11795" s="3161" customFormat="1" ht="12.75"/>
    <row r="11796" s="3161" customFormat="1" ht="12.75"/>
    <row r="11797" s="3161" customFormat="1" ht="12.75"/>
    <row r="11798" s="3161" customFormat="1" ht="12.75"/>
    <row r="11799" s="3161" customFormat="1" ht="12.75"/>
    <row r="11800" s="3161" customFormat="1" ht="12.75"/>
    <row r="11801" s="3161" customFormat="1" ht="12.75"/>
    <row r="11802" s="3161" customFormat="1" ht="12.75"/>
    <row r="11803" s="3161" customFormat="1" ht="12.75"/>
    <row r="11804" s="3161" customFormat="1" ht="12.75"/>
    <row r="11805" s="3161" customFormat="1" ht="12.75"/>
    <row r="11806" s="3161" customFormat="1" ht="12.75"/>
    <row r="11807" s="3161" customFormat="1" ht="12.75"/>
    <row r="11808" s="3161" customFormat="1" ht="12.75"/>
    <row r="11809" s="3161" customFormat="1" ht="12.75"/>
    <row r="11810" s="3161" customFormat="1" ht="12.75"/>
    <row r="11811" s="3161" customFormat="1" ht="12.75"/>
    <row r="11812" s="3161" customFormat="1" ht="12.75"/>
    <row r="11813" s="3161" customFormat="1" ht="12.75"/>
    <row r="11814" s="3161" customFormat="1" ht="12.75"/>
    <row r="11815" s="3161" customFormat="1" ht="12.75"/>
    <row r="11816" s="3161" customFormat="1" ht="12.75"/>
    <row r="11817" s="3161" customFormat="1" ht="12.75"/>
    <row r="11818" s="3161" customFormat="1" ht="12.75"/>
    <row r="11819" s="3161" customFormat="1" ht="12.75"/>
    <row r="11820" s="3161" customFormat="1" ht="12.75"/>
    <row r="11821" s="3161" customFormat="1" ht="12.75"/>
    <row r="11822" s="3161" customFormat="1" ht="12.75"/>
    <row r="11823" s="3161" customFormat="1" ht="12.75"/>
    <row r="11824" s="3161" customFormat="1" ht="12.75"/>
    <row r="11825" s="3161" customFormat="1" ht="12.75"/>
    <row r="11826" s="3161" customFormat="1" ht="12.75"/>
    <row r="11827" s="3161" customFormat="1" ht="12.75"/>
    <row r="11828" s="3161" customFormat="1" ht="12.75"/>
    <row r="11829" s="3161" customFormat="1" ht="12.75"/>
    <row r="11830" s="3161" customFormat="1" ht="12.75"/>
    <row r="11831" s="3161" customFormat="1" ht="12.75"/>
    <row r="11832" s="3161" customFormat="1" ht="12.75"/>
    <row r="11833" s="3161" customFormat="1" ht="12.75"/>
    <row r="11834" s="3161" customFormat="1" ht="12.75"/>
    <row r="11835" s="3161" customFormat="1" ht="12.75"/>
    <row r="11836" s="3161" customFormat="1" ht="12.75"/>
    <row r="11837" s="3161" customFormat="1" ht="12.75"/>
    <row r="11838" s="3161" customFormat="1" ht="12.75"/>
    <row r="11839" s="3161" customFormat="1" ht="12.75"/>
    <row r="11840" s="3161" customFormat="1" ht="12.75"/>
    <row r="11841" s="3161" customFormat="1" ht="12.75"/>
    <row r="11842" s="3161" customFormat="1" ht="12.75"/>
    <row r="11843" s="3161" customFormat="1" ht="12.75"/>
    <row r="11844" s="3161" customFormat="1" ht="12.75"/>
    <row r="11845" s="3161" customFormat="1" ht="12.75"/>
    <row r="11846" s="3161" customFormat="1" ht="12.75"/>
    <row r="11847" s="3161" customFormat="1" ht="12.75"/>
    <row r="11848" s="3161" customFormat="1" ht="12.75"/>
    <row r="11849" s="3161" customFormat="1" ht="12.75"/>
    <row r="11850" s="3161" customFormat="1" ht="12.75"/>
    <row r="11851" s="3161" customFormat="1" ht="12.75"/>
    <row r="11852" s="3161" customFormat="1" ht="12.75"/>
    <row r="11853" s="3161" customFormat="1" ht="12.75"/>
    <row r="11854" s="3161" customFormat="1" ht="12.75"/>
    <row r="11855" s="3161" customFormat="1" ht="12.75"/>
    <row r="11856" s="3161" customFormat="1" ht="12.75"/>
    <row r="11857" s="3161" customFormat="1" ht="12.75"/>
    <row r="11858" s="3161" customFormat="1" ht="12.75"/>
    <row r="11859" s="3161" customFormat="1" ht="12.75"/>
    <row r="11860" s="3161" customFormat="1" ht="12.75"/>
    <row r="11861" s="3161" customFormat="1" ht="12.75"/>
    <row r="11862" s="3161" customFormat="1" ht="12.75"/>
    <row r="11863" s="3161" customFormat="1" ht="12.75"/>
    <row r="11864" s="3161" customFormat="1" ht="12.75"/>
    <row r="11865" s="3161" customFormat="1" ht="12.75"/>
    <row r="11866" s="3161" customFormat="1" ht="12.75"/>
    <row r="11867" s="3161" customFormat="1" ht="12.75"/>
    <row r="11868" s="3161" customFormat="1" ht="12.75"/>
    <row r="11869" s="3161" customFormat="1" ht="12.75"/>
    <row r="11870" s="3161" customFormat="1" ht="12.75"/>
    <row r="11871" s="3161" customFormat="1" ht="12.75"/>
    <row r="11872" s="3161" customFormat="1" ht="12.75"/>
    <row r="11873" s="3161" customFormat="1" ht="12.75"/>
    <row r="11874" s="3161" customFormat="1" ht="12.75"/>
    <row r="11875" s="3161" customFormat="1" ht="12.75"/>
    <row r="11876" s="3161" customFormat="1" ht="12.75"/>
    <row r="11877" s="3161" customFormat="1" ht="12.75"/>
    <row r="11878" s="3161" customFormat="1" ht="12.75"/>
    <row r="11879" s="3161" customFormat="1" ht="12.75"/>
    <row r="11880" s="3161" customFormat="1" ht="12.75"/>
    <row r="11881" s="3161" customFormat="1" ht="12.75"/>
    <row r="11882" s="3161" customFormat="1" ht="12.75"/>
    <row r="11883" s="3161" customFormat="1" ht="12.75"/>
    <row r="11884" s="3161" customFormat="1" ht="12.75"/>
    <row r="11885" s="3161" customFormat="1" ht="12.75"/>
    <row r="11886" s="3161" customFormat="1" ht="12.75"/>
    <row r="11887" s="3161" customFormat="1" ht="12.75"/>
    <row r="11888" s="3161" customFormat="1" ht="12.75"/>
    <row r="11889" s="3161" customFormat="1" ht="12.75"/>
    <row r="11890" s="3161" customFormat="1" ht="12.75"/>
    <row r="11891" s="3161" customFormat="1" ht="12.75"/>
    <row r="11892" s="3161" customFormat="1" ht="12.75"/>
    <row r="11893" s="3161" customFormat="1" ht="12.75"/>
    <row r="11894" s="3161" customFormat="1" ht="12.75"/>
    <row r="11895" s="3161" customFormat="1" ht="12.75"/>
    <row r="11896" s="3161" customFormat="1" ht="12.75"/>
    <row r="11897" s="3161" customFormat="1" ht="12.75"/>
    <row r="11898" s="3161" customFormat="1" ht="12.75"/>
    <row r="11899" s="3161" customFormat="1" ht="12.75"/>
    <row r="11900" s="3161" customFormat="1" ht="12.75"/>
    <row r="11901" s="3161" customFormat="1" ht="12.75"/>
    <row r="11902" s="3161" customFormat="1" ht="12.75"/>
    <row r="11903" s="3161" customFormat="1" ht="12.75"/>
    <row r="11904" s="3161" customFormat="1" ht="12.75"/>
    <row r="11905" s="3161" customFormat="1" ht="12.75"/>
    <row r="11906" s="3161" customFormat="1" ht="12.75"/>
    <row r="11907" s="3161" customFormat="1" ht="12.75"/>
    <row r="11908" s="3161" customFormat="1" ht="12.75"/>
    <row r="11909" s="3161" customFormat="1" ht="12.75"/>
    <row r="11910" s="3161" customFormat="1" ht="12.75"/>
    <row r="11911" s="3161" customFormat="1" ht="12.75"/>
    <row r="11912" s="3161" customFormat="1" ht="12.75"/>
    <row r="11913" s="3161" customFormat="1" ht="12.75"/>
    <row r="11914" s="3161" customFormat="1" ht="12.75"/>
    <row r="11915" s="3161" customFormat="1" ht="12.75"/>
    <row r="11916" s="3161" customFormat="1" ht="12.75"/>
    <row r="11917" s="3161" customFormat="1" ht="12.75"/>
    <row r="11918" s="3161" customFormat="1" ht="12.75"/>
    <row r="11919" s="3161" customFormat="1" ht="12.75"/>
    <row r="11920" s="3161" customFormat="1" ht="12.75"/>
    <row r="11921" s="3161" customFormat="1" ht="12.75"/>
    <row r="11922" s="3161" customFormat="1" ht="12.75"/>
    <row r="11923" s="3161" customFormat="1" ht="12.75"/>
    <row r="11924" s="3161" customFormat="1" ht="12.75"/>
    <row r="11925" s="3161" customFormat="1" ht="12.75"/>
    <row r="11926" s="3161" customFormat="1" ht="12.75"/>
    <row r="11927" s="3161" customFormat="1" ht="12.75"/>
    <row r="11928" s="3161" customFormat="1" ht="12.75"/>
    <row r="11929" s="3161" customFormat="1" ht="12.75"/>
    <row r="11930" s="3161" customFormat="1" ht="12.75"/>
    <row r="11931" s="3161" customFormat="1" ht="12.75"/>
    <row r="11932" s="3161" customFormat="1" ht="12.75"/>
    <row r="11933" s="3161" customFormat="1" ht="12.75"/>
    <row r="11934" s="3161" customFormat="1" ht="12.75"/>
    <row r="11935" s="3161" customFormat="1" ht="12.75"/>
    <row r="11936" s="3161" customFormat="1" ht="12.75"/>
    <row r="11937" s="3161" customFormat="1" ht="12.75"/>
    <row r="11938" s="3161" customFormat="1" ht="12.75"/>
    <row r="11939" s="3161" customFormat="1" ht="12.75"/>
    <row r="11940" s="3161" customFormat="1" ht="12.75"/>
    <row r="11941" s="3161" customFormat="1" ht="12.75"/>
    <row r="11942" s="3161" customFormat="1" ht="12.75"/>
    <row r="11943" s="3161" customFormat="1" ht="12.75"/>
    <row r="11944" s="3161" customFormat="1" ht="12.75"/>
    <row r="11945" s="3161" customFormat="1" ht="12.75"/>
    <row r="11946" s="3161" customFormat="1" ht="12.75"/>
    <row r="11947" s="3161" customFormat="1" ht="12.75"/>
    <row r="11948" s="3161" customFormat="1" ht="12.75"/>
    <row r="11949" s="3161" customFormat="1" ht="12.75"/>
    <row r="11950" s="3161" customFormat="1" ht="12.75"/>
    <row r="11951" s="3161" customFormat="1" ht="12.75"/>
    <row r="11952" s="3161" customFormat="1" ht="12.75"/>
    <row r="11953" s="3161" customFormat="1" ht="12.75"/>
    <row r="11954" s="3161" customFormat="1" ht="12.75"/>
    <row r="11955" s="3161" customFormat="1" ht="12.75"/>
    <row r="11956" s="3161" customFormat="1" ht="12.75"/>
    <row r="11957" s="3161" customFormat="1" ht="12.75"/>
    <row r="11958" s="3161" customFormat="1" ht="12.75"/>
    <row r="11959" s="3161" customFormat="1" ht="12.75"/>
    <row r="11960" s="3161" customFormat="1" ht="12.75"/>
    <row r="11961" s="3161" customFormat="1" ht="12.75"/>
    <row r="11962" s="3161" customFormat="1" ht="12.75"/>
    <row r="11963" s="3161" customFormat="1" ht="12.75"/>
    <row r="11964" s="3161" customFormat="1" ht="12.75"/>
    <row r="11965" s="3161" customFormat="1" ht="12.75"/>
    <row r="11966" s="3161" customFormat="1" ht="12.75"/>
    <row r="11967" s="3161" customFormat="1" ht="12.75"/>
    <row r="11968" s="3161" customFormat="1" ht="12.75"/>
    <row r="11969" s="3161" customFormat="1" ht="12.75"/>
    <row r="11970" s="3161" customFormat="1" ht="12.75"/>
    <row r="11971" s="3161" customFormat="1" ht="12.75"/>
    <row r="11972" s="3161" customFormat="1" ht="12.75"/>
    <row r="11973" s="3161" customFormat="1" ht="12.75"/>
    <row r="11974" s="3161" customFormat="1" ht="12.75"/>
    <row r="11975" s="3161" customFormat="1" ht="12.75"/>
    <row r="11976" s="3161" customFormat="1" ht="12.75"/>
    <row r="11977" s="3161" customFormat="1" ht="12.75"/>
    <row r="11978" s="3161" customFormat="1" ht="12.75"/>
    <row r="11979" s="3161" customFormat="1" ht="12.75"/>
    <row r="11980" s="3161" customFormat="1" ht="12.75"/>
    <row r="11981" s="3161" customFormat="1" ht="12.75"/>
    <row r="11982" s="3161" customFormat="1" ht="12.75"/>
    <row r="11983" s="3161" customFormat="1" ht="12.75"/>
    <row r="11984" s="3161" customFormat="1" ht="12.75"/>
    <row r="11985" s="3161" customFormat="1" ht="12.75"/>
    <row r="11986" s="3161" customFormat="1" ht="12.75"/>
    <row r="11987" s="3161" customFormat="1" ht="12.75"/>
    <row r="11988" s="3161" customFormat="1" ht="12.75"/>
    <row r="11989" s="3161" customFormat="1" ht="12.75"/>
    <row r="11990" s="3161" customFormat="1" ht="12.75"/>
    <row r="11991" s="3161" customFormat="1" ht="12.75"/>
    <row r="11992" s="3161" customFormat="1" ht="12.75"/>
    <row r="11993" s="3161" customFormat="1" ht="12.75"/>
    <row r="11994" s="3161" customFormat="1" ht="12.75"/>
    <row r="11995" s="3161" customFormat="1" ht="12.75"/>
    <row r="11996" s="3161" customFormat="1" ht="12.75"/>
    <row r="11997" s="3161" customFormat="1" ht="12.75"/>
    <row r="11998" s="3161" customFormat="1" ht="12.75"/>
    <row r="11999" s="3161" customFormat="1" ht="12.75"/>
    <row r="12000" s="3161" customFormat="1" ht="12.75"/>
    <row r="12001" s="3161" customFormat="1" ht="12.75"/>
    <row r="12002" s="3161" customFormat="1" ht="12.75"/>
    <row r="12003" s="3161" customFormat="1" ht="12.75"/>
    <row r="12004" s="3161" customFormat="1" ht="12.75"/>
    <row r="12005" s="3161" customFormat="1" ht="12.75"/>
    <row r="12006" s="3161" customFormat="1" ht="12.75"/>
    <row r="12007" s="3161" customFormat="1" ht="12.75"/>
    <row r="12008" s="3161" customFormat="1" ht="12.75"/>
    <row r="12009" s="3161" customFormat="1" ht="12.75"/>
    <row r="12010" s="3161" customFormat="1" ht="12.75"/>
    <row r="12011" s="3161" customFormat="1" ht="12.75"/>
    <row r="12012" s="3161" customFormat="1" ht="12.75"/>
    <row r="12013" s="3161" customFormat="1" ht="12.75"/>
    <row r="12014" s="3161" customFormat="1" ht="12.75"/>
    <row r="12015" s="3161" customFormat="1" ht="12.75"/>
    <row r="12016" s="3161" customFormat="1" ht="12.75"/>
    <row r="12017" s="3161" customFormat="1" ht="12.75"/>
    <row r="12018" s="3161" customFormat="1" ht="12.75"/>
    <row r="12019" s="3161" customFormat="1" ht="12.75"/>
    <row r="12020" s="3161" customFormat="1" ht="12.75"/>
    <row r="12021" s="3161" customFormat="1" ht="12.75"/>
    <row r="12022" s="3161" customFormat="1" ht="12.75"/>
    <row r="12023" s="3161" customFormat="1" ht="12.75"/>
    <row r="12024" s="3161" customFormat="1" ht="12.75"/>
    <row r="12025" s="3161" customFormat="1" ht="12.75"/>
    <row r="12026" s="3161" customFormat="1" ht="12.75"/>
    <row r="12027" s="3161" customFormat="1" ht="12.75"/>
    <row r="12028" s="3161" customFormat="1" ht="12.75"/>
    <row r="12029" s="3161" customFormat="1" ht="12.75"/>
    <row r="12030" s="3161" customFormat="1" ht="12.75"/>
    <row r="12031" s="3161" customFormat="1" ht="12.75"/>
    <row r="12032" s="3161" customFormat="1" ht="12.75"/>
    <row r="12033" s="3161" customFormat="1" ht="12.75"/>
    <row r="12034" s="3161" customFormat="1" ht="12.75"/>
    <row r="12035" s="3161" customFormat="1" ht="12.75"/>
    <row r="12036" s="3161" customFormat="1" ht="12.75"/>
    <row r="12037" s="3161" customFormat="1" ht="12.75"/>
    <row r="12038" s="3161" customFormat="1" ht="12.75"/>
    <row r="12039" s="3161" customFormat="1" ht="12.75"/>
    <row r="12040" s="3161" customFormat="1" ht="12.75"/>
    <row r="12041" s="3161" customFormat="1" ht="12.75"/>
    <row r="12042" s="3161" customFormat="1" ht="12.75"/>
    <row r="12043" s="3161" customFormat="1" ht="12.75"/>
    <row r="12044" s="3161" customFormat="1" ht="12.75"/>
    <row r="12045" s="3161" customFormat="1" ht="12.75"/>
    <row r="12046" s="3161" customFormat="1" ht="12.75"/>
    <row r="12047" s="3161" customFormat="1" ht="12.75"/>
    <row r="12048" s="3161" customFormat="1" ht="12.75"/>
    <row r="12049" s="3161" customFormat="1" ht="12.75"/>
    <row r="12050" s="3161" customFormat="1" ht="12.75"/>
    <row r="12051" s="3161" customFormat="1" ht="12.75"/>
    <row r="12052" s="3161" customFormat="1" ht="12.75"/>
    <row r="12053" s="3161" customFormat="1" ht="12.75"/>
    <row r="12054" s="3161" customFormat="1" ht="12.75"/>
    <row r="12055" s="3161" customFormat="1" ht="12.75"/>
    <row r="12056" s="3161" customFormat="1" ht="12.75"/>
    <row r="12057" s="3161" customFormat="1" ht="12.75"/>
    <row r="12058" s="3161" customFormat="1" ht="12.75"/>
    <row r="12059" s="3161" customFormat="1" ht="12.75"/>
    <row r="12060" s="3161" customFormat="1" ht="12.75"/>
    <row r="12061" s="3161" customFormat="1" ht="12.75"/>
    <row r="12062" s="3161" customFormat="1" ht="12.75"/>
    <row r="12063" s="3161" customFormat="1" ht="12.75"/>
    <row r="12064" s="3161" customFormat="1" ht="12.75"/>
    <row r="12065" s="3161" customFormat="1" ht="12.75"/>
    <row r="12066" s="3161" customFormat="1" ht="12.75"/>
    <row r="12067" s="3161" customFormat="1" ht="12.75"/>
    <row r="12068" s="3161" customFormat="1" ht="12.75"/>
    <row r="12069" s="3161" customFormat="1" ht="12.75"/>
    <row r="12070" s="3161" customFormat="1" ht="12.75"/>
    <row r="12071" s="3161" customFormat="1" ht="12.75"/>
    <row r="12072" s="3161" customFormat="1" ht="12.75"/>
    <row r="12073" s="3161" customFormat="1" ht="12.75"/>
    <row r="12074" s="3161" customFormat="1" ht="12.75"/>
    <row r="12075" s="3161" customFormat="1" ht="12.75"/>
    <row r="12076" s="3161" customFormat="1" ht="12.75"/>
    <row r="12077" s="3161" customFormat="1" ht="12.75"/>
    <row r="12078" s="3161" customFormat="1" ht="12.75"/>
    <row r="12079" s="3161" customFormat="1" ht="12.75"/>
    <row r="12080" s="3161" customFormat="1" ht="12.75"/>
    <row r="12081" s="3161" customFormat="1" ht="12.75"/>
    <row r="12082" s="3161" customFormat="1" ht="12.75"/>
    <row r="12083" s="3161" customFormat="1" ht="12.75"/>
    <row r="12084" s="3161" customFormat="1" ht="12.75"/>
    <row r="12085" s="3161" customFormat="1" ht="12.75"/>
    <row r="12086" s="3161" customFormat="1" ht="12.75"/>
    <row r="12087" s="3161" customFormat="1" ht="12.75"/>
    <row r="12088" s="3161" customFormat="1" ht="12.75"/>
    <row r="12089" s="3161" customFormat="1" ht="12.75"/>
    <row r="12090" s="3161" customFormat="1" ht="12.75"/>
    <row r="12091" s="3161" customFormat="1" ht="12.75"/>
    <row r="12092" s="3161" customFormat="1" ht="12.75"/>
    <row r="12093" s="3161" customFormat="1" ht="12.75"/>
    <row r="12094" s="3161" customFormat="1" ht="12.75"/>
    <row r="12095" s="3161" customFormat="1" ht="12.75"/>
    <row r="12096" s="3161" customFormat="1" ht="12.75"/>
    <row r="12097" s="3161" customFormat="1" ht="12.75"/>
    <row r="12098" s="3161" customFormat="1" ht="12.75"/>
    <row r="12099" s="3161" customFormat="1" ht="12.75"/>
    <row r="12100" s="3161" customFormat="1" ht="12.75"/>
    <row r="12101" s="3161" customFormat="1" ht="12.75"/>
    <row r="12102" s="3161" customFormat="1" ht="12.75"/>
    <row r="12103" s="3161" customFormat="1" ht="12.75"/>
    <row r="12104" s="3161" customFormat="1" ht="12.75"/>
    <row r="12105" s="3161" customFormat="1" ht="12.75"/>
    <row r="12106" s="3161" customFormat="1" ht="12.75"/>
    <row r="12107" s="3161" customFormat="1" ht="12.75"/>
    <row r="12108" s="3161" customFormat="1" ht="12.75"/>
    <row r="12109" s="3161" customFormat="1" ht="12.75"/>
    <row r="12110" s="3161" customFormat="1" ht="12.75"/>
    <row r="12111" s="3161" customFormat="1" ht="12.75"/>
    <row r="12112" s="3161" customFormat="1" ht="12.75"/>
    <row r="12113" s="3161" customFormat="1" ht="12.75"/>
    <row r="12114" s="3161" customFormat="1" ht="12.75"/>
    <row r="12115" s="3161" customFormat="1" ht="12.75"/>
    <row r="12116" s="3161" customFormat="1" ht="12.75"/>
    <row r="12117" s="3161" customFormat="1" ht="12.75"/>
    <row r="12118" s="3161" customFormat="1" ht="12.75"/>
    <row r="12119" s="3161" customFormat="1" ht="12.75"/>
    <row r="12120" s="3161" customFormat="1" ht="12.75"/>
    <row r="12121" s="3161" customFormat="1" ht="12.75"/>
    <row r="12122" s="3161" customFormat="1" ht="12.75"/>
    <row r="12123" s="3161" customFormat="1" ht="12.75"/>
    <row r="12124" s="3161" customFormat="1" ht="12.75"/>
    <row r="12125" s="3161" customFormat="1" ht="12.75"/>
    <row r="12126" s="3161" customFormat="1" ht="12.75"/>
    <row r="12127" s="3161" customFormat="1" ht="12.75"/>
    <row r="12128" s="3161" customFormat="1" ht="12.75"/>
    <row r="12129" s="3161" customFormat="1" ht="12.75"/>
    <row r="12130" s="3161" customFormat="1" ht="12.75"/>
    <row r="12131" s="3161" customFormat="1" ht="12.75"/>
    <row r="12132" s="3161" customFormat="1" ht="12.75"/>
    <row r="12133" s="3161" customFormat="1" ht="12.75"/>
    <row r="12134" s="3161" customFormat="1" ht="12.75"/>
    <row r="12135" s="3161" customFormat="1" ht="12.75"/>
    <row r="12136" s="3161" customFormat="1" ht="12.75"/>
    <row r="12137" s="3161" customFormat="1" ht="12.75"/>
    <row r="12138" s="3161" customFormat="1" ht="12.75"/>
    <row r="12139" s="3161" customFormat="1" ht="12.75"/>
    <row r="12140" s="3161" customFormat="1" ht="12.75"/>
    <row r="12141" s="3161" customFormat="1" ht="12.75"/>
    <row r="12142" s="3161" customFormat="1" ht="12.75"/>
    <row r="12143" s="3161" customFormat="1" ht="12.75"/>
    <row r="12144" s="3161" customFormat="1" ht="12.75"/>
    <row r="12145" s="3161" customFormat="1" ht="12.75"/>
    <row r="12146" s="3161" customFormat="1" ht="12.75"/>
    <row r="12147" s="3161" customFormat="1" ht="12.75"/>
    <row r="12148" s="3161" customFormat="1" ht="12.75"/>
    <row r="12149" s="3161" customFormat="1" ht="12.75"/>
    <row r="12150" s="3161" customFormat="1" ht="12.75"/>
    <row r="12151" s="3161" customFormat="1" ht="12.75"/>
    <row r="12152" s="3161" customFormat="1" ht="12.75"/>
    <row r="12153" s="3161" customFormat="1" ht="12.75"/>
    <row r="12154" s="3161" customFormat="1" ht="12.75"/>
    <row r="12155" s="3161" customFormat="1" ht="12.75"/>
    <row r="12156" s="3161" customFormat="1" ht="12.75"/>
    <row r="12157" s="3161" customFormat="1" ht="12.75"/>
    <row r="12158" s="3161" customFormat="1" ht="12.75"/>
    <row r="12159" s="3161" customFormat="1" ht="12.75"/>
    <row r="12160" s="3161" customFormat="1" ht="12.75"/>
    <row r="12161" s="3161" customFormat="1" ht="12.75"/>
    <row r="12162" s="3161" customFormat="1" ht="12.75"/>
    <row r="12163" s="3161" customFormat="1" ht="12.75"/>
    <row r="12164" s="3161" customFormat="1" ht="12.75"/>
    <row r="12165" s="3161" customFormat="1" ht="12.75"/>
    <row r="12166" s="3161" customFormat="1" ht="12.75"/>
    <row r="12167" s="3161" customFormat="1" ht="12.75"/>
    <row r="12168" s="3161" customFormat="1" ht="12.75"/>
    <row r="12169" s="3161" customFormat="1" ht="12.75"/>
    <row r="12170" s="3161" customFormat="1" ht="12.75"/>
    <row r="12171" s="3161" customFormat="1" ht="12.75"/>
    <row r="12172" s="3161" customFormat="1" ht="12.75"/>
    <row r="12173" s="3161" customFormat="1" ht="12.75"/>
    <row r="12174" s="3161" customFormat="1" ht="12.75"/>
    <row r="12175" s="3161" customFormat="1" ht="12.75"/>
    <row r="12176" s="3161" customFormat="1" ht="12.75"/>
    <row r="12177" s="3161" customFormat="1" ht="12.75"/>
    <row r="12178" s="3161" customFormat="1" ht="12.75"/>
    <row r="12179" s="3161" customFormat="1" ht="12.75"/>
    <row r="12180" s="3161" customFormat="1" ht="12.75"/>
    <row r="12181" s="3161" customFormat="1" ht="12.75"/>
    <row r="12182" s="3161" customFormat="1" ht="12.75"/>
    <row r="12183" s="3161" customFormat="1" ht="12.75"/>
    <row r="12184" s="3161" customFormat="1" ht="12.75"/>
    <row r="12185" s="3161" customFormat="1" ht="12.75"/>
    <row r="12186" s="3161" customFormat="1" ht="12.75"/>
    <row r="12187" s="3161" customFormat="1" ht="12.75"/>
    <row r="12188" s="3161" customFormat="1" ht="12.75"/>
    <row r="12189" s="3161" customFormat="1" ht="12.75"/>
    <row r="12190" s="3161" customFormat="1" ht="12.75"/>
    <row r="12191" s="3161" customFormat="1" ht="12.75"/>
    <row r="12192" s="3161" customFormat="1" ht="12.75"/>
    <row r="12193" s="3161" customFormat="1" ht="12.75"/>
    <row r="12194" s="3161" customFormat="1" ht="12.75"/>
    <row r="12195" s="3161" customFormat="1" ht="12.75"/>
    <row r="12196" s="3161" customFormat="1" ht="12.75"/>
    <row r="12197" s="3161" customFormat="1" ht="12.75"/>
    <row r="12198" s="3161" customFormat="1" ht="12.75"/>
    <row r="12199" s="3161" customFormat="1" ht="12.75"/>
    <row r="12200" s="3161" customFormat="1" ht="12.75"/>
    <row r="12201" s="3161" customFormat="1" ht="12.75"/>
    <row r="12202" s="3161" customFormat="1" ht="12.75"/>
    <row r="12203" s="3161" customFormat="1" ht="12.75"/>
    <row r="12204" s="3161" customFormat="1" ht="12.75"/>
    <row r="12205" s="3161" customFormat="1" ht="12.75"/>
    <row r="12206" s="3161" customFormat="1" ht="12.75"/>
    <row r="12207" s="3161" customFormat="1" ht="12.75"/>
    <row r="12208" s="3161" customFormat="1" ht="12.75"/>
    <row r="12209" s="3161" customFormat="1" ht="12.75"/>
    <row r="12210" s="3161" customFormat="1" ht="12.75"/>
    <row r="12211" s="3161" customFormat="1" ht="12.75"/>
    <row r="12212" s="3161" customFormat="1" ht="12.75"/>
    <row r="12213" s="3161" customFormat="1" ht="12.75"/>
    <row r="12214" s="3161" customFormat="1" ht="12.75"/>
    <row r="12215" s="3161" customFormat="1" ht="12.75"/>
    <row r="12216" s="3161" customFormat="1" ht="12.75"/>
    <row r="12217" s="3161" customFormat="1" ht="12.75"/>
    <row r="12218" s="3161" customFormat="1" ht="12.75"/>
    <row r="12219" s="3161" customFormat="1" ht="12.75"/>
    <row r="12220" s="3161" customFormat="1" ht="12.75"/>
    <row r="12221" s="3161" customFormat="1" ht="12.75"/>
    <row r="12222" s="3161" customFormat="1" ht="12.75"/>
    <row r="12223" s="3161" customFormat="1" ht="12.75"/>
    <row r="12224" s="3161" customFormat="1" ht="12.75"/>
    <row r="12225" s="3161" customFormat="1" ht="12.75"/>
    <row r="12226" s="3161" customFormat="1" ht="12.75"/>
    <row r="12227" s="3161" customFormat="1" ht="12.75"/>
    <row r="12228" s="3161" customFormat="1" ht="12.75"/>
    <row r="12229" s="3161" customFormat="1" ht="12.75"/>
    <row r="12230" s="3161" customFormat="1" ht="12.75"/>
    <row r="12231" s="3161" customFormat="1" ht="12.75"/>
    <row r="12232" s="3161" customFormat="1" ht="12.75"/>
    <row r="12233" s="3161" customFormat="1" ht="12.75"/>
    <row r="12234" s="3161" customFormat="1" ht="12.75"/>
    <row r="12235" s="3161" customFormat="1" ht="12.75"/>
    <row r="12236" s="3161" customFormat="1" ht="12.75"/>
    <row r="12237" s="3161" customFormat="1" ht="12.75"/>
    <row r="12238" s="3161" customFormat="1" ht="12.75"/>
    <row r="12239" s="3161" customFormat="1" ht="12.75"/>
    <row r="12240" s="3161" customFormat="1" ht="12.75"/>
    <row r="12241" s="3161" customFormat="1" ht="12.75"/>
    <row r="12242" s="3161" customFormat="1" ht="12.75"/>
    <row r="12243" s="3161" customFormat="1" ht="12.75"/>
    <row r="12244" s="3161" customFormat="1" ht="12.75"/>
    <row r="12245" s="3161" customFormat="1" ht="12.75"/>
    <row r="12246" s="3161" customFormat="1" ht="12.75"/>
    <row r="12247" s="3161" customFormat="1" ht="12.75"/>
    <row r="12248" s="3161" customFormat="1" ht="12.75"/>
    <row r="12249" s="3161" customFormat="1" ht="12.75"/>
    <row r="12250" s="3161" customFormat="1" ht="12.75"/>
    <row r="12251" s="3161" customFormat="1" ht="12.75"/>
    <row r="12252" s="3161" customFormat="1" ht="12.75"/>
    <row r="12253" s="3161" customFormat="1" ht="12.75"/>
    <row r="12254" s="3161" customFormat="1" ht="12.75"/>
    <row r="12255" s="3161" customFormat="1" ht="12.75"/>
    <row r="12256" s="3161" customFormat="1" ht="12.75"/>
    <row r="12257" s="3161" customFormat="1" ht="12.75"/>
    <row r="12258" s="3161" customFormat="1" ht="12.75"/>
    <row r="12259" s="3161" customFormat="1" ht="12.75"/>
    <row r="12260" s="3161" customFormat="1" ht="12.75"/>
    <row r="12261" s="3161" customFormat="1" ht="12.75"/>
    <row r="12262" s="3161" customFormat="1" ht="12.75"/>
    <row r="12263" s="3161" customFormat="1" ht="12.75"/>
    <row r="12264" s="3161" customFormat="1" ht="12.75"/>
    <row r="12265" s="3161" customFormat="1" ht="12.75"/>
    <row r="12266" s="3161" customFormat="1" ht="12.75"/>
    <row r="12267" s="3161" customFormat="1" ht="12.75"/>
    <row r="12268" s="3161" customFormat="1" ht="12.75"/>
    <row r="12269" s="3161" customFormat="1" ht="12.75"/>
    <row r="12270" s="3161" customFormat="1" ht="12.75"/>
    <row r="12271" s="3161" customFormat="1" ht="12.75"/>
    <row r="12272" s="3161" customFormat="1" ht="12.75"/>
    <row r="12273" s="3161" customFormat="1" ht="12.75"/>
    <row r="12274" s="3161" customFormat="1" ht="12.75"/>
    <row r="12275" s="3161" customFormat="1" ht="12.75"/>
    <row r="12276" s="3161" customFormat="1" ht="12.75"/>
    <row r="12277" s="3161" customFormat="1" ht="12.75"/>
    <row r="12278" s="3161" customFormat="1" ht="12.75"/>
    <row r="12279" s="3161" customFormat="1" ht="12.75"/>
    <row r="12280" s="3161" customFormat="1" ht="12.75"/>
    <row r="12281" s="3161" customFormat="1" ht="12.75"/>
    <row r="12282" s="3161" customFormat="1" ht="12.75"/>
    <row r="12283" s="3161" customFormat="1" ht="12.75"/>
    <row r="12284" s="3161" customFormat="1" ht="12.75"/>
    <row r="12285" s="3161" customFormat="1" ht="12.75"/>
    <row r="12286" s="3161" customFormat="1" ht="12.75"/>
    <row r="12287" s="3161" customFormat="1" ht="12.75"/>
    <row r="12288" s="3161" customFormat="1" ht="12.75"/>
    <row r="12289" s="3161" customFormat="1" ht="12.75"/>
    <row r="12290" s="3161" customFormat="1" ht="12.75"/>
    <row r="12291" s="3161" customFormat="1" ht="12.75"/>
    <row r="12292" s="3161" customFormat="1" ht="12.75"/>
    <row r="12293" s="3161" customFormat="1" ht="12.75"/>
    <row r="12294" s="3161" customFormat="1" ht="12.75"/>
    <row r="12295" s="3161" customFormat="1" ht="12.75"/>
    <row r="12296" s="3161" customFormat="1" ht="12.75"/>
    <row r="12297" s="3161" customFormat="1" ht="12.75"/>
    <row r="12298" s="3161" customFormat="1" ht="12.75"/>
    <row r="12299" s="3161" customFormat="1" ht="12.75"/>
    <row r="12300" s="3161" customFormat="1" ht="12.75"/>
    <row r="12301" s="3161" customFormat="1" ht="12.75"/>
    <row r="12302" s="3161" customFormat="1" ht="12.75"/>
    <row r="12303" s="3161" customFormat="1" ht="12.75"/>
    <row r="12304" s="3161" customFormat="1" ht="12.75"/>
    <row r="12305" s="3161" customFormat="1" ht="12.75"/>
    <row r="12306" s="3161" customFormat="1" ht="12.75"/>
    <row r="12307" s="3161" customFormat="1" ht="12.75"/>
    <row r="12308" s="3161" customFormat="1" ht="12.75"/>
    <row r="12309" s="3161" customFormat="1" ht="12.75"/>
    <row r="12310" s="3161" customFormat="1" ht="12.75"/>
    <row r="12311" s="3161" customFormat="1" ht="12.75"/>
    <row r="12312" s="3161" customFormat="1" ht="12.75"/>
    <row r="12313" s="3161" customFormat="1" ht="12.75"/>
    <row r="12314" s="3161" customFormat="1" ht="12.75"/>
    <row r="12315" s="3161" customFormat="1" ht="12.75"/>
    <row r="12316" s="3161" customFormat="1" ht="12.75"/>
    <row r="12317" s="3161" customFormat="1" ht="12.75"/>
    <row r="12318" s="3161" customFormat="1" ht="12.75"/>
    <row r="12319" s="3161" customFormat="1" ht="12.75"/>
    <row r="12320" s="3161" customFormat="1" ht="12.75"/>
    <row r="12321" s="3161" customFormat="1" ht="12.75"/>
    <row r="12322" s="3161" customFormat="1" ht="12.75"/>
    <row r="12323" s="3161" customFormat="1" ht="12.75"/>
    <row r="12324" s="3161" customFormat="1" ht="12.75"/>
    <row r="12325" s="3161" customFormat="1" ht="12.75"/>
    <row r="12326" s="3161" customFormat="1" ht="12.75"/>
    <row r="12327" s="3161" customFormat="1" ht="12.75"/>
    <row r="12328" s="3161" customFormat="1" ht="12.75"/>
    <row r="12329" s="3161" customFormat="1" ht="12.75"/>
    <row r="12330" s="3161" customFormat="1" ht="12.75"/>
    <row r="12331" s="3161" customFormat="1" ht="12.75"/>
    <row r="12332" s="3161" customFormat="1" ht="12.75"/>
    <row r="12333" s="3161" customFormat="1" ht="12.75"/>
    <row r="12334" s="3161" customFormat="1" ht="12.75"/>
    <row r="12335" s="3161" customFormat="1" ht="12.75"/>
    <row r="12336" s="3161" customFormat="1" ht="12.75"/>
    <row r="12337" s="3161" customFormat="1" ht="12.75"/>
    <row r="12338" s="3161" customFormat="1" ht="12.75"/>
    <row r="12339" s="3161" customFormat="1" ht="12.75"/>
    <row r="12340" s="3161" customFormat="1" ht="12.75"/>
    <row r="12341" s="3161" customFormat="1" ht="12.75"/>
    <row r="12342" s="3161" customFormat="1" ht="12.75"/>
    <row r="12343" s="3161" customFormat="1" ht="12.75"/>
    <row r="12344" s="3161" customFormat="1" ht="12.75"/>
    <row r="12345" s="3161" customFormat="1" ht="12.75"/>
    <row r="12346" s="3161" customFormat="1" ht="12.75"/>
    <row r="12347" s="3161" customFormat="1" ht="12.75"/>
    <row r="12348" s="3161" customFormat="1" ht="12.75"/>
    <row r="12349" s="3161" customFormat="1" ht="12.75"/>
    <row r="12350" s="3161" customFormat="1" ht="12.75"/>
    <row r="12351" s="3161" customFormat="1" ht="12.75"/>
    <row r="12352" s="3161" customFormat="1" ht="12.75"/>
    <row r="12353" s="3161" customFormat="1" ht="12.75"/>
    <row r="12354" s="3161" customFormat="1" ht="12.75"/>
    <row r="12355" s="3161" customFormat="1" ht="12.75"/>
    <row r="12356" s="3161" customFormat="1" ht="12.75"/>
    <row r="12357" s="3161" customFormat="1" ht="12.75"/>
    <row r="12358" s="3161" customFormat="1" ht="12.75"/>
    <row r="12359" s="3161" customFormat="1" ht="12.75"/>
    <row r="12360" s="3161" customFormat="1" ht="12.75"/>
    <row r="12361" s="3161" customFormat="1" ht="12.75"/>
    <row r="12362" s="3161" customFormat="1" ht="12.75"/>
    <row r="12363" s="3161" customFormat="1" ht="12.75"/>
    <row r="12364" s="3161" customFormat="1" ht="12.75"/>
    <row r="12365" s="3161" customFormat="1" ht="12.75"/>
    <row r="12366" s="3161" customFormat="1" ht="12.75"/>
    <row r="12367" s="3161" customFormat="1" ht="12.75"/>
    <row r="12368" s="3161" customFormat="1" ht="12.75"/>
    <row r="12369" s="3161" customFormat="1" ht="12.75"/>
    <row r="12370" s="3161" customFormat="1" ht="12.75"/>
    <row r="12371" s="3161" customFormat="1" ht="12.75"/>
    <row r="12372" s="3161" customFormat="1" ht="12.75"/>
    <row r="12373" s="3161" customFormat="1" ht="12.75"/>
    <row r="12374" s="3161" customFormat="1" ht="12.75"/>
    <row r="12375" s="3161" customFormat="1" ht="12.75"/>
    <row r="12376" s="3161" customFormat="1" ht="12.75"/>
    <row r="12377" s="3161" customFormat="1" ht="12.75"/>
    <row r="12378" s="3161" customFormat="1" ht="12.75"/>
    <row r="12379" s="3161" customFormat="1" ht="12.75"/>
    <row r="12380" s="3161" customFormat="1" ht="12.75"/>
    <row r="12381" s="3161" customFormat="1" ht="12.75"/>
    <row r="12382" s="3161" customFormat="1" ht="12.75"/>
    <row r="12383" s="3161" customFormat="1" ht="12.75"/>
    <row r="12384" s="3161" customFormat="1" ht="12.75"/>
    <row r="12385" s="3161" customFormat="1" ht="12.75"/>
    <row r="12386" s="3161" customFormat="1" ht="12.75"/>
    <row r="12387" s="3161" customFormat="1" ht="12.75"/>
    <row r="12388" s="3161" customFormat="1" ht="12.75"/>
    <row r="12389" s="3161" customFormat="1" ht="12.75"/>
    <row r="12390" s="3161" customFormat="1" ht="12.75"/>
    <row r="12391" s="3161" customFormat="1" ht="12.75"/>
    <row r="12392" s="3161" customFormat="1" ht="12.75"/>
    <row r="12393" s="3161" customFormat="1" ht="12.75"/>
    <row r="12394" s="3161" customFormat="1" ht="12.75"/>
    <row r="12395" s="3161" customFormat="1" ht="12.75"/>
    <row r="12396" s="3161" customFormat="1" ht="12.75"/>
    <row r="12397" s="3161" customFormat="1" ht="12.75"/>
    <row r="12398" s="3161" customFormat="1" ht="12.75"/>
    <row r="12399" s="3161" customFormat="1" ht="12.75"/>
    <row r="12400" s="3161" customFormat="1" ht="12.75"/>
    <row r="12401" s="3161" customFormat="1" ht="12.75"/>
    <row r="12402" s="3161" customFormat="1" ht="12.75"/>
    <row r="12403" s="3161" customFormat="1" ht="12.75"/>
    <row r="12404" s="3161" customFormat="1" ht="12.75"/>
    <row r="12405" s="3161" customFormat="1" ht="12.75"/>
    <row r="12406" s="3161" customFormat="1" ht="12.75"/>
    <row r="12407" s="3161" customFormat="1" ht="12.75"/>
    <row r="12408" s="3161" customFormat="1" ht="12.75"/>
    <row r="12409" s="3161" customFormat="1" ht="12.75"/>
    <row r="12410" s="3161" customFormat="1" ht="12.75"/>
    <row r="12411" s="3161" customFormat="1" ht="12.75"/>
    <row r="12412" s="3161" customFormat="1" ht="12.75"/>
    <row r="12413" s="3161" customFormat="1" ht="12.75"/>
    <row r="12414" s="3161" customFormat="1" ht="12.75"/>
    <row r="12415" s="3161" customFormat="1" ht="12.75"/>
    <row r="12416" s="3161" customFormat="1" ht="12.75"/>
    <row r="12417" s="3161" customFormat="1" ht="12.75"/>
    <row r="12418" s="3161" customFormat="1" ht="12.75"/>
    <row r="12419" s="3161" customFormat="1" ht="12.75"/>
    <row r="12420" s="3161" customFormat="1" ht="12.75"/>
    <row r="12421" s="3161" customFormat="1" ht="12.75"/>
    <row r="12422" s="3161" customFormat="1" ht="12.75"/>
    <row r="12423" s="3161" customFormat="1" ht="12.75"/>
    <row r="12424" s="3161" customFormat="1" ht="12.75"/>
    <row r="12425" s="3161" customFormat="1" ht="12.75"/>
    <row r="12426" s="3161" customFormat="1" ht="12.75"/>
    <row r="12427" s="3161" customFormat="1" ht="12.75"/>
    <row r="12428" s="3161" customFormat="1" ht="12.75"/>
    <row r="12429" s="3161" customFormat="1" ht="12.75"/>
    <row r="12430" s="3161" customFormat="1" ht="12.75"/>
    <row r="12431" s="3161" customFormat="1" ht="12.75"/>
    <row r="12432" s="3161" customFormat="1" ht="12.75"/>
    <row r="12433" s="3161" customFormat="1" ht="12.75"/>
    <row r="12434" s="3161" customFormat="1" ht="12.75"/>
    <row r="12435" s="3161" customFormat="1" ht="12.75"/>
    <row r="12436" s="3161" customFormat="1" ht="12.75"/>
    <row r="12437" s="3161" customFormat="1" ht="12.75"/>
    <row r="12438" s="3161" customFormat="1" ht="12.75"/>
    <row r="12439" s="3161" customFormat="1" ht="12.75"/>
    <row r="12440" s="3161" customFormat="1" ht="12.75"/>
    <row r="12441" s="3161" customFormat="1" ht="12.75"/>
    <row r="12442" s="3161" customFormat="1" ht="12.75"/>
    <row r="12443" s="3161" customFormat="1" ht="12.75"/>
    <row r="12444" s="3161" customFormat="1" ht="12.75"/>
    <row r="12445" s="3161" customFormat="1" ht="12.75"/>
    <row r="12446" s="3161" customFormat="1" ht="12.75"/>
    <row r="12447" s="3161" customFormat="1" ht="12.75"/>
    <row r="12448" s="3161" customFormat="1" ht="12.75"/>
    <row r="12449" s="3161" customFormat="1" ht="12.75"/>
    <row r="12450" s="3161" customFormat="1" ht="12.75"/>
    <row r="12451" s="3161" customFormat="1" ht="12.75"/>
    <row r="12452" s="3161" customFormat="1" ht="12.75"/>
    <row r="12453" s="3161" customFormat="1" ht="12.75"/>
    <row r="12454" s="3161" customFormat="1" ht="12.75"/>
    <row r="12455" s="3161" customFormat="1" ht="12.75"/>
    <row r="12456" s="3161" customFormat="1" ht="12.75"/>
    <row r="12457" s="3161" customFormat="1" ht="12.75"/>
    <row r="12458" s="3161" customFormat="1" ht="12.75"/>
    <row r="12459" s="3161" customFormat="1" ht="12.75"/>
    <row r="12460" s="3161" customFormat="1" ht="12.75"/>
    <row r="12461" s="3161" customFormat="1" ht="12.75"/>
    <row r="12462" s="3161" customFormat="1" ht="12.75"/>
    <row r="12463" s="3161" customFormat="1" ht="12.75"/>
    <row r="12464" s="3161" customFormat="1" ht="12.75"/>
    <row r="12465" s="3161" customFormat="1" ht="12.75"/>
    <row r="12466" s="3161" customFormat="1" ht="12.75"/>
    <row r="12467" s="3161" customFormat="1" ht="12.75"/>
    <row r="12468" s="3161" customFormat="1" ht="12.75"/>
    <row r="12469" s="3161" customFormat="1" ht="12.75"/>
    <row r="12470" s="3161" customFormat="1" ht="12.75"/>
    <row r="12471" s="3161" customFormat="1" ht="12.75"/>
    <row r="12472" s="3161" customFormat="1" ht="12.75"/>
    <row r="12473" s="3161" customFormat="1" ht="12.75"/>
    <row r="12474" s="3161" customFormat="1" ht="12.75"/>
    <row r="12475" s="3161" customFormat="1" ht="12.75"/>
    <row r="12476" s="3161" customFormat="1" ht="12.75"/>
    <row r="12477" s="3161" customFormat="1" ht="12.75"/>
    <row r="12478" s="3161" customFormat="1" ht="12.75"/>
    <row r="12479" s="3161" customFormat="1" ht="12.75"/>
    <row r="12480" s="3161" customFormat="1" ht="12.75"/>
    <row r="12481" s="3161" customFormat="1" ht="12.75"/>
    <row r="12482" s="3161" customFormat="1" ht="12.75"/>
    <row r="12483" s="3161" customFormat="1" ht="12.75"/>
    <row r="12484" s="3161" customFormat="1" ht="12.75"/>
    <row r="12485" s="3161" customFormat="1" ht="12.75"/>
    <row r="12486" s="3161" customFormat="1" ht="12.75"/>
    <row r="12487" s="3161" customFormat="1" ht="12.75"/>
    <row r="12488" s="3161" customFormat="1" ht="12.75"/>
    <row r="12489" s="3161" customFormat="1" ht="12.75"/>
    <row r="12490" s="3161" customFormat="1" ht="12.75"/>
    <row r="12491" s="3161" customFormat="1" ht="12.75"/>
    <row r="12492" s="3161" customFormat="1" ht="12.75"/>
    <row r="12493" s="3161" customFormat="1" ht="12.75"/>
    <row r="12494" s="3161" customFormat="1" ht="12.75"/>
    <row r="12495" s="3161" customFormat="1" ht="12.75"/>
    <row r="12496" s="3161" customFormat="1" ht="12.75"/>
    <row r="12497" s="3161" customFormat="1" ht="12.75"/>
    <row r="12498" s="3161" customFormat="1" ht="12.75"/>
    <row r="12499" s="3161" customFormat="1" ht="12.75"/>
    <row r="12500" s="3161" customFormat="1" ht="12.75"/>
    <row r="12501" s="3161" customFormat="1" ht="12.75"/>
    <row r="12502" s="3161" customFormat="1" ht="12.75"/>
    <row r="12503" s="3161" customFormat="1" ht="12.75"/>
    <row r="12504" s="3161" customFormat="1" ht="12.75"/>
    <row r="12505" s="3161" customFormat="1" ht="12.75"/>
    <row r="12506" s="3161" customFormat="1" ht="12.75"/>
    <row r="12507" s="3161" customFormat="1" ht="12.75"/>
    <row r="12508" s="3161" customFormat="1" ht="12.75"/>
    <row r="12509" s="3161" customFormat="1" ht="12.75"/>
    <row r="12510" s="3161" customFormat="1" ht="12.75"/>
    <row r="12511" s="3161" customFormat="1" ht="12.75"/>
    <row r="12512" s="3161" customFormat="1" ht="12.75"/>
    <row r="12513" s="3161" customFormat="1" ht="12.75"/>
    <row r="12514" s="3161" customFormat="1" ht="12.75"/>
    <row r="12515" s="3161" customFormat="1" ht="12.75"/>
    <row r="12516" s="3161" customFormat="1" ht="12.75"/>
    <row r="12517" s="3161" customFormat="1" ht="12.75"/>
    <row r="12518" s="3161" customFormat="1" ht="12.75"/>
    <row r="12519" s="3161" customFormat="1" ht="12.75"/>
    <row r="12520" s="3161" customFormat="1" ht="12.75"/>
    <row r="12521" s="3161" customFormat="1" ht="12.75"/>
    <row r="12522" s="3161" customFormat="1" ht="12.75"/>
    <row r="12523" s="3161" customFormat="1" ht="12.75"/>
    <row r="12524" s="3161" customFormat="1" ht="12.75"/>
    <row r="12525" s="3161" customFormat="1" ht="12.75"/>
    <row r="12526" s="3161" customFormat="1" ht="12.75"/>
    <row r="12527" s="3161" customFormat="1" ht="12.75"/>
    <row r="12528" s="3161" customFormat="1" ht="12.75"/>
    <row r="12529" s="3161" customFormat="1" ht="12.75"/>
    <row r="12530" s="3161" customFormat="1" ht="12.75"/>
    <row r="12531" s="3161" customFormat="1" ht="12.75"/>
    <row r="12532" s="3161" customFormat="1" ht="12.75"/>
    <row r="12533" s="3161" customFormat="1" ht="12.75"/>
    <row r="12534" s="3161" customFormat="1" ht="12.75"/>
    <row r="12535" s="3161" customFormat="1" ht="12.75"/>
    <row r="12536" s="3161" customFormat="1" ht="12.75"/>
    <row r="12537" s="3161" customFormat="1" ht="12.75"/>
    <row r="12538" s="3161" customFormat="1" ht="12.75"/>
    <row r="12539" s="3161" customFormat="1" ht="12.75"/>
    <row r="12540" s="3161" customFormat="1" ht="12.75"/>
    <row r="12541" s="3161" customFormat="1" ht="12.75"/>
    <row r="12542" s="3161" customFormat="1" ht="12.75"/>
    <row r="12543" s="3161" customFormat="1" ht="12.75"/>
    <row r="12544" s="3161" customFormat="1" ht="12.75"/>
    <row r="12545" s="3161" customFormat="1" ht="12.75"/>
    <row r="12546" s="3161" customFormat="1" ht="12.75"/>
    <row r="12547" s="3161" customFormat="1" ht="12.75"/>
    <row r="12548" s="3161" customFormat="1" ht="12.75"/>
    <row r="12549" s="3161" customFormat="1" ht="12.75"/>
    <row r="12550" s="3161" customFormat="1" ht="12.75"/>
    <row r="12551" s="3161" customFormat="1" ht="12.75"/>
    <row r="12552" s="3161" customFormat="1" ht="12.75"/>
    <row r="12553" s="3161" customFormat="1" ht="12.75"/>
    <row r="12554" s="3161" customFormat="1" ht="12.75"/>
    <row r="12555" s="3161" customFormat="1" ht="12.75"/>
    <row r="12556" s="3161" customFormat="1" ht="12.75"/>
    <row r="12557" s="3161" customFormat="1" ht="12.75"/>
    <row r="12558" s="3161" customFormat="1" ht="12.75"/>
    <row r="12559" s="3161" customFormat="1" ht="12.75"/>
    <row r="12560" s="3161" customFormat="1" ht="12.75"/>
    <row r="12561" s="3161" customFormat="1" ht="12.75"/>
    <row r="12562" s="3161" customFormat="1" ht="12.75"/>
    <row r="12563" s="3161" customFormat="1" ht="12.75"/>
    <row r="12564" s="3161" customFormat="1" ht="12.75"/>
    <row r="12565" s="3161" customFormat="1" ht="12.75"/>
    <row r="12566" s="3161" customFormat="1" ht="12.75"/>
    <row r="12567" s="3161" customFormat="1" ht="12.75"/>
    <row r="12568" s="3161" customFormat="1" ht="12.75"/>
    <row r="12569" s="3161" customFormat="1" ht="12.75"/>
    <row r="12570" s="3161" customFormat="1" ht="12.75"/>
    <row r="12571" s="3161" customFormat="1" ht="12.75"/>
    <row r="12572" s="3161" customFormat="1" ht="12.75"/>
    <row r="12573" s="3161" customFormat="1" ht="12.75"/>
    <row r="12574" s="3161" customFormat="1" ht="12.75"/>
    <row r="12575" s="3161" customFormat="1" ht="12.75"/>
    <row r="12576" s="3161" customFormat="1" ht="12.75"/>
    <row r="12577" s="3161" customFormat="1" ht="12.75"/>
    <row r="12578" s="3161" customFormat="1" ht="12.75"/>
    <row r="12579" s="3161" customFormat="1" ht="12.75"/>
    <row r="12580" s="3161" customFormat="1" ht="12.75"/>
    <row r="12581" s="3161" customFormat="1" ht="12.75"/>
    <row r="12582" s="3161" customFormat="1" ht="12.75"/>
    <row r="12583" s="3161" customFormat="1" ht="12.75"/>
    <row r="12584" s="3161" customFormat="1" ht="12.75"/>
    <row r="12585" s="3161" customFormat="1" ht="12.75"/>
    <row r="12586" s="3161" customFormat="1" ht="12.75"/>
    <row r="12587" s="3161" customFormat="1" ht="12.75"/>
    <row r="12588" s="3161" customFormat="1" ht="12.75"/>
    <row r="12589" s="3161" customFormat="1" ht="12.75"/>
    <row r="12590" s="3161" customFormat="1" ht="12.75"/>
    <row r="12591" s="3161" customFormat="1" ht="12.75"/>
    <row r="12592" s="3161" customFormat="1" ht="12.75"/>
    <row r="12593" s="3161" customFormat="1" ht="12.75"/>
    <row r="12594" s="3161" customFormat="1" ht="12.75"/>
    <row r="12595" s="3161" customFormat="1" ht="12.75"/>
    <row r="12596" s="3161" customFormat="1" ht="12.75"/>
    <row r="12597" s="3161" customFormat="1" ht="12.75"/>
    <row r="12598" s="3161" customFormat="1" ht="12.75"/>
    <row r="12599" s="3161" customFormat="1" ht="12.75"/>
    <row r="12600" s="3161" customFormat="1" ht="12.75"/>
    <row r="12601" s="3161" customFormat="1" ht="12.75"/>
    <row r="12602" s="3161" customFormat="1" ht="12.75"/>
    <row r="12603" s="3161" customFormat="1" ht="12.75"/>
    <row r="12604" s="3161" customFormat="1" ht="12.75"/>
    <row r="12605" s="3161" customFormat="1" ht="12.75"/>
    <row r="12606" s="3161" customFormat="1" ht="12.75"/>
    <row r="12607" s="3161" customFormat="1" ht="12.75"/>
    <row r="12608" s="3161" customFormat="1" ht="12.75"/>
    <row r="12609" s="3161" customFormat="1" ht="12.75"/>
    <row r="12610" s="3161" customFormat="1" ht="12.75"/>
    <row r="12611" s="3161" customFormat="1" ht="12.75"/>
    <row r="12612" s="3161" customFormat="1" ht="12.75"/>
    <row r="12613" s="3161" customFormat="1" ht="12.75"/>
    <row r="12614" s="3161" customFormat="1" ht="12.75"/>
    <row r="12615" s="3161" customFormat="1" ht="12.75"/>
    <row r="12616" s="3161" customFormat="1" ht="12.75"/>
    <row r="12617" s="3161" customFormat="1" ht="12.75"/>
    <row r="12618" s="3161" customFormat="1" ht="12.75"/>
    <row r="12619" s="3161" customFormat="1" ht="12.75"/>
    <row r="12620" s="3161" customFormat="1" ht="12.75"/>
    <row r="12621" s="3161" customFormat="1" ht="12.75"/>
    <row r="12622" s="3161" customFormat="1" ht="12.75"/>
    <row r="12623" s="3161" customFormat="1" ht="12.75"/>
    <row r="12624" s="3161" customFormat="1" ht="12.75"/>
    <row r="12625" s="3161" customFormat="1" ht="12.75"/>
    <row r="12626" s="3161" customFormat="1" ht="12.75"/>
    <row r="12627" s="3161" customFormat="1" ht="12.75"/>
    <row r="12628" s="3161" customFormat="1" ht="12.75"/>
    <row r="12629" s="3161" customFormat="1" ht="12.75"/>
    <row r="12630" s="3161" customFormat="1" ht="12.75"/>
    <row r="12631" s="3161" customFormat="1" ht="12.75"/>
    <row r="12632" s="3161" customFormat="1" ht="12.75"/>
    <row r="12633" s="3161" customFormat="1" ht="12.75"/>
    <row r="12634" s="3161" customFormat="1" ht="12.75"/>
    <row r="12635" s="3161" customFormat="1" ht="12.75"/>
    <row r="12636" s="3161" customFormat="1" ht="12.75"/>
    <row r="12637" s="3161" customFormat="1" ht="12.75"/>
    <row r="12638" s="3161" customFormat="1" ht="12.75"/>
    <row r="12639" s="3161" customFormat="1" ht="12.75"/>
    <row r="12640" s="3161" customFormat="1" ht="12.75"/>
    <row r="12641" s="3161" customFormat="1" ht="12.75"/>
    <row r="12642" s="3161" customFormat="1" ht="12.75"/>
    <row r="12643" s="3161" customFormat="1" ht="12.75"/>
    <row r="12644" s="3161" customFormat="1" ht="12.75"/>
    <row r="12645" s="3161" customFormat="1" ht="12.75"/>
    <row r="12646" s="3161" customFormat="1" ht="12.75"/>
    <row r="12647" s="3161" customFormat="1" ht="12.75"/>
    <row r="12648" s="3161" customFormat="1" ht="12.75"/>
    <row r="12649" s="3161" customFormat="1" ht="12.75"/>
    <row r="12650" s="3161" customFormat="1" ht="12.75"/>
    <row r="12651" s="3161" customFormat="1" ht="12.75"/>
    <row r="12652" s="3161" customFormat="1" ht="12.75"/>
    <row r="12653" s="3161" customFormat="1" ht="12.75"/>
    <row r="12654" s="3161" customFormat="1" ht="12.75"/>
    <row r="12655" s="3161" customFormat="1" ht="12.75"/>
    <row r="12656" s="3161" customFormat="1" ht="12.75"/>
    <row r="12657" s="3161" customFormat="1" ht="12.75"/>
    <row r="12658" s="3161" customFormat="1" ht="12.75"/>
    <row r="12659" s="3161" customFormat="1" ht="12.75"/>
    <row r="12660" s="3161" customFormat="1" ht="12.75"/>
    <row r="12661" s="3161" customFormat="1" ht="12.75"/>
    <row r="12662" s="3161" customFormat="1" ht="12.75"/>
    <row r="12663" s="3161" customFormat="1" ht="12.75"/>
    <row r="12664" s="3161" customFormat="1" ht="12.75"/>
    <row r="12665" s="3161" customFormat="1" ht="12.75"/>
    <row r="12666" s="3161" customFormat="1" ht="12.75"/>
    <row r="12667" s="3161" customFormat="1" ht="12.75"/>
    <row r="12668" s="3161" customFormat="1" ht="12.75"/>
    <row r="12669" s="3161" customFormat="1" ht="12.75"/>
    <row r="12670" s="3161" customFormat="1" ht="12.75"/>
    <row r="12671" s="3161" customFormat="1" ht="12.75"/>
    <row r="12672" s="3161" customFormat="1" ht="12.75"/>
    <row r="12673" s="3161" customFormat="1" ht="12.75"/>
    <row r="12674" s="3161" customFormat="1" ht="12.75"/>
    <row r="12675" s="3161" customFormat="1" ht="12.75"/>
    <row r="12676" s="3161" customFormat="1" ht="12.75"/>
    <row r="12677" s="3161" customFormat="1" ht="12.75"/>
    <row r="12678" s="3161" customFormat="1" ht="12.75"/>
    <row r="12679" s="3161" customFormat="1" ht="12.75"/>
    <row r="12680" s="3161" customFormat="1" ht="12.75"/>
    <row r="12681" s="3161" customFormat="1" ht="12.75"/>
    <row r="12682" s="3161" customFormat="1" ht="12.75"/>
    <row r="12683" s="3161" customFormat="1" ht="12.75"/>
    <row r="12684" s="3161" customFormat="1" ht="12.75"/>
    <row r="12685" s="3161" customFormat="1" ht="12.75"/>
    <row r="12686" s="3161" customFormat="1" ht="12.75"/>
    <row r="12687" s="3161" customFormat="1" ht="12.75"/>
    <row r="12688" s="3161" customFormat="1" ht="12.75"/>
    <row r="12689" s="3161" customFormat="1" ht="12.75"/>
    <row r="12690" s="3161" customFormat="1" ht="12.75"/>
    <row r="12691" s="3161" customFormat="1" ht="12.75"/>
    <row r="12692" s="3161" customFormat="1" ht="12.75"/>
    <row r="12693" s="3161" customFormat="1" ht="12.75"/>
    <row r="12694" s="3161" customFormat="1" ht="12.75"/>
    <row r="12695" s="3161" customFormat="1" ht="12.75"/>
    <row r="12696" s="3161" customFormat="1" ht="12.75"/>
    <row r="12697" s="3161" customFormat="1" ht="12.75"/>
    <row r="12698" s="3161" customFormat="1" ht="12.75"/>
    <row r="12699" s="3161" customFormat="1" ht="12.75"/>
    <row r="12700" s="3161" customFormat="1" ht="12.75"/>
    <row r="12701" s="3161" customFormat="1" ht="12.75"/>
    <row r="12702" s="3161" customFormat="1" ht="12.75"/>
    <row r="12703" s="3161" customFormat="1" ht="12.75"/>
    <row r="12704" s="3161" customFormat="1" ht="12.75"/>
    <row r="12705" s="3161" customFormat="1" ht="12.75"/>
    <row r="12706" s="3161" customFormat="1" ht="12.75"/>
    <row r="12707" s="3161" customFormat="1" ht="12.75"/>
    <row r="12708" s="3161" customFormat="1" ht="12.75"/>
    <row r="12709" s="3161" customFormat="1" ht="12.75"/>
    <row r="12710" s="3161" customFormat="1" ht="12.75"/>
    <row r="12711" s="3161" customFormat="1" ht="12.75"/>
    <row r="12712" s="3161" customFormat="1" ht="12.75"/>
    <row r="12713" s="3161" customFormat="1" ht="12.75"/>
    <row r="12714" s="3161" customFormat="1" ht="12.75"/>
    <row r="12715" s="3161" customFormat="1" ht="12.75"/>
    <row r="12716" s="3161" customFormat="1" ht="12.75"/>
    <row r="12717" s="3161" customFormat="1" ht="12.75"/>
    <row r="12718" s="3161" customFormat="1" ht="12.75"/>
    <row r="12719" s="3161" customFormat="1" ht="12.75"/>
    <row r="12720" s="3161" customFormat="1" ht="12.75"/>
    <row r="12721" s="3161" customFormat="1" ht="12.75"/>
    <row r="12722" s="3161" customFormat="1" ht="12.75"/>
    <row r="12723" s="3161" customFormat="1" ht="12.75"/>
    <row r="12724" s="3161" customFormat="1" ht="12.75"/>
    <row r="12725" s="3161" customFormat="1" ht="12.75"/>
    <row r="12726" s="3161" customFormat="1" ht="12.75"/>
    <row r="12727" s="3161" customFormat="1" ht="12.75"/>
    <row r="12728" s="3161" customFormat="1" ht="12.75"/>
    <row r="12729" s="3161" customFormat="1" ht="12.75"/>
    <row r="12730" s="3161" customFormat="1" ht="12.75"/>
    <row r="12731" s="3161" customFormat="1" ht="12.75"/>
    <row r="12732" s="3161" customFormat="1" ht="12.75"/>
    <row r="12733" s="3161" customFormat="1" ht="12.75"/>
    <row r="12734" s="3161" customFormat="1" ht="12.75"/>
    <row r="12735" s="3161" customFormat="1" ht="12.75"/>
    <row r="12736" s="3161" customFormat="1" ht="12.75"/>
    <row r="12737" s="3161" customFormat="1" ht="12.75"/>
    <row r="12738" s="3161" customFormat="1" ht="12.75"/>
    <row r="12739" s="3161" customFormat="1" ht="12.75"/>
    <row r="12740" s="3161" customFormat="1" ht="12.75"/>
    <row r="12741" s="3161" customFormat="1" ht="12.75"/>
    <row r="12742" s="3161" customFormat="1" ht="12.75"/>
    <row r="12743" s="3161" customFormat="1" ht="12.75"/>
    <row r="12744" s="3161" customFormat="1" ht="12.75"/>
    <row r="12745" s="3161" customFormat="1" ht="12.75"/>
    <row r="12746" s="3161" customFormat="1" ht="12.75"/>
    <row r="12747" s="3161" customFormat="1" ht="12.75"/>
    <row r="12748" s="3161" customFormat="1" ht="12.75"/>
    <row r="12749" s="3161" customFormat="1" ht="12.75"/>
    <row r="12750" s="3161" customFormat="1" ht="12.75"/>
    <row r="12751" s="3161" customFormat="1" ht="12.75"/>
    <row r="12752" s="3161" customFormat="1" ht="12.75"/>
    <row r="12753" s="3161" customFormat="1" ht="12.75"/>
    <row r="12754" s="3161" customFormat="1" ht="12.75"/>
    <row r="12755" s="3161" customFormat="1" ht="12.75"/>
    <row r="12756" s="3161" customFormat="1" ht="12.75"/>
    <row r="12757" s="3161" customFormat="1" ht="12.75"/>
    <row r="12758" s="3161" customFormat="1" ht="12.75"/>
    <row r="12759" s="3161" customFormat="1" ht="12.75"/>
    <row r="12760" s="3161" customFormat="1" ht="12.75"/>
    <row r="12761" s="3161" customFormat="1" ht="12.75"/>
    <row r="12762" s="3161" customFormat="1" ht="12.75"/>
    <row r="12763" s="3161" customFormat="1" ht="12.75"/>
    <row r="12764" s="3161" customFormat="1" ht="12.75"/>
    <row r="12765" s="3161" customFormat="1" ht="12.75"/>
    <row r="12766" s="3161" customFormat="1" ht="12.75"/>
    <row r="12767" s="3161" customFormat="1" ht="12.75"/>
    <row r="12768" s="3161" customFormat="1" ht="12.75"/>
    <row r="12769" s="3161" customFormat="1" ht="12.75"/>
    <row r="12770" s="3161" customFormat="1" ht="12.75"/>
    <row r="12771" s="3161" customFormat="1" ht="12.75"/>
    <row r="12772" s="3161" customFormat="1" ht="12.75"/>
    <row r="12773" s="3161" customFormat="1" ht="12.75"/>
    <row r="12774" s="3161" customFormat="1" ht="12.75"/>
    <row r="12775" s="3161" customFormat="1" ht="12.75"/>
    <row r="12776" s="3161" customFormat="1" ht="12.75"/>
    <row r="12777" s="3161" customFormat="1" ht="12.75"/>
    <row r="12778" s="3161" customFormat="1" ht="12.75"/>
    <row r="12779" s="3161" customFormat="1" ht="12.75"/>
    <row r="12780" s="3161" customFormat="1" ht="12.75"/>
    <row r="12781" s="3161" customFormat="1" ht="12.75"/>
    <row r="12782" s="3161" customFormat="1" ht="12.75"/>
    <row r="12783" s="3161" customFormat="1" ht="12.75"/>
    <row r="12784" s="3161" customFormat="1" ht="12.75"/>
    <row r="12785" s="3161" customFormat="1" ht="12.75"/>
    <row r="12786" s="3161" customFormat="1" ht="12.75"/>
    <row r="12787" s="3161" customFormat="1" ht="12.75"/>
    <row r="12788" s="3161" customFormat="1" ht="12.75"/>
    <row r="12789" s="3161" customFormat="1" ht="12.75"/>
    <row r="12790" s="3161" customFormat="1" ht="12.75"/>
    <row r="12791" s="3161" customFormat="1" ht="12.75"/>
    <row r="12792" s="3161" customFormat="1" ht="12.75"/>
    <row r="12793" s="3161" customFormat="1" ht="12.75"/>
    <row r="12794" s="3161" customFormat="1" ht="12.75"/>
    <row r="12795" s="3161" customFormat="1" ht="12.75"/>
    <row r="12796" s="3161" customFormat="1" ht="12.75"/>
    <row r="12797" s="3161" customFormat="1" ht="12.75"/>
    <row r="12798" s="3161" customFormat="1" ht="12.75"/>
    <row r="12799" s="3161" customFormat="1" ht="12.75"/>
    <row r="12800" s="3161" customFormat="1" ht="12.75"/>
    <row r="12801" s="3161" customFormat="1" ht="12.75"/>
    <row r="12802" s="3161" customFormat="1" ht="12.75"/>
    <row r="12803" s="3161" customFormat="1" ht="12.75"/>
    <row r="12804" s="3161" customFormat="1" ht="12.75"/>
    <row r="12805" s="3161" customFormat="1" ht="12.75"/>
    <row r="12806" s="3161" customFormat="1" ht="12.75"/>
    <row r="12807" s="3161" customFormat="1" ht="12.75"/>
    <row r="12808" s="3161" customFormat="1" ht="12.75"/>
    <row r="12809" s="3161" customFormat="1" ht="12.75"/>
    <row r="12810" s="3161" customFormat="1" ht="12.75"/>
    <row r="12811" s="3161" customFormat="1" ht="12.75"/>
    <row r="12812" s="3161" customFormat="1" ht="12.75"/>
    <row r="12813" s="3161" customFormat="1" ht="12.75"/>
    <row r="12814" s="3161" customFormat="1" ht="12.75"/>
    <row r="12815" s="3161" customFormat="1" ht="12.75"/>
    <row r="12816" s="3161" customFormat="1" ht="12.75"/>
    <row r="12817" s="3161" customFormat="1" ht="12.75"/>
    <row r="12818" s="3161" customFormat="1" ht="12.75"/>
    <row r="12819" s="3161" customFormat="1" ht="12.75"/>
    <row r="12820" s="3161" customFormat="1" ht="12.75"/>
    <row r="12821" s="3161" customFormat="1" ht="12.75"/>
    <row r="12822" s="3161" customFormat="1" ht="12.75"/>
    <row r="12823" s="3161" customFormat="1" ht="12.75"/>
    <row r="12824" s="3161" customFormat="1" ht="12.75"/>
    <row r="12825" s="3161" customFormat="1" ht="12.75"/>
    <row r="12826" s="3161" customFormat="1" ht="12.75"/>
    <row r="12827" s="3161" customFormat="1" ht="12.75"/>
    <row r="12828" s="3161" customFormat="1" ht="12.75"/>
    <row r="12829" s="3161" customFormat="1" ht="12.75"/>
    <row r="12830" s="3161" customFormat="1" ht="12.75"/>
    <row r="12831" s="3161" customFormat="1" ht="12.75"/>
    <row r="12832" s="3161" customFormat="1" ht="12.75"/>
    <row r="12833" s="3161" customFormat="1" ht="12.75"/>
    <row r="12834" s="3161" customFormat="1" ht="12.75"/>
    <row r="12835" s="3161" customFormat="1" ht="12.75"/>
    <row r="12836" s="3161" customFormat="1" ht="12.75"/>
    <row r="12837" s="3161" customFormat="1" ht="12.75"/>
    <row r="12838" s="3161" customFormat="1" ht="12.75"/>
    <row r="12839" s="3161" customFormat="1" ht="12.75"/>
    <row r="12840" s="3161" customFormat="1" ht="12.75"/>
    <row r="12841" s="3161" customFormat="1" ht="12.75"/>
    <row r="12842" s="3161" customFormat="1" ht="12.75"/>
    <row r="12843" s="3161" customFormat="1" ht="12.75"/>
    <row r="12844" s="3161" customFormat="1" ht="12.75"/>
    <row r="12845" s="3161" customFormat="1" ht="12.75"/>
    <row r="12846" s="3161" customFormat="1" ht="12.75"/>
    <row r="12847" s="3161" customFormat="1" ht="12.75"/>
    <row r="12848" s="3161" customFormat="1" ht="12.75"/>
    <row r="12849" s="3161" customFormat="1" ht="12.75"/>
    <row r="12850" s="3161" customFormat="1" ht="12.75"/>
    <row r="12851" s="3161" customFormat="1" ht="12.75"/>
    <row r="12852" s="3161" customFormat="1" ht="12.75"/>
    <row r="12853" s="3161" customFormat="1" ht="12.75"/>
    <row r="12854" s="3161" customFormat="1" ht="12.75"/>
    <row r="12855" s="3161" customFormat="1" ht="12.75"/>
    <row r="12856" s="3161" customFormat="1" ht="12.75"/>
    <row r="12857" s="3161" customFormat="1" ht="12.75"/>
    <row r="12858" s="3161" customFormat="1" ht="12.75"/>
    <row r="12859" s="3161" customFormat="1" ht="12.75"/>
    <row r="12860" s="3161" customFormat="1" ht="12.75"/>
    <row r="12861" s="3161" customFormat="1" ht="12.75"/>
    <row r="12862" s="3161" customFormat="1" ht="12.75"/>
    <row r="12863" s="3161" customFormat="1" ht="12.75"/>
    <row r="12864" s="3161" customFormat="1" ht="12.75"/>
    <row r="12865" s="3161" customFormat="1" ht="12.75"/>
    <row r="12866" s="3161" customFormat="1" ht="12.75"/>
    <row r="12867" s="3161" customFormat="1" ht="12.75"/>
    <row r="12868" s="3161" customFormat="1" ht="12.75"/>
    <row r="12869" s="3161" customFormat="1" ht="12.75"/>
    <row r="12870" s="3161" customFormat="1" ht="12.75"/>
    <row r="12871" s="3161" customFormat="1" ht="12.75"/>
    <row r="12872" s="3161" customFormat="1" ht="12.75"/>
    <row r="12873" s="3161" customFormat="1" ht="12.75"/>
    <row r="12874" s="3161" customFormat="1" ht="12.75"/>
    <row r="12875" s="3161" customFormat="1" ht="12.75"/>
    <row r="12876" s="3161" customFormat="1" ht="12.75"/>
    <row r="12877" s="3161" customFormat="1" ht="12.75"/>
    <row r="12878" s="3161" customFormat="1" ht="12.75"/>
    <row r="12879" s="3161" customFormat="1" ht="12.75"/>
    <row r="12880" s="3161" customFormat="1" ht="12.75"/>
    <row r="12881" s="3161" customFormat="1" ht="12.75"/>
    <row r="12882" s="3161" customFormat="1" ht="12.75"/>
    <row r="12883" s="3161" customFormat="1" ht="12.75"/>
    <row r="12884" s="3161" customFormat="1" ht="12.75"/>
    <row r="12885" s="3161" customFormat="1" ht="12.75"/>
    <row r="12886" s="3161" customFormat="1" ht="12.75"/>
    <row r="12887" s="3161" customFormat="1" ht="12.75"/>
    <row r="12888" s="3161" customFormat="1" ht="12.75"/>
    <row r="12889" s="3161" customFormat="1" ht="12.75"/>
    <row r="12890" s="3161" customFormat="1" ht="12.75"/>
    <row r="12891" s="3161" customFormat="1" ht="12.75"/>
    <row r="12892" s="3161" customFormat="1" ht="12.75"/>
    <row r="12893" s="3161" customFormat="1" ht="12.75"/>
    <row r="12894" s="3161" customFormat="1" ht="12.75"/>
    <row r="12895" s="3161" customFormat="1" ht="12.75"/>
    <row r="12896" s="3161" customFormat="1" ht="12.75"/>
    <row r="12897" s="3161" customFormat="1" ht="12.75"/>
    <row r="12898" s="3161" customFormat="1" ht="12.75"/>
    <row r="12899" s="3161" customFormat="1" ht="12.75"/>
    <row r="12900" s="3161" customFormat="1" ht="12.75"/>
    <row r="12901" s="3161" customFormat="1" ht="12.75"/>
    <row r="12902" s="3161" customFormat="1" ht="12.75"/>
    <row r="12903" s="3161" customFormat="1" ht="12.75"/>
    <row r="12904" s="3161" customFormat="1" ht="12.75"/>
    <row r="12905" s="3161" customFormat="1" ht="12.75"/>
    <row r="12906" s="3161" customFormat="1" ht="12.75"/>
    <row r="12907" s="3161" customFormat="1" ht="12.75"/>
    <row r="12908" s="3161" customFormat="1" ht="12.75"/>
    <row r="12909" s="3161" customFormat="1" ht="12.75"/>
    <row r="12910" s="3161" customFormat="1" ht="12.75"/>
    <row r="12911" s="3161" customFormat="1" ht="12.75"/>
    <row r="12912" s="3161" customFormat="1" ht="12.75"/>
    <row r="12913" s="3161" customFormat="1" ht="12.75"/>
    <row r="12914" s="3161" customFormat="1" ht="12.75"/>
    <row r="12915" s="3161" customFormat="1" ht="12.75"/>
    <row r="12916" s="3161" customFormat="1" ht="12.75"/>
    <row r="12917" s="3161" customFormat="1" ht="12.75"/>
    <row r="12918" s="3161" customFormat="1" ht="12.75"/>
    <row r="12919" s="3161" customFormat="1" ht="12.75"/>
    <row r="12920" s="3161" customFormat="1" ht="12.75"/>
    <row r="12921" s="3161" customFormat="1" ht="12.75"/>
    <row r="12922" s="3161" customFormat="1" ht="12.75"/>
    <row r="12923" s="3161" customFormat="1" ht="12.75"/>
    <row r="12924" s="3161" customFormat="1" ht="12.75"/>
    <row r="12925" s="3161" customFormat="1" ht="12.75"/>
    <row r="12926" s="3161" customFormat="1" ht="12.75"/>
    <row r="12927" s="3161" customFormat="1" ht="12.75"/>
    <row r="12928" s="3161" customFormat="1" ht="12.75"/>
    <row r="12929" s="3161" customFormat="1" ht="12.75"/>
    <row r="12930" s="3161" customFormat="1" ht="12.75"/>
    <row r="12931" s="3161" customFormat="1" ht="12.75"/>
    <row r="12932" s="3161" customFormat="1" ht="12.75"/>
    <row r="12933" s="3161" customFormat="1" ht="12.75"/>
    <row r="12934" s="3161" customFormat="1" ht="12.75"/>
    <row r="12935" s="3161" customFormat="1" ht="12.75"/>
    <row r="12936" s="3161" customFormat="1" ht="12.75"/>
    <row r="12937" s="3161" customFormat="1" ht="12.75"/>
    <row r="12938" s="3161" customFormat="1" ht="12.75"/>
    <row r="12939" s="3161" customFormat="1" ht="12.75"/>
    <row r="12940" s="3161" customFormat="1" ht="12.75"/>
    <row r="12941" s="3161" customFormat="1" ht="12.75"/>
    <row r="12942" s="3161" customFormat="1" ht="12.75"/>
    <row r="12943" s="3161" customFormat="1" ht="12.75"/>
    <row r="12944" s="3161" customFormat="1" ht="12.75"/>
    <row r="12945" s="3161" customFormat="1" ht="12.75"/>
    <row r="12946" s="3161" customFormat="1" ht="12.75"/>
    <row r="12947" s="3161" customFormat="1" ht="12.75"/>
    <row r="12948" s="3161" customFormat="1" ht="12.75"/>
    <row r="12949" s="3161" customFormat="1" ht="12.75"/>
    <row r="12950" s="3161" customFormat="1" ht="12.75"/>
    <row r="12951" s="3161" customFormat="1" ht="12.75"/>
    <row r="12952" s="3161" customFormat="1" ht="12.75"/>
    <row r="12953" s="3161" customFormat="1" ht="12.75"/>
    <row r="12954" s="3161" customFormat="1" ht="12.75"/>
    <row r="12955" s="3161" customFormat="1" ht="12.75"/>
    <row r="12956" s="3161" customFormat="1" ht="12.75"/>
    <row r="12957" s="3161" customFormat="1" ht="12.75"/>
    <row r="12958" s="3161" customFormat="1" ht="12.75"/>
    <row r="12959" s="3161" customFormat="1" ht="12.75"/>
    <row r="12960" s="3161" customFormat="1" ht="12.75"/>
    <row r="12961" s="3161" customFormat="1" ht="12.75"/>
    <row r="12962" s="3161" customFormat="1" ht="12.75"/>
    <row r="12963" s="3161" customFormat="1" ht="12.75"/>
    <row r="12964" s="3161" customFormat="1" ht="12.75"/>
    <row r="12965" s="3161" customFormat="1" ht="12.75"/>
    <row r="12966" s="3161" customFormat="1" ht="12.75"/>
    <row r="12967" s="3161" customFormat="1" ht="12.75"/>
    <row r="12968" s="3161" customFormat="1" ht="12.75"/>
    <row r="12969" s="3161" customFormat="1" ht="12.75"/>
    <row r="12970" s="3161" customFormat="1" ht="12.75"/>
    <row r="12971" s="3161" customFormat="1" ht="12.75"/>
    <row r="12972" s="3161" customFormat="1" ht="12.75"/>
    <row r="12973" s="3161" customFormat="1" ht="12.75"/>
    <row r="12974" s="3161" customFormat="1" ht="12.75"/>
    <row r="12975" s="3161" customFormat="1" ht="12.75"/>
    <row r="12976" s="3161" customFormat="1" ht="12.75"/>
    <row r="12977" s="3161" customFormat="1" ht="12.75"/>
    <row r="12978" s="3161" customFormat="1" ht="12.75"/>
    <row r="12979" s="3161" customFormat="1" ht="12.75"/>
    <row r="12980" s="3161" customFormat="1" ht="12.75"/>
    <row r="12981" s="3161" customFormat="1" ht="12.75"/>
    <row r="12982" s="3161" customFormat="1" ht="12.75"/>
    <row r="12983" s="3161" customFormat="1" ht="12.75"/>
    <row r="12984" s="3161" customFormat="1" ht="12.75"/>
    <row r="12985" s="3161" customFormat="1" ht="12.75"/>
    <row r="12986" s="3161" customFormat="1" ht="12.75"/>
    <row r="12987" s="3161" customFormat="1" ht="12.75"/>
    <row r="12988" s="3161" customFormat="1" ht="12.75"/>
    <row r="12989" s="3161" customFormat="1" ht="12.75"/>
    <row r="12990" s="3161" customFormat="1" ht="12.75"/>
    <row r="12991" s="3161" customFormat="1" ht="12.75"/>
    <row r="12992" s="3161" customFormat="1" ht="12.75"/>
    <row r="12993" s="3161" customFormat="1" ht="12.75"/>
    <row r="12994" s="3161" customFormat="1" ht="12.75"/>
    <row r="12995" s="3161" customFormat="1" ht="12.75"/>
    <row r="12996" s="3161" customFormat="1" ht="12.75"/>
    <row r="12997" s="3161" customFormat="1" ht="12.75"/>
    <row r="12998" s="3161" customFormat="1" ht="12.75"/>
    <row r="12999" s="3161" customFormat="1" ht="12.75"/>
    <row r="13000" s="3161" customFormat="1" ht="12.75"/>
    <row r="13001" s="3161" customFormat="1" ht="12.75"/>
    <row r="13002" s="3161" customFormat="1" ht="12.75"/>
    <row r="13003" s="3161" customFormat="1" ht="12.75"/>
    <row r="13004" s="3161" customFormat="1" ht="12.75"/>
    <row r="13005" s="3161" customFormat="1" ht="12.75"/>
    <row r="13006" s="3161" customFormat="1" ht="12.75"/>
    <row r="13007" s="3161" customFormat="1" ht="12.75"/>
    <row r="13008" s="3161" customFormat="1" ht="12.75"/>
    <row r="13009" s="3161" customFormat="1" ht="12.75"/>
    <row r="13010" s="3161" customFormat="1" ht="12.75"/>
    <row r="13011" s="3161" customFormat="1" ht="12.75"/>
    <row r="13012" s="3161" customFormat="1" ht="12.75"/>
    <row r="13013" s="3161" customFormat="1" ht="12.75"/>
    <row r="13014" s="3161" customFormat="1" ht="12.75"/>
    <row r="13015" s="3161" customFormat="1" ht="12.75"/>
    <row r="13016" s="3161" customFormat="1" ht="12.75"/>
    <row r="13017" s="3161" customFormat="1" ht="12.75"/>
    <row r="13018" s="3161" customFormat="1" ht="12.75"/>
    <row r="13019" s="3161" customFormat="1" ht="12.75"/>
    <row r="13020" s="3161" customFormat="1" ht="12.75"/>
    <row r="13021" s="3161" customFormat="1" ht="12.75"/>
    <row r="13022" s="3161" customFormat="1" ht="12.75"/>
    <row r="13023" s="3161" customFormat="1" ht="12.75"/>
    <row r="13024" s="3161" customFormat="1" ht="12.75"/>
    <row r="13025" s="3161" customFormat="1" ht="12.75"/>
    <row r="13026" s="3161" customFormat="1" ht="12.75"/>
    <row r="13027" s="3161" customFormat="1" ht="12.75"/>
    <row r="13028" s="3161" customFormat="1" ht="12.75"/>
    <row r="13029" s="3161" customFormat="1" ht="12.75"/>
    <row r="13030" s="3161" customFormat="1" ht="12.75"/>
    <row r="13031" s="3161" customFormat="1" ht="12.75"/>
    <row r="13032" s="3161" customFormat="1" ht="12.75"/>
    <row r="13033" s="3161" customFormat="1" ht="12.75"/>
    <row r="13034" s="3161" customFormat="1" ht="12.75"/>
    <row r="13035" s="3161" customFormat="1" ht="12.75"/>
    <row r="13036" s="3161" customFormat="1" ht="12.75"/>
    <row r="13037" s="3161" customFormat="1" ht="12.75"/>
    <row r="13038" s="3161" customFormat="1" ht="12.75"/>
    <row r="13039" s="3161" customFormat="1" ht="12.75"/>
    <row r="13040" s="3161" customFormat="1" ht="12.75"/>
    <row r="13041" s="3161" customFormat="1" ht="12.75"/>
    <row r="13042" s="3161" customFormat="1" ht="12.75"/>
    <row r="13043" s="3161" customFormat="1" ht="12.75"/>
    <row r="13044" s="3161" customFormat="1" ht="12.75"/>
    <row r="13045" s="3161" customFormat="1" ht="12.75"/>
    <row r="13046" s="3161" customFormat="1" ht="12.75"/>
    <row r="13047" s="3161" customFormat="1" ht="12.75"/>
    <row r="13048" s="3161" customFormat="1" ht="12.75"/>
    <row r="13049" s="3161" customFormat="1" ht="12.75"/>
    <row r="13050" s="3161" customFormat="1" ht="12.75"/>
    <row r="13051" s="3161" customFormat="1" ht="12.75"/>
    <row r="13052" s="3161" customFormat="1" ht="12.75"/>
    <row r="13053" s="3161" customFormat="1" ht="12.75"/>
    <row r="13054" s="3161" customFormat="1" ht="12.75"/>
    <row r="13055" s="3161" customFormat="1" ht="12.75"/>
    <row r="13056" s="3161" customFormat="1" ht="12.75"/>
    <row r="13057" s="3161" customFormat="1" ht="12.75"/>
    <row r="13058" s="3161" customFormat="1" ht="12.75"/>
    <row r="13059" s="3161" customFormat="1" ht="12.75"/>
    <row r="13060" s="3161" customFormat="1" ht="12.75"/>
    <row r="13061" s="3161" customFormat="1" ht="12.75"/>
    <row r="13062" s="3161" customFormat="1" ht="12.75"/>
    <row r="13063" s="3161" customFormat="1" ht="12.75"/>
    <row r="13064" s="3161" customFormat="1" ht="12.75"/>
    <row r="13065" s="3161" customFormat="1" ht="12.75"/>
    <row r="13066" s="3161" customFormat="1" ht="12.75"/>
    <row r="13067" s="3161" customFormat="1" ht="12.75"/>
    <row r="13068" s="3161" customFormat="1" ht="12.75"/>
    <row r="13069" s="3161" customFormat="1" ht="12.75"/>
    <row r="13070" s="3161" customFormat="1" ht="12.75"/>
    <row r="13071" s="3161" customFormat="1" ht="12.75"/>
    <row r="13072" s="3161" customFormat="1" ht="12.75"/>
    <row r="13073" s="3161" customFormat="1" ht="12.75"/>
    <row r="13074" s="3161" customFormat="1" ht="12.75"/>
    <row r="13075" s="3161" customFormat="1" ht="12.75"/>
    <row r="13076" s="3161" customFormat="1" ht="12.75"/>
    <row r="13077" s="3161" customFormat="1" ht="12.75"/>
    <row r="13078" s="3161" customFormat="1" ht="12.75"/>
    <row r="13079" s="3161" customFormat="1" ht="12.75"/>
    <row r="13080" s="3161" customFormat="1" ht="12.75"/>
    <row r="13081" s="3161" customFormat="1" ht="12.75"/>
    <row r="13082" s="3161" customFormat="1" ht="12.75"/>
    <row r="13083" s="3161" customFormat="1" ht="12.75"/>
    <row r="13084" s="3161" customFormat="1" ht="12.75"/>
    <row r="13085" s="3161" customFormat="1" ht="12.75"/>
    <row r="13086" s="3161" customFormat="1" ht="12.75"/>
    <row r="13087" s="3161" customFormat="1" ht="12.75"/>
    <row r="13088" s="3161" customFormat="1" ht="12.75"/>
    <row r="13089" s="3161" customFormat="1" ht="12.75"/>
    <row r="13090" s="3161" customFormat="1" ht="12.75"/>
    <row r="13091" s="3161" customFormat="1" ht="12.75"/>
    <row r="13092" s="3161" customFormat="1" ht="12.75"/>
    <row r="13093" s="3161" customFormat="1" ht="12.75"/>
    <row r="13094" s="3161" customFormat="1" ht="12.75"/>
    <row r="13095" s="3161" customFormat="1" ht="12.75"/>
    <row r="13096" s="3161" customFormat="1" ht="12.75"/>
    <row r="13097" s="3161" customFormat="1" ht="12.75"/>
    <row r="13098" s="3161" customFormat="1" ht="12.75"/>
    <row r="13099" s="3161" customFormat="1" ht="12.75"/>
    <row r="13100" s="3161" customFormat="1" ht="12.75"/>
    <row r="13101" s="3161" customFormat="1" ht="12.75"/>
    <row r="13102" s="3161" customFormat="1" ht="12.75"/>
    <row r="13103" s="3161" customFormat="1" ht="12.75"/>
    <row r="13104" s="3161" customFormat="1" ht="12.75"/>
    <row r="13105" s="3161" customFormat="1" ht="12.75"/>
    <row r="13106" s="3161" customFormat="1" ht="12.75"/>
    <row r="13107" s="3161" customFormat="1" ht="12.75"/>
    <row r="13108" s="3161" customFormat="1" ht="12.75"/>
    <row r="13109" s="3161" customFormat="1" ht="12.75"/>
    <row r="13110" s="3161" customFormat="1" ht="12.75"/>
    <row r="13111" s="3161" customFormat="1" ht="12.75"/>
    <row r="13112" s="3161" customFormat="1" ht="12.75"/>
    <row r="13113" s="3161" customFormat="1" ht="12.75"/>
    <row r="13114" s="3161" customFormat="1" ht="12.75"/>
    <row r="13115" s="3161" customFormat="1" ht="12.75"/>
    <row r="13116" s="3161" customFormat="1" ht="12.75"/>
    <row r="13117" s="3161" customFormat="1" ht="12.75"/>
    <row r="13118" s="3161" customFormat="1" ht="12.75"/>
    <row r="13119" s="3161" customFormat="1" ht="12.75"/>
    <row r="13120" s="3161" customFormat="1" ht="12.75"/>
    <row r="13121" s="3161" customFormat="1" ht="12.75"/>
    <row r="13122" s="3161" customFormat="1" ht="12.75"/>
    <row r="13123" s="3161" customFormat="1" ht="12.75"/>
    <row r="13124" s="3161" customFormat="1" ht="12.75"/>
    <row r="13125" s="3161" customFormat="1" ht="12.75"/>
    <row r="13126" s="3161" customFormat="1" ht="12.75"/>
    <row r="13127" s="3161" customFormat="1" ht="12.75"/>
    <row r="13128" s="3161" customFormat="1" ht="12.75"/>
    <row r="13129" s="3161" customFormat="1" ht="12.75"/>
    <row r="13130" s="3161" customFormat="1" ht="12.75"/>
    <row r="13131" s="3161" customFormat="1" ht="12.75"/>
    <row r="13132" s="3161" customFormat="1" ht="12.75"/>
    <row r="13133" s="3161" customFormat="1" ht="12.75"/>
    <row r="13134" s="3161" customFormat="1" ht="12.75"/>
    <row r="13135" s="3161" customFormat="1" ht="12.75"/>
    <row r="13136" s="3161" customFormat="1" ht="12.75"/>
    <row r="13137" s="3161" customFormat="1" ht="12.75"/>
    <row r="13138" s="3161" customFormat="1" ht="12.75"/>
    <row r="13139" s="3161" customFormat="1" ht="12.75"/>
    <row r="13140" s="3161" customFormat="1" ht="12.75"/>
    <row r="13141" s="3161" customFormat="1" ht="12.75"/>
    <row r="13142" s="3161" customFormat="1" ht="12.75"/>
    <row r="13143" s="3161" customFormat="1" ht="12.75"/>
    <row r="13144" s="3161" customFormat="1" ht="12.75"/>
    <row r="13145" s="3161" customFormat="1" ht="12.75"/>
    <row r="13146" s="3161" customFormat="1" ht="12.75"/>
    <row r="13147" s="3161" customFormat="1" ht="12.75"/>
    <row r="13148" s="3161" customFormat="1" ht="12.75"/>
    <row r="13149" s="3161" customFormat="1" ht="12.75"/>
    <row r="13150" s="3161" customFormat="1" ht="12.75"/>
    <row r="13151" s="3161" customFormat="1" ht="12.75"/>
    <row r="13152" s="3161" customFormat="1" ht="12.75"/>
    <row r="13153" s="3161" customFormat="1" ht="12.75"/>
    <row r="13154" s="3161" customFormat="1" ht="12.75"/>
    <row r="13155" s="3161" customFormat="1" ht="12.75"/>
    <row r="13156" s="3161" customFormat="1" ht="12.75"/>
    <row r="13157" s="3161" customFormat="1" ht="12.75"/>
    <row r="13158" s="3161" customFormat="1" ht="12.75"/>
    <row r="13159" s="3161" customFormat="1" ht="12.75"/>
    <row r="13160" s="3161" customFormat="1" ht="12.75"/>
    <row r="13161" s="3161" customFormat="1" ht="12.75"/>
    <row r="13162" s="3161" customFormat="1" ht="12.75"/>
    <row r="13163" s="3161" customFormat="1" ht="12.75"/>
    <row r="13164" s="3161" customFormat="1" ht="12.75"/>
    <row r="13165" s="3161" customFormat="1" ht="12.75"/>
    <row r="13166" s="3161" customFormat="1" ht="12.75"/>
    <row r="13167" s="3161" customFormat="1" ht="12.75"/>
    <row r="13168" s="3161" customFormat="1" ht="12.75"/>
    <row r="13169" s="3161" customFormat="1" ht="12.75"/>
    <row r="13170" s="3161" customFormat="1" ht="12.75"/>
    <row r="13171" s="3161" customFormat="1" ht="12.75"/>
    <row r="13172" s="3161" customFormat="1" ht="12.75"/>
    <row r="13173" s="3161" customFormat="1" ht="12.75"/>
    <row r="13174" s="3161" customFormat="1" ht="12.75"/>
    <row r="13175" s="3161" customFormat="1" ht="12.75"/>
    <row r="13176" s="3161" customFormat="1" ht="12.75"/>
    <row r="13177" s="3161" customFormat="1" ht="12.75"/>
    <row r="13178" s="3161" customFormat="1" ht="12.75"/>
    <row r="13179" s="3161" customFormat="1" ht="12.75"/>
    <row r="13180" s="3161" customFormat="1" ht="12.75"/>
    <row r="13181" s="3161" customFormat="1" ht="12.75"/>
    <row r="13182" s="3161" customFormat="1" ht="12.75"/>
    <row r="13183" s="3161" customFormat="1" ht="12.75"/>
    <row r="13184" s="3161" customFormat="1" ht="12.75"/>
    <row r="13185" s="3161" customFormat="1" ht="12.75"/>
    <row r="13186" s="3161" customFormat="1" ht="12.75"/>
    <row r="13187" s="3161" customFormat="1" ht="12.75"/>
    <row r="13188" s="3161" customFormat="1" ht="12.75"/>
    <row r="13189" s="3161" customFormat="1" ht="12.75"/>
    <row r="13190" s="3161" customFormat="1" ht="12.75"/>
    <row r="13191" s="3161" customFormat="1" ht="12.75"/>
    <row r="13192" s="3161" customFormat="1" ht="12.75"/>
    <row r="13193" s="3161" customFormat="1" ht="12.75"/>
    <row r="13194" s="3161" customFormat="1" ht="12.75"/>
    <row r="13195" s="3161" customFormat="1" ht="12.75"/>
    <row r="13196" s="3161" customFormat="1" ht="12.75"/>
    <row r="13197" s="3161" customFormat="1" ht="12.75"/>
    <row r="13198" s="3161" customFormat="1" ht="12.75"/>
    <row r="13199" s="3161" customFormat="1" ht="12.75"/>
    <row r="13200" s="3161" customFormat="1" ht="12.75"/>
    <row r="13201" s="3161" customFormat="1" ht="12.75"/>
    <row r="13202" s="3161" customFormat="1" ht="12.75"/>
    <row r="13203" s="3161" customFormat="1" ht="12.75"/>
    <row r="13204" s="3161" customFormat="1" ht="12.75"/>
    <row r="13205" s="3161" customFormat="1" ht="12.75"/>
    <row r="13206" s="3161" customFormat="1" ht="12.75"/>
    <row r="13207" s="3161" customFormat="1" ht="12.75"/>
    <row r="13208" s="3161" customFormat="1" ht="12.75"/>
    <row r="13209" s="3161" customFormat="1" ht="12.75"/>
    <row r="13210" s="3161" customFormat="1" ht="12.75"/>
    <row r="13211" s="3161" customFormat="1" ht="12.75"/>
    <row r="13212" s="3161" customFormat="1" ht="12.75"/>
    <row r="13213" s="3161" customFormat="1" ht="12.75"/>
    <row r="13214" s="3161" customFormat="1" ht="12.75"/>
    <row r="13215" s="3161" customFormat="1" ht="12.75"/>
    <row r="13216" s="3161" customFormat="1" ht="12.75"/>
    <row r="13217" s="3161" customFormat="1" ht="12.75"/>
    <row r="13218" s="3161" customFormat="1" ht="12.75"/>
    <row r="13219" s="3161" customFormat="1" ht="12.75"/>
    <row r="13220" s="3161" customFormat="1" ht="12.75"/>
    <row r="13221" s="3161" customFormat="1" ht="12.75"/>
    <row r="13222" s="3161" customFormat="1" ht="12.75"/>
    <row r="13223" s="3161" customFormat="1" ht="12.75"/>
    <row r="13224" s="3161" customFormat="1" ht="12.75"/>
    <row r="13225" s="3161" customFormat="1" ht="12.75"/>
    <row r="13226" s="3161" customFormat="1" ht="12.75"/>
    <row r="13227" s="3161" customFormat="1" ht="12.75"/>
    <row r="13228" s="3161" customFormat="1" ht="12.75"/>
    <row r="13229" s="3161" customFormat="1" ht="12.75"/>
    <row r="13230" s="3161" customFormat="1" ht="12.75"/>
    <row r="13231" s="3161" customFormat="1" ht="12.75"/>
    <row r="13232" s="3161" customFormat="1" ht="12.75"/>
    <row r="13233" s="3161" customFormat="1" ht="12.75"/>
    <row r="13234" s="3161" customFormat="1" ht="12.75"/>
    <row r="13235" s="3161" customFormat="1" ht="12.75"/>
    <row r="13236" s="3161" customFormat="1" ht="12.75"/>
    <row r="13237" s="3161" customFormat="1" ht="12.75"/>
    <row r="13238" s="3161" customFormat="1" ht="12.75"/>
    <row r="13239" s="3161" customFormat="1" ht="12.75"/>
    <row r="13240" s="3161" customFormat="1" ht="12.75"/>
    <row r="13241" s="3161" customFormat="1" ht="12.75"/>
    <row r="13242" s="3161" customFormat="1" ht="12.75"/>
    <row r="13243" s="3161" customFormat="1" ht="12.75"/>
    <row r="13244" s="3161" customFormat="1" ht="12.75"/>
    <row r="13245" s="3161" customFormat="1" ht="12.75"/>
    <row r="13246" s="3161" customFormat="1" ht="12.75"/>
    <row r="13247" s="3161" customFormat="1" ht="12.75"/>
    <row r="13248" s="3161" customFormat="1" ht="12.75"/>
    <row r="13249" s="3161" customFormat="1" ht="12.75"/>
    <row r="13250" s="3161" customFormat="1" ht="12.75"/>
    <row r="13251" s="3161" customFormat="1" ht="12.75"/>
    <row r="13252" s="3161" customFormat="1" ht="12.75"/>
    <row r="13253" s="3161" customFormat="1" ht="12.75"/>
    <row r="13254" s="3161" customFormat="1" ht="12.75"/>
    <row r="13255" s="3161" customFormat="1" ht="12.75"/>
    <row r="13256" s="3161" customFormat="1" ht="12.75"/>
    <row r="13257" s="3161" customFormat="1" ht="12.75"/>
    <row r="13258" s="3161" customFormat="1" ht="12.75"/>
    <row r="13259" s="3161" customFormat="1" ht="12.75"/>
    <row r="13260" s="3161" customFormat="1" ht="12.75"/>
    <row r="13261" s="3161" customFormat="1" ht="12.75"/>
    <row r="13262" s="3161" customFormat="1" ht="12.75"/>
    <row r="13263" s="3161" customFormat="1" ht="12.75"/>
    <row r="13264" s="3161" customFormat="1" ht="12.75"/>
    <row r="13265" s="3161" customFormat="1" ht="12.75"/>
    <row r="13266" s="3161" customFormat="1" ht="12.75"/>
    <row r="13267" s="3161" customFormat="1" ht="12.75"/>
    <row r="13268" s="3161" customFormat="1" ht="12.75"/>
    <row r="13269" s="3161" customFormat="1" ht="12.75"/>
    <row r="13270" s="3161" customFormat="1" ht="12.75"/>
    <row r="13271" s="3161" customFormat="1" ht="12.75"/>
    <row r="13272" s="3161" customFormat="1" ht="12.75"/>
    <row r="13273" s="3161" customFormat="1" ht="12.75"/>
    <row r="13274" s="3161" customFormat="1" ht="12.75"/>
    <row r="13275" s="3161" customFormat="1" ht="12.75"/>
    <row r="13276" s="3161" customFormat="1" ht="12.75"/>
    <row r="13277" s="3161" customFormat="1" ht="12.75"/>
    <row r="13278" s="3161" customFormat="1" ht="12.75"/>
    <row r="13279" s="3161" customFormat="1" ht="12.75"/>
    <row r="13280" s="3161" customFormat="1" ht="12.75"/>
    <row r="13281" s="3161" customFormat="1" ht="12.75"/>
    <row r="13282" s="3161" customFormat="1" ht="12.75"/>
    <row r="13283" s="3161" customFormat="1" ht="12.75"/>
    <row r="13284" s="3161" customFormat="1" ht="12.75"/>
    <row r="13285" s="3161" customFormat="1" ht="12.75"/>
    <row r="13286" s="3161" customFormat="1" ht="12.75"/>
    <row r="13287" s="3161" customFormat="1" ht="12.75"/>
    <row r="13288" s="3161" customFormat="1" ht="12.75"/>
    <row r="13289" s="3161" customFormat="1" ht="12.75"/>
    <row r="13290" s="3161" customFormat="1" ht="12.75"/>
    <row r="13291" s="3161" customFormat="1" ht="12.75"/>
    <row r="13292" s="3161" customFormat="1" ht="12.75"/>
    <row r="13293" s="3161" customFormat="1" ht="12.75"/>
    <row r="13294" s="3161" customFormat="1" ht="12.75"/>
    <row r="13295" s="3161" customFormat="1" ht="12.75"/>
    <row r="13296" s="3161" customFormat="1" ht="12.75"/>
    <row r="13297" s="3161" customFormat="1" ht="12.75"/>
    <row r="13298" s="3161" customFormat="1" ht="12.75"/>
    <row r="13299" s="3161" customFormat="1" ht="12.75"/>
    <row r="13300" s="3161" customFormat="1" ht="12.75"/>
    <row r="13301" s="3161" customFormat="1" ht="12.75"/>
    <row r="13302" s="3161" customFormat="1" ht="12.75"/>
    <row r="13303" s="3161" customFormat="1" ht="12.75"/>
    <row r="13304" s="3161" customFormat="1" ht="12.75"/>
    <row r="13305" s="3161" customFormat="1" ht="12.75"/>
    <row r="13306" s="3161" customFormat="1" ht="12.75"/>
    <row r="13307" s="3161" customFormat="1" ht="12.75"/>
    <row r="13308" s="3161" customFormat="1" ht="12.75"/>
    <row r="13309" s="3161" customFormat="1" ht="12.75"/>
    <row r="13310" s="3161" customFormat="1" ht="12.75"/>
    <row r="13311" s="3161" customFormat="1" ht="12.75"/>
    <row r="13312" s="3161" customFormat="1" ht="12.75"/>
    <row r="13313" s="3161" customFormat="1" ht="12.75"/>
    <row r="13314" s="3161" customFormat="1" ht="12.75"/>
    <row r="13315" s="3161" customFormat="1" ht="12.75"/>
    <row r="13316" s="3161" customFormat="1" ht="12.75"/>
    <row r="13317" s="3161" customFormat="1" ht="12.75"/>
    <row r="13318" s="3161" customFormat="1" ht="12.75"/>
    <row r="13319" s="3161" customFormat="1" ht="12.75"/>
    <row r="13320" s="3161" customFormat="1" ht="12.75"/>
    <row r="13321" s="3161" customFormat="1" ht="12.75"/>
    <row r="13322" s="3161" customFormat="1" ht="12.75"/>
    <row r="13323" s="3161" customFormat="1" ht="12.75"/>
    <row r="13324" s="3161" customFormat="1" ht="12.75"/>
    <row r="13325" s="3161" customFormat="1" ht="12.75"/>
    <row r="13326" s="3161" customFormat="1" ht="12.75"/>
    <row r="13327" s="3161" customFormat="1" ht="12.75"/>
    <row r="13328" s="3161" customFormat="1" ht="12.75"/>
    <row r="13329" s="3161" customFormat="1" ht="12.75"/>
    <row r="13330" s="3161" customFormat="1" ht="12.75"/>
    <row r="13331" s="3161" customFormat="1" ht="12.75"/>
    <row r="13332" s="3161" customFormat="1" ht="12.75"/>
    <row r="13333" s="3161" customFormat="1" ht="12.75"/>
    <row r="13334" s="3161" customFormat="1" ht="12.75"/>
    <row r="13335" s="3161" customFormat="1" ht="12.75"/>
    <row r="13336" s="3161" customFormat="1" ht="12.75"/>
    <row r="13337" s="3161" customFormat="1" ht="12.75"/>
    <row r="13338" s="3161" customFormat="1" ht="12.75"/>
    <row r="13339" s="3161" customFormat="1" ht="12.75"/>
    <row r="13340" s="3161" customFormat="1" ht="12.75"/>
    <row r="13341" s="3161" customFormat="1" ht="12.75"/>
    <row r="13342" s="3161" customFormat="1" ht="12.75"/>
    <row r="13343" s="3161" customFormat="1" ht="12.75"/>
    <row r="13344" s="3161" customFormat="1" ht="12.75"/>
    <row r="13345" s="3161" customFormat="1" ht="12.75"/>
    <row r="13346" s="3161" customFormat="1" ht="12.75"/>
    <row r="13347" s="3161" customFormat="1" ht="12.75"/>
    <row r="13348" s="3161" customFormat="1" ht="12.75"/>
    <row r="13349" s="3161" customFormat="1" ht="12.75"/>
    <row r="13350" s="3161" customFormat="1" ht="12.75"/>
    <row r="13351" s="3161" customFormat="1" ht="12.75"/>
    <row r="13352" s="3161" customFormat="1" ht="12.75"/>
    <row r="13353" s="3161" customFormat="1" ht="12.75"/>
    <row r="13354" s="3161" customFormat="1" ht="12.75"/>
    <row r="13355" s="3161" customFormat="1" ht="12.75"/>
    <row r="13356" s="3161" customFormat="1" ht="12.75"/>
    <row r="13357" s="3161" customFormat="1" ht="12.75"/>
    <row r="13358" s="3161" customFormat="1" ht="12.75"/>
    <row r="13359" s="3161" customFormat="1" ht="12.75"/>
    <row r="13360" s="3161" customFormat="1" ht="12.75"/>
    <row r="13361" s="3161" customFormat="1" ht="12.75"/>
    <row r="13362" s="3161" customFormat="1" ht="12.75"/>
    <row r="13363" s="3161" customFormat="1" ht="12.75"/>
    <row r="13364" s="3161" customFormat="1" ht="12.75"/>
    <row r="13365" s="3161" customFormat="1" ht="12.75"/>
    <row r="13366" s="3161" customFormat="1" ht="12.75"/>
    <row r="13367" s="3161" customFormat="1" ht="12.75"/>
    <row r="13368" s="3161" customFormat="1" ht="12.75"/>
    <row r="13369" s="3161" customFormat="1" ht="12.75"/>
    <row r="13370" s="3161" customFormat="1" ht="12.75"/>
    <row r="13371" s="3161" customFormat="1" ht="12.75"/>
    <row r="13372" s="3161" customFormat="1" ht="12.75"/>
    <row r="13373" s="3161" customFormat="1" ht="12.75"/>
    <row r="13374" s="3161" customFormat="1" ht="12.75"/>
    <row r="13375" s="3161" customFormat="1" ht="12.75"/>
    <row r="13376" s="3161" customFormat="1" ht="12.75"/>
    <row r="13377" s="3161" customFormat="1" ht="12.75"/>
    <row r="13378" s="3161" customFormat="1" ht="12.75"/>
    <row r="13379" s="3161" customFormat="1" ht="12.75"/>
    <row r="13380" s="3161" customFormat="1" ht="12.75"/>
    <row r="13381" s="3161" customFormat="1" ht="12.75"/>
    <row r="13382" s="3161" customFormat="1" ht="12.75"/>
    <row r="13383" s="3161" customFormat="1" ht="12.75"/>
    <row r="13384" s="3161" customFormat="1" ht="12.75"/>
    <row r="13385" s="3161" customFormat="1" ht="12.75"/>
    <row r="13386" s="3161" customFormat="1" ht="12.75"/>
    <row r="13387" s="3161" customFormat="1" ht="12.75"/>
    <row r="13388" s="3161" customFormat="1" ht="12.75"/>
    <row r="13389" s="3161" customFormat="1" ht="12.75"/>
    <row r="13390" s="3161" customFormat="1" ht="12.75"/>
    <row r="13391" s="3161" customFormat="1" ht="12.75"/>
    <row r="13392" s="3161" customFormat="1" ht="12.75"/>
    <row r="13393" s="3161" customFormat="1" ht="12.75"/>
    <row r="13394" s="3161" customFormat="1" ht="12.75"/>
    <row r="13395" s="3161" customFormat="1" ht="12.75"/>
    <row r="13396" s="3161" customFormat="1" ht="12.75"/>
    <row r="13397" s="3161" customFormat="1" ht="12.75"/>
    <row r="13398" s="3161" customFormat="1" ht="12.75"/>
    <row r="13399" s="3161" customFormat="1" ht="12.75"/>
    <row r="13400" s="3161" customFormat="1" ht="12.75"/>
    <row r="13401" s="3161" customFormat="1" ht="12.75"/>
    <row r="13402" s="3161" customFormat="1" ht="12.75"/>
    <row r="13403" s="3161" customFormat="1" ht="12.75"/>
    <row r="13404" s="3161" customFormat="1" ht="12.75"/>
    <row r="13405" s="3161" customFormat="1" ht="12.75"/>
    <row r="13406" s="3161" customFormat="1" ht="12.75"/>
    <row r="13407" s="3161" customFormat="1" ht="12.75"/>
    <row r="13408" s="3161" customFormat="1" ht="12.75"/>
    <row r="13409" s="3161" customFormat="1" ht="12.75"/>
    <row r="13410" s="3161" customFormat="1" ht="12.75"/>
    <row r="13411" s="3161" customFormat="1" ht="12.75"/>
    <row r="13412" s="3161" customFormat="1" ht="12.75"/>
    <row r="13413" s="3161" customFormat="1" ht="12.75"/>
    <row r="13414" s="3161" customFormat="1" ht="12.75"/>
    <row r="13415" s="3161" customFormat="1" ht="12.75"/>
    <row r="13416" s="3161" customFormat="1" ht="12.75"/>
    <row r="13417" s="3161" customFormat="1" ht="12.75"/>
    <row r="13418" s="3161" customFormat="1" ht="12.75"/>
    <row r="13419" s="3161" customFormat="1" ht="12.75"/>
    <row r="13420" s="3161" customFormat="1" ht="12.75"/>
    <row r="13421" s="3161" customFormat="1" ht="12.75"/>
    <row r="13422" s="3161" customFormat="1" ht="12.75"/>
    <row r="13423" s="3161" customFormat="1" ht="12.75"/>
    <row r="13424" s="3161" customFormat="1" ht="12.75"/>
    <row r="13425" s="3161" customFormat="1" ht="12.75"/>
    <row r="13426" s="3161" customFormat="1" ht="12.75"/>
    <row r="13427" s="3161" customFormat="1" ht="12.75"/>
    <row r="13428" s="3161" customFormat="1" ht="12.75"/>
    <row r="13429" s="3161" customFormat="1" ht="12.75"/>
    <row r="13430" s="3161" customFormat="1" ht="12.75"/>
    <row r="13431" s="3161" customFormat="1" ht="12.75"/>
    <row r="13432" s="3161" customFormat="1" ht="12.75"/>
    <row r="13433" s="3161" customFormat="1" ht="12.75"/>
    <row r="13434" s="3161" customFormat="1" ht="12.75"/>
    <row r="13435" s="3161" customFormat="1" ht="12.75"/>
    <row r="13436" s="3161" customFormat="1" ht="12.75"/>
    <row r="13437" s="3161" customFormat="1" ht="12.75"/>
    <row r="13438" s="3161" customFormat="1" ht="12.75"/>
    <row r="13439" s="3161" customFormat="1" ht="12.75"/>
    <row r="13440" s="3161" customFormat="1" ht="12.75"/>
    <row r="13441" s="3161" customFormat="1" ht="12.75"/>
    <row r="13442" s="3161" customFormat="1" ht="12.75"/>
    <row r="13443" s="3161" customFormat="1" ht="12.75"/>
    <row r="13444" s="3161" customFormat="1" ht="12.75"/>
    <row r="13445" s="3161" customFormat="1" ht="12.75"/>
    <row r="13446" s="3161" customFormat="1" ht="12.75"/>
    <row r="13447" s="3161" customFormat="1" ht="12.75"/>
    <row r="13448" s="3161" customFormat="1" ht="12.75"/>
    <row r="13449" s="3161" customFormat="1" ht="12.75"/>
    <row r="13450" s="3161" customFormat="1" ht="12.75"/>
    <row r="13451" s="3161" customFormat="1" ht="12.75"/>
    <row r="13452" s="3161" customFormat="1" ht="12.75"/>
    <row r="13453" s="3161" customFormat="1" ht="12.75"/>
    <row r="13454" s="3161" customFormat="1" ht="12.75"/>
    <row r="13455" s="3161" customFormat="1" ht="12.75"/>
    <row r="13456" s="3161" customFormat="1" ht="12.75"/>
    <row r="13457" s="3161" customFormat="1" ht="12.75"/>
    <row r="13458" s="3161" customFormat="1" ht="12.75"/>
    <row r="13459" s="3161" customFormat="1" ht="12.75"/>
    <row r="13460" s="3161" customFormat="1" ht="12.75"/>
    <row r="13461" s="3161" customFormat="1" ht="12.75"/>
    <row r="13462" s="3161" customFormat="1" ht="12.75"/>
    <row r="13463" s="3161" customFormat="1" ht="12.75"/>
    <row r="13464" s="3161" customFormat="1" ht="12.75"/>
    <row r="13465" s="3161" customFormat="1" ht="12.75"/>
    <row r="13466" s="3161" customFormat="1" ht="12.75"/>
    <row r="13467" s="3161" customFormat="1" ht="12.75"/>
    <row r="13468" s="3161" customFormat="1" ht="12.75"/>
    <row r="13469" s="3161" customFormat="1" ht="12.75"/>
    <row r="13470" s="3161" customFormat="1" ht="12.75"/>
    <row r="13471" s="3161" customFormat="1" ht="12.75"/>
    <row r="13472" s="3161" customFormat="1" ht="12.75"/>
    <row r="13473" s="3161" customFormat="1" ht="12.75"/>
    <row r="13474" s="3161" customFormat="1" ht="12.75"/>
    <row r="13475" s="3161" customFormat="1" ht="12.75"/>
    <row r="13476" s="3161" customFormat="1" ht="12.75"/>
    <row r="13477" s="3161" customFormat="1" ht="12.75"/>
    <row r="13478" s="3161" customFormat="1" ht="12.75"/>
    <row r="13479" s="3161" customFormat="1" ht="12.75"/>
    <row r="13480" s="3161" customFormat="1" ht="12.75"/>
    <row r="13481" s="3161" customFormat="1" ht="12.75"/>
    <row r="13482" s="3161" customFormat="1" ht="12.75"/>
    <row r="13483" s="3161" customFormat="1" ht="12.75"/>
    <row r="13484" s="3161" customFormat="1" ht="12.75"/>
    <row r="13485" s="3161" customFormat="1" ht="12.75"/>
    <row r="13486" s="3161" customFormat="1" ht="12.75"/>
    <row r="13487" s="3161" customFormat="1" ht="12.75"/>
    <row r="13488" s="3161" customFormat="1" ht="12.75"/>
    <row r="13489" s="3161" customFormat="1" ht="12.75"/>
    <row r="13490" s="3161" customFormat="1" ht="12.75"/>
    <row r="13491" s="3161" customFormat="1" ht="12.75"/>
    <row r="13492" s="3161" customFormat="1" ht="12.75"/>
    <row r="13493" s="3161" customFormat="1" ht="12.75"/>
    <row r="13494" s="3161" customFormat="1" ht="12.75"/>
    <row r="13495" s="3161" customFormat="1" ht="12.75"/>
    <row r="13496" s="3161" customFormat="1" ht="12.75"/>
    <row r="13497" s="3161" customFormat="1" ht="12.75"/>
    <row r="13498" s="3161" customFormat="1" ht="12.75"/>
    <row r="13499" s="3161" customFormat="1" ht="12.75"/>
    <row r="13500" s="3161" customFormat="1" ht="12.75"/>
    <row r="13501" s="3161" customFormat="1" ht="12.75"/>
    <row r="13502" s="3161" customFormat="1" ht="12.75"/>
    <row r="13503" s="3161" customFormat="1" ht="12.75"/>
    <row r="13504" s="3161" customFormat="1" ht="12.75"/>
    <row r="13505" s="3161" customFormat="1" ht="12.75"/>
    <row r="13506" s="3161" customFormat="1" ht="12.75"/>
    <row r="13507" s="3161" customFormat="1" ht="12.75"/>
    <row r="13508" s="3161" customFormat="1" ht="12.75"/>
    <row r="13509" s="3161" customFormat="1" ht="12.75"/>
    <row r="13510" s="3161" customFormat="1" ht="12.75"/>
    <row r="13511" s="3161" customFormat="1" ht="12.75"/>
    <row r="13512" s="3161" customFormat="1" ht="12.75"/>
    <row r="13513" s="3161" customFormat="1" ht="12.75"/>
    <row r="13514" s="3161" customFormat="1" ht="12.75"/>
    <row r="13515" s="3161" customFormat="1" ht="12.75"/>
    <row r="13516" s="3161" customFormat="1" ht="12.75"/>
    <row r="13517" s="3161" customFormat="1" ht="12.75"/>
    <row r="13518" s="3161" customFormat="1" ht="12.75"/>
    <row r="13519" s="3161" customFormat="1" ht="12.75"/>
    <row r="13520" s="3161" customFormat="1" ht="12.75"/>
    <row r="13521" s="3161" customFormat="1" ht="12.75"/>
    <row r="13522" s="3161" customFormat="1" ht="12.75"/>
    <row r="13523" s="3161" customFormat="1" ht="12.75"/>
    <row r="13524" s="3161" customFormat="1" ht="12.75"/>
    <row r="13525" s="3161" customFormat="1" ht="12.75"/>
    <row r="13526" s="3161" customFormat="1" ht="12.75"/>
    <row r="13527" s="3161" customFormat="1" ht="12.75"/>
    <row r="13528" s="3161" customFormat="1" ht="12.75"/>
    <row r="13529" s="3161" customFormat="1" ht="12.75"/>
    <row r="13530" s="3161" customFormat="1" ht="12.75"/>
    <row r="13531" s="3161" customFormat="1" ht="12.75"/>
    <row r="13532" s="3161" customFormat="1" ht="12.75"/>
    <row r="13533" s="3161" customFormat="1" ht="12.75"/>
    <row r="13534" s="3161" customFormat="1" ht="12.75"/>
    <row r="13535" s="3161" customFormat="1" ht="12.75"/>
    <row r="13536" s="3161" customFormat="1" ht="12.75"/>
    <row r="13537" s="3161" customFormat="1" ht="12.75"/>
    <row r="13538" s="3161" customFormat="1" ht="12.75"/>
    <row r="13539" s="3161" customFormat="1" ht="12.75"/>
    <row r="13540" s="3161" customFormat="1" ht="12.75"/>
    <row r="13541" s="3161" customFormat="1" ht="12.75"/>
    <row r="13542" s="3161" customFormat="1" ht="12.75"/>
    <row r="13543" s="3161" customFormat="1" ht="12.75"/>
    <row r="13544" s="3161" customFormat="1" ht="12.75"/>
    <row r="13545" s="3161" customFormat="1" ht="12.75"/>
    <row r="13546" s="3161" customFormat="1" ht="12.75"/>
    <row r="13547" s="3161" customFormat="1" ht="12.75"/>
    <row r="13548" s="3161" customFormat="1" ht="12.75"/>
    <row r="13549" s="3161" customFormat="1" ht="12.75"/>
    <row r="13550" s="3161" customFormat="1" ht="12.75"/>
    <row r="13551" s="3161" customFormat="1" ht="12.75"/>
    <row r="13552" s="3161" customFormat="1" ht="12.75"/>
    <row r="13553" s="3161" customFormat="1" ht="12.75"/>
    <row r="13554" s="3161" customFormat="1" ht="12.75"/>
    <row r="13555" s="3161" customFormat="1" ht="12.75"/>
    <row r="13556" s="3161" customFormat="1" ht="12.75"/>
    <row r="13557" s="3161" customFormat="1" ht="12.75"/>
    <row r="13558" s="3161" customFormat="1" ht="12.75"/>
    <row r="13559" s="3161" customFormat="1" ht="12.75"/>
    <row r="13560" s="3161" customFormat="1" ht="12.75"/>
    <row r="13561" s="3161" customFormat="1" ht="12.75"/>
    <row r="13562" s="3161" customFormat="1" ht="12.75"/>
    <row r="13563" s="3161" customFormat="1" ht="12.75"/>
    <row r="13564" s="3161" customFormat="1" ht="12.75"/>
    <row r="13565" s="3161" customFormat="1" ht="12.75"/>
    <row r="13566" s="3161" customFormat="1" ht="12.75"/>
    <row r="13567" s="3161" customFormat="1" ht="12.75"/>
    <row r="13568" s="3161" customFormat="1" ht="12.75"/>
    <row r="13569" s="3161" customFormat="1" ht="12.75"/>
    <row r="13570" s="3161" customFormat="1" ht="12.75"/>
    <row r="13571" s="3161" customFormat="1" ht="12.75"/>
    <row r="13572" s="3161" customFormat="1" ht="12.75"/>
    <row r="13573" s="3161" customFormat="1" ht="12.75"/>
    <row r="13574" s="3161" customFormat="1" ht="12.75"/>
    <row r="13575" s="3161" customFormat="1" ht="12.75"/>
    <row r="13576" s="3161" customFormat="1" ht="12.75"/>
    <row r="13577" s="3161" customFormat="1" ht="12.75"/>
    <row r="13578" s="3161" customFormat="1" ht="12.75"/>
    <row r="13579" s="3161" customFormat="1" ht="12.75"/>
    <row r="13580" s="3161" customFormat="1" ht="12.75"/>
    <row r="13581" s="3161" customFormat="1" ht="12.75"/>
    <row r="13582" s="3161" customFormat="1" ht="12.75"/>
    <row r="13583" s="3161" customFormat="1" ht="12.75"/>
    <row r="13584" s="3161" customFormat="1" ht="12.75"/>
    <row r="13585" s="3161" customFormat="1" ht="12.75"/>
    <row r="13586" s="3161" customFormat="1" ht="12.75"/>
    <row r="13587" s="3161" customFormat="1" ht="12.75"/>
    <row r="13588" s="3161" customFormat="1" ht="12.75"/>
    <row r="13589" s="3161" customFormat="1" ht="12.75"/>
    <row r="13590" s="3161" customFormat="1" ht="12.75"/>
    <row r="13591" s="3161" customFormat="1" ht="12.75"/>
    <row r="13592" s="3161" customFormat="1" ht="12.75"/>
    <row r="13593" s="3161" customFormat="1" ht="12.75"/>
    <row r="13594" s="3161" customFormat="1" ht="12.75"/>
    <row r="13595" s="3161" customFormat="1" ht="12.75"/>
    <row r="13596" s="3161" customFormat="1" ht="12.75"/>
    <row r="13597" s="3161" customFormat="1" ht="12.75"/>
    <row r="13598" s="3161" customFormat="1" ht="12.75"/>
    <row r="13599" s="3161" customFormat="1" ht="12.75"/>
    <row r="13600" s="3161" customFormat="1" ht="12.75"/>
    <row r="13601" s="3161" customFormat="1" ht="12.75"/>
    <row r="13602" s="3161" customFormat="1" ht="12.75"/>
    <row r="13603" s="3161" customFormat="1" ht="12.75"/>
    <row r="13604" s="3161" customFormat="1" ht="12.75"/>
    <row r="13605" s="3161" customFormat="1" ht="12.75"/>
    <row r="13606" s="3161" customFormat="1" ht="12.75"/>
    <row r="13607" s="3161" customFormat="1" ht="12.75"/>
    <row r="13608" s="3161" customFormat="1" ht="12.75"/>
    <row r="13609" s="3161" customFormat="1" ht="12.75"/>
    <row r="13610" s="3161" customFormat="1" ht="12.75"/>
    <row r="13611" s="3161" customFormat="1" ht="12.75"/>
    <row r="13612" s="3161" customFormat="1" ht="12.75"/>
    <row r="13613" s="3161" customFormat="1" ht="12.75"/>
    <row r="13614" s="3161" customFormat="1" ht="12.75"/>
    <row r="13615" s="3161" customFormat="1" ht="12.75"/>
    <row r="13616" s="3161" customFormat="1" ht="12.75"/>
    <row r="13617" s="3161" customFormat="1" ht="12.75"/>
    <row r="13618" s="3161" customFormat="1" ht="12.75"/>
    <row r="13619" s="3161" customFormat="1" ht="12.75"/>
    <row r="13620" s="3161" customFormat="1" ht="12.75"/>
    <row r="13621" s="3161" customFormat="1" ht="12.75"/>
    <row r="13622" s="3161" customFormat="1" ht="12.75"/>
    <row r="13623" s="3161" customFormat="1" ht="12.75"/>
    <row r="13624" s="3161" customFormat="1" ht="12.75"/>
    <row r="13625" s="3161" customFormat="1" ht="12.75"/>
    <row r="13626" s="3161" customFormat="1" ht="12.75"/>
    <row r="13627" s="3161" customFormat="1" ht="12.75"/>
    <row r="13628" s="3161" customFormat="1" ht="12.75"/>
    <row r="13629" s="3161" customFormat="1" ht="12.75"/>
    <row r="13630" s="3161" customFormat="1" ht="12.75"/>
    <row r="13631" s="3161" customFormat="1" ht="12.75"/>
    <row r="13632" s="3161" customFormat="1" ht="12.75"/>
    <row r="13633" s="3161" customFormat="1" ht="12.75"/>
    <row r="13634" s="3161" customFormat="1" ht="12.75"/>
    <row r="13635" s="3161" customFormat="1" ht="12.75"/>
    <row r="13636" s="3161" customFormat="1" ht="12.75"/>
    <row r="13637" s="3161" customFormat="1" ht="12.75"/>
    <row r="13638" s="3161" customFormat="1" ht="12.75"/>
    <row r="13639" s="3161" customFormat="1" ht="12.75"/>
    <row r="13640" s="3161" customFormat="1" ht="12.75"/>
    <row r="13641" s="3161" customFormat="1" ht="12.75"/>
    <row r="13642" s="3161" customFormat="1" ht="12.75"/>
    <row r="13643" s="3161" customFormat="1" ht="12.75"/>
    <row r="13644" s="3161" customFormat="1" ht="12.75"/>
    <row r="13645" s="3161" customFormat="1" ht="12.75"/>
    <row r="13646" s="3161" customFormat="1" ht="12.75"/>
    <row r="13647" s="3161" customFormat="1" ht="12.75"/>
    <row r="13648" s="3161" customFormat="1" ht="12.75"/>
    <row r="13649" s="3161" customFormat="1" ht="12.75"/>
    <row r="13650" s="3161" customFormat="1" ht="12.75"/>
    <row r="13651" s="3161" customFormat="1" ht="12.75"/>
    <row r="13652" s="3161" customFormat="1" ht="12.75"/>
    <row r="13653" s="3161" customFormat="1" ht="12.75"/>
    <row r="13654" s="3161" customFormat="1" ht="12.75"/>
    <row r="13655" s="3161" customFormat="1" ht="12.75"/>
    <row r="13656" s="3161" customFormat="1" ht="12.75"/>
    <row r="13657" s="3161" customFormat="1" ht="12.75"/>
    <row r="13658" s="3161" customFormat="1" ht="12.75"/>
    <row r="13659" s="3161" customFormat="1" ht="12.75"/>
    <row r="13660" s="3161" customFormat="1" ht="12.75"/>
    <row r="13661" s="3161" customFormat="1" ht="12.75"/>
    <row r="13662" s="3161" customFormat="1" ht="12.75"/>
    <row r="13663" s="3161" customFormat="1" ht="12.75"/>
    <row r="13664" s="3161" customFormat="1" ht="12.75"/>
    <row r="13665" s="3161" customFormat="1" ht="12.75"/>
    <row r="13666" s="3161" customFormat="1" ht="12.75"/>
    <row r="13667" s="3161" customFormat="1" ht="12.75"/>
    <row r="13668" s="3161" customFormat="1" ht="12.75"/>
    <row r="13669" s="3161" customFormat="1" ht="12.75"/>
    <row r="13670" s="3161" customFormat="1" ht="12.75"/>
    <row r="13671" s="3161" customFormat="1" ht="12.75"/>
    <row r="13672" s="3161" customFormat="1" ht="12.75"/>
    <row r="13673" s="3161" customFormat="1" ht="12.75"/>
    <row r="13674" s="3161" customFormat="1" ht="12.75"/>
    <row r="13675" s="3161" customFormat="1" ht="12.75"/>
    <row r="13676" s="3161" customFormat="1" ht="12.75"/>
    <row r="13677" s="3161" customFormat="1" ht="12.75"/>
    <row r="13678" s="3161" customFormat="1" ht="12.75"/>
    <row r="13679" s="3161" customFormat="1" ht="12.75"/>
    <row r="13680" s="3161" customFormat="1" ht="12.75"/>
    <row r="13681" s="3161" customFormat="1" ht="12.75"/>
    <row r="13682" s="3161" customFormat="1" ht="12.75"/>
    <row r="13683" s="3161" customFormat="1" ht="12.75"/>
    <row r="13684" s="3161" customFormat="1" ht="12.75"/>
    <row r="13685" s="3161" customFormat="1" ht="12.75"/>
    <row r="13686" s="3161" customFormat="1" ht="12.75"/>
    <row r="13687" s="3161" customFormat="1" ht="12.75"/>
    <row r="13688" s="3161" customFormat="1" ht="12.75"/>
    <row r="13689" s="3161" customFormat="1" ht="12.75"/>
    <row r="13690" s="3161" customFormat="1" ht="12.75"/>
    <row r="13691" s="3161" customFormat="1" ht="12.75"/>
    <row r="13692" s="3161" customFormat="1" ht="12.75"/>
    <row r="13693" s="3161" customFormat="1" ht="12.75"/>
    <row r="13694" s="3161" customFormat="1" ht="12.75"/>
    <row r="13695" s="3161" customFormat="1" ht="12.75"/>
    <row r="13696" s="3161" customFormat="1" ht="12.75"/>
    <row r="13697" s="3161" customFormat="1" ht="12.75"/>
    <row r="13698" s="3161" customFormat="1" ht="12.75"/>
    <row r="13699" s="3161" customFormat="1" ht="12.75"/>
    <row r="13700" s="3161" customFormat="1" ht="12.75"/>
    <row r="13701" s="3161" customFormat="1" ht="12.75"/>
    <row r="13702" s="3161" customFormat="1" ht="12.75"/>
    <row r="13703" s="3161" customFormat="1" ht="12.75"/>
    <row r="13704" s="3161" customFormat="1" ht="12.75"/>
    <row r="13705" s="3161" customFormat="1" ht="12.75"/>
    <row r="13706" s="3161" customFormat="1" ht="12.75"/>
    <row r="13707" s="3161" customFormat="1" ht="12.75"/>
    <row r="13708" s="3161" customFormat="1" ht="12.75"/>
    <row r="13709" s="3161" customFormat="1" ht="12.75"/>
    <row r="13710" s="3161" customFormat="1" ht="12.75"/>
    <row r="13711" s="3161" customFormat="1" ht="12.75"/>
    <row r="13712" s="3161" customFormat="1" ht="12.75"/>
    <row r="13713" s="3161" customFormat="1" ht="12.75"/>
    <row r="13714" s="3161" customFormat="1" ht="12.75"/>
    <row r="13715" s="3161" customFormat="1" ht="12.75"/>
    <row r="13716" s="3161" customFormat="1" ht="12.75"/>
    <row r="13717" s="3161" customFormat="1" ht="12.75"/>
    <row r="13718" s="3161" customFormat="1" ht="12.75"/>
    <row r="13719" s="3161" customFormat="1" ht="12.75"/>
    <row r="13720" s="3161" customFormat="1" ht="12.75"/>
    <row r="13721" s="3161" customFormat="1" ht="12.75"/>
    <row r="13722" s="3161" customFormat="1" ht="12.75"/>
    <row r="13723" s="3161" customFormat="1" ht="12.75"/>
    <row r="13724" s="3161" customFormat="1" ht="12.75"/>
    <row r="13725" s="3161" customFormat="1" ht="12.75"/>
    <row r="13726" s="3161" customFormat="1" ht="12.75"/>
    <row r="13727" s="3161" customFormat="1" ht="12.75"/>
    <row r="13728" s="3161" customFormat="1" ht="12.75"/>
    <row r="13729" s="3161" customFormat="1" ht="12.75"/>
    <row r="13730" s="3161" customFormat="1" ht="12.75"/>
    <row r="13731" s="3161" customFormat="1" ht="12.75"/>
    <row r="13732" s="3161" customFormat="1" ht="12.75"/>
    <row r="13733" s="3161" customFormat="1" ht="12.75"/>
    <row r="13734" s="3161" customFormat="1" ht="12.75"/>
    <row r="13735" s="3161" customFormat="1" ht="12.75"/>
    <row r="13736" s="3161" customFormat="1" ht="12.75"/>
    <row r="13737" s="3161" customFormat="1" ht="12.75"/>
    <row r="13738" s="3161" customFormat="1" ht="12.75"/>
    <row r="13739" s="3161" customFormat="1" ht="12.75"/>
    <row r="13740" s="3161" customFormat="1" ht="12.75"/>
    <row r="13741" s="3161" customFormat="1" ht="12.75"/>
    <row r="13742" s="3161" customFormat="1" ht="12.75"/>
    <row r="13743" s="3161" customFormat="1" ht="12.75"/>
    <row r="13744" s="3161" customFormat="1" ht="12.75"/>
    <row r="13745" s="3161" customFormat="1" ht="12.75"/>
    <row r="13746" s="3161" customFormat="1" ht="12.75"/>
    <row r="13747" s="3161" customFormat="1" ht="12.75"/>
    <row r="13748" s="3161" customFormat="1" ht="12.75"/>
    <row r="13749" s="3161" customFormat="1" ht="12.75"/>
    <row r="13750" s="3161" customFormat="1" ht="12.75"/>
    <row r="13751" s="3161" customFormat="1" ht="12.75"/>
    <row r="13752" s="3161" customFormat="1" ht="12.75"/>
    <row r="13753" s="3161" customFormat="1" ht="12.75"/>
    <row r="13754" s="3161" customFormat="1" ht="12.75"/>
    <row r="13755" s="3161" customFormat="1" ht="12.75"/>
    <row r="13756" s="3161" customFormat="1" ht="12.75"/>
    <row r="13757" s="3161" customFormat="1" ht="12.75"/>
    <row r="13758" s="3161" customFormat="1" ht="12.75"/>
    <row r="13759" s="3161" customFormat="1" ht="12.75"/>
    <row r="13760" s="3161" customFormat="1" ht="12.75"/>
    <row r="13761" s="3161" customFormat="1" ht="12.75"/>
    <row r="13762" s="3161" customFormat="1" ht="12.75"/>
    <row r="13763" s="3161" customFormat="1" ht="12.75"/>
    <row r="13764" s="3161" customFormat="1" ht="12.75"/>
    <row r="13765" s="3161" customFormat="1" ht="12.75"/>
    <row r="13766" s="3161" customFormat="1" ht="12.75"/>
    <row r="13767" s="3161" customFormat="1" ht="12.75"/>
    <row r="13768" s="3161" customFormat="1" ht="12.75"/>
    <row r="13769" s="3161" customFormat="1" ht="12.75"/>
    <row r="13770" s="3161" customFormat="1" ht="12.75"/>
    <row r="13771" s="3161" customFormat="1" ht="12.75"/>
    <row r="13772" s="3161" customFormat="1" ht="12.75"/>
    <row r="13773" s="3161" customFormat="1" ht="12.75"/>
    <row r="13774" s="3161" customFormat="1" ht="12.75"/>
    <row r="13775" s="3161" customFormat="1" ht="12.75"/>
    <row r="13776" s="3161" customFormat="1" ht="12.75"/>
    <row r="13777" s="3161" customFormat="1" ht="12.75"/>
    <row r="13778" s="3161" customFormat="1" ht="12.75"/>
    <row r="13779" s="3161" customFormat="1" ht="12.75"/>
    <row r="13780" s="3161" customFormat="1" ht="12.75"/>
    <row r="13781" s="3161" customFormat="1" ht="12.75"/>
    <row r="13782" s="3161" customFormat="1" ht="12.75"/>
    <row r="13783" s="3161" customFormat="1" ht="12.75"/>
    <row r="13784" s="3161" customFormat="1" ht="12.75"/>
    <row r="13785" s="3161" customFormat="1" ht="12.75"/>
    <row r="13786" s="3161" customFormat="1" ht="12.75"/>
    <row r="13787" s="3161" customFormat="1" ht="12.75"/>
    <row r="13788" s="3161" customFormat="1" ht="12.75"/>
    <row r="13789" s="3161" customFormat="1" ht="12.75"/>
    <row r="13790" s="3161" customFormat="1" ht="12.75"/>
    <row r="13791" s="3161" customFormat="1" ht="12.75"/>
    <row r="13792" s="3161" customFormat="1" ht="12.75"/>
    <row r="13793" s="3161" customFormat="1" ht="12.75"/>
    <row r="13794" s="3161" customFormat="1" ht="12.75"/>
    <row r="13795" s="3161" customFormat="1" ht="12.75"/>
    <row r="13796" s="3161" customFormat="1" ht="12.75"/>
    <row r="13797" s="3161" customFormat="1" ht="12.75"/>
    <row r="13798" s="3161" customFormat="1" ht="12.75"/>
    <row r="13799" s="3161" customFormat="1" ht="12.75"/>
    <row r="13800" s="3161" customFormat="1" ht="12.75"/>
    <row r="13801" s="3161" customFormat="1" ht="12.75"/>
    <row r="13802" s="3161" customFormat="1" ht="12.75"/>
    <row r="13803" s="3161" customFormat="1" ht="12.75"/>
    <row r="13804" s="3161" customFormat="1" ht="12.75"/>
    <row r="13805" s="3161" customFormat="1" ht="12.75"/>
    <row r="13806" s="3161" customFormat="1" ht="12.75"/>
    <row r="13807" s="3161" customFormat="1" ht="12.75"/>
    <row r="13808" s="3161" customFormat="1" ht="12.75"/>
    <row r="13809" s="3161" customFormat="1" ht="12.75"/>
    <row r="13810" s="3161" customFormat="1" ht="12.75"/>
    <row r="13811" s="3161" customFormat="1" ht="12.75"/>
    <row r="13812" s="3161" customFormat="1" ht="12.75"/>
    <row r="13813" s="3161" customFormat="1" ht="12.75"/>
    <row r="13814" s="3161" customFormat="1" ht="12.75"/>
    <row r="13815" s="3161" customFormat="1" ht="12.75"/>
    <row r="13816" s="3161" customFormat="1" ht="12.75"/>
    <row r="13817" s="3161" customFormat="1" ht="12.75"/>
    <row r="13818" s="3161" customFormat="1" ht="12.75"/>
    <row r="13819" s="3161" customFormat="1" ht="12.75"/>
    <row r="13820" s="3161" customFormat="1" ht="12.75"/>
    <row r="13821" s="3161" customFormat="1" ht="12.75"/>
    <row r="13822" s="3161" customFormat="1" ht="12.75"/>
    <row r="13823" s="3161" customFormat="1" ht="12.75"/>
    <row r="13824" s="3161" customFormat="1" ht="12.75"/>
    <row r="13825" s="3161" customFormat="1" ht="12.75"/>
    <row r="13826" s="3161" customFormat="1" ht="12.75"/>
    <row r="13827" s="3161" customFormat="1" ht="12.75"/>
    <row r="13828" s="3161" customFormat="1" ht="12.75"/>
    <row r="13829" s="3161" customFormat="1" ht="12.75"/>
    <row r="13830" s="3161" customFormat="1" ht="12.75"/>
    <row r="13831" s="3161" customFormat="1" ht="12.75"/>
    <row r="13832" s="3161" customFormat="1" ht="12.75"/>
    <row r="13833" s="3161" customFormat="1" ht="12.75"/>
    <row r="13834" s="3161" customFormat="1" ht="12.75"/>
    <row r="13835" s="3161" customFormat="1" ht="12.75"/>
    <row r="13836" s="3161" customFormat="1" ht="12.75"/>
    <row r="13837" s="3161" customFormat="1" ht="12.75"/>
    <row r="13838" s="3161" customFormat="1" ht="12.75"/>
    <row r="13839" s="3161" customFormat="1" ht="12.75"/>
    <row r="13840" s="3161" customFormat="1" ht="12.75"/>
    <row r="13841" s="3161" customFormat="1" ht="12.75"/>
    <row r="13842" s="3161" customFormat="1" ht="12.75"/>
    <row r="13843" s="3161" customFormat="1" ht="12.75"/>
    <row r="13844" s="3161" customFormat="1" ht="12.75"/>
    <row r="13845" s="3161" customFormat="1" ht="12.75"/>
    <row r="13846" s="3161" customFormat="1" ht="12.75"/>
    <row r="13847" s="3161" customFormat="1" ht="12.75"/>
    <row r="13848" s="3161" customFormat="1" ht="12.75"/>
    <row r="13849" s="3161" customFormat="1" ht="12.75"/>
    <row r="13850" s="3161" customFormat="1" ht="12.75"/>
    <row r="13851" s="3161" customFormat="1" ht="12.75"/>
    <row r="13852" s="3161" customFormat="1" ht="12.75"/>
    <row r="13853" s="3161" customFormat="1" ht="12.75"/>
    <row r="13854" s="3161" customFormat="1" ht="12.75"/>
    <row r="13855" s="3161" customFormat="1" ht="12.75"/>
    <row r="13856" s="3161" customFormat="1" ht="12.75"/>
    <row r="13857" s="3161" customFormat="1" ht="12.75"/>
    <row r="13858" s="3161" customFormat="1" ht="12.75"/>
    <row r="13859" s="3161" customFormat="1" ht="12.75"/>
    <row r="13860" s="3161" customFormat="1" ht="12.75"/>
    <row r="13861" s="3161" customFormat="1" ht="12.75"/>
    <row r="13862" s="3161" customFormat="1" ht="12.75"/>
    <row r="13863" s="3161" customFormat="1" ht="12.75"/>
    <row r="13864" s="3161" customFormat="1" ht="12.75"/>
    <row r="13865" s="3161" customFormat="1" ht="12.75"/>
    <row r="13866" s="3161" customFormat="1" ht="12.75"/>
    <row r="13867" s="3161" customFormat="1" ht="12.75"/>
    <row r="13868" s="3161" customFormat="1" ht="12.75"/>
    <row r="13869" s="3161" customFormat="1" ht="12.75"/>
    <row r="13870" s="3161" customFormat="1" ht="12.75"/>
    <row r="13871" s="3161" customFormat="1" ht="12.75"/>
    <row r="13872" s="3161" customFormat="1" ht="12.75"/>
    <row r="13873" s="3161" customFormat="1" ht="12.75"/>
    <row r="13874" s="3161" customFormat="1" ht="12.75"/>
    <row r="13875" s="3161" customFormat="1" ht="12.75"/>
    <row r="13876" s="3161" customFormat="1" ht="12.75"/>
    <row r="13877" s="3161" customFormat="1" ht="12.75"/>
    <row r="13878" s="3161" customFormat="1" ht="12.75"/>
    <row r="13879" s="3161" customFormat="1" ht="12.75"/>
    <row r="13880" s="3161" customFormat="1" ht="12.75"/>
    <row r="13881" s="3161" customFormat="1" ht="12.75"/>
    <row r="13882" s="3161" customFormat="1" ht="12.75"/>
    <row r="13883" s="3161" customFormat="1" ht="12.75"/>
    <row r="13884" s="3161" customFormat="1" ht="12.75"/>
    <row r="13885" s="3161" customFormat="1" ht="12.75"/>
    <row r="13886" s="3161" customFormat="1" ht="12.75"/>
    <row r="13887" s="3161" customFormat="1" ht="12.75"/>
    <row r="13888" s="3161" customFormat="1" ht="12.75"/>
    <row r="13889" s="3161" customFormat="1" ht="12.75"/>
    <row r="13890" s="3161" customFormat="1" ht="12.75"/>
    <row r="13891" s="3161" customFormat="1" ht="12.75"/>
    <row r="13892" s="3161" customFormat="1" ht="12.75"/>
    <row r="13893" s="3161" customFormat="1" ht="12.75"/>
    <row r="13894" s="3161" customFormat="1" ht="12.75"/>
    <row r="13895" s="3161" customFormat="1" ht="12.75"/>
    <row r="13896" s="3161" customFormat="1" ht="12.75"/>
    <row r="13897" s="3161" customFormat="1" ht="12.75"/>
    <row r="13898" s="3161" customFormat="1" ht="12.75"/>
    <row r="13899" s="3161" customFormat="1" ht="12.75"/>
    <row r="13900" s="3161" customFormat="1" ht="12.75"/>
    <row r="13901" s="3161" customFormat="1" ht="12.75"/>
    <row r="13902" s="3161" customFormat="1" ht="12.75"/>
    <row r="13903" s="3161" customFormat="1" ht="12.75"/>
    <row r="13904" s="3161" customFormat="1" ht="12.75"/>
    <row r="13905" s="3161" customFormat="1" ht="12.75"/>
    <row r="13906" s="3161" customFormat="1" ht="12.75"/>
    <row r="13907" s="3161" customFormat="1" ht="12.75"/>
    <row r="13908" s="3161" customFormat="1" ht="12.75"/>
    <row r="13909" s="3161" customFormat="1" ht="12.75"/>
    <row r="13910" s="3161" customFormat="1" ht="12.75"/>
    <row r="13911" s="3161" customFormat="1" ht="12.75"/>
    <row r="13912" s="3161" customFormat="1" ht="12.75"/>
    <row r="13913" s="3161" customFormat="1" ht="12.75"/>
    <row r="13914" s="3161" customFormat="1" ht="12.75"/>
    <row r="13915" s="3161" customFormat="1" ht="12.75"/>
    <row r="13916" s="3161" customFormat="1" ht="12.75"/>
    <row r="13917" s="3161" customFormat="1" ht="12.75"/>
    <row r="13918" s="3161" customFormat="1" ht="12.75"/>
    <row r="13919" s="3161" customFormat="1" ht="12.75"/>
    <row r="13920" s="3161" customFormat="1" ht="12.75"/>
    <row r="13921" s="3161" customFormat="1" ht="12.75"/>
    <row r="13922" s="3161" customFormat="1" ht="12.75"/>
    <row r="13923" s="3161" customFormat="1" ht="12.75"/>
    <row r="13924" s="3161" customFormat="1" ht="12.75"/>
    <row r="13925" s="3161" customFormat="1" ht="12.75"/>
    <row r="13926" s="3161" customFormat="1" ht="12.75"/>
    <row r="13927" s="3161" customFormat="1" ht="12.75"/>
    <row r="13928" s="3161" customFormat="1" ht="12.75"/>
    <row r="13929" s="3161" customFormat="1" ht="12.75"/>
    <row r="13930" s="3161" customFormat="1" ht="12.75"/>
    <row r="13931" s="3161" customFormat="1" ht="12.75"/>
    <row r="13932" s="3161" customFormat="1" ht="12.75"/>
    <row r="13933" s="3161" customFormat="1" ht="12.75"/>
    <row r="13934" s="3161" customFormat="1" ht="12.75"/>
    <row r="13935" s="3161" customFormat="1" ht="12.75"/>
    <row r="13936" s="3161" customFormat="1" ht="12.75"/>
    <row r="13937" s="3161" customFormat="1" ht="12.75"/>
    <row r="13938" s="3161" customFormat="1" ht="12.75"/>
    <row r="13939" s="3161" customFormat="1" ht="12.75"/>
    <row r="13940" s="3161" customFormat="1" ht="12.75"/>
    <row r="13941" s="3161" customFormat="1" ht="12.75"/>
    <row r="13942" s="3161" customFormat="1" ht="12.75"/>
    <row r="13943" s="3161" customFormat="1" ht="12.75"/>
    <row r="13944" s="3161" customFormat="1" ht="12.75"/>
    <row r="13945" s="3161" customFormat="1" ht="12.75"/>
    <row r="13946" s="3161" customFormat="1" ht="12.75"/>
    <row r="13947" s="3161" customFormat="1" ht="12.75"/>
    <row r="13948" s="3161" customFormat="1" ht="12.75"/>
    <row r="13949" s="3161" customFormat="1" ht="12.75"/>
    <row r="13950" s="3161" customFormat="1" ht="12.75"/>
    <row r="13951" s="3161" customFormat="1" ht="12.75"/>
    <row r="13952" s="3161" customFormat="1" ht="12.75"/>
    <row r="13953" s="3161" customFormat="1" ht="12.75"/>
    <row r="13954" s="3161" customFormat="1" ht="12.75"/>
    <row r="13955" s="3161" customFormat="1" ht="12.75"/>
    <row r="13956" s="3161" customFormat="1" ht="12.75"/>
    <row r="13957" s="3161" customFormat="1" ht="12.75"/>
    <row r="13958" s="3161" customFormat="1" ht="12.75"/>
    <row r="13959" s="3161" customFormat="1" ht="12.75"/>
    <row r="13960" s="3161" customFormat="1" ht="12.75"/>
    <row r="13961" s="3161" customFormat="1" ht="12.75"/>
    <row r="13962" s="3161" customFormat="1" ht="12.75"/>
    <row r="13963" s="3161" customFormat="1" ht="12.75"/>
    <row r="13964" s="3161" customFormat="1" ht="12.75"/>
    <row r="13965" s="3161" customFormat="1" ht="12.75"/>
    <row r="13966" s="3161" customFormat="1" ht="12.75"/>
    <row r="13967" s="3161" customFormat="1" ht="12.75"/>
    <row r="13968" s="3161" customFormat="1" ht="12.75"/>
    <row r="13969" s="3161" customFormat="1" ht="12.75"/>
    <row r="13970" s="3161" customFormat="1" ht="12.75"/>
    <row r="13971" s="3161" customFormat="1" ht="12.75"/>
    <row r="13972" s="3161" customFormat="1" ht="12.75"/>
    <row r="13973" s="3161" customFormat="1" ht="12.75"/>
    <row r="13974" s="3161" customFormat="1" ht="12.75"/>
    <row r="13975" s="3161" customFormat="1" ht="12.75"/>
    <row r="13976" s="3161" customFormat="1" ht="12.75"/>
    <row r="13977" s="3161" customFormat="1" ht="12.75"/>
    <row r="13978" s="3161" customFormat="1" ht="12.75"/>
    <row r="13979" s="3161" customFormat="1" ht="12.75"/>
    <row r="13980" s="3161" customFormat="1" ht="12.75"/>
    <row r="13981" s="3161" customFormat="1" ht="12.75"/>
    <row r="13982" s="3161" customFormat="1" ht="12.75"/>
    <row r="13983" s="3161" customFormat="1" ht="12.75"/>
    <row r="13984" s="3161" customFormat="1" ht="12.75"/>
    <row r="13985" s="3161" customFormat="1" ht="12.75"/>
    <row r="13986" s="3161" customFormat="1" ht="12.75"/>
    <row r="13987" s="3161" customFormat="1" ht="12.75"/>
    <row r="13988" s="3161" customFormat="1" ht="12.75"/>
    <row r="13989" s="3161" customFormat="1" ht="12.75"/>
    <row r="13990" s="3161" customFormat="1" ht="12.75"/>
    <row r="13991" s="3161" customFormat="1" ht="12.75"/>
    <row r="13992" s="3161" customFormat="1" ht="12.75"/>
    <row r="13993" s="3161" customFormat="1" ht="12.75"/>
    <row r="13994" s="3161" customFormat="1" ht="12.75"/>
    <row r="13995" s="3161" customFormat="1" ht="12.75"/>
    <row r="13996" s="3161" customFormat="1" ht="12.75"/>
    <row r="13997" s="3161" customFormat="1" ht="12.75"/>
    <row r="13998" s="3161" customFormat="1" ht="12.75"/>
    <row r="13999" s="3161" customFormat="1" ht="12.75"/>
    <row r="14000" s="3161" customFormat="1" ht="12.75"/>
    <row r="14001" s="3161" customFormat="1" ht="12.75"/>
    <row r="14002" s="3161" customFormat="1" ht="12.75"/>
    <row r="14003" s="3161" customFormat="1" ht="12.75"/>
    <row r="14004" s="3161" customFormat="1" ht="12.75"/>
    <row r="14005" s="3161" customFormat="1" ht="12.75"/>
    <row r="14006" s="3161" customFormat="1" ht="12.75"/>
    <row r="14007" s="3161" customFormat="1" ht="12.75"/>
    <row r="14008" s="3161" customFormat="1" ht="12.75"/>
    <row r="14009" s="3161" customFormat="1" ht="12.75"/>
    <row r="14010" s="3161" customFormat="1" ht="12.75"/>
    <row r="14011" s="3161" customFormat="1" ht="12.75"/>
    <row r="14012" s="3161" customFormat="1" ht="12.75"/>
    <row r="14013" s="3161" customFormat="1" ht="12.75"/>
    <row r="14014" s="3161" customFormat="1" ht="12.75"/>
    <row r="14015" s="3161" customFormat="1" ht="12.75"/>
    <row r="14016" s="3161" customFormat="1" ht="12.75"/>
    <row r="14017" s="3161" customFormat="1" ht="12.75"/>
    <row r="14018" s="3161" customFormat="1" ht="12.75"/>
    <row r="14019" s="3161" customFormat="1" ht="12.75"/>
    <row r="14020" s="3161" customFormat="1" ht="12.75"/>
    <row r="14021" s="3161" customFormat="1" ht="12.75"/>
    <row r="14022" s="3161" customFormat="1" ht="12.75"/>
    <row r="14023" s="3161" customFormat="1" ht="12.75"/>
    <row r="14024" s="3161" customFormat="1" ht="12.75"/>
    <row r="14025" s="3161" customFormat="1" ht="12.75"/>
    <row r="14026" s="3161" customFormat="1" ht="12.75"/>
    <row r="14027" s="3161" customFormat="1" ht="12.75"/>
    <row r="14028" s="3161" customFormat="1" ht="12.75"/>
    <row r="14029" s="3161" customFormat="1" ht="12.75"/>
    <row r="14030" s="3161" customFormat="1" ht="12.75"/>
    <row r="14031" s="3161" customFormat="1" ht="12.75"/>
    <row r="14032" s="3161" customFormat="1" ht="12.75"/>
    <row r="14033" s="3161" customFormat="1" ht="12.75"/>
    <row r="14034" s="3161" customFormat="1" ht="12.75"/>
    <row r="14035" s="3161" customFormat="1" ht="12.75"/>
    <row r="14036" s="3161" customFormat="1" ht="12.75"/>
    <row r="14037" s="3161" customFormat="1" ht="12.75"/>
    <row r="14038" s="3161" customFormat="1" ht="12.75"/>
    <row r="14039" s="3161" customFormat="1" ht="12.75"/>
    <row r="14040" s="3161" customFormat="1" ht="12.75"/>
    <row r="14041" s="3161" customFormat="1" ht="12.75"/>
    <row r="14042" s="3161" customFormat="1" ht="12.75"/>
    <row r="14043" s="3161" customFormat="1" ht="12.75"/>
    <row r="14044" s="3161" customFormat="1" ht="12.75"/>
    <row r="14045" s="3161" customFormat="1" ht="12.75"/>
    <row r="14046" s="3161" customFormat="1" ht="12.75"/>
    <row r="14047" s="3161" customFormat="1" ht="12.75"/>
    <row r="14048" s="3161" customFormat="1" ht="12.75"/>
    <row r="14049" s="3161" customFormat="1" ht="12.75"/>
    <row r="14050" s="3161" customFormat="1" ht="12.75"/>
    <row r="14051" s="3161" customFormat="1" ht="12.75"/>
    <row r="14052" s="3161" customFormat="1" ht="12.75"/>
    <row r="14053" s="3161" customFormat="1" ht="12.75"/>
    <row r="14054" s="3161" customFormat="1" ht="12.75"/>
    <row r="14055" s="3161" customFormat="1" ht="12.75"/>
    <row r="14056" s="3161" customFormat="1" ht="12.75"/>
    <row r="14057" s="3161" customFormat="1" ht="12.75"/>
    <row r="14058" s="3161" customFormat="1" ht="12.75"/>
    <row r="14059" s="3161" customFormat="1" ht="12.75"/>
    <row r="14060" s="3161" customFormat="1" ht="12.75"/>
    <row r="14061" s="3161" customFormat="1" ht="12.75"/>
    <row r="14062" s="3161" customFormat="1" ht="12.75"/>
    <row r="14063" s="3161" customFormat="1" ht="12.75"/>
    <row r="14064" s="3161" customFormat="1" ht="12.75"/>
    <row r="14065" s="3161" customFormat="1" ht="12.75"/>
    <row r="14066" s="3161" customFormat="1" ht="12.75"/>
    <row r="14067" s="3161" customFormat="1" ht="12.75"/>
    <row r="14068" s="3161" customFormat="1" ht="12.75"/>
    <row r="14069" s="3161" customFormat="1" ht="12.75"/>
    <row r="14070" s="3161" customFormat="1" ht="12.75"/>
    <row r="14071" s="3161" customFormat="1" ht="12.75"/>
    <row r="14072" s="3161" customFormat="1" ht="12.75"/>
    <row r="14073" s="3161" customFormat="1" ht="12.75"/>
    <row r="14074" s="3161" customFormat="1" ht="12.75"/>
    <row r="14075" s="3161" customFormat="1" ht="12.75"/>
    <row r="14076" s="3161" customFormat="1" ht="12.75"/>
    <row r="14077" s="3161" customFormat="1" ht="12.75"/>
    <row r="14078" s="3161" customFormat="1" ht="12.75"/>
    <row r="14079" s="3161" customFormat="1" ht="12.75"/>
    <row r="14080" s="3161" customFormat="1" ht="12.75"/>
    <row r="14081" s="3161" customFormat="1" ht="12.75"/>
    <row r="14082" s="3161" customFormat="1" ht="12.75"/>
    <row r="14083" s="3161" customFormat="1" ht="12.75"/>
    <row r="14084" s="3161" customFormat="1" ht="12.75"/>
    <row r="14085" s="3161" customFormat="1" ht="12.75"/>
    <row r="14086" s="3161" customFormat="1" ht="12.75"/>
    <row r="14087" s="3161" customFormat="1" ht="12.75"/>
    <row r="14088" s="3161" customFormat="1" ht="12.75"/>
    <row r="14089" s="3161" customFormat="1" ht="12.75"/>
    <row r="14090" s="3161" customFormat="1" ht="12.75"/>
    <row r="14091" s="3161" customFormat="1" ht="12.75"/>
    <row r="14092" s="3161" customFormat="1" ht="12.75"/>
    <row r="14093" s="3161" customFormat="1" ht="12.75"/>
    <row r="14094" s="3161" customFormat="1" ht="12.75"/>
    <row r="14095" s="3161" customFormat="1" ht="12.75"/>
    <row r="14096" s="3161" customFormat="1" ht="12.75"/>
    <row r="14097" s="3161" customFormat="1" ht="12.75"/>
    <row r="14098" s="3161" customFormat="1" ht="12.75"/>
    <row r="14099" s="3161" customFormat="1" ht="12.75"/>
    <row r="14100" s="3161" customFormat="1" ht="12.75"/>
    <row r="14101" s="3161" customFormat="1" ht="12.75"/>
    <row r="14102" s="3161" customFormat="1" ht="12.75"/>
    <row r="14103" s="3161" customFormat="1" ht="12.75"/>
    <row r="14104" s="3161" customFormat="1" ht="12.75"/>
    <row r="14105" s="3161" customFormat="1" ht="12.75"/>
    <row r="14106" s="3161" customFormat="1" ht="12.75"/>
    <row r="14107" s="3161" customFormat="1" ht="12.75"/>
    <row r="14108" s="3161" customFormat="1" ht="12.75"/>
    <row r="14109" s="3161" customFormat="1" ht="12.75"/>
    <row r="14110" s="3161" customFormat="1" ht="12.75"/>
    <row r="14111" s="3161" customFormat="1" ht="12.75"/>
    <row r="14112" s="3161" customFormat="1" ht="12.75"/>
    <row r="14113" s="3161" customFormat="1" ht="12.75"/>
    <row r="14114" s="3161" customFormat="1" ht="12.75"/>
    <row r="14115" s="3161" customFormat="1" ht="12.75"/>
    <row r="14116" s="3161" customFormat="1" ht="12.75"/>
    <row r="14117" s="3161" customFormat="1" ht="12.75"/>
    <row r="14118" s="3161" customFormat="1" ht="12.75"/>
    <row r="14119" s="3161" customFormat="1" ht="12.75"/>
    <row r="14120" s="3161" customFormat="1" ht="12.75"/>
    <row r="14121" s="3161" customFormat="1" ht="12.75"/>
    <row r="14122" s="3161" customFormat="1" ht="12.75"/>
    <row r="14123" s="3161" customFormat="1" ht="12.75"/>
    <row r="14124" s="3161" customFormat="1" ht="12.75"/>
    <row r="14125" s="3161" customFormat="1" ht="12.75"/>
    <row r="14126" s="3161" customFormat="1" ht="12.75"/>
    <row r="14127" s="3161" customFormat="1" ht="12.75"/>
    <row r="14128" s="3161" customFormat="1" ht="12.75"/>
    <row r="14129" s="3161" customFormat="1" ht="12.75"/>
    <row r="14130" s="3161" customFormat="1" ht="12.75"/>
    <row r="14131" s="3161" customFormat="1" ht="12.75"/>
    <row r="14132" s="3161" customFormat="1" ht="12.75"/>
    <row r="14133" s="3161" customFormat="1" ht="12.75"/>
    <row r="14134" s="3161" customFormat="1" ht="12.75"/>
    <row r="14135" s="3161" customFormat="1" ht="12.75"/>
    <row r="14136" s="3161" customFormat="1" ht="12.75"/>
    <row r="14137" s="3161" customFormat="1" ht="12.75"/>
    <row r="14138" s="3161" customFormat="1" ht="12.75"/>
    <row r="14139" s="3161" customFormat="1" ht="12.75"/>
    <row r="14140" s="3161" customFormat="1" ht="12.75"/>
    <row r="14141" s="3161" customFormat="1" ht="12.75"/>
    <row r="14142" s="3161" customFormat="1" ht="12.75"/>
    <row r="14143" s="3161" customFormat="1" ht="12.75"/>
    <row r="14144" s="3161" customFormat="1" ht="12.75"/>
    <row r="14145" s="3161" customFormat="1" ht="12.75"/>
    <row r="14146" s="3161" customFormat="1" ht="12.75"/>
    <row r="14147" s="3161" customFormat="1" ht="12.75"/>
    <row r="14148" s="3161" customFormat="1" ht="12.75"/>
    <row r="14149" s="3161" customFormat="1" ht="12.75"/>
    <row r="14150" s="3161" customFormat="1" ht="12.75"/>
    <row r="14151" s="3161" customFormat="1" ht="12.75"/>
    <row r="14152" s="3161" customFormat="1" ht="12.75"/>
    <row r="14153" s="3161" customFormat="1" ht="12.75"/>
    <row r="14154" s="3161" customFormat="1" ht="12.75"/>
    <row r="14155" s="3161" customFormat="1" ht="12.75"/>
    <row r="14156" s="3161" customFormat="1" ht="12.75"/>
    <row r="14157" s="3161" customFormat="1" ht="12.75"/>
    <row r="14158" s="3161" customFormat="1" ht="12.75"/>
    <row r="14159" s="3161" customFormat="1" ht="12.75"/>
    <row r="14160" s="3161" customFormat="1" ht="12.75"/>
    <row r="14161" s="3161" customFormat="1" ht="12.75"/>
    <row r="14162" s="3161" customFormat="1" ht="12.75"/>
    <row r="14163" s="3161" customFormat="1" ht="12.75"/>
    <row r="14164" s="3161" customFormat="1" ht="12.75"/>
    <row r="14165" s="3161" customFormat="1" ht="12.75"/>
    <row r="14166" s="3161" customFormat="1" ht="12.75"/>
    <row r="14167" s="3161" customFormat="1" ht="12.75"/>
    <row r="14168" s="3161" customFormat="1" ht="12.75"/>
    <row r="14169" s="3161" customFormat="1" ht="12.75"/>
    <row r="14170" s="3161" customFormat="1" ht="12.75"/>
    <row r="14171" s="3161" customFormat="1" ht="12.75"/>
    <row r="14172" s="3161" customFormat="1" ht="12.75"/>
    <row r="14173" s="3161" customFormat="1" ht="12.75"/>
    <row r="14174" s="3161" customFormat="1" ht="12.75"/>
    <row r="14175" s="3161" customFormat="1" ht="12.75"/>
    <row r="14176" s="3161" customFormat="1" ht="12.75"/>
    <row r="14177" s="3161" customFormat="1" ht="12.75"/>
    <row r="14178" s="3161" customFormat="1" ht="12.75"/>
    <row r="14179" s="3161" customFormat="1" ht="12.75"/>
    <row r="14180" s="3161" customFormat="1" ht="12.75"/>
    <row r="14181" s="3161" customFormat="1" ht="12.75"/>
    <row r="14182" s="3161" customFormat="1" ht="12.75"/>
    <row r="14183" s="3161" customFormat="1" ht="12.75"/>
    <row r="14184" s="3161" customFormat="1" ht="12.75"/>
    <row r="14185" s="3161" customFormat="1" ht="12.75"/>
    <row r="14186" s="3161" customFormat="1" ht="12.75"/>
    <row r="14187" s="3161" customFormat="1" ht="12.75"/>
    <row r="14188" s="3161" customFormat="1" ht="12.75"/>
    <row r="14189" s="3161" customFormat="1" ht="12.75"/>
    <row r="14190" s="3161" customFormat="1" ht="12.75"/>
    <row r="14191" s="3161" customFormat="1" ht="12.75"/>
    <row r="14192" s="3161" customFormat="1" ht="12.75"/>
    <row r="14193" s="3161" customFormat="1" ht="12.75"/>
    <row r="14194" s="3161" customFormat="1" ht="12.75"/>
    <row r="14195" s="3161" customFormat="1" ht="12.75"/>
    <row r="14196" s="3161" customFormat="1" ht="12.75"/>
    <row r="14197" s="3161" customFormat="1" ht="12.75"/>
    <row r="14198" s="3161" customFormat="1" ht="12.75"/>
    <row r="14199" s="3161" customFormat="1" ht="12.75"/>
    <row r="14200" s="3161" customFormat="1" ht="12.75"/>
    <row r="14201" s="3161" customFormat="1" ht="12.75"/>
    <row r="14202" s="3161" customFormat="1" ht="12.75"/>
    <row r="14203" s="3161" customFormat="1" ht="12.75"/>
    <row r="14204" s="3161" customFormat="1" ht="12.75"/>
    <row r="14205" s="3161" customFormat="1" ht="12.75"/>
    <row r="14206" s="3161" customFormat="1" ht="12.75"/>
    <row r="14207" s="3161" customFormat="1" ht="12.75"/>
    <row r="14208" s="3161" customFormat="1" ht="12.75"/>
    <row r="14209" s="3161" customFormat="1" ht="12.75"/>
    <row r="14210" s="3161" customFormat="1" ht="12.75"/>
    <row r="14211" s="3161" customFormat="1" ht="12.75"/>
    <row r="14212" s="3161" customFormat="1" ht="12.75"/>
    <row r="14213" s="3161" customFormat="1" ht="12.75"/>
    <row r="14214" s="3161" customFormat="1" ht="12.75"/>
    <row r="14215" s="3161" customFormat="1" ht="12.75"/>
    <row r="14216" s="3161" customFormat="1" ht="12.75"/>
    <row r="14217" s="3161" customFormat="1" ht="12.75"/>
    <row r="14218" s="3161" customFormat="1" ht="12.75"/>
    <row r="14219" s="3161" customFormat="1" ht="12.75"/>
    <row r="14220" s="3161" customFormat="1" ht="12.75"/>
    <row r="14221" s="3161" customFormat="1" ht="12.75"/>
    <row r="14222" s="3161" customFormat="1" ht="12.75"/>
    <row r="14223" s="3161" customFormat="1" ht="12.75"/>
    <row r="14224" s="3161" customFormat="1" ht="12.75"/>
    <row r="14225" s="3161" customFormat="1" ht="12.75"/>
    <row r="14226" s="3161" customFormat="1" ht="12.75"/>
    <row r="14227" s="3161" customFormat="1" ht="12.75"/>
    <row r="14228" s="3161" customFormat="1" ht="12.75"/>
    <row r="14229" s="3161" customFormat="1" ht="12.75"/>
    <row r="14230" s="3161" customFormat="1" ht="12.75"/>
    <row r="14231" s="3161" customFormat="1" ht="12.75"/>
    <row r="14232" s="3161" customFormat="1" ht="12.75"/>
    <row r="14233" s="3161" customFormat="1" ht="12.75"/>
    <row r="14234" s="3161" customFormat="1" ht="12.75"/>
    <row r="14235" s="3161" customFormat="1" ht="12.75"/>
    <row r="14236" s="3161" customFormat="1" ht="12.75"/>
    <row r="14237" s="3161" customFormat="1" ht="12.75"/>
    <row r="14238" s="3161" customFormat="1" ht="12.75"/>
    <row r="14239" s="3161" customFormat="1" ht="12.75"/>
    <row r="14240" s="3161" customFormat="1" ht="12.75"/>
    <row r="14241" s="3161" customFormat="1" ht="12.75"/>
    <row r="14242" s="3161" customFormat="1" ht="12.75"/>
    <row r="14243" s="3161" customFormat="1" ht="12.75"/>
    <row r="14244" s="3161" customFormat="1" ht="12.75"/>
    <row r="14245" s="3161" customFormat="1" ht="12.75"/>
    <row r="14246" s="3161" customFormat="1" ht="12.75"/>
    <row r="14247" s="3161" customFormat="1" ht="12.75"/>
    <row r="14248" s="3161" customFormat="1" ht="12.75"/>
    <row r="14249" s="3161" customFormat="1" ht="12.75"/>
    <row r="14250" s="3161" customFormat="1" ht="12.75"/>
    <row r="14251" s="3161" customFormat="1" ht="12.75"/>
    <row r="14252" s="3161" customFormat="1" ht="12.75"/>
    <row r="14253" s="3161" customFormat="1" ht="12.75"/>
    <row r="14254" s="3161" customFormat="1" ht="12.75"/>
    <row r="14255" s="3161" customFormat="1" ht="12.75"/>
    <row r="14256" s="3161" customFormat="1" ht="12.75"/>
    <row r="14257" s="3161" customFormat="1" ht="12.75"/>
    <row r="14258" s="3161" customFormat="1" ht="12.75"/>
    <row r="14259" s="3161" customFormat="1" ht="12.75"/>
    <row r="14260" s="3161" customFormat="1" ht="12.75"/>
    <row r="14261" s="3161" customFormat="1" ht="12.75"/>
    <row r="14262" s="3161" customFormat="1" ht="12.75"/>
    <row r="14263" s="3161" customFormat="1" ht="12.75"/>
    <row r="14264" s="3161" customFormat="1" ht="12.75"/>
    <row r="14265" s="3161" customFormat="1" ht="12.75"/>
    <row r="14266" s="3161" customFormat="1" ht="12.75"/>
    <row r="14267" s="3161" customFormat="1" ht="12.75"/>
    <row r="14268" s="3161" customFormat="1" ht="12.75"/>
    <row r="14269" s="3161" customFormat="1" ht="12.75"/>
    <row r="14270" s="3161" customFormat="1" ht="12.75"/>
    <row r="14271" s="3161" customFormat="1" ht="12.75"/>
    <row r="14272" s="3161" customFormat="1" ht="12.75"/>
    <row r="14273" s="3161" customFormat="1" ht="12.75"/>
    <row r="14274" s="3161" customFormat="1" ht="12.75"/>
    <row r="14275" s="3161" customFormat="1" ht="12.75"/>
    <row r="14276" s="3161" customFormat="1" ht="12.75"/>
    <row r="14277" s="3161" customFormat="1" ht="12.75"/>
    <row r="14278" s="3161" customFormat="1" ht="12.75"/>
    <row r="14279" s="3161" customFormat="1" ht="12.75"/>
    <row r="14280" s="3161" customFormat="1" ht="12.75"/>
    <row r="14281" s="3161" customFormat="1" ht="12.75"/>
    <row r="14282" s="3161" customFormat="1" ht="12.75"/>
    <row r="14283" s="3161" customFormat="1" ht="12.75"/>
    <row r="14284" s="3161" customFormat="1" ht="12.75"/>
    <row r="14285" s="3161" customFormat="1" ht="12.75"/>
    <row r="14286" s="3161" customFormat="1" ht="12.75"/>
    <row r="14287" s="3161" customFormat="1" ht="12.75"/>
    <row r="14288" s="3161" customFormat="1" ht="12.75"/>
    <row r="14289" s="3161" customFormat="1" ht="12.75"/>
    <row r="14290" s="3161" customFormat="1" ht="12.75"/>
    <row r="14291" s="3161" customFormat="1" ht="12.75"/>
    <row r="14292" s="3161" customFormat="1" ht="12.75"/>
    <row r="14293" s="3161" customFormat="1" ht="12.75"/>
    <row r="14294" s="3161" customFormat="1" ht="12.75"/>
    <row r="14295" s="3161" customFormat="1" ht="12.75"/>
    <row r="14296" s="3161" customFormat="1" ht="12.75"/>
    <row r="14297" s="3161" customFormat="1" ht="12.75"/>
    <row r="14298" s="3161" customFormat="1" ht="12.75"/>
    <row r="14299" s="3161" customFormat="1" ht="12.75"/>
    <row r="14300" s="3161" customFormat="1" ht="12.75"/>
    <row r="14301" s="3161" customFormat="1" ht="12.75"/>
    <row r="14302" s="3161" customFormat="1" ht="12.75"/>
    <row r="14303" s="3161" customFormat="1" ht="12.75"/>
    <row r="14304" s="3161" customFormat="1" ht="12.75"/>
    <row r="14305" s="3161" customFormat="1" ht="12.75"/>
    <row r="14306" s="3161" customFormat="1" ht="12.75"/>
    <row r="14307" s="3161" customFormat="1" ht="12.75"/>
    <row r="14308" s="3161" customFormat="1" ht="12.75"/>
    <row r="14309" s="3161" customFormat="1" ht="12.75"/>
    <row r="14310" s="3161" customFormat="1" ht="12.75"/>
    <row r="14311" s="3161" customFormat="1" ht="12.75"/>
    <row r="14312" s="3161" customFormat="1" ht="12.75"/>
    <row r="14313" s="3161" customFormat="1" ht="12.75"/>
    <row r="14314" s="3161" customFormat="1" ht="12.75"/>
    <row r="14315" s="3161" customFormat="1" ht="12.75"/>
    <row r="14316" s="3161" customFormat="1" ht="12.75"/>
    <row r="14317" s="3161" customFormat="1" ht="12.75"/>
    <row r="14318" s="3161" customFormat="1" ht="12.75"/>
    <row r="14319" s="3161" customFormat="1" ht="12.75"/>
    <row r="14320" s="3161" customFormat="1" ht="12.75"/>
    <row r="14321" s="3161" customFormat="1" ht="12.75"/>
    <row r="14322" s="3161" customFormat="1" ht="12.75"/>
    <row r="14323" s="3161" customFormat="1" ht="12.75"/>
    <row r="14324" s="3161" customFormat="1" ht="12.75"/>
    <row r="14325" s="3161" customFormat="1" ht="12.75"/>
    <row r="14326" s="3161" customFormat="1" ht="12.75"/>
    <row r="14327" s="3161" customFormat="1" ht="12.75"/>
    <row r="14328" s="3161" customFormat="1" ht="12.75"/>
    <row r="14329" s="3161" customFormat="1" ht="12.75"/>
    <row r="14330" s="3161" customFormat="1" ht="12.75"/>
    <row r="14331" s="3161" customFormat="1" ht="12.75"/>
    <row r="14332" s="3161" customFormat="1" ht="12.75"/>
    <row r="14333" s="3161" customFormat="1" ht="12.75"/>
    <row r="14334" s="3161" customFormat="1" ht="12.75"/>
    <row r="14335" s="3161" customFormat="1" ht="12.75"/>
    <row r="14336" s="3161" customFormat="1" ht="12.75"/>
    <row r="14337" s="3161" customFormat="1" ht="12.75"/>
    <row r="14338" s="3161" customFormat="1" ht="12.75"/>
    <row r="14339" s="3161" customFormat="1" ht="12.75"/>
    <row r="14340" s="3161" customFormat="1" ht="12.75"/>
    <row r="14341" s="3161" customFormat="1" ht="12.75"/>
    <row r="14342" s="3161" customFormat="1" ht="12.75"/>
    <row r="14343" s="3161" customFormat="1" ht="12.75"/>
    <row r="14344" s="3161" customFormat="1" ht="12.75"/>
    <row r="14345" s="3161" customFormat="1" ht="12.75"/>
    <row r="14346" s="3161" customFormat="1" ht="12.75"/>
    <row r="14347" s="3161" customFormat="1" ht="12.75"/>
    <row r="14348" s="3161" customFormat="1" ht="12.75"/>
    <row r="14349" s="3161" customFormat="1" ht="12.75"/>
    <row r="14350" s="3161" customFormat="1" ht="12.75"/>
    <row r="14351" s="3161" customFormat="1" ht="12.75"/>
    <row r="14352" s="3161" customFormat="1" ht="12.75"/>
    <row r="14353" s="3161" customFormat="1" ht="12.75"/>
    <row r="14354" s="3161" customFormat="1" ht="12.75"/>
    <row r="14355" s="3161" customFormat="1" ht="12.75"/>
    <row r="14356" s="3161" customFormat="1" ht="12.75"/>
    <row r="14357" s="3161" customFormat="1" ht="12.75"/>
    <row r="14358" s="3161" customFormat="1" ht="12.75"/>
    <row r="14359" s="3161" customFormat="1" ht="12.75"/>
    <row r="14360" s="3161" customFormat="1" ht="12.75"/>
    <row r="14361" s="3161" customFormat="1" ht="12.75"/>
    <row r="14362" s="3161" customFormat="1" ht="12.75"/>
    <row r="14363" s="3161" customFormat="1" ht="12.75"/>
    <row r="14364" s="3161" customFormat="1" ht="12.75"/>
    <row r="14365" s="3161" customFormat="1" ht="12.75"/>
    <row r="14366" s="3161" customFormat="1" ht="12.75"/>
    <row r="14367" s="3161" customFormat="1" ht="12.75"/>
    <row r="14368" s="3161" customFormat="1" ht="12.75"/>
    <row r="14369" s="3161" customFormat="1" ht="12.75"/>
    <row r="14370" s="3161" customFormat="1" ht="12.75"/>
    <row r="14371" s="3161" customFormat="1" ht="12.75"/>
    <row r="14372" s="3161" customFormat="1" ht="12.75"/>
    <row r="14373" s="3161" customFormat="1" ht="12.75"/>
    <row r="14374" s="3161" customFormat="1" ht="12.75"/>
    <row r="14375" s="3161" customFormat="1" ht="12.75"/>
    <row r="14376" s="3161" customFormat="1" ht="12.75"/>
    <row r="14377" s="3161" customFormat="1" ht="12.75"/>
    <row r="14378" s="3161" customFormat="1" ht="12.75"/>
    <row r="14379" s="3161" customFormat="1" ht="12.75"/>
    <row r="14380" s="3161" customFormat="1" ht="12.75"/>
    <row r="14381" s="3161" customFormat="1" ht="12.75"/>
    <row r="14382" s="3161" customFormat="1" ht="12.75"/>
    <row r="14383" s="3161" customFormat="1" ht="12.75"/>
    <row r="14384" s="3161" customFormat="1" ht="12.75"/>
    <row r="14385" s="3161" customFormat="1" ht="12.75"/>
    <row r="14386" s="3161" customFormat="1" ht="12.75"/>
    <row r="14387" s="3161" customFormat="1" ht="12.75"/>
    <row r="14388" s="3161" customFormat="1" ht="12.75"/>
    <row r="14389" s="3161" customFormat="1" ht="12.75"/>
    <row r="14390" s="3161" customFormat="1" ht="12.75"/>
    <row r="14391" s="3161" customFormat="1" ht="12.75"/>
    <row r="14392" s="3161" customFormat="1" ht="12.75"/>
    <row r="14393" s="3161" customFormat="1" ht="12.75"/>
    <row r="14394" s="3161" customFormat="1" ht="12.75"/>
    <row r="14395" s="3161" customFormat="1" ht="12.75"/>
    <row r="14396" s="3161" customFormat="1" ht="12.75"/>
    <row r="14397" s="3161" customFormat="1" ht="12.75"/>
    <row r="14398" s="3161" customFormat="1" ht="12.75"/>
    <row r="14399" s="3161" customFormat="1" ht="12.75"/>
    <row r="14400" s="3161" customFormat="1" ht="12.75"/>
    <row r="14401" s="3161" customFormat="1" ht="12.75"/>
    <row r="14402" s="3161" customFormat="1" ht="12.75"/>
    <row r="14403" s="3161" customFormat="1" ht="12.75"/>
    <row r="14404" s="3161" customFormat="1" ht="12.75"/>
    <row r="14405" s="3161" customFormat="1" ht="12.75"/>
    <row r="14406" s="3161" customFormat="1" ht="12.75"/>
    <row r="14407" s="3161" customFormat="1" ht="12.75"/>
    <row r="14408" s="3161" customFormat="1" ht="12.75"/>
    <row r="14409" s="3161" customFormat="1" ht="12.75"/>
    <row r="14410" s="3161" customFormat="1" ht="12.75"/>
    <row r="14411" s="3161" customFormat="1" ht="12.75"/>
    <row r="14412" s="3161" customFormat="1" ht="12.75"/>
    <row r="14413" s="3161" customFormat="1" ht="12.75"/>
    <row r="14414" s="3161" customFormat="1" ht="12.75"/>
    <row r="14415" s="3161" customFormat="1" ht="12.75"/>
    <row r="14416" s="3161" customFormat="1" ht="12.75"/>
    <row r="14417" s="3161" customFormat="1" ht="12.75"/>
    <row r="14418" s="3161" customFormat="1" ht="12.75"/>
    <row r="14419" s="3161" customFormat="1" ht="12.75"/>
    <row r="14420" s="3161" customFormat="1" ht="12.75"/>
    <row r="14421" s="3161" customFormat="1" ht="12.75"/>
    <row r="14422" s="3161" customFormat="1" ht="12.75"/>
    <row r="14423" s="3161" customFormat="1" ht="12.75"/>
    <row r="14424" s="3161" customFormat="1" ht="12.75"/>
    <row r="14425" s="3161" customFormat="1" ht="12.75"/>
    <row r="14426" s="3161" customFormat="1" ht="12.75"/>
    <row r="14427" s="3161" customFormat="1" ht="12.75"/>
    <row r="14428" s="3161" customFormat="1" ht="12.75"/>
    <row r="14429" s="3161" customFormat="1" ht="12.75"/>
    <row r="14430" s="3161" customFormat="1" ht="12.75"/>
    <row r="14431" s="3161" customFormat="1" ht="12.75"/>
    <row r="14432" s="3161" customFormat="1" ht="12.75"/>
    <row r="14433" s="3161" customFormat="1" ht="12.75"/>
    <row r="14434" s="3161" customFormat="1" ht="12.75"/>
    <row r="14435" s="3161" customFormat="1" ht="12.75"/>
    <row r="14436" s="3161" customFormat="1" ht="12.75"/>
    <row r="14437" s="3161" customFormat="1" ht="12.75"/>
    <row r="14438" s="3161" customFormat="1" ht="12.75"/>
    <row r="14439" s="3161" customFormat="1" ht="12.75"/>
    <row r="14440" s="3161" customFormat="1" ht="12.75"/>
    <row r="14441" s="3161" customFormat="1" ht="12.75"/>
    <row r="14442" s="3161" customFormat="1" ht="12.75"/>
    <row r="14443" s="3161" customFormat="1" ht="12.75"/>
    <row r="14444" s="3161" customFormat="1" ht="12.75"/>
    <row r="14445" s="3161" customFormat="1" ht="12.75"/>
    <row r="14446" s="3161" customFormat="1" ht="12.75"/>
    <row r="14447" s="3161" customFormat="1" ht="12.75"/>
    <row r="14448" s="3161" customFormat="1" ht="12.75"/>
    <row r="14449" s="3161" customFormat="1" ht="12.75"/>
    <row r="14450" s="3161" customFormat="1" ht="12.75"/>
    <row r="14451" s="3161" customFormat="1" ht="12.75"/>
    <row r="14452" s="3161" customFormat="1" ht="12.75"/>
    <row r="14453" s="3161" customFormat="1" ht="12.75"/>
    <row r="14454" s="3161" customFormat="1" ht="12.75"/>
    <row r="14455" s="3161" customFormat="1" ht="12.75"/>
    <row r="14456" s="3161" customFormat="1" ht="12.75"/>
    <row r="14457" s="3161" customFormat="1" ht="12.75"/>
    <row r="14458" s="3161" customFormat="1" ht="12.75"/>
    <row r="14459" s="3161" customFormat="1" ht="12.75"/>
    <row r="14460" s="3161" customFormat="1" ht="12.75"/>
    <row r="14461" s="3161" customFormat="1" ht="12.75"/>
    <row r="14462" s="3161" customFormat="1" ht="12.75"/>
    <row r="14463" s="3161" customFormat="1" ht="12.75"/>
    <row r="14464" s="3161" customFormat="1" ht="12.75"/>
    <row r="14465" s="3161" customFormat="1" ht="12.75"/>
    <row r="14466" s="3161" customFormat="1" ht="12.75"/>
    <row r="14467" s="3161" customFormat="1" ht="12.75"/>
    <row r="14468" s="3161" customFormat="1" ht="12.75"/>
    <row r="14469" s="3161" customFormat="1" ht="12.75"/>
    <row r="14470" s="3161" customFormat="1" ht="12.75"/>
    <row r="14471" s="3161" customFormat="1" ht="12.75"/>
    <row r="14472" s="3161" customFormat="1" ht="12.75"/>
    <row r="14473" s="3161" customFormat="1" ht="12.75"/>
    <row r="14474" s="3161" customFormat="1" ht="12.75"/>
    <row r="14475" s="3161" customFormat="1" ht="12.75"/>
    <row r="14476" s="3161" customFormat="1" ht="12.75"/>
    <row r="14477" s="3161" customFormat="1" ht="12.75"/>
    <row r="14478" s="3161" customFormat="1" ht="12.75"/>
    <row r="14479" s="3161" customFormat="1" ht="12.75"/>
    <row r="14480" s="3161" customFormat="1" ht="12.75"/>
    <row r="14481" s="3161" customFormat="1" ht="12.75"/>
    <row r="14482" s="3161" customFormat="1" ht="12.75"/>
    <row r="14483" s="3161" customFormat="1" ht="12.75"/>
    <row r="14484" s="3161" customFormat="1" ht="12.75"/>
    <row r="14485" s="3161" customFormat="1" ht="12.75"/>
    <row r="14486" s="3161" customFormat="1" ht="12.75"/>
    <row r="14487" s="3161" customFormat="1" ht="12.75"/>
    <row r="14488" s="3161" customFormat="1" ht="12.75"/>
    <row r="14489" s="3161" customFormat="1" ht="12.75"/>
    <row r="14490" s="3161" customFormat="1" ht="12.75"/>
    <row r="14491" s="3161" customFormat="1" ht="12.75"/>
    <row r="14492" s="3161" customFormat="1" ht="12.75"/>
    <row r="14493" s="3161" customFormat="1" ht="12.75"/>
    <row r="14494" s="3161" customFormat="1" ht="12.75"/>
    <row r="14495" s="3161" customFormat="1" ht="12.75"/>
    <row r="14496" s="3161" customFormat="1" ht="12.75"/>
    <row r="14497" s="3161" customFormat="1" ht="12.75"/>
    <row r="14498" s="3161" customFormat="1" ht="12.75"/>
    <row r="14499" s="3161" customFormat="1" ht="12.75"/>
    <row r="14500" s="3161" customFormat="1" ht="12.75"/>
    <row r="14501" s="3161" customFormat="1" ht="12.75"/>
    <row r="14502" s="3161" customFormat="1" ht="12.75"/>
    <row r="14503" s="3161" customFormat="1" ht="12.75"/>
    <row r="14504" s="3161" customFormat="1" ht="12.75"/>
    <row r="14505" s="3161" customFormat="1" ht="12.75"/>
    <row r="14506" s="3161" customFormat="1" ht="12.75"/>
    <row r="14507" s="3161" customFormat="1" ht="12.75"/>
    <row r="14508" s="3161" customFormat="1" ht="12.75"/>
    <row r="14509" s="3161" customFormat="1" ht="12.75"/>
    <row r="14510" s="3161" customFormat="1" ht="12.75"/>
    <row r="14511" s="3161" customFormat="1" ht="12.75"/>
    <row r="14512" s="3161" customFormat="1" ht="12.75"/>
    <row r="14513" s="3161" customFormat="1" ht="12.75"/>
    <row r="14514" s="3161" customFormat="1" ht="12.75"/>
    <row r="14515" s="3161" customFormat="1" ht="12.75"/>
    <row r="14516" s="3161" customFormat="1" ht="12.75"/>
    <row r="14517" s="3161" customFormat="1" ht="12.75"/>
    <row r="14518" s="3161" customFormat="1" ht="12.75"/>
    <row r="14519" s="3161" customFormat="1" ht="12.75"/>
    <row r="14520" s="3161" customFormat="1" ht="12.75"/>
    <row r="14521" s="3161" customFormat="1" ht="12.75"/>
    <row r="14522" s="3161" customFormat="1" ht="12.75"/>
    <row r="14523" s="3161" customFormat="1" ht="12.75"/>
    <row r="14524" s="3161" customFormat="1" ht="12.75"/>
    <row r="14525" s="3161" customFormat="1" ht="12.75"/>
    <row r="14526" s="3161" customFormat="1" ht="12.75"/>
    <row r="14527" s="3161" customFormat="1" ht="12.75"/>
    <row r="14528" s="3161" customFormat="1" ht="12.75"/>
    <row r="14529" s="3161" customFormat="1" ht="12.75"/>
    <row r="14530" s="3161" customFormat="1" ht="12.75"/>
    <row r="14531" s="3161" customFormat="1" ht="12.75"/>
    <row r="14532" s="3161" customFormat="1" ht="12.75"/>
    <row r="14533" s="3161" customFormat="1" ht="12.75"/>
    <row r="14534" s="3161" customFormat="1" ht="12.75"/>
    <row r="14535" s="3161" customFormat="1" ht="12.75"/>
    <row r="14536" s="3161" customFormat="1" ht="12.75"/>
    <row r="14537" s="3161" customFormat="1" ht="12.75"/>
    <row r="14538" s="3161" customFormat="1" ht="12.75"/>
    <row r="14539" s="3161" customFormat="1" ht="12.75"/>
    <row r="14540" s="3161" customFormat="1" ht="12.75"/>
    <row r="14541" s="3161" customFormat="1" ht="12.75"/>
    <row r="14542" s="3161" customFormat="1" ht="12.75"/>
    <row r="14543" s="3161" customFormat="1" ht="12.75"/>
    <row r="14544" s="3161" customFormat="1" ht="12.75"/>
    <row r="14545" s="3161" customFormat="1" ht="12.75"/>
    <row r="14546" s="3161" customFormat="1" ht="12.75"/>
    <row r="14547" s="3161" customFormat="1" ht="12.75"/>
    <row r="14548" s="3161" customFormat="1" ht="12.75"/>
    <row r="14549" s="3161" customFormat="1" ht="12.75"/>
    <row r="14550" s="3161" customFormat="1" ht="12.75"/>
    <row r="14551" s="3161" customFormat="1" ht="12.75"/>
    <row r="14552" s="3161" customFormat="1" ht="12.75"/>
    <row r="14553" s="3161" customFormat="1" ht="12.75"/>
    <row r="14554" s="3161" customFormat="1" ht="12.75"/>
    <row r="14555" s="3161" customFormat="1" ht="12.75"/>
    <row r="14556" s="3161" customFormat="1" ht="12.75"/>
    <row r="14557" s="3161" customFormat="1" ht="12.75"/>
    <row r="14558" s="3161" customFormat="1" ht="12.75"/>
    <row r="14559" s="3161" customFormat="1" ht="12.75"/>
    <row r="14560" s="3161" customFormat="1" ht="12.75"/>
    <row r="14561" s="3161" customFormat="1" ht="12.75"/>
    <row r="14562" s="3161" customFormat="1" ht="12.75"/>
    <row r="14563" s="3161" customFormat="1" ht="12.75"/>
    <row r="14564" s="3161" customFormat="1" ht="12.75"/>
    <row r="14565" s="3161" customFormat="1" ht="12.75"/>
    <row r="14566" s="3161" customFormat="1" ht="12.75"/>
    <row r="14567" s="3161" customFormat="1" ht="12.75"/>
    <row r="14568" s="3161" customFormat="1" ht="12.75"/>
    <row r="14569" s="3161" customFormat="1" ht="12.75"/>
    <row r="14570" s="3161" customFormat="1" ht="12.75"/>
    <row r="14571" s="3161" customFormat="1" ht="12.75"/>
    <row r="14572" s="3161" customFormat="1" ht="12.75"/>
    <row r="14573" s="3161" customFormat="1" ht="12.75"/>
    <row r="14574" s="3161" customFormat="1" ht="12.75"/>
    <row r="14575" s="3161" customFormat="1" ht="12.75"/>
    <row r="14576" s="3161" customFormat="1" ht="12.75"/>
    <row r="14577" s="3161" customFormat="1" ht="12.75"/>
    <row r="14578" s="3161" customFormat="1" ht="12.75"/>
    <row r="14579" s="3161" customFormat="1" ht="12.75"/>
    <row r="14580" s="3161" customFormat="1" ht="12.75"/>
    <row r="14581" s="3161" customFormat="1" ht="12.75"/>
    <row r="14582" s="3161" customFormat="1" ht="12.75"/>
    <row r="14583" s="3161" customFormat="1" ht="12.75"/>
    <row r="14584" s="3161" customFormat="1" ht="12.75"/>
    <row r="14585" s="3161" customFormat="1" ht="12.75"/>
    <row r="14586" s="3161" customFormat="1" ht="12.75"/>
    <row r="14587" s="3161" customFormat="1" ht="12.75"/>
    <row r="14588" s="3161" customFormat="1" ht="12.75"/>
    <row r="14589" s="3161" customFormat="1" ht="12.75"/>
    <row r="14590" s="3161" customFormat="1" ht="12.75"/>
    <row r="14591" s="3161" customFormat="1" ht="12.75"/>
    <row r="14592" s="3161" customFormat="1" ht="12.75"/>
    <row r="14593" s="3161" customFormat="1" ht="12.75"/>
    <row r="14594" s="3161" customFormat="1" ht="12.75"/>
    <row r="14595" s="3161" customFormat="1" ht="12.75"/>
    <row r="14596" s="3161" customFormat="1" ht="12.75"/>
    <row r="14597" s="3161" customFormat="1" ht="12.75"/>
    <row r="14598" s="3161" customFormat="1" ht="12.75"/>
    <row r="14599" s="3161" customFormat="1" ht="12.75"/>
    <row r="14600" s="3161" customFormat="1" ht="12.75"/>
    <row r="14601" s="3161" customFormat="1" ht="12.75"/>
    <row r="14602" s="3161" customFormat="1" ht="12.75"/>
    <row r="14603" s="3161" customFormat="1" ht="12.75"/>
    <row r="14604" s="3161" customFormat="1" ht="12.75"/>
    <row r="14605" s="3161" customFormat="1" ht="12.75"/>
    <row r="14606" s="3161" customFormat="1" ht="12.75"/>
    <row r="14607" s="3161" customFormat="1" ht="12.75"/>
    <row r="14608" s="3161" customFormat="1" ht="12.75"/>
    <row r="14609" s="3161" customFormat="1" ht="12.75"/>
    <row r="14610" s="3161" customFormat="1" ht="12.75"/>
    <row r="14611" s="3161" customFormat="1" ht="12.75"/>
    <row r="14612" s="3161" customFormat="1" ht="12.75"/>
    <row r="14613" s="3161" customFormat="1" ht="12.75"/>
    <row r="14614" s="3161" customFormat="1" ht="12.75"/>
    <row r="14615" s="3161" customFormat="1" ht="12.75"/>
    <row r="14616" s="3161" customFormat="1" ht="12.75"/>
    <row r="14617" s="3161" customFormat="1" ht="12.75"/>
    <row r="14618" s="3161" customFormat="1" ht="12.75"/>
    <row r="14619" s="3161" customFormat="1" ht="12.75"/>
    <row r="14620" s="3161" customFormat="1" ht="12.75"/>
    <row r="14621" s="3161" customFormat="1" ht="12.75"/>
    <row r="14622" s="3161" customFormat="1" ht="12.75"/>
    <row r="14623" s="3161" customFormat="1" ht="12.75"/>
    <row r="14624" s="3161" customFormat="1" ht="12.75"/>
    <row r="14625" s="3161" customFormat="1" ht="12.75"/>
    <row r="14626" s="3161" customFormat="1" ht="12.75"/>
    <row r="14627" s="3161" customFormat="1" ht="12.75"/>
    <row r="14628" s="3161" customFormat="1" ht="12.75"/>
    <row r="14629" s="3161" customFormat="1" ht="12.75"/>
    <row r="14630" s="3161" customFormat="1" ht="12.75"/>
    <row r="14631" s="3161" customFormat="1" ht="12.75"/>
    <row r="14632" s="3161" customFormat="1" ht="12.75"/>
    <row r="14633" s="3161" customFormat="1" ht="12.75"/>
    <row r="14634" s="3161" customFormat="1" ht="12.75"/>
    <row r="14635" s="3161" customFormat="1" ht="12.75"/>
    <row r="14636" s="3161" customFormat="1" ht="12.75"/>
    <row r="14637" s="3161" customFormat="1" ht="12.75"/>
    <row r="14638" s="3161" customFormat="1" ht="12.75"/>
    <row r="14639" s="3161" customFormat="1" ht="12.75"/>
    <row r="14640" s="3161" customFormat="1" ht="12.75"/>
    <row r="14641" s="3161" customFormat="1" ht="12.75"/>
    <row r="14642" s="3161" customFormat="1" ht="12.75"/>
    <row r="14643" s="3161" customFormat="1" ht="12.75"/>
    <row r="14644" s="3161" customFormat="1" ht="12.75"/>
    <row r="14645" s="3161" customFormat="1" ht="12.75"/>
    <row r="14646" s="3161" customFormat="1" ht="12.75"/>
    <row r="14647" s="3161" customFormat="1" ht="12.75"/>
    <row r="14648" s="3161" customFormat="1" ht="12.75"/>
    <row r="14649" s="3161" customFormat="1" ht="12.75"/>
    <row r="14650" s="3161" customFormat="1" ht="12.75"/>
    <row r="14651" s="3161" customFormat="1" ht="12.75"/>
    <row r="14652" s="3161" customFormat="1" ht="12.75"/>
    <row r="14653" s="3161" customFormat="1" ht="12.75"/>
    <row r="14654" s="3161" customFormat="1" ht="12.75"/>
    <row r="14655" s="3161" customFormat="1" ht="12.75"/>
    <row r="14656" s="3161" customFormat="1" ht="12.75"/>
    <row r="14657" s="3161" customFormat="1" ht="12.75"/>
    <row r="14658" s="3161" customFormat="1" ht="12.75"/>
    <row r="14659" s="3161" customFormat="1" ht="12.75"/>
    <row r="14660" s="3161" customFormat="1" ht="12.75"/>
    <row r="14661" s="3161" customFormat="1" ht="12.75"/>
    <row r="14662" s="3161" customFormat="1" ht="12.75"/>
    <row r="14663" s="3161" customFormat="1" ht="12.75"/>
    <row r="14664" s="3161" customFormat="1" ht="12.75"/>
    <row r="14665" s="3161" customFormat="1" ht="12.75"/>
    <row r="14666" s="3161" customFormat="1" ht="12.75"/>
    <row r="14667" s="3161" customFormat="1" ht="12.75"/>
    <row r="14668" s="3161" customFormat="1" ht="12.75"/>
    <row r="14669" s="3161" customFormat="1" ht="12.75"/>
    <row r="14670" s="3161" customFormat="1" ht="12.75"/>
    <row r="14671" s="3161" customFormat="1" ht="12.75"/>
    <row r="14672" s="3161" customFormat="1" ht="12.75"/>
    <row r="14673" s="3161" customFormat="1" ht="12.75"/>
    <row r="14674" s="3161" customFormat="1" ht="12.75"/>
    <row r="14675" s="3161" customFormat="1" ht="12.75"/>
    <row r="14676" s="3161" customFormat="1" ht="12.75"/>
    <row r="14677" s="3161" customFormat="1" ht="12.75"/>
    <row r="14678" s="3161" customFormat="1" ht="12.75"/>
    <row r="14679" s="3161" customFormat="1" ht="12.75"/>
    <row r="14680" s="3161" customFormat="1" ht="12.75"/>
    <row r="14681" s="3161" customFormat="1" ht="12.75"/>
    <row r="14682" s="3161" customFormat="1" ht="12.75"/>
    <row r="14683" s="3161" customFormat="1" ht="12.75"/>
    <row r="14684" s="3161" customFormat="1" ht="12.75"/>
    <row r="14685" s="3161" customFormat="1" ht="12.75"/>
    <row r="14686" s="3161" customFormat="1" ht="12.75"/>
    <row r="14687" s="3161" customFormat="1" ht="12.75"/>
    <row r="14688" s="3161" customFormat="1" ht="12.75"/>
    <row r="14689" s="3161" customFormat="1" ht="12.75"/>
    <row r="14690" s="3161" customFormat="1" ht="12.75"/>
    <row r="14691" s="3161" customFormat="1" ht="12.75"/>
    <row r="14692" s="3161" customFormat="1" ht="12.75"/>
    <row r="14693" s="3161" customFormat="1" ht="12.75"/>
    <row r="14694" s="3161" customFormat="1" ht="12.75"/>
    <row r="14695" s="3161" customFormat="1" ht="12.75"/>
    <row r="14696" s="3161" customFormat="1" ht="12.75"/>
    <row r="14697" s="3161" customFormat="1" ht="12.75"/>
    <row r="14698" s="3161" customFormat="1" ht="12.75"/>
    <row r="14699" s="3161" customFormat="1" ht="12.75"/>
    <row r="14700" s="3161" customFormat="1" ht="12.75"/>
    <row r="14701" s="3161" customFormat="1" ht="12.75"/>
    <row r="14702" s="3161" customFormat="1" ht="12.75"/>
    <row r="14703" s="3161" customFormat="1" ht="12.75"/>
    <row r="14704" s="3161" customFormat="1" ht="12.75"/>
    <row r="14705" s="3161" customFormat="1" ht="12.75"/>
    <row r="14706" s="3161" customFormat="1" ht="12.75"/>
    <row r="14707" s="3161" customFormat="1" ht="12.75"/>
    <row r="14708" s="3161" customFormat="1" ht="12.75"/>
    <row r="14709" s="3161" customFormat="1" ht="12.75"/>
    <row r="14710" s="3161" customFormat="1" ht="12.75"/>
    <row r="14711" s="3161" customFormat="1" ht="12.75"/>
    <row r="14712" s="3161" customFormat="1" ht="12.75"/>
    <row r="14713" s="3161" customFormat="1" ht="12.75"/>
    <row r="14714" s="3161" customFormat="1" ht="12.75"/>
    <row r="14715" s="3161" customFormat="1" ht="12.75"/>
    <row r="14716" s="3161" customFormat="1" ht="12.75"/>
    <row r="14717" s="3161" customFormat="1" ht="12.75"/>
    <row r="14718" s="3161" customFormat="1" ht="12.75"/>
    <row r="14719" s="3161" customFormat="1" ht="12.75"/>
    <row r="14720" s="3161" customFormat="1" ht="12.75"/>
    <row r="14721" s="3161" customFormat="1" ht="12.75"/>
    <row r="14722" s="3161" customFormat="1" ht="12.75"/>
    <row r="14723" s="3161" customFormat="1" ht="12.75"/>
    <row r="14724" s="3161" customFormat="1" ht="12.75"/>
    <row r="14725" s="3161" customFormat="1" ht="12.75"/>
    <row r="14726" s="3161" customFormat="1" ht="12.75"/>
    <row r="14727" s="3161" customFormat="1" ht="12.75"/>
    <row r="14728" s="3161" customFormat="1" ht="12.75"/>
    <row r="14729" s="3161" customFormat="1" ht="12.75"/>
    <row r="14730" s="3161" customFormat="1" ht="12.75"/>
    <row r="14731" s="3161" customFormat="1" ht="12.75"/>
    <row r="14732" s="3161" customFormat="1" ht="12.75"/>
    <row r="14733" s="3161" customFormat="1" ht="12.75"/>
    <row r="14734" s="3161" customFormat="1" ht="12.75"/>
    <row r="14735" s="3161" customFormat="1" ht="12.75"/>
    <row r="14736" s="3161" customFormat="1" ht="12.75"/>
    <row r="14737" s="3161" customFormat="1" ht="12.75"/>
    <row r="14738" s="3161" customFormat="1" ht="12.75"/>
    <row r="14739" s="3161" customFormat="1" ht="12.75"/>
    <row r="14740" s="3161" customFormat="1" ht="12.75"/>
    <row r="14741" s="3161" customFormat="1" ht="12.75"/>
    <row r="14742" s="3161" customFormat="1" ht="12.75"/>
    <row r="14743" s="3161" customFormat="1" ht="12.75"/>
    <row r="14744" s="3161" customFormat="1" ht="12.75"/>
    <row r="14745" s="3161" customFormat="1" ht="12.75"/>
    <row r="14746" s="3161" customFormat="1" ht="12.75"/>
    <row r="14747" s="3161" customFormat="1" ht="12.75"/>
    <row r="14748" s="3161" customFormat="1" ht="12.75"/>
    <row r="14749" s="3161" customFormat="1" ht="12.75"/>
    <row r="14750" s="3161" customFormat="1" ht="12.75"/>
    <row r="14751" s="3161" customFormat="1" ht="12.75"/>
    <row r="14752" s="3161" customFormat="1" ht="12.75"/>
    <row r="14753" s="3161" customFormat="1" ht="12.75"/>
    <row r="14754" s="3161" customFormat="1" ht="12.75"/>
    <row r="14755" s="3161" customFormat="1" ht="12.75"/>
    <row r="14756" s="3161" customFormat="1" ht="12.75"/>
    <row r="14757" s="3161" customFormat="1" ht="12.75"/>
    <row r="14758" s="3161" customFormat="1" ht="12.75"/>
    <row r="14759" s="3161" customFormat="1" ht="12.75"/>
    <row r="14760" s="3161" customFormat="1" ht="12.75"/>
    <row r="14761" s="3161" customFormat="1" ht="12.75"/>
    <row r="14762" s="3161" customFormat="1" ht="12.75"/>
    <row r="14763" s="3161" customFormat="1" ht="12.75"/>
    <row r="14764" s="3161" customFormat="1" ht="12.75"/>
    <row r="14765" s="3161" customFormat="1" ht="12.75"/>
    <row r="14766" s="3161" customFormat="1" ht="12.75"/>
    <row r="14767" s="3161" customFormat="1" ht="12.75"/>
    <row r="14768" s="3161" customFormat="1" ht="12.75"/>
    <row r="14769" s="3161" customFormat="1" ht="12.75"/>
    <row r="14770" s="3161" customFormat="1" ht="12.75"/>
    <row r="14771" s="3161" customFormat="1" ht="12.75"/>
    <row r="14772" s="3161" customFormat="1" ht="12.75"/>
    <row r="14773" s="3161" customFormat="1" ht="12.75"/>
    <row r="14774" s="3161" customFormat="1" ht="12.75"/>
    <row r="14775" s="3161" customFormat="1" ht="12.75"/>
    <row r="14776" s="3161" customFormat="1" ht="12.75"/>
    <row r="14777" s="3161" customFormat="1" ht="12.75"/>
    <row r="14778" s="3161" customFormat="1" ht="12.75"/>
    <row r="14779" s="3161" customFormat="1" ht="12.75"/>
    <row r="14780" s="3161" customFormat="1" ht="12.75"/>
    <row r="14781" s="3161" customFormat="1" ht="12.75"/>
    <row r="14782" s="3161" customFormat="1" ht="12.75"/>
    <row r="14783" s="3161" customFormat="1" ht="12.75"/>
    <row r="14784" s="3161" customFormat="1" ht="12.75"/>
    <row r="14785" s="3161" customFormat="1" ht="12.75"/>
    <row r="14786" s="3161" customFormat="1" ht="12.75"/>
    <row r="14787" s="3161" customFormat="1" ht="12.75"/>
    <row r="14788" s="3161" customFormat="1" ht="12.75"/>
    <row r="14789" s="3161" customFormat="1" ht="12.75"/>
    <row r="14790" s="3161" customFormat="1" ht="12.75"/>
    <row r="14791" s="3161" customFormat="1" ht="12.75"/>
    <row r="14792" s="3161" customFormat="1" ht="12.75"/>
    <row r="14793" s="3161" customFormat="1" ht="12.75"/>
    <row r="14794" s="3161" customFormat="1" ht="12.75"/>
    <row r="14795" s="3161" customFormat="1" ht="12.75"/>
    <row r="14796" s="3161" customFormat="1" ht="12.75"/>
    <row r="14797" s="3161" customFormat="1" ht="12.75"/>
    <row r="14798" s="3161" customFormat="1" ht="12.75"/>
    <row r="14799" s="3161" customFormat="1" ht="12.75"/>
    <row r="14800" s="3161" customFormat="1" ht="12.75"/>
    <row r="14801" s="3161" customFormat="1" ht="12.75"/>
    <row r="14802" s="3161" customFormat="1" ht="12.75"/>
    <row r="14803" s="3161" customFormat="1" ht="12.75"/>
    <row r="14804" s="3161" customFormat="1" ht="12.75"/>
    <row r="14805" s="3161" customFormat="1" ht="12.75"/>
    <row r="14806" s="3161" customFormat="1" ht="12.75"/>
    <row r="14807" s="3161" customFormat="1" ht="12.75"/>
    <row r="14808" s="3161" customFormat="1" ht="12.75"/>
    <row r="14809" s="3161" customFormat="1" ht="12.75"/>
    <row r="14810" s="3161" customFormat="1" ht="12.75"/>
    <row r="14811" s="3161" customFormat="1" ht="12.75"/>
    <row r="14812" s="3161" customFormat="1" ht="12.75"/>
    <row r="14813" s="3161" customFormat="1" ht="12.75"/>
    <row r="14814" s="3161" customFormat="1" ht="12.75"/>
    <row r="14815" s="3161" customFormat="1" ht="12.75"/>
    <row r="14816" s="3161" customFormat="1" ht="12.75"/>
    <row r="14817" s="3161" customFormat="1" ht="12.75"/>
    <row r="14818" s="3161" customFormat="1" ht="12.75"/>
    <row r="14819" s="3161" customFormat="1" ht="12.75"/>
    <row r="14820" s="3161" customFormat="1" ht="12.75"/>
    <row r="14821" s="3161" customFormat="1" ht="12.75"/>
    <row r="14822" s="3161" customFormat="1" ht="12.75"/>
    <row r="14823" s="3161" customFormat="1" ht="12.75"/>
    <row r="14824" s="3161" customFormat="1" ht="12.75"/>
    <row r="14825" s="3161" customFormat="1" ht="12.75"/>
    <row r="14826" s="3161" customFormat="1" ht="12.75"/>
    <row r="14827" s="3161" customFormat="1" ht="12.75"/>
    <row r="14828" s="3161" customFormat="1" ht="12.75"/>
    <row r="14829" s="3161" customFormat="1" ht="12.75"/>
    <row r="14830" s="3161" customFormat="1" ht="12.75"/>
    <row r="14831" s="3161" customFormat="1" ht="12.75"/>
    <row r="14832" s="3161" customFormat="1" ht="12.75"/>
    <row r="14833" s="3161" customFormat="1" ht="12.75"/>
    <row r="14834" s="3161" customFormat="1" ht="12.75"/>
    <row r="14835" s="3161" customFormat="1" ht="12.75"/>
    <row r="14836" s="3161" customFormat="1" ht="12.75"/>
    <row r="14837" s="3161" customFormat="1" ht="12.75"/>
    <row r="14838" s="3161" customFormat="1" ht="12.75"/>
    <row r="14839" s="3161" customFormat="1" ht="12.75"/>
    <row r="14840" s="3161" customFormat="1" ht="12.75"/>
    <row r="14841" s="3161" customFormat="1" ht="12.75"/>
    <row r="14842" s="3161" customFormat="1" ht="12.75"/>
    <row r="14843" s="3161" customFormat="1" ht="12.75"/>
    <row r="14844" s="3161" customFormat="1" ht="12.75"/>
    <row r="14845" s="3161" customFormat="1" ht="12.75"/>
    <row r="14846" s="3161" customFormat="1" ht="12.75"/>
    <row r="14847" s="3161" customFormat="1" ht="12.75"/>
    <row r="14848" s="3161" customFormat="1" ht="12.75"/>
    <row r="14849" s="3161" customFormat="1" ht="12.75"/>
    <row r="14850" s="3161" customFormat="1" ht="12.75"/>
    <row r="14851" s="3161" customFormat="1" ht="12.75"/>
    <row r="14852" s="3161" customFormat="1" ht="12.75"/>
    <row r="14853" s="3161" customFormat="1" ht="12.75"/>
    <row r="14854" s="3161" customFormat="1" ht="12.75"/>
    <row r="14855" s="3161" customFormat="1" ht="12.75"/>
    <row r="14856" s="3161" customFormat="1" ht="12.75"/>
    <row r="14857" s="3161" customFormat="1" ht="12.75"/>
    <row r="14858" s="3161" customFormat="1" ht="12.75"/>
    <row r="14859" s="3161" customFormat="1" ht="12.75"/>
    <row r="14860" s="3161" customFormat="1" ht="12.75"/>
    <row r="14861" s="3161" customFormat="1" ht="12.75"/>
    <row r="14862" s="3161" customFormat="1" ht="12.75"/>
    <row r="14863" s="3161" customFormat="1" ht="12.75"/>
    <row r="14864" s="3161" customFormat="1" ht="12.75"/>
    <row r="14865" s="3161" customFormat="1" ht="12.75"/>
    <row r="14866" s="3161" customFormat="1" ht="12.75"/>
    <row r="14867" s="3161" customFormat="1" ht="12.75"/>
    <row r="14868" s="3161" customFormat="1" ht="12.75"/>
    <row r="14869" s="3161" customFormat="1" ht="12.75"/>
    <row r="14870" s="3161" customFormat="1" ht="12.75"/>
    <row r="14871" s="3161" customFormat="1" ht="12.75"/>
    <row r="14872" s="3161" customFormat="1" ht="12.75"/>
    <row r="14873" s="3161" customFormat="1" ht="12.75"/>
    <row r="14874" s="3161" customFormat="1" ht="12.75"/>
    <row r="14875" s="3161" customFormat="1" ht="12.75"/>
    <row r="14876" s="3161" customFormat="1" ht="12.75"/>
    <row r="14877" s="3161" customFormat="1" ht="12.75"/>
    <row r="14878" s="3161" customFormat="1" ht="12.75"/>
    <row r="14879" s="3161" customFormat="1" ht="12.75"/>
    <row r="14880" s="3161" customFormat="1" ht="12.75"/>
    <row r="14881" s="3161" customFormat="1" ht="12.75"/>
    <row r="14882" s="3161" customFormat="1" ht="12.75"/>
    <row r="14883" s="3161" customFormat="1" ht="12.75"/>
    <row r="14884" s="3161" customFormat="1" ht="12.75"/>
    <row r="14885" s="3161" customFormat="1" ht="12.75"/>
    <row r="14886" s="3161" customFormat="1" ht="12.75"/>
    <row r="14887" s="3161" customFormat="1" ht="12.75"/>
    <row r="14888" s="3161" customFormat="1" ht="12.75"/>
    <row r="14889" s="3161" customFormat="1" ht="12.75"/>
    <row r="14890" s="3161" customFormat="1" ht="12.75"/>
    <row r="14891" s="3161" customFormat="1" ht="12.75"/>
    <row r="14892" s="3161" customFormat="1" ht="12.75"/>
    <row r="14893" s="3161" customFormat="1" ht="12.75"/>
    <row r="14894" s="3161" customFormat="1" ht="12.75"/>
    <row r="14895" s="3161" customFormat="1" ht="12.75"/>
    <row r="14896" s="3161" customFormat="1" ht="12.75"/>
    <row r="14897" s="3161" customFormat="1" ht="12.75"/>
    <row r="14898" s="3161" customFormat="1" ht="12.75"/>
    <row r="14899" s="3161" customFormat="1" ht="12.75"/>
    <row r="14900" s="3161" customFormat="1" ht="12.75"/>
    <row r="14901" s="3161" customFormat="1" ht="12.75"/>
    <row r="14902" s="3161" customFormat="1" ht="12.75"/>
    <row r="14903" s="3161" customFormat="1" ht="12.75"/>
    <row r="14904" s="3161" customFormat="1" ht="12.75"/>
    <row r="14905" s="3161" customFormat="1" ht="12.75"/>
    <row r="14906" s="3161" customFormat="1" ht="12.75"/>
    <row r="14907" s="3161" customFormat="1" ht="12.75"/>
    <row r="14908" s="3161" customFormat="1" ht="12.75"/>
    <row r="14909" s="3161" customFormat="1" ht="12.75"/>
    <row r="14910" s="3161" customFormat="1" ht="12.75"/>
    <row r="14911" s="3161" customFormat="1" ht="12.75"/>
    <row r="14912" s="3161" customFormat="1" ht="12.75"/>
    <row r="14913" s="3161" customFormat="1" ht="12.75"/>
    <row r="14914" s="3161" customFormat="1" ht="12.75"/>
    <row r="14915" s="3161" customFormat="1" ht="12.75"/>
    <row r="14916" s="3161" customFormat="1" ht="12.75"/>
    <row r="14917" s="3161" customFormat="1" ht="12.75"/>
    <row r="14918" s="3161" customFormat="1" ht="12.75"/>
    <row r="14919" s="3161" customFormat="1" ht="12.75"/>
    <row r="14920" s="3161" customFormat="1" ht="12.75"/>
    <row r="14921" s="3161" customFormat="1" ht="12.75"/>
    <row r="14922" s="3161" customFormat="1" ht="12.75"/>
    <row r="14923" s="3161" customFormat="1" ht="12.75"/>
    <row r="14924" s="3161" customFormat="1" ht="12.75"/>
    <row r="14925" s="3161" customFormat="1" ht="12.75"/>
    <row r="14926" s="3161" customFormat="1" ht="12.75"/>
    <row r="14927" s="3161" customFormat="1" ht="12.75"/>
    <row r="14928" s="3161" customFormat="1" ht="12.75"/>
    <row r="14929" s="3161" customFormat="1" ht="12.75"/>
    <row r="14930" s="3161" customFormat="1" ht="12.75"/>
    <row r="14931" s="3161" customFormat="1" ht="12.75"/>
    <row r="14932" s="3161" customFormat="1" ht="12.75"/>
    <row r="14933" s="3161" customFormat="1" ht="12.75"/>
    <row r="14934" s="3161" customFormat="1" ht="12.75"/>
    <row r="14935" s="3161" customFormat="1" ht="12.75"/>
    <row r="14936" s="3161" customFormat="1" ht="12.75"/>
    <row r="14937" s="3161" customFormat="1" ht="12.75"/>
    <row r="14938" s="3161" customFormat="1" ht="12.75"/>
    <row r="14939" s="3161" customFormat="1" ht="12.75"/>
    <row r="14940" s="3161" customFormat="1" ht="12.75"/>
    <row r="14941" s="3161" customFormat="1" ht="12.75"/>
    <row r="14942" s="3161" customFormat="1" ht="12.75"/>
    <row r="14943" s="3161" customFormat="1" ht="12.75"/>
    <row r="14944" s="3161" customFormat="1" ht="12.75"/>
    <row r="14945" s="3161" customFormat="1" ht="12.75"/>
    <row r="14946" s="3161" customFormat="1" ht="12.75"/>
    <row r="14947" s="3161" customFormat="1" ht="12.75"/>
    <row r="14948" s="3161" customFormat="1" ht="12.75"/>
    <row r="14949" s="3161" customFormat="1" ht="12.75"/>
    <row r="14950" s="3161" customFormat="1" ht="12.75"/>
    <row r="14951" s="3161" customFormat="1" ht="12.75"/>
    <row r="14952" s="3161" customFormat="1" ht="12.75"/>
    <row r="14953" s="3161" customFormat="1" ht="12.75"/>
    <row r="14954" s="3161" customFormat="1" ht="12.75"/>
    <row r="14955" s="3161" customFormat="1" ht="12.75"/>
    <row r="14956" s="3161" customFormat="1" ht="12.75"/>
    <row r="14957" s="3161" customFormat="1" ht="12.75"/>
    <row r="14958" s="3161" customFormat="1" ht="12.75"/>
    <row r="14959" s="3161" customFormat="1" ht="12.75"/>
    <row r="14960" s="3161" customFormat="1" ht="12.75"/>
    <row r="14961" s="3161" customFormat="1" ht="12.75"/>
    <row r="14962" s="3161" customFormat="1" ht="12.75"/>
    <row r="14963" s="3161" customFormat="1" ht="12.75"/>
    <row r="14964" s="3161" customFormat="1" ht="12.75"/>
    <row r="14965" s="3161" customFormat="1" ht="12.75"/>
    <row r="14966" s="3161" customFormat="1" ht="12.75"/>
    <row r="14967" s="3161" customFormat="1" ht="12.75"/>
    <row r="14968" s="3161" customFormat="1" ht="12.75"/>
    <row r="14969" s="3161" customFormat="1" ht="12.75"/>
    <row r="14970" s="3161" customFormat="1" ht="12.75"/>
    <row r="14971" s="3161" customFormat="1" ht="12.75"/>
    <row r="14972" s="3161" customFormat="1" ht="12.75"/>
    <row r="14973" s="3161" customFormat="1" ht="12.75"/>
    <row r="14974" s="3161" customFormat="1" ht="12.75"/>
    <row r="14975" s="3161" customFormat="1" ht="12.75"/>
    <row r="14976" s="3161" customFormat="1" ht="12.75"/>
    <row r="14977" s="3161" customFormat="1" ht="12.75"/>
    <row r="14978" s="3161" customFormat="1" ht="12.75"/>
    <row r="14979" s="3161" customFormat="1" ht="12.75"/>
    <row r="14980" s="3161" customFormat="1" ht="12.75"/>
    <row r="14981" s="3161" customFormat="1" ht="12.75"/>
    <row r="14982" s="3161" customFormat="1" ht="12.75"/>
    <row r="14983" s="3161" customFormat="1" ht="12.75"/>
    <row r="14984" s="3161" customFormat="1" ht="12.75"/>
    <row r="14985" s="3161" customFormat="1" ht="12.75"/>
    <row r="14986" s="3161" customFormat="1" ht="12.75"/>
    <row r="14987" s="3161" customFormat="1" ht="12.75"/>
    <row r="14988" s="3161" customFormat="1" ht="12.75"/>
    <row r="14989" s="3161" customFormat="1" ht="12.75"/>
    <row r="14990" s="3161" customFormat="1" ht="12.75"/>
    <row r="14991" s="3161" customFormat="1" ht="12.75"/>
    <row r="14992" s="3161" customFormat="1" ht="12.75"/>
    <row r="14993" s="3161" customFormat="1" ht="12.75"/>
    <row r="14994" s="3161" customFormat="1" ht="12.75"/>
    <row r="14995" s="3161" customFormat="1" ht="12.75"/>
    <row r="14996" s="3161" customFormat="1" ht="12.75"/>
    <row r="14997" s="3161" customFormat="1" ht="12.75"/>
    <row r="14998" s="3161" customFormat="1" ht="12.75"/>
    <row r="14999" s="3161" customFormat="1" ht="12.75"/>
    <row r="15000" s="3161" customFormat="1" ht="12.75"/>
    <row r="15001" s="3161" customFormat="1" ht="12.75"/>
    <row r="15002" s="3161" customFormat="1" ht="12.75"/>
    <row r="15003" s="3161" customFormat="1" ht="12.75"/>
    <row r="15004" s="3161" customFormat="1" ht="12.75"/>
    <row r="15005" s="3161" customFormat="1" ht="12.75"/>
    <row r="15006" s="3161" customFormat="1" ht="12.75"/>
    <row r="15007" s="3161" customFormat="1" ht="12.75"/>
    <row r="15008" s="3161" customFormat="1" ht="12.75"/>
    <row r="15009" s="3161" customFormat="1" ht="12.75"/>
    <row r="15010" s="3161" customFormat="1" ht="12.75"/>
    <row r="15011" s="3161" customFormat="1" ht="12.75"/>
    <row r="15012" s="3161" customFormat="1" ht="12.75"/>
    <row r="15013" s="3161" customFormat="1" ht="12.75"/>
    <row r="15014" s="3161" customFormat="1" ht="12.75"/>
    <row r="15015" s="3161" customFormat="1" ht="12.75"/>
    <row r="15016" s="3161" customFormat="1" ht="12.75"/>
    <row r="15017" s="3161" customFormat="1" ht="12.75"/>
    <row r="15018" s="3161" customFormat="1" ht="12.75"/>
    <row r="15019" s="3161" customFormat="1" ht="12.75"/>
    <row r="15020" s="3161" customFormat="1" ht="12.75"/>
    <row r="15021" s="3161" customFormat="1" ht="12.75"/>
    <row r="15022" s="3161" customFormat="1" ht="12.75"/>
    <row r="15023" s="3161" customFormat="1" ht="12.75"/>
    <row r="15024" s="3161" customFormat="1" ht="12.75"/>
    <row r="15025" s="3161" customFormat="1" ht="12.75"/>
    <row r="15026" s="3161" customFormat="1" ht="12.75"/>
    <row r="15027" s="3161" customFormat="1" ht="12.75"/>
    <row r="15028" s="3161" customFormat="1" ht="12.75"/>
    <row r="15029" s="3161" customFormat="1" ht="12.75"/>
    <row r="15030" s="3161" customFormat="1" ht="12.75"/>
    <row r="15031" s="3161" customFormat="1" ht="12.75"/>
    <row r="15032" s="3161" customFormat="1" ht="12.75"/>
    <row r="15033" s="3161" customFormat="1" ht="12.75"/>
    <row r="15034" s="3161" customFormat="1" ht="12.75"/>
    <row r="15035" s="3161" customFormat="1" ht="12.75"/>
    <row r="15036" s="3161" customFormat="1" ht="12.75"/>
    <row r="15037" s="3161" customFormat="1" ht="12.75"/>
    <row r="15038" s="3161" customFormat="1" ht="12.75"/>
    <row r="15039" s="3161" customFormat="1" ht="12.75"/>
    <row r="15040" s="3161" customFormat="1" ht="12.75"/>
    <row r="15041" s="3161" customFormat="1" ht="12.75"/>
    <row r="15042" s="3161" customFormat="1" ht="12.75"/>
    <row r="15043" s="3161" customFormat="1" ht="12.75"/>
    <row r="15044" s="3161" customFormat="1" ht="12.75"/>
    <row r="15045" s="3161" customFormat="1" ht="12.75"/>
    <row r="15046" s="3161" customFormat="1" ht="12.75"/>
    <row r="15047" s="3161" customFormat="1" ht="12.75"/>
    <row r="15048" s="3161" customFormat="1" ht="12.75"/>
    <row r="15049" s="3161" customFormat="1" ht="12.75"/>
    <row r="15050" s="3161" customFormat="1" ht="12.75"/>
    <row r="15051" s="3161" customFormat="1" ht="12.75"/>
    <row r="15052" s="3161" customFormat="1" ht="12.75"/>
    <row r="15053" s="3161" customFormat="1" ht="12.75"/>
    <row r="15054" s="3161" customFormat="1" ht="12.75"/>
    <row r="15055" s="3161" customFormat="1" ht="12.75"/>
    <row r="15056" s="3161" customFormat="1" ht="12.75"/>
    <row r="15057" s="3161" customFormat="1" ht="12.75"/>
    <row r="15058" s="3161" customFormat="1" ht="12.75"/>
    <row r="15059" s="3161" customFormat="1" ht="12.75"/>
    <row r="15060" s="3161" customFormat="1" ht="12.75"/>
    <row r="15061" s="3161" customFormat="1" ht="12.75"/>
    <row r="15062" s="3161" customFormat="1" ht="12.75"/>
    <row r="15063" s="3161" customFormat="1" ht="12.75"/>
    <row r="15064" s="3161" customFormat="1" ht="12.75"/>
    <row r="15065" s="3161" customFormat="1" ht="12.75"/>
    <row r="15066" s="3161" customFormat="1" ht="12.75"/>
    <row r="15067" s="3161" customFormat="1" ht="12.75"/>
    <row r="15068" s="3161" customFormat="1" ht="12.75"/>
    <row r="15069" s="3161" customFormat="1" ht="12.75"/>
    <row r="15070" s="3161" customFormat="1" ht="12.75"/>
    <row r="15071" s="3161" customFormat="1" ht="12.75"/>
    <row r="15072" s="3161" customFormat="1" ht="12.75"/>
    <row r="15073" s="3161" customFormat="1" ht="12.75"/>
    <row r="15074" s="3161" customFormat="1" ht="12.75"/>
    <row r="15075" s="3161" customFormat="1" ht="12.75"/>
    <row r="15076" s="3161" customFormat="1" ht="12.75"/>
    <row r="15077" s="3161" customFormat="1" ht="12.75"/>
    <row r="15078" s="3161" customFormat="1" ht="12.75"/>
    <row r="15079" s="3161" customFormat="1" ht="12.75"/>
    <row r="15080" s="3161" customFormat="1" ht="12.75"/>
    <row r="15081" s="3161" customFormat="1" ht="12.75"/>
    <row r="15082" s="3161" customFormat="1" ht="12.75"/>
    <row r="15083" s="3161" customFormat="1" ht="12.75"/>
    <row r="15084" s="3161" customFormat="1" ht="12.75"/>
    <row r="15085" s="3161" customFormat="1" ht="12.75"/>
    <row r="15086" s="3161" customFormat="1" ht="12.75"/>
    <row r="15087" s="3161" customFormat="1" ht="12.75"/>
    <row r="15088" s="3161" customFormat="1" ht="12.75"/>
    <row r="15089" s="3161" customFormat="1" ht="12.75"/>
    <row r="15090" s="3161" customFormat="1" ht="12.75"/>
    <row r="15091" s="3161" customFormat="1" ht="12.75"/>
    <row r="15092" s="3161" customFormat="1" ht="12.75"/>
    <row r="15093" s="3161" customFormat="1" ht="12.75"/>
    <row r="15094" s="3161" customFormat="1" ht="12.75"/>
    <row r="15095" s="3161" customFormat="1" ht="12.75"/>
    <row r="15096" s="3161" customFormat="1" ht="12.75"/>
    <row r="15097" s="3161" customFormat="1" ht="12.75"/>
    <row r="15098" s="3161" customFormat="1" ht="12.75"/>
    <row r="15099" s="3161" customFormat="1" ht="12.75"/>
    <row r="15100" s="3161" customFormat="1" ht="12.75"/>
    <row r="15101" s="3161" customFormat="1" ht="12.75"/>
    <row r="15102" s="3161" customFormat="1" ht="12.75"/>
    <row r="15103" s="3161" customFormat="1" ht="12.75"/>
    <row r="15104" s="3161" customFormat="1" ht="12.75"/>
    <row r="15105" s="3161" customFormat="1" ht="12.75"/>
    <row r="15106" s="3161" customFormat="1" ht="12.75"/>
    <row r="15107" s="3161" customFormat="1" ht="12.75"/>
    <row r="15108" s="3161" customFormat="1" ht="12.75"/>
    <row r="15109" s="3161" customFormat="1" ht="12.75"/>
    <row r="15110" s="3161" customFormat="1" ht="12.75"/>
    <row r="15111" s="3161" customFormat="1" ht="12.75"/>
    <row r="15112" s="3161" customFormat="1" ht="12.75"/>
    <row r="15113" s="3161" customFormat="1" ht="12.75"/>
    <row r="15114" s="3161" customFormat="1" ht="12.75"/>
    <row r="15115" s="3161" customFormat="1" ht="12.75"/>
    <row r="15116" s="3161" customFormat="1" ht="12.75"/>
    <row r="15117" s="3161" customFormat="1" ht="12.75"/>
    <row r="15118" s="3161" customFormat="1" ht="12.75"/>
    <row r="15119" s="3161" customFormat="1" ht="12.75"/>
    <row r="15120" s="3161" customFormat="1" ht="12.75"/>
    <row r="15121" s="3161" customFormat="1" ht="12.75"/>
    <row r="15122" s="3161" customFormat="1" ht="12.75"/>
    <row r="15123" s="3161" customFormat="1" ht="12.75"/>
    <row r="15124" s="3161" customFormat="1" ht="12.75"/>
    <row r="15125" s="3161" customFormat="1" ht="12.75"/>
    <row r="15126" s="3161" customFormat="1" ht="12.75"/>
    <row r="15127" s="3161" customFormat="1" ht="12.75"/>
    <row r="15128" s="3161" customFormat="1" ht="12.75"/>
    <row r="15129" s="3161" customFormat="1" ht="12.75"/>
    <row r="15130" s="3161" customFormat="1" ht="12.75"/>
    <row r="15131" s="3161" customFormat="1" ht="12.75"/>
    <row r="15132" s="3161" customFormat="1" ht="12.75"/>
    <row r="15133" s="3161" customFormat="1" ht="12.75"/>
    <row r="15134" s="3161" customFormat="1" ht="12.75"/>
    <row r="15135" s="3161" customFormat="1" ht="12.75"/>
    <row r="15136" s="3161" customFormat="1" ht="12.75"/>
    <row r="15137" s="3161" customFormat="1" ht="12.75"/>
    <row r="15138" s="3161" customFormat="1" ht="12.75"/>
    <row r="15139" s="3161" customFormat="1" ht="12.75"/>
    <row r="15140" s="3161" customFormat="1" ht="12.75"/>
    <row r="15141" s="3161" customFormat="1" ht="12.75"/>
    <row r="15142" s="3161" customFormat="1" ht="12.75"/>
    <row r="15143" s="3161" customFormat="1" ht="12.75"/>
    <row r="15144" s="3161" customFormat="1" ht="12.75"/>
    <row r="15145" s="3161" customFormat="1" ht="12.75"/>
    <row r="15146" s="3161" customFormat="1" ht="12.75"/>
    <row r="15147" s="3161" customFormat="1" ht="12.75"/>
    <row r="15148" s="3161" customFormat="1" ht="12.75"/>
    <row r="15149" s="3161" customFormat="1" ht="12.75"/>
    <row r="15150" s="3161" customFormat="1" ht="12.75"/>
    <row r="15151" s="3161" customFormat="1" ht="12.75"/>
    <row r="15152" s="3161" customFormat="1" ht="12.75"/>
    <row r="15153" s="3161" customFormat="1" ht="12.75"/>
    <row r="15154" s="3161" customFormat="1" ht="12.75"/>
    <row r="15155" s="3161" customFormat="1" ht="12.75"/>
    <row r="15156" s="3161" customFormat="1" ht="12.75"/>
    <row r="15157" s="3161" customFormat="1" ht="12.75"/>
    <row r="15158" s="3161" customFormat="1" ht="12.75"/>
    <row r="15159" s="3161" customFormat="1" ht="12.75"/>
    <row r="15160" s="3161" customFormat="1" ht="12.75"/>
    <row r="15161" s="3161" customFormat="1" ht="12.75"/>
    <row r="15162" s="3161" customFormat="1" ht="12.75"/>
    <row r="15163" s="3161" customFormat="1" ht="12.75"/>
    <row r="15164" s="3161" customFormat="1" ht="12.75"/>
    <row r="15165" s="3161" customFormat="1" ht="12.75"/>
    <row r="15166" s="3161" customFormat="1" ht="12.75"/>
    <row r="15167" s="3161" customFormat="1" ht="12.75"/>
    <row r="15168" s="3161" customFormat="1" ht="12.75"/>
    <row r="15169" s="3161" customFormat="1" ht="12.75"/>
    <row r="15170" s="3161" customFormat="1" ht="12.75"/>
    <row r="15171" s="3161" customFormat="1" ht="12.75"/>
    <row r="15172" s="3161" customFormat="1" ht="12.75"/>
    <row r="15173" s="3161" customFormat="1" ht="12.75"/>
    <row r="15174" s="3161" customFormat="1" ht="12.75"/>
    <row r="15175" s="3161" customFormat="1" ht="12.75"/>
    <row r="15176" s="3161" customFormat="1" ht="12.75"/>
    <row r="15177" s="3161" customFormat="1" ht="12.75"/>
    <row r="15178" s="3161" customFormat="1" ht="12.75"/>
    <row r="15179" s="3161" customFormat="1" ht="12.75"/>
    <row r="15180" s="3161" customFormat="1" ht="12.75"/>
    <row r="15181" s="3161" customFormat="1" ht="12.75"/>
    <row r="15182" s="3161" customFormat="1" ht="12.75"/>
    <row r="15183" s="3161" customFormat="1" ht="12.75"/>
    <row r="15184" s="3161" customFormat="1" ht="12.75"/>
    <row r="15185" s="3161" customFormat="1" ht="12.75"/>
    <row r="15186" s="3161" customFormat="1" ht="12.75"/>
    <row r="15187" s="3161" customFormat="1" ht="12.75"/>
    <row r="15188" s="3161" customFormat="1" ht="12.75"/>
    <row r="15189" s="3161" customFormat="1" ht="12.75"/>
    <row r="15190" s="3161" customFormat="1" ht="12.75"/>
    <row r="15191" s="3161" customFormat="1" ht="12.75"/>
    <row r="15192" s="3161" customFormat="1" ht="12.75"/>
    <row r="15193" s="3161" customFormat="1" ht="12.75"/>
    <row r="15194" s="3161" customFormat="1" ht="12.75"/>
    <row r="15195" s="3161" customFormat="1" ht="12.75"/>
    <row r="15196" s="3161" customFormat="1" ht="12.75"/>
    <row r="15197" s="3161" customFormat="1" ht="12.75"/>
    <row r="15198" s="3161" customFormat="1" ht="12.75"/>
    <row r="15199" s="3161" customFormat="1" ht="12.75"/>
    <row r="15200" s="3161" customFormat="1" ht="12.75"/>
    <row r="15201" s="3161" customFormat="1" ht="12.75"/>
    <row r="15202" s="3161" customFormat="1" ht="12.75"/>
    <row r="15203" s="3161" customFormat="1" ht="12.75"/>
    <row r="15204" s="3161" customFormat="1" ht="12.75"/>
    <row r="15205" s="3161" customFormat="1" ht="12.75"/>
    <row r="15206" s="3161" customFormat="1" ht="12.75"/>
    <row r="15207" s="3161" customFormat="1" ht="12.75"/>
    <row r="15208" s="3161" customFormat="1" ht="12.75"/>
    <row r="15209" s="3161" customFormat="1" ht="12.75"/>
    <row r="15210" s="3161" customFormat="1" ht="12.75"/>
    <row r="15211" s="3161" customFormat="1" ht="12.75"/>
    <row r="15212" s="3161" customFormat="1" ht="12.75"/>
    <row r="15213" s="3161" customFormat="1" ht="12.75"/>
    <row r="15214" s="3161" customFormat="1" ht="12.75"/>
    <row r="15215" s="3161" customFormat="1" ht="12.75"/>
    <row r="15216" s="3161" customFormat="1" ht="12.75"/>
    <row r="15217" s="3161" customFormat="1" ht="12.75"/>
    <row r="15218" s="3161" customFormat="1" ht="12.75"/>
    <row r="15219" s="3161" customFormat="1" ht="12.75"/>
    <row r="15220" s="3161" customFormat="1" ht="12.75"/>
    <row r="15221" s="3161" customFormat="1" ht="12.75"/>
    <row r="15222" s="3161" customFormat="1" ht="12.75"/>
    <row r="15223" s="3161" customFormat="1" ht="12.75"/>
    <row r="15224" s="3161" customFormat="1" ht="12.75"/>
    <row r="15225" s="3161" customFormat="1" ht="12.75"/>
    <row r="15226" s="3161" customFormat="1" ht="12.75"/>
    <row r="15227" s="3161" customFormat="1" ht="12.75"/>
    <row r="15228" s="3161" customFormat="1" ht="12.75"/>
    <row r="15229" s="3161" customFormat="1" ht="12.75"/>
    <row r="15230" s="3161" customFormat="1" ht="12.75"/>
    <row r="15231" s="3161" customFormat="1" ht="12.75"/>
    <row r="15232" s="3161" customFormat="1" ht="12.75"/>
    <row r="15233" s="3161" customFormat="1" ht="12.75"/>
    <row r="15234" s="3161" customFormat="1" ht="12.75"/>
    <row r="15235" s="3161" customFormat="1" ht="12.75"/>
    <row r="15236" s="3161" customFormat="1" ht="12.75"/>
    <row r="15237" s="3161" customFormat="1" ht="12.75"/>
    <row r="15238" s="3161" customFormat="1" ht="12.75"/>
    <row r="15239" s="3161" customFormat="1" ht="12.75"/>
    <row r="15240" s="3161" customFormat="1" ht="12.75"/>
    <row r="15241" s="3161" customFormat="1" ht="12.75"/>
    <row r="15242" s="3161" customFormat="1" ht="12.75"/>
    <row r="15243" s="3161" customFormat="1" ht="12.75"/>
    <row r="15244" s="3161" customFormat="1" ht="12.75"/>
    <row r="15245" s="3161" customFormat="1" ht="12.75"/>
    <row r="15246" s="3161" customFormat="1" ht="12.75"/>
    <row r="15247" s="3161" customFormat="1" ht="12.75"/>
    <row r="15248" s="3161" customFormat="1" ht="12.75"/>
    <row r="15249" s="3161" customFormat="1" ht="12.75"/>
    <row r="15250" s="3161" customFormat="1" ht="12.75"/>
    <row r="15251" s="3161" customFormat="1" ht="12.75"/>
    <row r="15252" s="3161" customFormat="1" ht="12.75"/>
    <row r="15253" s="3161" customFormat="1" ht="12.75"/>
    <row r="15254" s="3161" customFormat="1" ht="12.75"/>
    <row r="15255" s="3161" customFormat="1" ht="12.75"/>
    <row r="15256" s="3161" customFormat="1" ht="12.75"/>
    <row r="15257" s="3161" customFormat="1" ht="12.75"/>
    <row r="15258" s="3161" customFormat="1" ht="12.75"/>
    <row r="15259" s="3161" customFormat="1" ht="12.75"/>
    <row r="15260" s="3161" customFormat="1" ht="12.75"/>
    <row r="15261" s="3161" customFormat="1" ht="12.75"/>
    <row r="15262" s="3161" customFormat="1" ht="12.75"/>
    <row r="15263" s="3161" customFormat="1" ht="12.75"/>
    <row r="15264" s="3161" customFormat="1" ht="12.75"/>
    <row r="15265" s="3161" customFormat="1" ht="12.75"/>
    <row r="15266" s="3161" customFormat="1" ht="12.75"/>
    <row r="15267" s="3161" customFormat="1" ht="12.75"/>
    <row r="15268" s="3161" customFormat="1" ht="12.75"/>
    <row r="15269" s="3161" customFormat="1" ht="12.75"/>
    <row r="15270" s="3161" customFormat="1" ht="12.75"/>
    <row r="15271" s="3161" customFormat="1" ht="12.75"/>
    <row r="15272" s="3161" customFormat="1" ht="12.75"/>
    <row r="15273" s="3161" customFormat="1" ht="12.75"/>
    <row r="15274" s="3161" customFormat="1" ht="12.75"/>
    <row r="15275" s="3161" customFormat="1" ht="12.75"/>
    <row r="15276" s="3161" customFormat="1" ht="12.75"/>
    <row r="15277" s="3161" customFormat="1" ht="12.75"/>
    <row r="15278" s="3161" customFormat="1" ht="12.75"/>
    <row r="15279" s="3161" customFormat="1" ht="12.75"/>
    <row r="15280" s="3161" customFormat="1" ht="12.75"/>
    <row r="15281" s="3161" customFormat="1" ht="12.75"/>
    <row r="15282" s="3161" customFormat="1" ht="12.75"/>
    <row r="15283" s="3161" customFormat="1" ht="12.75"/>
    <row r="15284" s="3161" customFormat="1" ht="12.75"/>
    <row r="15285" s="3161" customFormat="1" ht="12.75"/>
    <row r="15286" s="3161" customFormat="1" ht="12.75"/>
    <row r="15287" s="3161" customFormat="1" ht="12.75"/>
    <row r="15288" s="3161" customFormat="1" ht="12.75"/>
    <row r="15289" s="3161" customFormat="1" ht="12.75"/>
    <row r="15290" s="3161" customFormat="1" ht="12.75"/>
    <row r="15291" s="3161" customFormat="1" ht="12.75"/>
    <row r="15292" s="3161" customFormat="1" ht="12.75"/>
    <row r="15293" s="3161" customFormat="1" ht="12.75"/>
    <row r="15294" s="3161" customFormat="1" ht="12.75"/>
    <row r="15295" s="3161" customFormat="1" ht="12.75"/>
    <row r="15296" s="3161" customFormat="1" ht="12.75"/>
    <row r="15297" s="3161" customFormat="1" ht="12.75"/>
    <row r="15298" s="3161" customFormat="1" ht="12.75"/>
    <row r="15299" s="3161" customFormat="1" ht="12.75"/>
    <row r="15300" s="3161" customFormat="1" ht="12.75"/>
    <row r="15301" s="3161" customFormat="1" ht="12.75"/>
    <row r="15302" s="3161" customFormat="1" ht="12.75"/>
    <row r="15303" s="3161" customFormat="1" ht="12.75"/>
    <row r="15304" s="3161" customFormat="1" ht="12.75"/>
    <row r="15305" s="3161" customFormat="1" ht="12.75"/>
    <row r="15306" s="3161" customFormat="1" ht="12.75"/>
    <row r="15307" s="3161" customFormat="1" ht="12.75"/>
    <row r="15308" s="3161" customFormat="1" ht="12.75"/>
    <row r="15309" s="3161" customFormat="1" ht="12.75"/>
    <row r="15310" s="3161" customFormat="1" ht="12.75"/>
    <row r="15311" s="3161" customFormat="1" ht="12.75"/>
    <row r="15312" s="3161" customFormat="1" ht="12.75"/>
    <row r="15313" s="3161" customFormat="1" ht="12.75"/>
    <row r="15314" s="3161" customFormat="1" ht="12.75"/>
    <row r="15315" s="3161" customFormat="1" ht="12.75"/>
    <row r="15316" s="3161" customFormat="1" ht="12.75"/>
    <row r="15317" s="3161" customFormat="1" ht="12.75"/>
    <row r="15318" s="3161" customFormat="1" ht="12.75"/>
    <row r="15319" s="3161" customFormat="1" ht="12.75"/>
    <row r="15320" s="3161" customFormat="1" ht="12.75"/>
    <row r="15321" s="3161" customFormat="1" ht="12.75"/>
    <row r="15322" s="3161" customFormat="1" ht="12.75"/>
    <row r="15323" s="3161" customFormat="1" ht="12.75"/>
    <row r="15324" s="3161" customFormat="1" ht="12.75"/>
    <row r="15325" s="3161" customFormat="1" ht="12.75"/>
    <row r="15326" s="3161" customFormat="1" ht="12.75"/>
    <row r="15327" s="3161" customFormat="1" ht="12.75"/>
    <row r="15328" s="3161" customFormat="1" ht="12.75"/>
    <row r="15329" s="3161" customFormat="1" ht="12.75"/>
    <row r="15330" s="3161" customFormat="1" ht="12.75"/>
    <row r="15331" s="3161" customFormat="1" ht="12.75"/>
    <row r="15332" s="3161" customFormat="1" ht="12.75"/>
    <row r="15333" s="3161" customFormat="1" ht="12.75"/>
    <row r="15334" s="3161" customFormat="1" ht="12.75"/>
    <row r="15335" s="3161" customFormat="1" ht="12.75"/>
    <row r="15336" s="3161" customFormat="1" ht="12.75"/>
    <row r="15337" s="3161" customFormat="1" ht="12.75"/>
    <row r="15338" s="3161" customFormat="1" ht="12.75"/>
    <row r="15339" s="3161" customFormat="1" ht="12.75"/>
    <row r="15340" s="3161" customFormat="1" ht="12.75"/>
    <row r="15341" s="3161" customFormat="1" ht="12.75"/>
    <row r="15342" s="3161" customFormat="1" ht="12.75"/>
    <row r="15343" s="3161" customFormat="1" ht="12.75"/>
    <row r="15344" s="3161" customFormat="1" ht="12.75"/>
    <row r="15345" s="3161" customFormat="1" ht="12.75"/>
    <row r="15346" s="3161" customFormat="1" ht="12.75"/>
    <row r="15347" s="3161" customFormat="1" ht="12.75"/>
    <row r="15348" s="3161" customFormat="1" ht="12.75"/>
    <row r="15349" s="3161" customFormat="1" ht="12.75"/>
    <row r="15350" s="3161" customFormat="1" ht="12.75"/>
    <row r="15351" s="3161" customFormat="1" ht="12.75"/>
    <row r="15352" s="3161" customFormat="1" ht="12.75"/>
    <row r="15353" s="3161" customFormat="1" ht="12.75"/>
    <row r="15354" s="3161" customFormat="1" ht="12.75"/>
    <row r="15355" s="3161" customFormat="1" ht="12.75"/>
    <row r="15356" s="3161" customFormat="1" ht="12.75"/>
    <row r="15357" s="3161" customFormat="1" ht="12.75"/>
    <row r="15358" s="3161" customFormat="1" ht="12.75"/>
    <row r="15359" s="3161" customFormat="1" ht="12.75"/>
    <row r="15360" s="3161" customFormat="1" ht="12.75"/>
    <row r="15361" s="3161" customFormat="1" ht="12.75"/>
    <row r="15362" s="3161" customFormat="1" ht="12.75"/>
    <row r="15363" s="3161" customFormat="1" ht="12.75"/>
    <row r="15364" s="3161" customFormat="1" ht="12.75"/>
    <row r="15365" s="3161" customFormat="1" ht="12.75"/>
    <row r="15366" s="3161" customFormat="1" ht="12.75"/>
    <row r="15367" s="3161" customFormat="1" ht="12.75"/>
    <row r="15368" s="3161" customFormat="1" ht="12.75"/>
    <row r="15369" s="3161" customFormat="1" ht="12.75"/>
    <row r="15370" s="3161" customFormat="1" ht="12.75"/>
    <row r="15371" s="3161" customFormat="1" ht="12.75"/>
    <row r="15372" s="3161" customFormat="1" ht="12.75"/>
    <row r="15373" s="3161" customFormat="1" ht="12.75"/>
    <row r="15374" s="3161" customFormat="1" ht="12.75"/>
    <row r="15375" s="3161" customFormat="1" ht="12.75"/>
    <row r="15376" s="3161" customFormat="1" ht="12.75"/>
    <row r="15377" s="3161" customFormat="1" ht="12.75"/>
    <row r="15378" s="3161" customFormat="1" ht="12.75"/>
    <row r="15379" s="3161" customFormat="1" ht="12.75"/>
    <row r="15380" s="3161" customFormat="1" ht="12.75"/>
    <row r="15381" s="3161" customFormat="1" ht="12.75"/>
    <row r="15382" s="3161" customFormat="1" ht="12.75"/>
    <row r="15383" s="3161" customFormat="1" ht="12.75"/>
    <row r="15384" s="3161" customFormat="1" ht="12.75"/>
    <row r="15385" s="3161" customFormat="1" ht="12.75"/>
    <row r="15386" s="3161" customFormat="1" ht="12.75"/>
    <row r="15387" s="3161" customFormat="1" ht="12.75"/>
    <row r="15388" s="3161" customFormat="1" ht="12.75"/>
    <row r="15389" s="3161" customFormat="1" ht="12.75"/>
    <row r="15390" s="3161" customFormat="1" ht="12.75"/>
    <row r="15391" s="3161" customFormat="1" ht="12.75"/>
    <row r="15392" s="3161" customFormat="1" ht="12.75"/>
    <row r="15393" s="3161" customFormat="1" ht="12.75"/>
    <row r="15394" s="3161" customFormat="1" ht="12.75"/>
    <row r="15395" s="3161" customFormat="1" ht="12.75"/>
    <row r="15396" s="3161" customFormat="1" ht="12.75"/>
    <row r="15397" s="3161" customFormat="1" ht="12.75"/>
    <row r="15398" s="3161" customFormat="1" ht="12.75"/>
    <row r="15399" s="3161" customFormat="1" ht="12.75"/>
    <row r="15400" s="3161" customFormat="1" ht="12.75"/>
    <row r="15401" s="3161" customFormat="1" ht="12.75"/>
    <row r="15402" s="3161" customFormat="1" ht="12.75"/>
    <row r="15403" s="3161" customFormat="1" ht="12.75"/>
    <row r="15404" s="3161" customFormat="1" ht="12.75"/>
    <row r="15405" s="3161" customFormat="1" ht="12.75"/>
    <row r="15406" s="3161" customFormat="1" ht="12.75"/>
    <row r="15407" s="3161" customFormat="1" ht="12.75"/>
    <row r="15408" s="3161" customFormat="1" ht="12.75"/>
    <row r="15409" s="3161" customFormat="1" ht="12.75"/>
    <row r="15410" s="3161" customFormat="1" ht="12.75"/>
    <row r="15411" s="3161" customFormat="1" ht="12.75"/>
    <row r="15412" s="3161" customFormat="1" ht="12.75"/>
    <row r="15413" s="3161" customFormat="1" ht="12.75"/>
    <row r="15414" s="3161" customFormat="1" ht="12.75"/>
    <row r="15415" s="3161" customFormat="1" ht="12.75"/>
    <row r="15416" s="3161" customFormat="1" ht="12.75"/>
    <row r="15417" s="3161" customFormat="1" ht="12.75"/>
    <row r="15418" s="3161" customFormat="1" ht="12.75"/>
    <row r="15419" s="3161" customFormat="1" ht="12.75"/>
    <row r="15420" s="3161" customFormat="1" ht="12.75"/>
    <row r="15421" s="3161" customFormat="1" ht="12.75"/>
    <row r="15422" s="3161" customFormat="1" ht="12.75"/>
    <row r="15423" s="3161" customFormat="1" ht="12.75"/>
    <row r="15424" s="3161" customFormat="1" ht="12.75"/>
    <row r="15425" s="3161" customFormat="1" ht="12.75"/>
    <row r="15426" s="3161" customFormat="1" ht="12.75"/>
    <row r="15427" s="3161" customFormat="1" ht="12.75"/>
    <row r="15428" s="3161" customFormat="1" ht="12.75"/>
    <row r="15429" s="3161" customFormat="1" ht="12.75"/>
    <row r="15430" s="3161" customFormat="1" ht="12.75"/>
    <row r="15431" s="3161" customFormat="1" ht="12.75"/>
    <row r="15432" s="3161" customFormat="1" ht="12.75"/>
    <row r="15433" s="3161" customFormat="1" ht="12.75"/>
    <row r="15434" s="3161" customFormat="1" ht="12.75"/>
    <row r="15435" s="3161" customFormat="1" ht="12.75"/>
    <row r="15436" s="3161" customFormat="1" ht="12.75"/>
    <row r="15437" s="3161" customFormat="1" ht="12.75"/>
    <row r="15438" s="3161" customFormat="1" ht="12.75"/>
    <row r="15439" s="3161" customFormat="1" ht="12.75"/>
    <row r="15440" s="3161" customFormat="1" ht="12.75"/>
    <row r="15441" s="3161" customFormat="1" ht="12.75"/>
    <row r="15442" s="3161" customFormat="1" ht="12.75"/>
    <row r="15443" s="3161" customFormat="1" ht="12.75"/>
    <row r="15444" s="3161" customFormat="1" ht="12.75"/>
    <row r="15445" s="3161" customFormat="1" ht="12.75"/>
    <row r="15446" s="3161" customFormat="1" ht="12.75"/>
    <row r="15447" s="3161" customFormat="1" ht="12.75"/>
    <row r="15448" s="3161" customFormat="1" ht="12.75"/>
    <row r="15449" s="3161" customFormat="1" ht="12.75"/>
    <row r="15450" s="3161" customFormat="1" ht="12.75"/>
    <row r="15451" s="3161" customFormat="1" ht="12.75"/>
    <row r="15452" s="3161" customFormat="1" ht="12.75"/>
    <row r="15453" s="3161" customFormat="1" ht="12.75"/>
    <row r="15454" s="3161" customFormat="1" ht="12.75"/>
    <row r="15455" s="3161" customFormat="1" ht="12.75"/>
    <row r="15456" s="3161" customFormat="1" ht="12.75"/>
    <row r="15457" s="3161" customFormat="1" ht="12.75"/>
    <row r="15458" s="3161" customFormat="1" ht="12.75"/>
    <row r="15459" s="3161" customFormat="1" ht="12.75"/>
    <row r="15460" s="3161" customFormat="1" ht="12.75"/>
    <row r="15461" s="3161" customFormat="1" ht="12.75"/>
    <row r="15462" s="3161" customFormat="1" ht="12.75"/>
    <row r="15463" s="3161" customFormat="1" ht="12.75"/>
    <row r="15464" s="3161" customFormat="1" ht="12.75"/>
    <row r="15465" s="3161" customFormat="1" ht="12.75"/>
    <row r="15466" s="3161" customFormat="1" ht="12.75"/>
    <row r="15467" s="3161" customFormat="1" ht="12.75"/>
    <row r="15468" s="3161" customFormat="1" ht="12.75"/>
    <row r="15469" s="3161" customFormat="1" ht="12.75"/>
    <row r="15470" s="3161" customFormat="1" ht="12.75"/>
    <row r="15471" s="3161" customFormat="1" ht="12.75"/>
    <row r="15472" s="3161" customFormat="1" ht="12.75"/>
    <row r="15473" s="3161" customFormat="1" ht="12.75"/>
    <row r="15474" s="3161" customFormat="1" ht="12.75"/>
    <row r="15475" s="3161" customFormat="1" ht="12.75"/>
    <row r="15476" s="3161" customFormat="1" ht="12.75"/>
    <row r="15477" s="3161" customFormat="1" ht="12.75"/>
    <row r="15478" s="3161" customFormat="1" ht="12.75"/>
    <row r="15479" s="3161" customFormat="1" ht="12.75"/>
    <row r="15480" s="3161" customFormat="1" ht="12.75"/>
    <row r="15481" s="3161" customFormat="1" ht="12.75"/>
    <row r="15482" s="3161" customFormat="1" ht="12.75"/>
    <row r="15483" s="3161" customFormat="1" ht="12.75"/>
    <row r="15484" s="3161" customFormat="1" ht="12.75"/>
    <row r="15485" s="3161" customFormat="1" ht="12.75"/>
    <row r="15486" s="3161" customFormat="1" ht="12.75"/>
    <row r="15487" s="3161" customFormat="1" ht="12.75"/>
    <row r="15488" s="3161" customFormat="1" ht="12.75"/>
    <row r="15489" s="3161" customFormat="1" ht="12.75"/>
    <row r="15490" s="3161" customFormat="1" ht="12.75"/>
    <row r="15491" s="3161" customFormat="1" ht="12.75"/>
    <row r="15492" s="3161" customFormat="1" ht="12.75"/>
    <row r="15493" s="3161" customFormat="1" ht="12.75"/>
    <row r="15494" s="3161" customFormat="1" ht="12.75"/>
    <row r="15495" s="3161" customFormat="1" ht="12.75"/>
    <row r="15496" s="3161" customFormat="1" ht="12.75"/>
    <row r="15497" s="3161" customFormat="1" ht="12.75"/>
    <row r="15498" s="3161" customFormat="1" ht="12.75"/>
    <row r="15499" s="3161" customFormat="1" ht="12.75"/>
    <row r="15500" s="3161" customFormat="1" ht="12.75"/>
    <row r="15501" s="3161" customFormat="1" ht="12.75"/>
    <row r="15502" s="3161" customFormat="1" ht="12.75"/>
    <row r="15503" s="3161" customFormat="1" ht="12.75"/>
    <row r="15504" s="3161" customFormat="1" ht="12.75"/>
    <row r="15505" s="3161" customFormat="1" ht="12.75"/>
    <row r="15506" s="3161" customFormat="1" ht="12.75"/>
    <row r="15507" s="3161" customFormat="1" ht="12.75"/>
    <row r="15508" s="3161" customFormat="1" ht="12.75"/>
    <row r="15509" s="3161" customFormat="1" ht="12.75"/>
    <row r="15510" s="3161" customFormat="1" ht="12.75"/>
    <row r="15511" s="3161" customFormat="1" ht="12.75"/>
    <row r="15512" s="3161" customFormat="1" ht="12.75"/>
    <row r="15513" s="3161" customFormat="1" ht="12.75"/>
    <row r="15514" s="3161" customFormat="1" ht="12.75"/>
    <row r="15515" s="3161" customFormat="1" ht="12.75"/>
    <row r="15516" s="3161" customFormat="1" ht="12.75"/>
    <row r="15517" s="3161" customFormat="1" ht="12.75"/>
    <row r="15518" s="3161" customFormat="1" ht="12.75"/>
    <row r="15519" s="3161" customFormat="1" ht="12.75"/>
    <row r="15520" s="3161" customFormat="1" ht="12.75"/>
    <row r="15521" s="3161" customFormat="1" ht="12.75"/>
    <row r="15522" s="3161" customFormat="1" ht="12.75"/>
    <row r="15523" s="3161" customFormat="1" ht="12.75"/>
    <row r="15524" s="3161" customFormat="1" ht="12.75"/>
    <row r="15525" s="3161" customFormat="1" ht="12.75"/>
    <row r="15526" s="3161" customFormat="1" ht="12.75"/>
    <row r="15527" s="3161" customFormat="1" ht="12.75"/>
    <row r="15528" s="3161" customFormat="1" ht="12.75"/>
    <row r="15529" s="3161" customFormat="1" ht="12.75"/>
    <row r="15530" s="3161" customFormat="1" ht="12.75"/>
    <row r="15531" s="3161" customFormat="1" ht="12.75"/>
    <row r="15532" s="3161" customFormat="1" ht="12.75"/>
    <row r="15533" s="3161" customFormat="1" ht="12.75"/>
    <row r="15534" s="3161" customFormat="1" ht="12.75"/>
    <row r="15535" s="3161" customFormat="1" ht="12.75"/>
    <row r="15536" s="3161" customFormat="1" ht="12.75"/>
    <row r="15537" s="3161" customFormat="1" ht="12.75"/>
    <row r="15538" s="3161" customFormat="1" ht="12.75"/>
    <row r="15539" s="3161" customFormat="1" ht="12.75"/>
    <row r="15540" s="3161" customFormat="1" ht="12.75"/>
    <row r="15541" s="3161" customFormat="1" ht="12.75"/>
    <row r="15542" s="3161" customFormat="1" ht="12.75"/>
    <row r="15543" s="3161" customFormat="1" ht="12.75"/>
    <row r="15544" s="3161" customFormat="1" ht="12.75"/>
    <row r="15545" s="3161" customFormat="1" ht="12.75"/>
    <row r="15546" s="3161" customFormat="1" ht="12.75"/>
    <row r="15547" s="3161" customFormat="1" ht="12.75"/>
    <row r="15548" s="3161" customFormat="1" ht="12.75"/>
    <row r="15549" s="3161" customFormat="1" ht="12.75"/>
    <row r="15550" s="3161" customFormat="1" ht="12.75"/>
    <row r="15551" s="3161" customFormat="1" ht="12.75"/>
    <row r="15552" s="3161" customFormat="1" ht="12.75"/>
    <row r="15553" s="3161" customFormat="1" ht="12.75"/>
    <row r="15554" s="3161" customFormat="1" ht="12.75"/>
    <row r="15555" s="3161" customFormat="1" ht="12.75"/>
    <row r="15556" s="3161" customFormat="1" ht="12.75"/>
    <row r="15557" s="3161" customFormat="1" ht="12.75"/>
    <row r="15558" s="3161" customFormat="1" ht="12.75"/>
    <row r="15559" s="3161" customFormat="1" ht="12.75"/>
    <row r="15560" s="3161" customFormat="1" ht="12.75"/>
    <row r="15561" s="3161" customFormat="1" ht="12.75"/>
    <row r="15562" s="3161" customFormat="1" ht="12.75"/>
    <row r="15563" s="3161" customFormat="1" ht="12.75"/>
    <row r="15564" s="3161" customFormat="1" ht="12.75"/>
    <row r="15565" s="3161" customFormat="1" ht="12.75"/>
    <row r="15566" s="3161" customFormat="1" ht="12.75"/>
    <row r="15567" s="3161" customFormat="1" ht="12.75"/>
    <row r="15568" s="3161" customFormat="1" ht="12.75"/>
    <row r="15569" s="3161" customFormat="1" ht="12.75"/>
    <row r="15570" s="3161" customFormat="1" ht="12.75"/>
    <row r="15571" s="3161" customFormat="1" ht="12.75"/>
    <row r="15572" s="3161" customFormat="1" ht="12.75"/>
    <row r="15573" s="3161" customFormat="1" ht="12.75"/>
    <row r="15574" s="3161" customFormat="1" ht="12.75"/>
    <row r="15575" s="3161" customFormat="1" ht="12.75"/>
    <row r="15576" s="3161" customFormat="1" ht="12.75"/>
    <row r="15577" s="3161" customFormat="1" ht="12.75"/>
    <row r="15578" s="3161" customFormat="1" ht="12.75"/>
    <row r="15579" s="3161" customFormat="1" ht="12.75"/>
    <row r="15580" s="3161" customFormat="1" ht="12.75"/>
    <row r="15581" s="3161" customFormat="1" ht="12.75"/>
    <row r="15582" s="3161" customFormat="1" ht="12.75"/>
    <row r="15583" s="3161" customFormat="1" ht="12.75"/>
    <row r="15584" s="3161" customFormat="1" ht="12.75"/>
    <row r="15585" s="3161" customFormat="1" ht="12.75"/>
    <row r="15586" s="3161" customFormat="1" ht="12.75"/>
    <row r="15587" s="3161" customFormat="1" ht="12.75"/>
    <row r="15588" s="3161" customFormat="1" ht="12.75"/>
    <row r="15589" s="3161" customFormat="1" ht="12.75"/>
    <row r="15590" s="3161" customFormat="1" ht="12.75"/>
    <row r="15591" s="3161" customFormat="1" ht="12.75"/>
    <row r="15592" s="3161" customFormat="1" ht="12.75"/>
    <row r="15593" s="3161" customFormat="1" ht="12.75"/>
    <row r="15594" s="3161" customFormat="1" ht="12.75"/>
    <row r="15595" s="3161" customFormat="1" ht="12.75"/>
    <row r="15596" s="3161" customFormat="1" ht="12.75"/>
    <row r="15597" s="3161" customFormat="1" ht="12.75"/>
    <row r="15598" s="3161" customFormat="1" ht="12.75"/>
    <row r="15599" s="3161" customFormat="1" ht="12.75"/>
    <row r="15600" s="3161" customFormat="1" ht="12.75"/>
    <row r="15601" s="3161" customFormat="1" ht="12.75"/>
    <row r="15602" s="3161" customFormat="1" ht="12.75"/>
    <row r="15603" s="3161" customFormat="1" ht="12.75"/>
    <row r="15604" s="3161" customFormat="1" ht="12.75"/>
    <row r="15605" s="3161" customFormat="1" ht="12.75"/>
    <row r="15606" s="3161" customFormat="1" ht="12.75"/>
    <row r="15607" s="3161" customFormat="1" ht="12.75"/>
    <row r="15608" s="3161" customFormat="1" ht="12.75"/>
    <row r="15609" s="3161" customFormat="1" ht="12.75"/>
    <row r="15610" s="3161" customFormat="1" ht="12.75"/>
    <row r="15611" s="3161" customFormat="1" ht="12.75"/>
    <row r="15612" s="3161" customFormat="1" ht="12.75"/>
    <row r="15613" s="3161" customFormat="1" ht="12.75"/>
    <row r="15614" s="3161" customFormat="1" ht="12.75"/>
    <row r="15615" s="3161" customFormat="1" ht="12.75"/>
    <row r="15616" s="3161" customFormat="1" ht="12.75"/>
    <row r="15617" s="3161" customFormat="1" ht="12.75"/>
    <row r="15618" s="3161" customFormat="1" ht="12.75"/>
    <row r="15619" s="3161" customFormat="1" ht="12.75"/>
    <row r="15620" s="3161" customFormat="1" ht="12.75"/>
    <row r="15621" s="3161" customFormat="1" ht="12.75"/>
    <row r="15622" s="3161" customFormat="1" ht="12.75"/>
    <row r="15623" s="3161" customFormat="1" ht="12.75"/>
    <row r="15624" s="3161" customFormat="1" ht="12.75"/>
    <row r="15625" s="3161" customFormat="1" ht="12.75"/>
    <row r="15626" s="3161" customFormat="1" ht="12.75"/>
    <row r="15627" s="3161" customFormat="1" ht="12.75"/>
    <row r="15628" s="3161" customFormat="1" ht="12.75"/>
    <row r="15629" s="3161" customFormat="1" ht="12.75"/>
    <row r="15630" s="3161" customFormat="1" ht="12.75"/>
    <row r="15631" s="3161" customFormat="1" ht="12.75"/>
    <row r="15632" s="3161" customFormat="1" ht="12.75"/>
    <row r="15633" s="3161" customFormat="1" ht="12.75"/>
    <row r="15634" s="3161" customFormat="1" ht="12.75"/>
    <row r="15635" s="3161" customFormat="1" ht="12.75"/>
    <row r="15636" s="3161" customFormat="1" ht="12.75"/>
    <row r="15637" s="3161" customFormat="1" ht="12.75"/>
    <row r="15638" s="3161" customFormat="1" ht="12.75"/>
    <row r="15639" s="3161" customFormat="1" ht="12.75"/>
    <row r="15640" s="3161" customFormat="1" ht="12.75"/>
    <row r="15641" s="3161" customFormat="1" ht="12.75"/>
    <row r="15642" s="3161" customFormat="1" ht="12.75"/>
    <row r="15643" s="3161" customFormat="1" ht="12.75"/>
    <row r="15644" s="3161" customFormat="1" ht="12.75"/>
    <row r="15645" s="3161" customFormat="1" ht="12.75"/>
    <row r="15646" s="3161" customFormat="1" ht="12.75"/>
    <row r="15647" s="3161" customFormat="1" ht="12.75"/>
    <row r="15648" s="3161" customFormat="1" ht="12.75"/>
    <row r="15649" s="3161" customFormat="1" ht="12.75"/>
    <row r="15650" s="3161" customFormat="1" ht="12.75"/>
    <row r="15651" s="3161" customFormat="1" ht="12.75"/>
    <row r="15652" s="3161" customFormat="1" ht="12.75"/>
    <row r="15653" s="3161" customFormat="1" ht="12.75"/>
    <row r="15654" s="3161" customFormat="1" ht="12.75"/>
    <row r="15655" s="3161" customFormat="1" ht="12.75"/>
    <row r="15656" s="3161" customFormat="1" ht="12.75"/>
    <row r="15657" s="3161" customFormat="1" ht="12.75"/>
    <row r="15658" s="3161" customFormat="1" ht="12.75"/>
    <row r="15659" s="3161" customFormat="1" ht="12.75"/>
    <row r="15660" s="3161" customFormat="1" ht="12.75"/>
    <row r="15661" s="3161" customFormat="1" ht="12.75"/>
    <row r="15662" s="3161" customFormat="1" ht="12.75"/>
    <row r="15663" s="3161" customFormat="1" ht="12.75"/>
    <row r="15664" s="3161" customFormat="1" ht="12.75"/>
    <row r="15665" s="3161" customFormat="1" ht="12.75"/>
    <row r="15666" s="3161" customFormat="1" ht="12.75"/>
    <row r="15667" s="3161" customFormat="1" ht="12.75"/>
    <row r="15668" s="3161" customFormat="1" ht="12.75"/>
    <row r="15669" s="3161" customFormat="1" ht="12.75"/>
    <row r="15670" s="3161" customFormat="1" ht="12.75"/>
    <row r="15671" s="3161" customFormat="1" ht="12.75"/>
    <row r="15672" s="3161" customFormat="1" ht="12.75"/>
    <row r="15673" s="3161" customFormat="1" ht="12.75"/>
    <row r="15674" s="3161" customFormat="1" ht="12.75"/>
    <row r="15675" s="3161" customFormat="1" ht="12.75"/>
    <row r="15676" s="3161" customFormat="1" ht="12.75"/>
    <row r="15677" s="3161" customFormat="1" ht="12.75"/>
    <row r="15678" s="3161" customFormat="1" ht="12.75"/>
    <row r="15679" s="3161" customFormat="1" ht="12.75"/>
    <row r="15680" s="3161" customFormat="1" ht="12.75"/>
    <row r="15681" s="3161" customFormat="1" ht="12.75"/>
    <row r="15682" s="3161" customFormat="1" ht="12.75"/>
    <row r="15683" s="3161" customFormat="1" ht="12.75"/>
    <row r="15684" s="3161" customFormat="1" ht="12.75"/>
    <row r="15685" s="3161" customFormat="1" ht="12.75"/>
    <row r="15686" s="3161" customFormat="1" ht="12.75"/>
    <row r="15687" s="3161" customFormat="1" ht="12.75"/>
    <row r="15688" s="3161" customFormat="1" ht="12.75"/>
    <row r="15689" s="3161" customFormat="1" ht="12.75"/>
    <row r="15690" s="3161" customFormat="1" ht="12.75"/>
    <row r="15691" s="3161" customFormat="1" ht="12.75"/>
    <row r="15692" s="3161" customFormat="1" ht="12.75"/>
    <row r="15693" s="3161" customFormat="1" ht="12.75"/>
    <row r="15694" s="3161" customFormat="1" ht="12.75"/>
    <row r="15695" s="3161" customFormat="1" ht="12.75"/>
    <row r="15696" s="3161" customFormat="1" ht="12.75"/>
    <row r="15697" s="3161" customFormat="1" ht="12.75"/>
    <row r="15698" s="3161" customFormat="1" ht="12.75"/>
    <row r="15699" s="3161" customFormat="1" ht="12.75"/>
    <row r="15700" s="3161" customFormat="1" ht="12.75"/>
    <row r="15701" s="3161" customFormat="1" ht="12.75"/>
    <row r="15702" s="3161" customFormat="1" ht="12.75"/>
    <row r="15703" s="3161" customFormat="1" ht="12.75"/>
    <row r="15704" s="3161" customFormat="1" ht="12.75"/>
    <row r="15705" s="3161" customFormat="1" ht="12.75"/>
    <row r="15706" s="3161" customFormat="1" ht="12.75"/>
    <row r="15707" s="3161" customFormat="1" ht="12.75"/>
    <row r="15708" s="3161" customFormat="1" ht="12.75"/>
    <row r="15709" s="3161" customFormat="1" ht="12.75"/>
    <row r="15710" s="3161" customFormat="1" ht="12.75"/>
    <row r="15711" s="3161" customFormat="1" ht="12.75"/>
    <row r="15712" s="3161" customFormat="1" ht="12.75"/>
    <row r="15713" s="3161" customFormat="1" ht="12.75"/>
    <row r="15714" s="3161" customFormat="1" ht="12.75"/>
    <row r="15715" s="3161" customFormat="1" ht="12.75"/>
    <row r="15716" s="3161" customFormat="1" ht="12.75"/>
    <row r="15717" s="3161" customFormat="1" ht="12.75"/>
    <row r="15718" s="3161" customFormat="1" ht="12.75"/>
    <row r="15719" s="3161" customFormat="1" ht="12.75"/>
    <row r="15720" s="3161" customFormat="1" ht="12.75"/>
    <row r="15721" s="3161" customFormat="1" ht="12.75"/>
    <row r="15722" s="3161" customFormat="1" ht="12.75"/>
    <row r="15723" s="3161" customFormat="1" ht="12.75"/>
    <row r="15724" s="3161" customFormat="1" ht="12.75"/>
    <row r="15725" s="3161" customFormat="1" ht="12.75"/>
    <row r="15726" s="3161" customFormat="1" ht="12.75"/>
    <row r="15727" s="3161" customFormat="1" ht="12.75"/>
    <row r="15728" s="3161" customFormat="1" ht="12.75"/>
    <row r="15729" s="3161" customFormat="1" ht="12.75"/>
    <row r="15730" s="3161" customFormat="1" ht="12.75"/>
    <row r="15731" s="3161" customFormat="1" ht="12.75"/>
    <row r="15732" s="3161" customFormat="1" ht="12.75"/>
    <row r="15733" s="3161" customFormat="1" ht="12.75"/>
    <row r="15734" s="3161" customFormat="1" ht="12.75"/>
    <row r="15735" s="3161" customFormat="1" ht="12.75"/>
    <row r="15736" s="3161" customFormat="1" ht="12.75"/>
    <row r="15737" s="3161" customFormat="1" ht="12.75"/>
    <row r="15738" s="3161" customFormat="1" ht="12.75"/>
    <row r="15739" s="3161" customFormat="1" ht="12.75"/>
    <row r="15740" s="3161" customFormat="1" ht="12.75"/>
    <row r="15741" s="3161" customFormat="1" ht="12.75"/>
    <row r="15742" s="3161" customFormat="1" ht="12.75"/>
    <row r="15743" s="3161" customFormat="1" ht="12.75"/>
    <row r="15744" s="3161" customFormat="1" ht="12.75"/>
    <row r="15745" s="3161" customFormat="1" ht="12.75"/>
    <row r="15746" s="3161" customFormat="1" ht="12.75"/>
    <row r="15747" s="3161" customFormat="1" ht="12.75"/>
    <row r="15748" s="3161" customFormat="1" ht="12.75"/>
    <row r="15749" s="3161" customFormat="1" ht="12.75"/>
    <row r="15750" s="3161" customFormat="1" ht="12.75"/>
    <row r="15751" s="3161" customFormat="1" ht="12.75"/>
    <row r="15752" s="3161" customFormat="1" ht="12.75"/>
    <row r="15753" s="3161" customFormat="1" ht="12.75"/>
    <row r="15754" s="3161" customFormat="1" ht="12.75"/>
    <row r="15755" s="3161" customFormat="1" ht="12.75"/>
    <row r="15756" s="3161" customFormat="1" ht="12.75"/>
    <row r="15757" s="3161" customFormat="1" ht="12.75"/>
    <row r="15758" s="3161" customFormat="1" ht="12.75"/>
    <row r="15759" s="3161" customFormat="1" ht="12.75"/>
    <row r="15760" s="3161" customFormat="1" ht="12.75"/>
    <row r="15761" s="3161" customFormat="1" ht="12.75"/>
    <row r="15762" s="3161" customFormat="1" ht="12.75"/>
    <row r="15763" s="3161" customFormat="1" ht="12.75"/>
    <row r="15764" s="3161" customFormat="1" ht="12.75"/>
    <row r="15765" s="3161" customFormat="1" ht="12.75"/>
    <row r="15766" s="3161" customFormat="1" ht="12.75"/>
    <row r="15767" s="3161" customFormat="1" ht="12.75"/>
    <row r="15768" s="3161" customFormat="1" ht="12.75"/>
    <row r="15769" s="3161" customFormat="1" ht="12.75"/>
    <row r="15770" s="3161" customFormat="1" ht="12.75"/>
    <row r="15771" s="3161" customFormat="1" ht="12.75"/>
    <row r="15772" s="3161" customFormat="1" ht="12.75"/>
    <row r="15773" s="3161" customFormat="1" ht="12.75"/>
    <row r="15774" s="3161" customFormat="1" ht="12.75"/>
    <row r="15775" s="3161" customFormat="1" ht="12.75"/>
    <row r="15776" s="3161" customFormat="1" ht="12.75"/>
    <row r="15777" s="3161" customFormat="1" ht="12.75"/>
    <row r="15778" s="3161" customFormat="1" ht="12.75"/>
    <row r="15779" s="3161" customFormat="1" ht="12.75"/>
    <row r="15780" s="3161" customFormat="1" ht="12.75"/>
    <row r="15781" s="3161" customFormat="1" ht="12.75"/>
    <row r="15782" s="3161" customFormat="1" ht="12.75"/>
    <row r="15783" s="3161" customFormat="1" ht="12.75"/>
    <row r="15784" s="3161" customFormat="1" ht="12.75"/>
    <row r="15785" s="3161" customFormat="1" ht="12.75"/>
    <row r="15786" s="3161" customFormat="1" ht="12.75"/>
    <row r="15787" s="3161" customFormat="1" ht="12.75"/>
    <row r="15788" s="3161" customFormat="1" ht="12.75"/>
    <row r="15789" s="3161" customFormat="1" ht="12.75"/>
    <row r="15790" s="3161" customFormat="1" ht="12.75"/>
    <row r="15791" s="3161" customFormat="1" ht="12.75"/>
    <row r="15792" s="3161" customFormat="1" ht="12.75"/>
    <row r="15793" s="3161" customFormat="1" ht="12.75"/>
    <row r="15794" s="3161" customFormat="1" ht="12.75"/>
    <row r="15795" s="3161" customFormat="1" ht="12.75"/>
    <row r="15796" s="3161" customFormat="1" ht="12.75"/>
    <row r="15797" s="3161" customFormat="1" ht="12.75"/>
    <row r="15798" s="3161" customFormat="1" ht="12.75"/>
    <row r="15799" s="3161" customFormat="1" ht="12.75"/>
    <row r="15800" s="3161" customFormat="1" ht="12.75"/>
    <row r="15801" s="3161" customFormat="1" ht="12.75"/>
    <row r="15802" s="3161" customFormat="1" ht="12.75"/>
    <row r="15803" s="3161" customFormat="1" ht="12.75"/>
    <row r="15804" s="3161" customFormat="1" ht="12.75"/>
    <row r="15805" s="3161" customFormat="1" ht="12.75"/>
    <row r="15806" s="3161" customFormat="1" ht="12.75"/>
    <row r="15807" s="3161" customFormat="1" ht="12.75"/>
    <row r="15808" s="3161" customFormat="1" ht="12.75"/>
    <row r="15809" s="3161" customFormat="1" ht="12.75"/>
    <row r="15810" s="3161" customFormat="1" ht="12.75"/>
    <row r="15811" s="3161" customFormat="1" ht="12.75"/>
    <row r="15812" s="3161" customFormat="1" ht="12.75"/>
    <row r="15813" s="3161" customFormat="1" ht="12.75"/>
    <row r="15814" s="3161" customFormat="1" ht="12.75"/>
    <row r="15815" s="3161" customFormat="1" ht="12.75"/>
    <row r="15816" s="3161" customFormat="1" ht="12.75"/>
    <row r="15817" s="3161" customFormat="1" ht="12.75"/>
    <row r="15818" s="3161" customFormat="1" ht="12.75"/>
    <row r="15819" s="3161" customFormat="1" ht="12.75"/>
    <row r="15820" s="3161" customFormat="1" ht="12.75"/>
    <row r="15821" s="3161" customFormat="1" ht="12.75"/>
    <row r="15822" s="3161" customFormat="1" ht="12.75"/>
    <row r="15823" s="3161" customFormat="1" ht="12.75"/>
    <row r="15824" s="3161" customFormat="1" ht="12.75"/>
    <row r="15825" s="3161" customFormat="1" ht="12.75"/>
    <row r="15826" s="3161" customFormat="1" ht="12.75"/>
    <row r="15827" s="3161" customFormat="1" ht="12.75"/>
    <row r="15828" s="3161" customFormat="1" ht="12.75"/>
    <row r="15829" s="3161" customFormat="1" ht="12.75"/>
    <row r="15830" s="3161" customFormat="1" ht="12.75"/>
    <row r="15831" s="3161" customFormat="1" ht="12.75"/>
    <row r="15832" s="3161" customFormat="1" ht="12.75"/>
    <row r="15833" s="3161" customFormat="1" ht="12.75"/>
    <row r="15834" s="3161" customFormat="1" ht="12.75"/>
    <row r="15835" s="3161" customFormat="1" ht="12.75"/>
    <row r="15836" s="3161" customFormat="1" ht="12.75"/>
    <row r="15837" s="3161" customFormat="1" ht="12.75"/>
    <row r="15838" s="3161" customFormat="1" ht="12.75"/>
    <row r="15839" s="3161" customFormat="1" ht="12.75"/>
    <row r="15840" s="3161" customFormat="1" ht="12.75"/>
    <row r="15841" s="3161" customFormat="1" ht="12.75"/>
    <row r="15842" s="3161" customFormat="1" ht="12.75"/>
    <row r="15843" s="3161" customFormat="1" ht="12.75"/>
    <row r="15844" s="3161" customFormat="1" ht="12.75"/>
    <row r="15845" s="3161" customFormat="1" ht="12.75"/>
    <row r="15846" s="3161" customFormat="1" ht="12.75"/>
    <row r="15847" s="3161" customFormat="1" ht="12.75"/>
    <row r="15848" s="3161" customFormat="1" ht="12.75"/>
    <row r="15849" s="3161" customFormat="1" ht="12.75"/>
    <row r="15850" s="3161" customFormat="1" ht="12.75"/>
    <row r="15851" s="3161" customFormat="1" ht="12.75"/>
    <row r="15852" s="3161" customFormat="1" ht="12.75"/>
    <row r="15853" s="3161" customFormat="1" ht="12.75"/>
    <row r="15854" s="3161" customFormat="1" ht="12.75"/>
    <row r="15855" s="3161" customFormat="1" ht="12.75"/>
    <row r="15856" s="3161" customFormat="1" ht="12.75"/>
    <row r="15857" s="3161" customFormat="1" ht="12.75"/>
    <row r="15858" s="3161" customFormat="1" ht="12.75"/>
    <row r="15859" s="3161" customFormat="1" ht="12.75"/>
    <row r="15860" s="3161" customFormat="1" ht="12.75"/>
    <row r="15861" s="3161" customFormat="1" ht="12.75"/>
    <row r="15862" s="3161" customFormat="1" ht="12.75"/>
    <row r="15863" s="3161" customFormat="1" ht="12.75"/>
    <row r="15864" s="3161" customFormat="1" ht="12.75"/>
    <row r="15865" s="3161" customFormat="1" ht="12.75"/>
    <row r="15866" s="3161" customFormat="1" ht="12.75"/>
    <row r="15867" s="3161" customFormat="1" ht="12.75"/>
    <row r="15868" s="3161" customFormat="1" ht="12.75"/>
    <row r="15869" s="3161" customFormat="1" ht="12.75"/>
    <row r="15870" s="3161" customFormat="1" ht="12.75"/>
    <row r="15871" s="3161" customFormat="1" ht="12.75"/>
    <row r="15872" s="3161" customFormat="1" ht="12.75"/>
    <row r="15873" s="3161" customFormat="1" ht="12.75"/>
    <row r="15874" s="3161" customFormat="1" ht="12.75"/>
    <row r="15875" s="3161" customFormat="1" ht="12.75"/>
    <row r="15876" s="3161" customFormat="1" ht="12.75"/>
    <row r="15877" s="3161" customFormat="1" ht="12.75"/>
    <row r="15878" s="3161" customFormat="1" ht="12.75"/>
    <row r="15879" s="3161" customFormat="1" ht="12.75"/>
    <row r="15880" s="3161" customFormat="1" ht="12.75"/>
    <row r="15881" s="3161" customFormat="1" ht="12.75"/>
    <row r="15882" s="3161" customFormat="1" ht="12.75"/>
    <row r="15883" s="3161" customFormat="1" ht="12.75"/>
    <row r="15884" s="3161" customFormat="1" ht="12.75"/>
    <row r="15885" s="3161" customFormat="1" ht="12.75"/>
    <row r="15886" s="3161" customFormat="1" ht="12.75"/>
    <row r="15887" s="3161" customFormat="1" ht="12.75"/>
    <row r="15888" s="3161" customFormat="1" ht="12.75"/>
    <row r="15889" s="3161" customFormat="1" ht="12.75"/>
    <row r="15890" s="3161" customFormat="1" ht="12.75"/>
    <row r="15891" s="3161" customFormat="1" ht="12.75"/>
    <row r="15892" s="3161" customFormat="1" ht="12.75"/>
    <row r="15893" s="3161" customFormat="1" ht="12.75"/>
    <row r="15894" s="3161" customFormat="1" ht="12.75"/>
    <row r="15895" s="3161" customFormat="1" ht="12.75"/>
    <row r="15896" s="3161" customFormat="1" ht="12.75"/>
    <row r="15897" s="3161" customFormat="1" ht="12.75"/>
    <row r="15898" s="3161" customFormat="1" ht="12.75"/>
    <row r="15899" s="3161" customFormat="1" ht="12.75"/>
    <row r="15900" s="3161" customFormat="1" ht="12.75"/>
    <row r="15901" s="3161" customFormat="1" ht="12.75"/>
    <row r="15902" s="3161" customFormat="1" ht="12.75"/>
    <row r="15903" s="3161" customFormat="1" ht="12.75"/>
    <row r="15904" s="3161" customFormat="1" ht="12.75"/>
    <row r="15905" s="3161" customFormat="1" ht="12.75"/>
    <row r="15906" s="3161" customFormat="1" ht="12.75"/>
    <row r="15907" s="3161" customFormat="1" ht="12.75"/>
    <row r="15908" s="3161" customFormat="1" ht="12.75"/>
    <row r="15909" s="3161" customFormat="1" ht="12.75"/>
    <row r="15910" s="3161" customFormat="1" ht="12.75"/>
    <row r="15911" s="3161" customFormat="1" ht="12.75"/>
    <row r="15912" s="3161" customFormat="1" ht="12.75"/>
    <row r="15913" s="3161" customFormat="1" ht="12.75"/>
    <row r="15914" s="3161" customFormat="1" ht="12.75"/>
    <row r="15915" s="3161" customFormat="1" ht="12.75"/>
    <row r="15916" s="3161" customFormat="1" ht="12.75"/>
    <row r="15917" s="3161" customFormat="1" ht="12.75"/>
    <row r="15918" s="3161" customFormat="1" ht="12.75"/>
    <row r="15919" s="3161" customFormat="1" ht="12.75"/>
    <row r="15920" s="3161" customFormat="1" ht="12.75"/>
    <row r="15921" s="3161" customFormat="1" ht="12.75"/>
    <row r="15922" s="3161" customFormat="1" ht="12.75"/>
    <row r="15923" s="3161" customFormat="1" ht="12.75"/>
    <row r="15924" s="3161" customFormat="1" ht="12.75"/>
    <row r="15925" s="3161" customFormat="1" ht="12.75"/>
    <row r="15926" s="3161" customFormat="1" ht="12.75"/>
    <row r="15927" s="3161" customFormat="1" ht="12.75"/>
    <row r="15928" s="3161" customFormat="1" ht="12.75"/>
    <row r="15929" s="3161" customFormat="1" ht="12.75"/>
    <row r="15930" s="3161" customFormat="1" ht="12.75"/>
    <row r="15931" s="3161" customFormat="1" ht="12.75"/>
    <row r="15932" s="3161" customFormat="1" ht="12.75"/>
    <row r="15933" s="3161" customFormat="1" ht="12.75"/>
    <row r="15934" s="3161" customFormat="1" ht="12.75"/>
    <row r="15935" s="3161" customFormat="1" ht="12.75"/>
    <row r="15936" s="3161" customFormat="1" ht="12.75"/>
    <row r="15937" s="3161" customFormat="1" ht="12.75"/>
    <row r="15938" s="3161" customFormat="1" ht="12.75"/>
    <row r="15939" s="3161" customFormat="1" ht="12.75"/>
    <row r="15940" s="3161" customFormat="1" ht="12.75"/>
    <row r="15941" s="3161" customFormat="1" ht="12.75"/>
    <row r="15942" s="3161" customFormat="1" ht="12.75"/>
    <row r="15943" s="3161" customFormat="1" ht="12.75"/>
    <row r="15944" s="3161" customFormat="1" ht="12.75"/>
    <row r="15945" s="3161" customFormat="1" ht="12.75"/>
    <row r="15946" s="3161" customFormat="1" ht="12.75"/>
    <row r="15947" s="3161" customFormat="1" ht="12.75"/>
    <row r="15948" s="3161" customFormat="1" ht="12.75"/>
    <row r="15949" s="3161" customFormat="1" ht="12.75"/>
    <row r="15950" s="3161" customFormat="1" ht="12.75"/>
    <row r="15951" s="3161" customFormat="1" ht="12.75"/>
    <row r="15952" s="3161" customFormat="1" ht="12.75"/>
    <row r="15953" s="3161" customFormat="1" ht="12.75"/>
    <row r="15954" s="3161" customFormat="1" ht="12.75"/>
    <row r="15955" s="3161" customFormat="1" ht="12.75"/>
    <row r="15956" s="3161" customFormat="1" ht="12.75"/>
    <row r="15957" s="3161" customFormat="1" ht="12.75"/>
    <row r="15958" s="3161" customFormat="1" ht="12.75"/>
    <row r="15959" s="3161" customFormat="1" ht="12.75"/>
    <row r="15960" s="3161" customFormat="1" ht="12.75"/>
    <row r="15961" s="3161" customFormat="1" ht="12.75"/>
    <row r="15962" s="3161" customFormat="1" ht="12.75"/>
    <row r="15963" s="3161" customFormat="1" ht="12.75"/>
    <row r="15964" s="3161" customFormat="1" ht="12.75"/>
    <row r="15965" s="3161" customFormat="1" ht="12.75"/>
    <row r="15966" s="3161" customFormat="1" ht="12.75"/>
    <row r="15967" s="3161" customFormat="1" ht="12.75"/>
    <row r="15968" s="3161" customFormat="1" ht="12.75"/>
    <row r="15969" s="3161" customFormat="1" ht="12.75"/>
    <row r="15970" s="3161" customFormat="1" ht="12.75"/>
    <row r="15971" s="3161" customFormat="1" ht="12.75"/>
    <row r="15972" s="3161" customFormat="1" ht="12.75"/>
    <row r="15973" s="3161" customFormat="1" ht="12.75"/>
    <row r="15974" s="3161" customFormat="1" ht="12.75"/>
    <row r="15975" s="3161" customFormat="1" ht="12.75"/>
    <row r="15976" s="3161" customFormat="1" ht="12.75"/>
    <row r="15977" s="3161" customFormat="1" ht="12.75"/>
    <row r="15978" s="3161" customFormat="1" ht="12.75"/>
    <row r="15979" s="3161" customFormat="1" ht="12.75"/>
    <row r="15980" s="3161" customFormat="1" ht="12.75"/>
    <row r="15981" s="3161" customFormat="1" ht="12.75"/>
    <row r="15982" s="3161" customFormat="1" ht="12.75"/>
    <row r="15983" s="3161" customFormat="1" ht="12.75"/>
    <row r="15984" s="3161" customFormat="1" ht="12.75"/>
    <row r="15985" s="3161" customFormat="1" ht="12.75"/>
    <row r="15986" s="3161" customFormat="1" ht="12.75"/>
    <row r="15987" s="3161" customFormat="1" ht="12.75"/>
    <row r="15988" s="3161" customFormat="1" ht="12.75"/>
    <row r="15989" s="3161" customFormat="1" ht="12.75"/>
    <row r="15990" s="3161" customFormat="1" ht="12.75"/>
    <row r="15991" s="3161" customFormat="1" ht="12.75"/>
    <row r="15992" s="3161" customFormat="1" ht="12.75"/>
    <row r="15993" s="3161" customFormat="1" ht="12.75"/>
    <row r="15994" s="3161" customFormat="1" ht="12.75"/>
    <row r="15995" s="3161" customFormat="1" ht="12.75"/>
    <row r="15996" s="3161" customFormat="1" ht="12.75"/>
    <row r="15997" s="3161" customFormat="1" ht="12.75"/>
    <row r="15998" s="3161" customFormat="1" ht="12.75"/>
    <row r="15999" s="3161" customFormat="1" ht="12.75"/>
    <row r="16000" s="3161" customFormat="1" ht="12.75"/>
    <row r="16001" s="3161" customFormat="1" ht="12.75"/>
    <row r="16002" s="3161" customFormat="1" ht="12.75"/>
    <row r="16003" s="3161" customFormat="1" ht="12.75"/>
    <row r="16004" s="3161" customFormat="1" ht="12.75"/>
    <row r="16005" s="3161" customFormat="1" ht="12.75"/>
    <row r="16006" s="3161" customFormat="1" ht="12.75"/>
    <row r="16007" s="3161" customFormat="1" ht="12.75"/>
    <row r="16008" s="3161" customFormat="1" ht="12.75"/>
    <row r="16009" s="3161" customFormat="1" ht="12.75"/>
    <row r="16010" s="3161" customFormat="1" ht="12.75"/>
    <row r="16011" s="3161" customFormat="1" ht="12.75"/>
    <row r="16012" s="3161" customFormat="1" ht="12.75"/>
    <row r="16013" s="3161" customFormat="1" ht="12.75"/>
    <row r="16014" s="3161" customFormat="1" ht="12.75"/>
    <row r="16015" s="3161" customFormat="1" ht="12.75"/>
    <row r="16016" s="3161" customFormat="1" ht="12.75"/>
    <row r="16017" s="3161" customFormat="1" ht="12.75"/>
    <row r="16018" s="3161" customFormat="1" ht="12.75"/>
    <row r="16019" s="3161" customFormat="1" ht="12.75"/>
    <row r="16020" s="3161" customFormat="1" ht="12.75"/>
    <row r="16021" s="3161" customFormat="1" ht="12.75"/>
    <row r="16022" s="3161" customFormat="1" ht="12.75"/>
    <row r="16023" s="3161" customFormat="1" ht="12.75"/>
    <row r="16024" s="3161" customFormat="1" ht="12.75"/>
    <row r="16025" s="3161" customFormat="1" ht="12.75"/>
    <row r="16026" s="3161" customFormat="1" ht="12.75"/>
    <row r="16027" s="3161" customFormat="1" ht="12.75"/>
    <row r="16028" s="3161" customFormat="1" ht="12.75"/>
    <row r="16029" s="3161" customFormat="1" ht="12.75"/>
    <row r="16030" s="3161" customFormat="1" ht="12.75"/>
    <row r="16031" s="3161" customFormat="1" ht="12.75"/>
    <row r="16032" s="3161" customFormat="1" ht="12.75"/>
    <row r="16033" s="3161" customFormat="1" ht="12.75"/>
    <row r="16034" s="3161" customFormat="1" ht="12.75"/>
    <row r="16035" s="3161" customFormat="1" ht="12.75"/>
    <row r="16036" s="3161" customFormat="1" ht="12.75"/>
    <row r="16037" s="3161" customFormat="1" ht="12.75"/>
    <row r="16038" s="3161" customFormat="1" ht="12.75"/>
    <row r="16039" s="3161" customFormat="1" ht="12.75"/>
    <row r="16040" s="3161" customFormat="1" ht="12.75"/>
    <row r="16041" s="3161" customFormat="1" ht="12.75"/>
    <row r="16042" s="3161" customFormat="1" ht="12.75"/>
    <row r="16043" s="3161" customFormat="1" ht="12.75"/>
    <row r="16044" s="3161" customFormat="1" ht="12.75"/>
    <row r="16045" s="3161" customFormat="1" ht="12.75"/>
    <row r="16046" s="3161" customFormat="1" ht="12.75"/>
    <row r="16047" s="3161" customFormat="1" ht="12.75"/>
    <row r="16048" s="3161" customFormat="1" ht="12.75"/>
    <row r="16049" s="3161" customFormat="1" ht="12.75"/>
    <row r="16050" s="3161" customFormat="1" ht="12.75"/>
    <row r="16051" s="3161" customFormat="1" ht="12.75"/>
    <row r="16052" s="3161" customFormat="1" ht="12.75"/>
    <row r="16053" s="3161" customFormat="1" ht="12.75"/>
    <row r="16054" s="3161" customFormat="1" ht="12.75"/>
    <row r="16055" s="3161" customFormat="1" ht="12.75"/>
    <row r="16056" s="3161" customFormat="1" ht="12.75"/>
    <row r="16057" s="3161" customFormat="1" ht="12.75"/>
    <row r="16058" s="3161" customFormat="1" ht="12.75"/>
    <row r="16059" s="3161" customFormat="1" ht="12.75"/>
    <row r="16060" s="3161" customFormat="1" ht="12.75"/>
    <row r="16061" s="3161" customFormat="1" ht="12.75"/>
    <row r="16062" s="3161" customFormat="1" ht="12.75"/>
    <row r="16063" s="3161" customFormat="1" ht="12.75"/>
    <row r="16064" s="3161" customFormat="1" ht="12.75"/>
    <row r="16065" s="3161" customFormat="1" ht="12.75"/>
    <row r="16066" s="3161" customFormat="1" ht="12.75"/>
    <row r="16067" s="3161" customFormat="1" ht="12.75"/>
    <row r="16068" s="3161" customFormat="1" ht="12.75"/>
    <row r="16069" s="3161" customFormat="1" ht="12.75"/>
    <row r="16070" s="3161" customFormat="1" ht="12.75"/>
    <row r="16071" s="3161" customFormat="1" ht="12.75"/>
    <row r="16072" s="3161" customFormat="1" ht="12.75"/>
    <row r="16073" s="3161" customFormat="1" ht="12.75"/>
    <row r="16074" s="3161" customFormat="1" ht="12.75"/>
    <row r="16075" s="3161" customFormat="1" ht="12.75"/>
    <row r="16076" s="3161" customFormat="1" ht="12.75"/>
    <row r="16077" s="3161" customFormat="1" ht="12.75"/>
    <row r="16078" s="3161" customFormat="1" ht="12.75"/>
    <row r="16079" s="3161" customFormat="1" ht="12.75"/>
    <row r="16080" s="3161" customFormat="1" ht="12.75"/>
    <row r="16081" s="3161" customFormat="1" ht="12.75"/>
    <row r="16082" s="3161" customFormat="1" ht="12.75"/>
    <row r="16083" s="3161" customFormat="1" ht="12.75"/>
    <row r="16084" s="3161" customFormat="1" ht="12.75"/>
    <row r="16085" s="3161" customFormat="1" ht="12.75"/>
    <row r="16086" s="3161" customFormat="1" ht="12.75"/>
    <row r="16087" s="3161" customFormat="1" ht="12.75"/>
    <row r="16088" s="3161" customFormat="1" ht="12.75"/>
    <row r="16089" s="3161" customFormat="1" ht="12.75"/>
    <row r="16090" s="3161" customFormat="1" ht="12.75"/>
    <row r="16091" s="3161" customFormat="1" ht="12.75"/>
    <row r="16092" s="3161" customFormat="1" ht="12.75"/>
    <row r="16093" s="3161" customFormat="1" ht="12.75"/>
    <row r="16094" s="3161" customFormat="1" ht="12.75"/>
    <row r="16095" s="3161" customFormat="1" ht="12.75"/>
    <row r="16096" s="3161" customFormat="1" ht="12.75"/>
    <row r="16097" s="3161" customFormat="1" ht="12.75"/>
    <row r="16098" s="3161" customFormat="1" ht="12.75"/>
    <row r="16099" s="3161" customFormat="1" ht="12.75"/>
    <row r="16100" s="3161" customFormat="1" ht="12.75"/>
    <row r="16101" s="3161" customFormat="1" ht="12.75"/>
    <row r="16102" s="3161" customFormat="1" ht="12.75"/>
    <row r="16103" s="3161" customFormat="1" ht="12.75"/>
    <row r="16104" s="3161" customFormat="1" ht="12.75"/>
    <row r="16105" s="3161" customFormat="1" ht="12.75"/>
    <row r="16106" s="3161" customFormat="1" ht="12.75"/>
    <row r="16107" s="3161" customFormat="1" ht="12.75"/>
    <row r="16108" s="3161" customFormat="1" ht="12.75"/>
    <row r="16109" s="3161" customFormat="1" ht="12.75"/>
    <row r="16110" s="3161" customFormat="1" ht="12.75"/>
    <row r="16111" s="3161" customFormat="1" ht="12.75"/>
    <row r="16112" s="3161" customFormat="1" ht="12.75"/>
    <row r="16113" s="3161" customFormat="1" ht="12.75"/>
    <row r="16114" s="3161" customFormat="1" ht="12.75"/>
    <row r="16115" s="3161" customFormat="1" ht="12.75"/>
    <row r="16116" s="3161" customFormat="1" ht="12.75"/>
    <row r="16117" s="3161" customFormat="1" ht="12.75"/>
    <row r="16118" s="3161" customFormat="1" ht="12.75"/>
    <row r="16119" s="3161" customFormat="1" ht="12.75"/>
    <row r="16120" s="3161" customFormat="1" ht="12.75"/>
    <row r="16121" s="3161" customFormat="1" ht="12.75"/>
    <row r="16122" s="3161" customFormat="1" ht="12.75"/>
    <row r="16123" s="3161" customFormat="1" ht="12.75"/>
    <row r="16124" s="3161" customFormat="1" ht="12.75"/>
    <row r="16125" s="3161" customFormat="1" ht="12.75"/>
    <row r="16126" s="3161" customFormat="1" ht="12.75"/>
    <row r="16127" s="3161" customFormat="1" ht="12.75"/>
    <row r="16128" s="3161" customFormat="1" ht="12.75"/>
    <row r="16129" s="3161" customFormat="1" ht="12.75"/>
    <row r="16130" s="3161" customFormat="1" ht="12.75"/>
    <row r="16131" s="3161" customFormat="1" ht="12.75"/>
    <row r="16132" s="3161" customFormat="1" ht="12.75"/>
    <row r="16133" s="3161" customFormat="1" ht="12.75"/>
    <row r="16134" s="3161" customFormat="1" ht="12.75"/>
    <row r="16135" s="3161" customFormat="1" ht="12.75"/>
    <row r="16136" s="3161" customFormat="1" ht="12.75"/>
    <row r="16137" s="3161" customFormat="1" ht="12.75"/>
    <row r="16138" s="3161" customFormat="1" ht="12.75"/>
    <row r="16139" s="3161" customFormat="1" ht="12.75"/>
    <row r="16140" s="3161" customFormat="1" ht="12.75"/>
    <row r="16141" s="3161" customFormat="1" ht="12.75"/>
    <row r="16142" s="3161" customFormat="1" ht="12.75"/>
    <row r="16143" s="3161" customFormat="1" ht="12.75"/>
    <row r="16144" s="3161" customFormat="1" ht="12.75"/>
    <row r="16145" s="3161" customFormat="1" ht="12.75"/>
    <row r="16146" s="3161" customFormat="1" ht="12.75"/>
    <row r="16147" s="3161" customFormat="1" ht="12.75"/>
    <row r="16148" s="3161" customFormat="1" ht="12.75"/>
    <row r="16149" s="3161" customFormat="1" ht="12.75"/>
    <row r="16150" s="3161" customFormat="1" ht="12.75"/>
    <row r="16151" s="3161" customFormat="1" ht="12.75"/>
    <row r="16152" s="3161" customFormat="1" ht="12.75"/>
    <row r="16153" s="3161" customFormat="1" ht="12.75"/>
    <row r="16154" s="3161" customFormat="1" ht="12.75"/>
    <row r="16155" s="3161" customFormat="1" ht="12.75"/>
    <row r="16156" s="3161" customFormat="1" ht="12.75"/>
    <row r="16157" s="3161" customFormat="1" ht="12.75"/>
    <row r="16158" s="3161" customFormat="1" ht="12.75"/>
    <row r="16159" s="3161" customFormat="1" ht="12.75"/>
    <row r="16160" s="3161" customFormat="1" ht="12.75"/>
    <row r="16161" s="3161" customFormat="1" ht="12.75"/>
    <row r="16162" s="3161" customFormat="1" ht="12.75"/>
    <row r="16163" s="3161" customFormat="1" ht="12.75"/>
    <row r="16164" s="3161" customFormat="1" ht="12.75"/>
    <row r="16165" s="3161" customFormat="1" ht="12.75"/>
    <row r="16166" s="3161" customFormat="1" ht="12.75"/>
    <row r="16167" s="3161" customFormat="1" ht="12.75"/>
    <row r="16168" s="3161" customFormat="1" ht="12.75"/>
    <row r="16169" s="3161" customFormat="1" ht="12.75"/>
    <row r="16170" s="3161" customFormat="1" ht="12.75"/>
    <row r="16171" s="3161" customFormat="1" ht="12.75"/>
    <row r="16172" s="3161" customFormat="1" ht="12.75"/>
    <row r="16173" s="3161" customFormat="1" ht="12.75"/>
    <row r="16174" s="3161" customFormat="1" ht="12.75"/>
    <row r="16175" s="3161" customFormat="1" ht="12.75"/>
    <row r="16176" s="3161" customFormat="1" ht="12.75"/>
    <row r="16177" s="3161" customFormat="1" ht="12.75"/>
    <row r="16178" s="3161" customFormat="1" ht="12.75"/>
    <row r="16179" s="3161" customFormat="1" ht="12.75"/>
    <row r="16180" s="3161" customFormat="1" ht="12.75"/>
    <row r="16181" s="3161" customFormat="1" ht="12.75"/>
    <row r="16182" s="3161" customFormat="1" ht="12.75"/>
    <row r="16183" s="3161" customFormat="1" ht="12.75"/>
    <row r="16184" s="3161" customFormat="1" ht="12.75"/>
    <row r="16185" s="3161" customFormat="1" ht="12.75"/>
    <row r="16186" s="3161" customFormat="1" ht="12.75"/>
    <row r="16187" s="3161" customFormat="1" ht="12.75"/>
    <row r="16188" s="3161" customFormat="1" ht="12.75"/>
    <row r="16189" s="3161" customFormat="1" ht="12.75"/>
    <row r="16190" s="3161" customFormat="1" ht="12.75"/>
    <row r="16191" s="3161" customFormat="1" ht="12.75"/>
    <row r="16192" s="3161" customFormat="1" ht="12.75"/>
    <row r="16193" s="3161" customFormat="1" ht="12.75"/>
    <row r="16194" s="3161" customFormat="1" ht="12.75"/>
    <row r="16195" s="3161" customFormat="1" ht="12.75"/>
    <row r="16196" s="3161" customFormat="1" ht="12.75"/>
    <row r="16197" s="3161" customFormat="1" ht="12.75"/>
    <row r="16198" s="3161" customFormat="1" ht="12.75"/>
    <row r="16199" s="3161" customFormat="1" ht="12.75"/>
    <row r="16200" s="3161" customFormat="1" ht="12.75"/>
    <row r="16201" s="3161" customFormat="1" ht="12.75"/>
    <row r="16202" s="3161" customFormat="1" ht="12.75"/>
    <row r="16203" s="3161" customFormat="1" ht="12.75"/>
    <row r="16204" s="3161" customFormat="1" ht="12.75"/>
    <row r="16205" s="3161" customFormat="1" ht="12.75"/>
    <row r="16206" s="3161" customFormat="1" ht="12.75"/>
    <row r="16207" s="3161" customFormat="1" ht="12.75"/>
    <row r="16208" s="3161" customFormat="1" ht="12.75"/>
    <row r="16209" s="3161" customFormat="1" ht="12.75"/>
    <row r="16210" s="3161" customFormat="1" ht="12.75"/>
    <row r="16211" s="3161" customFormat="1" ht="12.75"/>
    <row r="16212" s="3161" customFormat="1" ht="12.75"/>
    <row r="16213" s="3161" customFormat="1" ht="12.75"/>
    <row r="16214" s="3161" customFormat="1" ht="12.75"/>
    <row r="16215" s="3161" customFormat="1" ht="12.75"/>
    <row r="16216" s="3161" customFormat="1" ht="12.75"/>
    <row r="16217" s="3161" customFormat="1" ht="12.75"/>
    <row r="16218" s="3161" customFormat="1" ht="12.75"/>
    <row r="16219" s="3161" customFormat="1" ht="12.75"/>
    <row r="16220" s="3161" customFormat="1" ht="12.75"/>
    <row r="16221" s="3161" customFormat="1" ht="12.75"/>
    <row r="16222" s="3161" customFormat="1" ht="12.75"/>
    <row r="16223" s="3161" customFormat="1" ht="12.75"/>
    <row r="16224" s="3161" customFormat="1" ht="12.75"/>
    <row r="16225" s="3161" customFormat="1" ht="12.75"/>
    <row r="16226" s="3161" customFormat="1" ht="12.75"/>
    <row r="16227" s="3161" customFormat="1" ht="12.75"/>
    <row r="16228" s="3161" customFormat="1" ht="12.75"/>
    <row r="16229" s="3161" customFormat="1" ht="12.75"/>
    <row r="16230" s="3161" customFormat="1" ht="12.75"/>
    <row r="16231" s="3161" customFormat="1" ht="12.75"/>
    <row r="16232" s="3161" customFormat="1" ht="12.75"/>
    <row r="16233" s="3161" customFormat="1" ht="12.75"/>
    <row r="16234" s="3161" customFormat="1" ht="12.75"/>
    <row r="16235" s="3161" customFormat="1" ht="12.75"/>
    <row r="16236" s="3161" customFormat="1" ht="12.75"/>
    <row r="16237" s="3161" customFormat="1" ht="12.75"/>
    <row r="16238" s="3161" customFormat="1" ht="12.75"/>
    <row r="16239" s="3161" customFormat="1" ht="12.75"/>
    <row r="16240" s="3161" customFormat="1" ht="12.75"/>
    <row r="16241" s="3161" customFormat="1" ht="12.75"/>
    <row r="16242" s="3161" customFormat="1" ht="12.75"/>
    <row r="16243" s="3161" customFormat="1" ht="12.75"/>
    <row r="16244" s="3161" customFormat="1" ht="12.75"/>
    <row r="16245" s="3161" customFormat="1" ht="12.75"/>
    <row r="16246" s="3161" customFormat="1" ht="12.75"/>
    <row r="16247" s="3161" customFormat="1" ht="12.75"/>
    <row r="16248" s="3161" customFormat="1" ht="12.75"/>
    <row r="16249" s="3161" customFormat="1" ht="12.75"/>
    <row r="16250" s="3161" customFormat="1" ht="12.75"/>
    <row r="16251" s="3161" customFormat="1" ht="12.75"/>
    <row r="16252" s="3161" customFormat="1" ht="12.75"/>
    <row r="16253" s="3161" customFormat="1" ht="12.75"/>
    <row r="16254" s="3161" customFormat="1" ht="12.75"/>
    <row r="16255" s="3161" customFormat="1" ht="12.75"/>
    <row r="16256" s="3161" customFormat="1" ht="12.75"/>
    <row r="16257" s="3161" customFormat="1" ht="12.75"/>
    <row r="16258" s="3161" customFormat="1" ht="12.75"/>
    <row r="16259" s="3161" customFormat="1" ht="12.75"/>
    <row r="16260" s="3161" customFormat="1" ht="12.75"/>
    <row r="16261" s="3161" customFormat="1" ht="12.75"/>
    <row r="16262" s="3161" customFormat="1" ht="12.75"/>
    <row r="16263" s="3161" customFormat="1" ht="12.75"/>
    <row r="16264" s="3161" customFormat="1" ht="12.75"/>
    <row r="16265" s="3161" customFormat="1" ht="12.75"/>
    <row r="16266" s="3161" customFormat="1" ht="12.75"/>
    <row r="16267" s="3161" customFormat="1" ht="12.75"/>
    <row r="16268" s="3161" customFormat="1" ht="12.75"/>
    <row r="16269" s="3161" customFormat="1" ht="12.75"/>
    <row r="16270" s="3161" customFormat="1" ht="12.75"/>
    <row r="16271" s="3161" customFormat="1" ht="12.75"/>
    <row r="16272" s="3161" customFormat="1" ht="12.75"/>
    <row r="16273" s="3161" customFormat="1" ht="12.75"/>
    <row r="16274" s="3161" customFormat="1" ht="12.75"/>
    <row r="16275" s="3161" customFormat="1" ht="12.75"/>
    <row r="16276" s="3161" customFormat="1" ht="12.75"/>
    <row r="16277" s="3161" customFormat="1" ht="12.75"/>
    <row r="16278" s="3161" customFormat="1" ht="12.75"/>
    <row r="16279" s="3161" customFormat="1" ht="12.75"/>
    <row r="16280" s="3161" customFormat="1" ht="12.75"/>
    <row r="16281" s="3161" customFormat="1" ht="12.75"/>
    <row r="16282" s="3161" customFormat="1" ht="12.75"/>
    <row r="16283" s="3161" customFormat="1" ht="12.75"/>
    <row r="16284" s="3161" customFormat="1" ht="12.75"/>
    <row r="16285" s="3161" customFormat="1" ht="12.75"/>
    <row r="16286" s="3161" customFormat="1" ht="12.75"/>
    <row r="16287" s="3161" customFormat="1" ht="12.75"/>
    <row r="16288" s="3161" customFormat="1" ht="12.75"/>
    <row r="16289" s="3161" customFormat="1" ht="12.75"/>
    <row r="16290" s="3161" customFormat="1" ht="12.75"/>
    <row r="16291" s="3161" customFormat="1" ht="12.75"/>
    <row r="16292" s="3161" customFormat="1" ht="12.75"/>
    <row r="16293" s="3161" customFormat="1" ht="12.75"/>
    <row r="16294" s="3161" customFormat="1" ht="12.75"/>
    <row r="16295" s="3161" customFormat="1" ht="12.75"/>
    <row r="16296" s="3161" customFormat="1" ht="12.75"/>
    <row r="16297" s="3161" customFormat="1" ht="12.75"/>
    <row r="16298" s="3161" customFormat="1" ht="12.75"/>
    <row r="16299" s="3161" customFormat="1" ht="12.75"/>
    <row r="16300" s="3161" customFormat="1" ht="12.75"/>
    <row r="16301" s="3161" customFormat="1" ht="12.75"/>
    <row r="16302" s="3161" customFormat="1" ht="12.75"/>
    <row r="16303" s="3161" customFormat="1" ht="12.75"/>
    <row r="16304" s="3161" customFormat="1" ht="12.75"/>
    <row r="16305" s="3161" customFormat="1" ht="12.75"/>
    <row r="16306" s="3161" customFormat="1" ht="12.75"/>
    <row r="16307" s="3161" customFormat="1" ht="12.75"/>
    <row r="16308" s="3161" customFormat="1" ht="12.75"/>
    <row r="16309" s="3161" customFormat="1" ht="12.75"/>
    <row r="16310" s="3161" customFormat="1" ht="12.75"/>
    <row r="16311" s="3161" customFormat="1" ht="12.75"/>
    <row r="16312" s="3161" customFormat="1" ht="12.75"/>
    <row r="16313" s="3161" customFormat="1" ht="12.75"/>
    <row r="16314" s="3161" customFormat="1" ht="12.75"/>
    <row r="16315" s="3161" customFormat="1" ht="12.75"/>
    <row r="16316" s="3161" customFormat="1" ht="12.75"/>
    <row r="16317" s="3161" customFormat="1" ht="12.75"/>
    <row r="16318" s="3161" customFormat="1" ht="12.75"/>
    <row r="16319" s="3161" customFormat="1" ht="12.75"/>
    <row r="16320" s="3161" customFormat="1" ht="12.75"/>
    <row r="16321" s="3161" customFormat="1" ht="12.75"/>
    <row r="16322" s="3161" customFormat="1" ht="12.75"/>
    <row r="16323" s="3161" customFormat="1" ht="12.75"/>
    <row r="16324" s="3161" customFormat="1" ht="12.75"/>
    <row r="16325" s="3161" customFormat="1" ht="12.75"/>
    <row r="16326" s="3161" customFormat="1" ht="12.75"/>
    <row r="16327" s="3161" customFormat="1" ht="12.75"/>
    <row r="16328" s="3161" customFormat="1" ht="12.75"/>
    <row r="16329" s="3161" customFormat="1" ht="12.75"/>
    <row r="16330" s="3161" customFormat="1" ht="12.75"/>
    <row r="16331" s="3161" customFormat="1" ht="12.75"/>
    <row r="16332" s="3161" customFormat="1" ht="12.75"/>
    <row r="16333" s="3161" customFormat="1" ht="12.75"/>
    <row r="16334" s="3161" customFormat="1" ht="12.75"/>
    <row r="16335" s="3161" customFormat="1" ht="12.75"/>
    <row r="16336" s="3161" customFormat="1" ht="12.75"/>
    <row r="16337" s="3161" customFormat="1" ht="12.75"/>
    <row r="16338" s="3161" customFormat="1" ht="12.75"/>
    <row r="16339" s="3161" customFormat="1" ht="12.75"/>
    <row r="16340" s="3161" customFormat="1" ht="12.75"/>
    <row r="16341" s="3161" customFormat="1" ht="12.75"/>
    <row r="16342" s="3161" customFormat="1" ht="12.75"/>
    <row r="16343" s="3161" customFormat="1" ht="12.75"/>
    <row r="16344" s="3161" customFormat="1" ht="12.75"/>
    <row r="16345" s="3161" customFormat="1" ht="12.75"/>
    <row r="16346" s="3161" customFormat="1" ht="12.75"/>
    <row r="16347" s="3161" customFormat="1" ht="12.75"/>
    <row r="16348" s="3161" customFormat="1" ht="12.75"/>
    <row r="16349" s="3161" customFormat="1" ht="12.75"/>
    <row r="16350" s="3161" customFormat="1" ht="12.75"/>
    <row r="16351" s="3161" customFormat="1" ht="12.75"/>
    <row r="16352" s="3161" customFormat="1" ht="12.75"/>
    <row r="16353" s="3161" customFormat="1" ht="12.75"/>
    <row r="16354" s="3161" customFormat="1" ht="12.75"/>
    <row r="16355" s="3161" customFormat="1" ht="12.75"/>
    <row r="16356" s="3161" customFormat="1" ht="12.75"/>
    <row r="16357" s="3161" customFormat="1" ht="12.75"/>
    <row r="16358" s="3161" customFormat="1" ht="12.75"/>
    <row r="16359" s="3161" customFormat="1" ht="12.75"/>
    <row r="16360" s="3161" customFormat="1" ht="12.75"/>
    <row r="16361" s="3161" customFormat="1" ht="12.75"/>
    <row r="16362" s="3161" customFormat="1" ht="12.75"/>
    <row r="16363" s="3161" customFormat="1" ht="12.75"/>
    <row r="16364" s="3161" customFormat="1" ht="12.75"/>
    <row r="16365" s="3161" customFormat="1" ht="12.75"/>
    <row r="16366" s="3161" customFormat="1" ht="12.75"/>
    <row r="16367" s="3161" customFormat="1" ht="12.75"/>
    <row r="16368" s="3161" customFormat="1" ht="12.75"/>
    <row r="16369" s="3161" customFormat="1" ht="12.75"/>
    <row r="16370" s="3161" customFormat="1" ht="12.75"/>
    <row r="16371" s="3161" customFormat="1" ht="12.75"/>
    <row r="16372" s="3161" customFormat="1" ht="12.75"/>
    <row r="16373" s="3161" customFormat="1" ht="12.75"/>
    <row r="16374" s="3161" customFormat="1" ht="12.75"/>
    <row r="16375" s="3161" customFormat="1" ht="12.75"/>
    <row r="16376" s="3161" customFormat="1" ht="12.75"/>
    <row r="16377" s="3161" customFormat="1" ht="12.75"/>
    <row r="16378" s="3161" customFormat="1" ht="12.75"/>
    <row r="16379" s="3161" customFormat="1" ht="12.75"/>
    <row r="16380" s="3161" customFormat="1" ht="12.75"/>
    <row r="16381" s="3161" customFormat="1" ht="12.75"/>
    <row r="16382" s="3161" customFormat="1" ht="12.75"/>
    <row r="16383" s="3161" customFormat="1" ht="12.75"/>
    <row r="16384" s="3161" customFormat="1" ht="12.75"/>
    <row r="16385" s="3161" customFormat="1" ht="12.75"/>
    <row r="16386" s="3161" customFormat="1" ht="12.75"/>
    <row r="16387" s="3161" customFormat="1" ht="12.75"/>
    <row r="16388" s="3161" customFormat="1" ht="12.75"/>
    <row r="16389" s="3161" customFormat="1" ht="12.75"/>
    <row r="16390" s="3161" customFormat="1" ht="12.75"/>
    <row r="16391" s="3161" customFormat="1" ht="12.75"/>
    <row r="16392" s="3161" customFormat="1" ht="12.75"/>
    <row r="16393" s="3161" customFormat="1" ht="12.75"/>
    <row r="16394" s="3161" customFormat="1" ht="12.75"/>
    <row r="16395" s="3161" customFormat="1" ht="12.75"/>
    <row r="16396" s="3161" customFormat="1" ht="12.75"/>
    <row r="16397" s="3161" customFormat="1" ht="12.75"/>
    <row r="16398" s="3161" customFormat="1" ht="12.75"/>
    <row r="16399" s="3161" customFormat="1" ht="12.75"/>
    <row r="16400" s="3161" customFormat="1" ht="12.75"/>
    <row r="16401" s="3161" customFormat="1" ht="12.75"/>
    <row r="16402" s="3161" customFormat="1" ht="12.75"/>
    <row r="16403" s="3161" customFormat="1" ht="12.75"/>
    <row r="16404" s="3161" customFormat="1" ht="12.75"/>
    <row r="16405" s="3161" customFormat="1" ht="12.75"/>
    <row r="16406" s="3161" customFormat="1" ht="12.75"/>
    <row r="16407" s="3161" customFormat="1" ht="12.75"/>
    <row r="16408" s="3161" customFormat="1" ht="12.75"/>
    <row r="16409" s="3161" customFormat="1" ht="12.75"/>
    <row r="16410" s="3161" customFormat="1" ht="12.75"/>
    <row r="16411" s="3161" customFormat="1" ht="12.75"/>
    <row r="16412" s="3161" customFormat="1" ht="12.75"/>
    <row r="16413" s="3161" customFormat="1" ht="12.75"/>
    <row r="16414" s="3161" customFormat="1" ht="12.75"/>
    <row r="16415" s="3161" customFormat="1" ht="12.75"/>
    <row r="16416" s="3161" customFormat="1" ht="12.75"/>
    <row r="16417" s="3161" customFormat="1" ht="12.75"/>
    <row r="16418" s="3161" customFormat="1" ht="12.75"/>
    <row r="16419" s="3161" customFormat="1" ht="12.75"/>
    <row r="16420" s="3161" customFormat="1" ht="12.75"/>
    <row r="16421" s="3161" customFormat="1" ht="12.75"/>
    <row r="16422" s="3161" customFormat="1" ht="12.75"/>
    <row r="16423" s="3161" customFormat="1" ht="12.75"/>
    <row r="16424" s="3161" customFormat="1" ht="12.75"/>
    <row r="16425" s="3161" customFormat="1" ht="12.75"/>
    <row r="16426" s="3161" customFormat="1" ht="12.75"/>
    <row r="16427" s="3161" customFormat="1" ht="12.75"/>
    <row r="16428" s="3161" customFormat="1" ht="12.75"/>
    <row r="16429" s="3161" customFormat="1" ht="12.75"/>
    <row r="16430" s="3161" customFormat="1" ht="12.75"/>
    <row r="16431" s="3161" customFormat="1" ht="12.75"/>
    <row r="16432" s="3161" customFormat="1" ht="12.75"/>
    <row r="16433" s="3161" customFormat="1" ht="12.75"/>
    <row r="16434" s="3161" customFormat="1" ht="12.75"/>
    <row r="16435" s="3161" customFormat="1" ht="12.75"/>
    <row r="16436" s="3161" customFormat="1" ht="12.75"/>
    <row r="16437" s="3161" customFormat="1" ht="12.75"/>
    <row r="16438" s="3161" customFormat="1" ht="12.75"/>
    <row r="16439" s="3161" customFormat="1" ht="12.75"/>
    <row r="16440" s="3161" customFormat="1" ht="12.75"/>
    <row r="16441" s="3161" customFormat="1" ht="12.75"/>
    <row r="16442" s="3161" customFormat="1" ht="12.75"/>
    <row r="16443" s="3161" customFormat="1" ht="12.75"/>
    <row r="16444" s="3161" customFormat="1" ht="12.75"/>
    <row r="16445" s="3161" customFormat="1" ht="12.75"/>
    <row r="16446" s="3161" customFormat="1" ht="12.75"/>
    <row r="16447" s="3161" customFormat="1" ht="12.75"/>
    <row r="16448" s="3161" customFormat="1" ht="12.75"/>
    <row r="16449" s="3161" customFormat="1" ht="12.75"/>
    <row r="16450" s="3161" customFormat="1" ht="12.75"/>
    <row r="16451" s="3161" customFormat="1" ht="12.75"/>
    <row r="16452" s="3161" customFormat="1" ht="12.75"/>
    <row r="16453" s="3161" customFormat="1" ht="12.75"/>
    <row r="16454" s="3161" customFormat="1" ht="12.75"/>
    <row r="16455" s="3161" customFormat="1" ht="12.75"/>
    <row r="16456" s="3161" customFormat="1" ht="12.75"/>
    <row r="16457" s="3161" customFormat="1" ht="12.75"/>
    <row r="16458" s="3161" customFormat="1" ht="12.75"/>
    <row r="16459" s="3161" customFormat="1" ht="12.75"/>
    <row r="16460" s="3161" customFormat="1" ht="12.75"/>
    <row r="16461" s="3161" customFormat="1" ht="12.75"/>
    <row r="16462" s="3161" customFormat="1" ht="12.75"/>
    <row r="16463" s="3161" customFormat="1" ht="12.75"/>
    <row r="16464" s="3161" customFormat="1" ht="12.75"/>
    <row r="16465" s="3161" customFormat="1" ht="12.75"/>
    <row r="16466" s="3161" customFormat="1" ht="12.75"/>
    <row r="16467" s="3161" customFormat="1" ht="12.75"/>
    <row r="16468" s="3161" customFormat="1" ht="12.75"/>
    <row r="16469" s="3161" customFormat="1" ht="12.75"/>
    <row r="16470" s="3161" customFormat="1" ht="12.75"/>
    <row r="16471" s="3161" customFormat="1" ht="12.75"/>
    <row r="16472" s="3161" customFormat="1" ht="12.75"/>
    <row r="16473" s="3161" customFormat="1" ht="12.75"/>
    <row r="16474" s="3161" customFormat="1" ht="12.75"/>
    <row r="16475" s="3161" customFormat="1" ht="12.75"/>
    <row r="16476" s="3161" customFormat="1" ht="12.75"/>
    <row r="16477" s="3161" customFormat="1" ht="12.75"/>
    <row r="16478" s="3161" customFormat="1" ht="12.75"/>
    <row r="16479" s="3161" customFormat="1" ht="12.75"/>
    <row r="16480" s="3161" customFormat="1" ht="12.75"/>
    <row r="16481" s="3161" customFormat="1" ht="12.75"/>
    <row r="16482" s="3161" customFormat="1" ht="12.75"/>
    <row r="16483" s="3161" customFormat="1" ht="12.75"/>
    <row r="16484" s="3161" customFormat="1" ht="12.75"/>
    <row r="16485" s="3161" customFormat="1" ht="12.75"/>
    <row r="16486" s="3161" customFormat="1" ht="12.75"/>
    <row r="16487" s="3161" customFormat="1" ht="12.75"/>
    <row r="16488" s="3161" customFormat="1" ht="12.75"/>
    <row r="16489" s="3161" customFormat="1" ht="12.75"/>
    <row r="16490" s="3161" customFormat="1" ht="12.75"/>
    <row r="16491" s="3161" customFormat="1" ht="12.75"/>
    <row r="16492" s="3161" customFormat="1" ht="12.75"/>
    <row r="16493" s="3161" customFormat="1" ht="12.75"/>
    <row r="16494" s="3161" customFormat="1" ht="12.75"/>
    <row r="16495" s="3161" customFormat="1" ht="12.75"/>
    <row r="16496" s="3161" customFormat="1" ht="12.75"/>
    <row r="16497" s="3161" customFormat="1" ht="12.75"/>
    <row r="16498" s="3161" customFormat="1" ht="12.75"/>
    <row r="16499" s="3161" customFormat="1" ht="12.75"/>
    <row r="16500" s="3161" customFormat="1" ht="12.75"/>
    <row r="16501" s="3161" customFormat="1" ht="12.75"/>
    <row r="16502" s="3161" customFormat="1" ht="12.75"/>
    <row r="16503" s="3161" customFormat="1" ht="12.75"/>
    <row r="16504" s="3161" customFormat="1" ht="12.75"/>
    <row r="16505" s="3161" customFormat="1" ht="12.75"/>
    <row r="16506" s="3161" customFormat="1" ht="12.75"/>
    <row r="16507" s="3161" customFormat="1" ht="12.75"/>
    <row r="16508" s="3161" customFormat="1" ht="12.75"/>
    <row r="16509" s="3161" customFormat="1" ht="12.75"/>
    <row r="16510" s="3161" customFormat="1" ht="12.75"/>
    <row r="16511" s="3161" customFormat="1" ht="12.75"/>
    <row r="16512" s="3161" customFormat="1" ht="12.75"/>
    <row r="16513" s="3161" customFormat="1" ht="12.75"/>
    <row r="16514" s="3161" customFormat="1" ht="12.75"/>
    <row r="16515" s="3161" customFormat="1" ht="12.75"/>
    <row r="16516" s="3161" customFormat="1" ht="12.75"/>
    <row r="16517" s="3161" customFormat="1" ht="12.75"/>
    <row r="16518" s="3161" customFormat="1" ht="12.75"/>
    <row r="16519" s="3161" customFormat="1" ht="12.75"/>
    <row r="16520" s="3161" customFormat="1" ht="12.75"/>
    <row r="16521" s="3161" customFormat="1" ht="12.75"/>
    <row r="16522" s="3161" customFormat="1" ht="12.75"/>
    <row r="16523" s="3161" customFormat="1" ht="12.75"/>
    <row r="16524" s="3161" customFormat="1" ht="12.75"/>
    <row r="16525" s="3161" customFormat="1" ht="12.75"/>
    <row r="16526" s="3161" customFormat="1" ht="12.75"/>
    <row r="16527" s="3161" customFormat="1" ht="12.75"/>
    <row r="16528" s="3161" customFormat="1" ht="12.75"/>
    <row r="16529" s="3161" customFormat="1" ht="12.75"/>
    <row r="16530" s="3161" customFormat="1" ht="12.75"/>
    <row r="16531" s="3161" customFormat="1" ht="12.75"/>
    <row r="16532" s="3161" customFormat="1" ht="12.75"/>
    <row r="16533" s="3161" customFormat="1" ht="12.75"/>
    <row r="16534" s="3161" customFormat="1" ht="12.75"/>
    <row r="16535" s="3161" customFormat="1" ht="12.75"/>
    <row r="16536" s="3161" customFormat="1" ht="12.75"/>
    <row r="16537" s="3161" customFormat="1" ht="12.75"/>
    <row r="16538" s="3161" customFormat="1" ht="12.75"/>
    <row r="16539" s="3161" customFormat="1" ht="12.75"/>
    <row r="16540" s="3161" customFormat="1" ht="12.75"/>
    <row r="16541" s="3161" customFormat="1" ht="12.75"/>
    <row r="16542" s="3161" customFormat="1" ht="12.75"/>
    <row r="16543" s="3161" customFormat="1" ht="12.75"/>
    <row r="16544" s="3161" customFormat="1" ht="12.75"/>
    <row r="16545" s="3161" customFormat="1" ht="12.75"/>
    <row r="16546" s="3161" customFormat="1" ht="12.75"/>
    <row r="16547" s="3161" customFormat="1" ht="12.75"/>
    <row r="16548" s="3161" customFormat="1" ht="12.75"/>
    <row r="16549" s="3161" customFormat="1" ht="12.75"/>
    <row r="16550" s="3161" customFormat="1" ht="12.75"/>
    <row r="16551" s="3161" customFormat="1" ht="12.75"/>
    <row r="16552" s="3161" customFormat="1" ht="12.75"/>
    <row r="16553" s="3161" customFormat="1" ht="12.75"/>
    <row r="16554" s="3161" customFormat="1" ht="12.75"/>
    <row r="16555" s="3161" customFormat="1" ht="12.75"/>
    <row r="16556" s="3161" customFormat="1" ht="12.75"/>
    <row r="16557" s="3161" customFormat="1" ht="12.75"/>
    <row r="16558" s="3161" customFormat="1" ht="12.75"/>
    <row r="16559" s="3161" customFormat="1" ht="12.75"/>
    <row r="16560" s="3161" customFormat="1" ht="12.75"/>
    <row r="16561" s="3161" customFormat="1" ht="12.75"/>
    <row r="16562" s="3161" customFormat="1" ht="12.75"/>
    <row r="16563" s="3161" customFormat="1" ht="12.75"/>
    <row r="16564" s="3161" customFormat="1" ht="12.75"/>
    <row r="16565" s="3161" customFormat="1" ht="12.75"/>
    <row r="16566" s="3161" customFormat="1" ht="12.75"/>
    <row r="16567" s="3161" customFormat="1" ht="12.75"/>
    <row r="16568" s="3161" customFormat="1" ht="12.75"/>
    <row r="16569" s="3161" customFormat="1" ht="12.75"/>
    <row r="16570" s="3161" customFormat="1" ht="12.75"/>
    <row r="16571" s="3161" customFormat="1" ht="12.75"/>
    <row r="16572" s="3161" customFormat="1" ht="12.75"/>
    <row r="16573" s="3161" customFormat="1" ht="12.75"/>
    <row r="16574" s="3161" customFormat="1" ht="12.75"/>
    <row r="16575" s="3161" customFormat="1" ht="12.75"/>
    <row r="16576" s="3161" customFormat="1" ht="12.75"/>
    <row r="16577" s="3161" customFormat="1" ht="12.75"/>
    <row r="16578" s="3161" customFormat="1" ht="12.75"/>
    <row r="16579" s="3161" customFormat="1" ht="12.75"/>
    <row r="16580" s="3161" customFormat="1" ht="12.75"/>
    <row r="16581" s="3161" customFormat="1" ht="12.75"/>
    <row r="16582" s="3161" customFormat="1" ht="12.75"/>
    <row r="16583" s="3161" customFormat="1" ht="12.75"/>
    <row r="16584" s="3161" customFormat="1" ht="12.75"/>
    <row r="16585" s="3161" customFormat="1" ht="12.75"/>
    <row r="16586" s="3161" customFormat="1" ht="12.75"/>
    <row r="16587" s="3161" customFormat="1" ht="12.75"/>
    <row r="16588" s="3161" customFormat="1" ht="12.75"/>
    <row r="16589" s="3161" customFormat="1" ht="12.75"/>
    <row r="16590" s="3161" customFormat="1" ht="12.75"/>
    <row r="16591" s="3161" customFormat="1" ht="12.75"/>
    <row r="16592" s="3161" customFormat="1" ht="12.75"/>
    <row r="16593" s="3161" customFormat="1" ht="12.75"/>
    <row r="16594" s="3161" customFormat="1" ht="12.75"/>
    <row r="16595" s="3161" customFormat="1" ht="12.75"/>
    <row r="16596" s="3161" customFormat="1" ht="12.75"/>
    <row r="16597" s="3161" customFormat="1" ht="12.75"/>
    <row r="16598" s="3161" customFormat="1" ht="12.75"/>
    <row r="16599" s="3161" customFormat="1" ht="12.75"/>
    <row r="16600" s="3161" customFormat="1" ht="12.75"/>
    <row r="16601" s="3161" customFormat="1" ht="12.75"/>
    <row r="16602" s="3161" customFormat="1" ht="12.75"/>
    <row r="16603" s="3161" customFormat="1" ht="12.75"/>
    <row r="16604" s="3161" customFormat="1" ht="12.75"/>
    <row r="16605" s="3161" customFormat="1" ht="12.75"/>
    <row r="16606" s="3161" customFormat="1" ht="12.75"/>
    <row r="16607" s="3161" customFormat="1" ht="12.75"/>
    <row r="16608" s="3161" customFormat="1" ht="12.75"/>
    <row r="16609" s="3161" customFormat="1" ht="12.75"/>
    <row r="16610" s="3161" customFormat="1" ht="12.75"/>
    <row r="16611" s="3161" customFormat="1" ht="12.75"/>
    <row r="16612" s="3161" customFormat="1" ht="12.75"/>
    <row r="16613" s="3161" customFormat="1" ht="12.75"/>
    <row r="16614" s="3161" customFormat="1" ht="12.75"/>
    <row r="16615" s="3161" customFormat="1" ht="12.75"/>
    <row r="16616" s="3161" customFormat="1" ht="12.75"/>
    <row r="16617" s="3161" customFormat="1" ht="12.75"/>
    <row r="16618" s="3161" customFormat="1" ht="12.75"/>
    <row r="16619" s="3161" customFormat="1" ht="12.75"/>
    <row r="16620" s="3161" customFormat="1" ht="12.75"/>
    <row r="16621" s="3161" customFormat="1" ht="12.75"/>
    <row r="16622" s="3161" customFormat="1" ht="12.75"/>
    <row r="16623" s="3161" customFormat="1" ht="12.75"/>
    <row r="16624" s="3161" customFormat="1" ht="12.75"/>
    <row r="16625" s="3161" customFormat="1" ht="12.75"/>
    <row r="16626" s="3161" customFormat="1" ht="12.75"/>
    <row r="16627" s="3161" customFormat="1" ht="12.75"/>
    <row r="16628" s="3161" customFormat="1" ht="12.75"/>
    <row r="16629" s="3161" customFormat="1" ht="12.75"/>
    <row r="16630" s="3161" customFormat="1" ht="12.75"/>
    <row r="16631" s="3161" customFormat="1" ht="12.75"/>
    <row r="16632" s="3161" customFormat="1" ht="12.75"/>
    <row r="16633" s="3161" customFormat="1" ht="12.75"/>
    <row r="16634" s="3161" customFormat="1" ht="12.75"/>
    <row r="16635" s="3161" customFormat="1" ht="12.75"/>
    <row r="16636" s="3161" customFormat="1" ht="12.75"/>
    <row r="16637" s="3161" customFormat="1" ht="12.75"/>
    <row r="16638" s="3161" customFormat="1" ht="12.75"/>
    <row r="16639" s="3161" customFormat="1" ht="12.75"/>
    <row r="16640" s="3161" customFormat="1" ht="12.75"/>
    <row r="16641" s="3161" customFormat="1" ht="12.75"/>
    <row r="16642" s="3161" customFormat="1" ht="12.75"/>
    <row r="16643" s="3161" customFormat="1" ht="12.75"/>
    <row r="16644" s="3161" customFormat="1" ht="12.75"/>
    <row r="16645" s="3161" customFormat="1" ht="12.75"/>
    <row r="16646" s="3161" customFormat="1" ht="12.75"/>
    <row r="16647" s="3161" customFormat="1" ht="12.75"/>
    <row r="16648" s="3161" customFormat="1" ht="12.75"/>
    <row r="16649" s="3161" customFormat="1" ht="12.75"/>
    <row r="16650" s="3161" customFormat="1" ht="12.75"/>
    <row r="16651" s="3161" customFormat="1" ht="12.75"/>
    <row r="16652" s="3161" customFormat="1" ht="12.75"/>
    <row r="16653" s="3161" customFormat="1" ht="12.75"/>
    <row r="16654" s="3161" customFormat="1" ht="12.75"/>
    <row r="16655" s="3161" customFormat="1" ht="12.75"/>
    <row r="16656" s="3161" customFormat="1" ht="12.75"/>
    <row r="16657" s="3161" customFormat="1" ht="12.75"/>
    <row r="16658" s="3161" customFormat="1" ht="12.75"/>
    <row r="16659" s="3161" customFormat="1" ht="12.75"/>
    <row r="16660" s="3161" customFormat="1" ht="12.75"/>
    <row r="16661" s="3161" customFormat="1" ht="12.75"/>
    <row r="16662" s="3161" customFormat="1" ht="12.75"/>
    <row r="16663" s="3161" customFormat="1" ht="12.75"/>
    <row r="16664" s="3161" customFormat="1" ht="12.75"/>
    <row r="16665" s="3161" customFormat="1" ht="12.75"/>
    <row r="16666" s="3161" customFormat="1" ht="12.75"/>
    <row r="16667" s="3161" customFormat="1" ht="12.75"/>
    <row r="16668" s="3161" customFormat="1" ht="12.75"/>
    <row r="16669" s="3161" customFormat="1" ht="12.75"/>
    <row r="16670" s="3161" customFormat="1" ht="12.75"/>
    <row r="16671" s="3161" customFormat="1" ht="12.75"/>
    <row r="16672" s="3161" customFormat="1" ht="12.75"/>
    <row r="16673" s="3161" customFormat="1" ht="12.75"/>
    <row r="16674" s="3161" customFormat="1" ht="12.75"/>
    <row r="16675" s="3161" customFormat="1" ht="12.75"/>
    <row r="16676" s="3161" customFormat="1" ht="12.75"/>
    <row r="16677" s="3161" customFormat="1" ht="12.75"/>
    <row r="16678" s="3161" customFormat="1" ht="12.75"/>
    <row r="16679" s="3161" customFormat="1" ht="12.75"/>
    <row r="16680" s="3161" customFormat="1" ht="12.75"/>
    <row r="16681" s="3161" customFormat="1" ht="12.75"/>
    <row r="16682" s="3161" customFormat="1" ht="12.75"/>
    <row r="16683" s="3161" customFormat="1" ht="12.75"/>
    <row r="16684" s="3161" customFormat="1" ht="12.75"/>
    <row r="16685" s="3161" customFormat="1" ht="12.75"/>
    <row r="16686" s="3161" customFormat="1" ht="12.75"/>
    <row r="16687" s="3161" customFormat="1" ht="12.75"/>
    <row r="16688" s="3161" customFormat="1" ht="12.75"/>
    <row r="16689" s="3161" customFormat="1" ht="12.75"/>
    <row r="16690" s="3161" customFormat="1" ht="12.75"/>
    <row r="16691" s="3161" customFormat="1" ht="12.75"/>
    <row r="16692" s="3161" customFormat="1" ht="12.75"/>
    <row r="16693" s="3161" customFormat="1" ht="12.75"/>
    <row r="16694" s="3161" customFormat="1" ht="12.75"/>
    <row r="16695" s="3161" customFormat="1" ht="12.75"/>
    <row r="16696" s="3161" customFormat="1" ht="12.75"/>
    <row r="16697" s="3161" customFormat="1" ht="12.75"/>
    <row r="16698" s="3161" customFormat="1" ht="12.75"/>
    <row r="16699" s="3161" customFormat="1" ht="12.75"/>
    <row r="16700" s="3161" customFormat="1" ht="12.75"/>
    <row r="16701" s="3161" customFormat="1" ht="12.75"/>
    <row r="16702" s="3161" customFormat="1" ht="12.75"/>
    <row r="16703" s="3161" customFormat="1" ht="12.75"/>
    <row r="16704" s="3161" customFormat="1" ht="12.75"/>
    <row r="16705" s="3161" customFormat="1" ht="12.75"/>
    <row r="16706" s="3161" customFormat="1" ht="12.75"/>
    <row r="16707" s="3161" customFormat="1" ht="12.75"/>
    <row r="16708" s="3161" customFormat="1" ht="12.75"/>
    <row r="16709" s="3161" customFormat="1" ht="12.75"/>
    <row r="16710" s="3161" customFormat="1" ht="12.75"/>
    <row r="16711" s="3161" customFormat="1" ht="12.75"/>
    <row r="16712" s="3161" customFormat="1" ht="12.75"/>
    <row r="16713" s="3161" customFormat="1" ht="12.75"/>
    <row r="16714" s="3161" customFormat="1" ht="12.75"/>
    <row r="16715" s="3161" customFormat="1" ht="12.75"/>
    <row r="16716" s="3161" customFormat="1" ht="12.75"/>
    <row r="16717" s="3161" customFormat="1" ht="12.75"/>
    <row r="16718" s="3161" customFormat="1" ht="12.75"/>
    <row r="16719" s="3161" customFormat="1" ht="12.75"/>
    <row r="16720" s="3161" customFormat="1" ht="12.75"/>
    <row r="16721" s="3161" customFormat="1" ht="12.75"/>
    <row r="16722" s="3161" customFormat="1" ht="12.75"/>
    <row r="16723" s="3161" customFormat="1" ht="12.75"/>
    <row r="16724" s="3161" customFormat="1" ht="12.75"/>
    <row r="16725" s="3161" customFormat="1" ht="12.75"/>
    <row r="16726" s="3161" customFormat="1" ht="12.75"/>
    <row r="16727" s="3161" customFormat="1" ht="12.75"/>
    <row r="16728" s="3161" customFormat="1" ht="12.75"/>
    <row r="16729" s="3161" customFormat="1" ht="12.75"/>
    <row r="16730" s="3161" customFormat="1" ht="12.75"/>
    <row r="16731" s="3161" customFormat="1" ht="12.75"/>
    <row r="16732" s="3161" customFormat="1" ht="12.75"/>
    <row r="16733" s="3161" customFormat="1" ht="12.75"/>
    <row r="16734" s="3161" customFormat="1" ht="12.75"/>
    <row r="16735" s="3161" customFormat="1" ht="12.75"/>
    <row r="16736" s="3161" customFormat="1" ht="12.75"/>
    <row r="16737" s="3161" customFormat="1" ht="12.75"/>
    <row r="16738" s="3161" customFormat="1" ht="12.75"/>
    <row r="16739" s="3161" customFormat="1" ht="12.75"/>
    <row r="16740" s="3161" customFormat="1" ht="12.75"/>
    <row r="16741" s="3161" customFormat="1" ht="12.75"/>
    <row r="16742" s="3161" customFormat="1" ht="12.75"/>
    <row r="16743" s="3161" customFormat="1" ht="12.75"/>
    <row r="16744" s="3161" customFormat="1" ht="12.75"/>
    <row r="16745" s="3161" customFormat="1" ht="12.75"/>
    <row r="16746" s="3161" customFormat="1" ht="12.75"/>
    <row r="16747" s="3161" customFormat="1" ht="12.75"/>
    <row r="16748" s="3161" customFormat="1" ht="12.75"/>
    <row r="16749" s="3161" customFormat="1" ht="12.75"/>
    <row r="16750" s="3161" customFormat="1" ht="12.75"/>
    <row r="16751" s="3161" customFormat="1" ht="12.75"/>
    <row r="16752" s="3161" customFormat="1" ht="12.75"/>
    <row r="16753" s="3161" customFormat="1" ht="12.75"/>
    <row r="16754" s="3161" customFormat="1" ht="12.75"/>
    <row r="16755" s="3161" customFormat="1" ht="12.75"/>
    <row r="16756" s="3161" customFormat="1" ht="12.75"/>
    <row r="16757" s="3161" customFormat="1" ht="12.75"/>
    <row r="16758" s="3161" customFormat="1" ht="12.75"/>
    <row r="16759" s="3161" customFormat="1" ht="12.75"/>
    <row r="16760" s="3161" customFormat="1" ht="12.75"/>
    <row r="16761" s="3161" customFormat="1" ht="12.75"/>
    <row r="16762" s="3161" customFormat="1" ht="12.75"/>
    <row r="16763" s="3161" customFormat="1" ht="12.75"/>
    <row r="16764" s="3161" customFormat="1" ht="12.75"/>
    <row r="16765" s="3161" customFormat="1" ht="12.75"/>
    <row r="16766" s="3161" customFormat="1" ht="12.75"/>
    <row r="16767" s="3161" customFormat="1" ht="12.75"/>
    <row r="16768" s="3161" customFormat="1" ht="12.75"/>
    <row r="16769" s="3161" customFormat="1" ht="12.75"/>
    <row r="16770" s="3161" customFormat="1" ht="12.75"/>
    <row r="16771" s="3161" customFormat="1" ht="12.75"/>
    <row r="16772" s="3161" customFormat="1" ht="12.75"/>
    <row r="16773" s="3161" customFormat="1" ht="12.75"/>
    <row r="16774" s="3161" customFormat="1" ht="12.75"/>
    <row r="16775" s="3161" customFormat="1" ht="12.75"/>
    <row r="16776" s="3161" customFormat="1" ht="12.75"/>
    <row r="16777" s="3161" customFormat="1" ht="12.75"/>
    <row r="16778" s="3161" customFormat="1" ht="12.75"/>
    <row r="16779" s="3161" customFormat="1" ht="12.75"/>
    <row r="16780" s="3161" customFormat="1" ht="12.75"/>
    <row r="16781" s="3161" customFormat="1" ht="12.75"/>
    <row r="16782" s="3161" customFormat="1" ht="12.75"/>
    <row r="16783" s="3161" customFormat="1" ht="12.75"/>
    <row r="16784" s="3161" customFormat="1" ht="12.75"/>
    <row r="16785" s="3161" customFormat="1" ht="12.75"/>
    <row r="16786" s="3161" customFormat="1" ht="12.75"/>
    <row r="16787" s="3161" customFormat="1" ht="12.75"/>
    <row r="16788" s="3161" customFormat="1" ht="12.75"/>
    <row r="16789" s="3161" customFormat="1" ht="12.75"/>
    <row r="16790" s="3161" customFormat="1" ht="12.75"/>
    <row r="16791" s="3161" customFormat="1" ht="12.75"/>
    <row r="16792" s="3161" customFormat="1" ht="12.75"/>
    <row r="16793" s="3161" customFormat="1" ht="12.75"/>
    <row r="16794" s="3161" customFormat="1" ht="12.75"/>
    <row r="16795" s="3161" customFormat="1" ht="12.75"/>
    <row r="16796" s="3161" customFormat="1" ht="12.75"/>
    <row r="16797" s="3161" customFormat="1" ht="12.75"/>
    <row r="16798" s="3161" customFormat="1" ht="12.75"/>
    <row r="16799" s="3161" customFormat="1" ht="12.75"/>
    <row r="16800" s="3161" customFormat="1" ht="12.75"/>
    <row r="16801" s="3161" customFormat="1" ht="12.75"/>
    <row r="16802" s="3161" customFormat="1" ht="12.75"/>
    <row r="16803" s="3161" customFormat="1" ht="12.75"/>
    <row r="16804" s="3161" customFormat="1" ht="12.75"/>
    <row r="16805" s="3161" customFormat="1" ht="12.75"/>
    <row r="16806" s="3161" customFormat="1" ht="12.75"/>
    <row r="16807" s="3161" customFormat="1" ht="12.75"/>
    <row r="16808" s="3161" customFormat="1" ht="12.75"/>
    <row r="16809" s="3161" customFormat="1" ht="12.75"/>
    <row r="16810" s="3161" customFormat="1" ht="12.75"/>
    <row r="16811" s="3161" customFormat="1" ht="12.75"/>
    <row r="16812" s="3161" customFormat="1" ht="12.75"/>
    <row r="16813" s="3161" customFormat="1" ht="12.75"/>
    <row r="16814" s="3161" customFormat="1" ht="12.75"/>
    <row r="16815" s="3161" customFormat="1" ht="12.75"/>
    <row r="16816" s="3161" customFormat="1" ht="12.75"/>
    <row r="16817" s="3161" customFormat="1" ht="12.75"/>
    <row r="16818" s="3161" customFormat="1" ht="12.75"/>
    <row r="16819" s="3161" customFormat="1" ht="12.75"/>
    <row r="16820" s="3161" customFormat="1" ht="12.75"/>
    <row r="16821" s="3161" customFormat="1" ht="12.75"/>
    <row r="16822" s="3161" customFormat="1" ht="12.75"/>
    <row r="16823" s="3161" customFormat="1" ht="12.75"/>
    <row r="16824" s="3161" customFormat="1" ht="12.75"/>
    <row r="16825" s="3161" customFormat="1" ht="12.75"/>
    <row r="16826" s="3161" customFormat="1" ht="12.75"/>
    <row r="16827" s="3161" customFormat="1" ht="12.75"/>
    <row r="16828" s="3161" customFormat="1" ht="12.75"/>
    <row r="16829" s="3161" customFormat="1" ht="12.75"/>
    <row r="16830" s="3161" customFormat="1" ht="12.75"/>
    <row r="16831" s="3161" customFormat="1" ht="12.75"/>
    <row r="16832" s="3161" customFormat="1" ht="12.75"/>
    <row r="16833" s="3161" customFormat="1" ht="12.75"/>
    <row r="16834" s="3161" customFormat="1" ht="12.75"/>
    <row r="16835" s="3161" customFormat="1" ht="12.75"/>
    <row r="16836" s="3161" customFormat="1" ht="12.75"/>
    <row r="16837" s="3161" customFormat="1" ht="12.75"/>
    <row r="16838" s="3161" customFormat="1" ht="12.75"/>
    <row r="16839" s="3161" customFormat="1" ht="12.75"/>
    <row r="16840" s="3161" customFormat="1" ht="12.75"/>
    <row r="16841" s="3161" customFormat="1" ht="12.75"/>
    <row r="16842" s="3161" customFormat="1" ht="12.75"/>
    <row r="16843" s="3161" customFormat="1" ht="12.75"/>
    <row r="16844" s="3161" customFormat="1" ht="12.75"/>
    <row r="16845" s="3161" customFormat="1" ht="12.75"/>
    <row r="16846" s="3161" customFormat="1" ht="12.75"/>
    <row r="16847" s="3161" customFormat="1" ht="12.75"/>
    <row r="16848" s="3161" customFormat="1" ht="12.75"/>
    <row r="16849" s="3161" customFormat="1" ht="12.75"/>
    <row r="16850" s="3161" customFormat="1" ht="12.75"/>
    <row r="16851" s="3161" customFormat="1" ht="12.75"/>
    <row r="16852" s="3161" customFormat="1" ht="12.75"/>
    <row r="16853" s="3161" customFormat="1" ht="12.75"/>
    <row r="16854" s="3161" customFormat="1" ht="12.75"/>
    <row r="16855" s="3161" customFormat="1" ht="12.75"/>
    <row r="16856" s="3161" customFormat="1" ht="12.75"/>
    <row r="16857" s="3161" customFormat="1" ht="12.75"/>
    <row r="16858" s="3161" customFormat="1" ht="12.75"/>
    <row r="16859" s="3161" customFormat="1" ht="12.75"/>
    <row r="16860" s="3161" customFormat="1" ht="12.75"/>
    <row r="16861" s="3161" customFormat="1" ht="12.75"/>
    <row r="16862" s="3161" customFormat="1" ht="12.75"/>
    <row r="16863" s="3161" customFormat="1" ht="12.75"/>
    <row r="16864" s="3161" customFormat="1" ht="12.75"/>
    <row r="16865" s="3161" customFormat="1" ht="12.75"/>
    <row r="16866" s="3161" customFormat="1" ht="12.75"/>
    <row r="16867" s="3161" customFormat="1" ht="12.75"/>
    <row r="16868" s="3161" customFormat="1" ht="12.75"/>
    <row r="16869" s="3161" customFormat="1" ht="12.75"/>
    <row r="16870" s="3161" customFormat="1" ht="12.75"/>
    <row r="16871" s="3161" customFormat="1" ht="12.75"/>
    <row r="16872" s="3161" customFormat="1" ht="12.75"/>
    <row r="16873" s="3161" customFormat="1" ht="12.75"/>
    <row r="16874" s="3161" customFormat="1" ht="12.75"/>
    <row r="16875" s="3161" customFormat="1" ht="12.75"/>
    <row r="16876" s="3161" customFormat="1" ht="12.75"/>
    <row r="16877" s="3161" customFormat="1" ht="12.75"/>
    <row r="16878" s="3161" customFormat="1" ht="12.75"/>
    <row r="16879" s="3161" customFormat="1" ht="12.75"/>
    <row r="16880" s="3161" customFormat="1" ht="12.75"/>
    <row r="16881" s="3161" customFormat="1" ht="12.75"/>
    <row r="16882" s="3161" customFormat="1" ht="12.75"/>
    <row r="16883" s="3161" customFormat="1" ht="12.75"/>
    <row r="16884" s="3161" customFormat="1" ht="12.75"/>
    <row r="16885" s="3161" customFormat="1" ht="12.75"/>
    <row r="16886" s="3161" customFormat="1" ht="12.75"/>
    <row r="16887" s="3161" customFormat="1" ht="12.75"/>
    <row r="16888" s="3161" customFormat="1" ht="12.75"/>
    <row r="16889" s="3161" customFormat="1" ht="12.75"/>
    <row r="16890" s="3161" customFormat="1" ht="12.75"/>
    <row r="16891" s="3161" customFormat="1" ht="12.75"/>
    <row r="16892" s="3161" customFormat="1" ht="12.75"/>
    <row r="16893" s="3161" customFormat="1" ht="12.75"/>
    <row r="16894" s="3161" customFormat="1" ht="12.75"/>
    <row r="16895" s="3161" customFormat="1" ht="12.75"/>
    <row r="16896" s="3161" customFormat="1" ht="12.75"/>
    <row r="16897" s="3161" customFormat="1" ht="12.75"/>
    <row r="16898" s="3161" customFormat="1" ht="12.75"/>
    <row r="16899" s="3161" customFormat="1" ht="12.75"/>
    <row r="16900" s="3161" customFormat="1" ht="12.75"/>
    <row r="16901" s="3161" customFormat="1" ht="12.75"/>
    <row r="16902" s="3161" customFormat="1" ht="12.75"/>
    <row r="16903" s="3161" customFormat="1" ht="12.75"/>
    <row r="16904" s="3161" customFormat="1" ht="12.75"/>
    <row r="16905" s="3161" customFormat="1" ht="12.75"/>
    <row r="16906" s="3161" customFormat="1" ht="12.75"/>
    <row r="16907" s="3161" customFormat="1" ht="12.75"/>
    <row r="16908" s="3161" customFormat="1" ht="12.75"/>
    <row r="16909" s="3161" customFormat="1" ht="12.75"/>
    <row r="16910" s="3161" customFormat="1" ht="12.75"/>
    <row r="16911" s="3161" customFormat="1" ht="12.75"/>
    <row r="16912" s="3161" customFormat="1" ht="12.75"/>
    <row r="16913" s="3161" customFormat="1" ht="12.75"/>
    <row r="16914" s="3161" customFormat="1" ht="12.75"/>
    <row r="16915" s="3161" customFormat="1" ht="12.75"/>
    <row r="16916" s="3161" customFormat="1" ht="12.75"/>
    <row r="16917" s="3161" customFormat="1" ht="12.75"/>
    <row r="16918" s="3161" customFormat="1" ht="12.75"/>
    <row r="16919" s="3161" customFormat="1" ht="12.75"/>
    <row r="16920" s="3161" customFormat="1" ht="12.75"/>
    <row r="16921" s="3161" customFormat="1" ht="12.75"/>
    <row r="16922" s="3161" customFormat="1" ht="12.75"/>
    <row r="16923" s="3161" customFormat="1" ht="12.75"/>
    <row r="16924" s="3161" customFormat="1" ht="12.75"/>
    <row r="16925" s="3161" customFormat="1" ht="12.75"/>
    <row r="16926" s="3161" customFormat="1" ht="12.75"/>
    <row r="16927" s="3161" customFormat="1" ht="12.75"/>
    <row r="16928" s="3161" customFormat="1" ht="12.75"/>
    <row r="16929" s="3161" customFormat="1" ht="12.75"/>
    <row r="16930" s="3161" customFormat="1" ht="12.75"/>
    <row r="16931" s="3161" customFormat="1" ht="12.75"/>
    <row r="16932" s="3161" customFormat="1" ht="12.75"/>
    <row r="16933" s="3161" customFormat="1" ht="12.75"/>
    <row r="16934" s="3161" customFormat="1" ht="12.75"/>
    <row r="16935" s="3161" customFormat="1" ht="12.75"/>
    <row r="16936" s="3161" customFormat="1" ht="12.75"/>
    <row r="16937" s="3161" customFormat="1" ht="12.75"/>
    <row r="16938" s="3161" customFormat="1" ht="12.75"/>
    <row r="16939" s="3161" customFormat="1" ht="12.75"/>
    <row r="16940" s="3161" customFormat="1" ht="12.75"/>
    <row r="16941" s="3161" customFormat="1" ht="12.75"/>
    <row r="16942" s="3161" customFormat="1" ht="12.75"/>
    <row r="16943" s="3161" customFormat="1" ht="12.75"/>
    <row r="16944" s="3161" customFormat="1" ht="12.75"/>
    <row r="16945" s="3161" customFormat="1" ht="12.75"/>
    <row r="16946" s="3161" customFormat="1" ht="12.75"/>
    <row r="16947" s="3161" customFormat="1" ht="12.75"/>
    <row r="16948" s="3161" customFormat="1" ht="12.75"/>
    <row r="16949" s="3161" customFormat="1" ht="12.75"/>
    <row r="16950" s="3161" customFormat="1" ht="12.75"/>
    <row r="16951" s="3161" customFormat="1" ht="12.75"/>
    <row r="16952" s="3161" customFormat="1" ht="12.75"/>
    <row r="16953" s="3161" customFormat="1" ht="12.75"/>
    <row r="16954" s="3161" customFormat="1" ht="12.75"/>
    <row r="16955" s="3161" customFormat="1" ht="12.75"/>
    <row r="16956" s="3161" customFormat="1" ht="12.75"/>
    <row r="16957" s="3161" customFormat="1" ht="12.75"/>
    <row r="16958" s="3161" customFormat="1" ht="12.75"/>
    <row r="16959" s="3161" customFormat="1" ht="12.75"/>
    <row r="16960" s="3161" customFormat="1" ht="12.75"/>
    <row r="16961" s="3161" customFormat="1" ht="12.75"/>
    <row r="16962" s="3161" customFormat="1" ht="12.75"/>
    <row r="16963" s="3161" customFormat="1" ht="12.75"/>
    <row r="16964" s="3161" customFormat="1" ht="12.75"/>
    <row r="16965" s="3161" customFormat="1" ht="12.75"/>
    <row r="16966" s="3161" customFormat="1" ht="12.75"/>
    <row r="16967" s="3161" customFormat="1" ht="12.75"/>
    <row r="16968" s="3161" customFormat="1" ht="12.75"/>
    <row r="16969" s="3161" customFormat="1" ht="12.75"/>
    <row r="16970" s="3161" customFormat="1" ht="12.75"/>
    <row r="16971" s="3161" customFormat="1" ht="12.75"/>
    <row r="16972" s="3161" customFormat="1" ht="12.75"/>
    <row r="16973" s="3161" customFormat="1" ht="12.75"/>
    <row r="16974" s="3161" customFormat="1" ht="12.75"/>
    <row r="16975" s="3161" customFormat="1" ht="12.75"/>
    <row r="16976" s="3161" customFormat="1" ht="12.75"/>
    <row r="16977" s="3161" customFormat="1" ht="12.75"/>
    <row r="16978" s="3161" customFormat="1" ht="12.75"/>
    <row r="16979" s="3161" customFormat="1" ht="12.75"/>
    <row r="16980" s="3161" customFormat="1" ht="12.75"/>
    <row r="16981" s="3161" customFormat="1" ht="12.75"/>
    <row r="16982" s="3161" customFormat="1" ht="12.75"/>
    <row r="16983" s="3161" customFormat="1" ht="12.75"/>
    <row r="16984" s="3161" customFormat="1" ht="12.75"/>
    <row r="16985" s="3161" customFormat="1" ht="12.75"/>
    <row r="16986" s="3161" customFormat="1" ht="12.75"/>
    <row r="16987" s="3161" customFormat="1" ht="12.75"/>
    <row r="16988" s="3161" customFormat="1" ht="12.75"/>
    <row r="16989" s="3161" customFormat="1" ht="12.75"/>
    <row r="16990" s="3161" customFormat="1" ht="12.75"/>
    <row r="16991" s="3161" customFormat="1" ht="12.75"/>
    <row r="16992" s="3161" customFormat="1" ht="12.75"/>
    <row r="16993" s="3161" customFormat="1" ht="12.75"/>
    <row r="16994" s="3161" customFormat="1" ht="12.75"/>
    <row r="16995" s="3161" customFormat="1" ht="12.75"/>
    <row r="16996" s="3161" customFormat="1" ht="12.75"/>
    <row r="16997" s="3161" customFormat="1" ht="12.75"/>
    <row r="16998" s="3161" customFormat="1" ht="12.75"/>
    <row r="16999" s="3161" customFormat="1" ht="12.75"/>
    <row r="17000" s="3161" customFormat="1" ht="12.75"/>
    <row r="17001" s="3161" customFormat="1" ht="12.75"/>
    <row r="17002" s="3161" customFormat="1" ht="12.75"/>
    <row r="17003" s="3161" customFormat="1" ht="12.75"/>
    <row r="17004" s="3161" customFormat="1" ht="12.75"/>
    <row r="17005" s="3161" customFormat="1" ht="12.75"/>
    <row r="17006" s="3161" customFormat="1" ht="12.75"/>
    <row r="17007" s="3161" customFormat="1" ht="12.75"/>
    <row r="17008" s="3161" customFormat="1" ht="12.75"/>
    <row r="17009" s="3161" customFormat="1" ht="12.75"/>
    <row r="17010" s="3161" customFormat="1" ht="12.75"/>
    <row r="17011" s="3161" customFormat="1" ht="12.75"/>
    <row r="17012" s="3161" customFormat="1" ht="12.75"/>
    <row r="17013" s="3161" customFormat="1" ht="12.75"/>
    <row r="17014" s="3161" customFormat="1" ht="12.75"/>
    <row r="17015" s="3161" customFormat="1" ht="12.75"/>
    <row r="17016" s="3161" customFormat="1" ht="12.75"/>
    <row r="17017" s="3161" customFormat="1" ht="12.75"/>
    <row r="17018" s="3161" customFormat="1" ht="12.75"/>
    <row r="17019" s="3161" customFormat="1" ht="12.75"/>
    <row r="17020" s="3161" customFormat="1" ht="12.75"/>
    <row r="17021" s="3161" customFormat="1" ht="12.75"/>
    <row r="17022" s="3161" customFormat="1" ht="12.75"/>
    <row r="17023" s="3161" customFormat="1" ht="12.75"/>
    <row r="17024" s="3161" customFormat="1" ht="12.75"/>
    <row r="17025" s="3161" customFormat="1" ht="12.75"/>
    <row r="17026" s="3161" customFormat="1" ht="12.75"/>
    <row r="17027" s="3161" customFormat="1" ht="12.75"/>
    <row r="17028" s="3161" customFormat="1" ht="12.75"/>
    <row r="17029" s="3161" customFormat="1" ht="12.75"/>
    <row r="17030" s="3161" customFormat="1" ht="12.75"/>
    <row r="17031" s="3161" customFormat="1" ht="12.75"/>
    <row r="17032" s="3161" customFormat="1" ht="12.75"/>
    <row r="17033" s="3161" customFormat="1" ht="12.75"/>
    <row r="17034" s="3161" customFormat="1" ht="12.75"/>
    <row r="17035" s="3161" customFormat="1" ht="12.75"/>
    <row r="17036" s="3161" customFormat="1" ht="12.75"/>
    <row r="17037" s="3161" customFormat="1" ht="12.75"/>
    <row r="17038" s="3161" customFormat="1" ht="12.75"/>
    <row r="17039" s="3161" customFormat="1" ht="12.75"/>
    <row r="17040" s="3161" customFormat="1" ht="12.75"/>
    <row r="17041" s="3161" customFormat="1" ht="12.75"/>
    <row r="17042" s="3161" customFormat="1" ht="12.75"/>
    <row r="17043" s="3161" customFormat="1" ht="12.75"/>
    <row r="17044" s="3161" customFormat="1" ht="12.75"/>
    <row r="17045" s="3161" customFormat="1" ht="12.75"/>
    <row r="17046" s="3161" customFormat="1" ht="12.75"/>
    <row r="17047" s="3161" customFormat="1" ht="12.75"/>
    <row r="17048" s="3161" customFormat="1" ht="12.75"/>
    <row r="17049" s="3161" customFormat="1" ht="12.75"/>
    <row r="17050" s="3161" customFormat="1" ht="12.75"/>
    <row r="17051" s="3161" customFormat="1" ht="12.75"/>
    <row r="17052" s="3161" customFormat="1" ht="12.75"/>
    <row r="17053" s="3161" customFormat="1" ht="12.75"/>
    <row r="17054" s="3161" customFormat="1" ht="12.75"/>
    <row r="17055" s="3161" customFormat="1" ht="12.75"/>
    <row r="17056" s="3161" customFormat="1" ht="12.75"/>
    <row r="17057" s="3161" customFormat="1" ht="12.75"/>
    <row r="17058" s="3161" customFormat="1" ht="12.75"/>
    <row r="17059" s="3161" customFormat="1" ht="12.75"/>
    <row r="17060" s="3161" customFormat="1" ht="12.75"/>
    <row r="17061" s="3161" customFormat="1" ht="12.75"/>
    <row r="17062" s="3161" customFormat="1" ht="12.75"/>
    <row r="17063" s="3161" customFormat="1" ht="12.75"/>
    <row r="17064" s="3161" customFormat="1" ht="12.75"/>
    <row r="17065" s="3161" customFormat="1" ht="12.75"/>
    <row r="17066" s="3161" customFormat="1" ht="12.75"/>
    <row r="17067" s="3161" customFormat="1" ht="12.75"/>
    <row r="17068" s="3161" customFormat="1" ht="12.75"/>
    <row r="17069" s="3161" customFormat="1" ht="12.75"/>
    <row r="17070" s="3161" customFormat="1" ht="12.75"/>
    <row r="17071" s="3161" customFormat="1" ht="12.75"/>
    <row r="17072" s="3161" customFormat="1" ht="12.75"/>
    <row r="17073" s="3161" customFormat="1" ht="12.75"/>
    <row r="17074" s="3161" customFormat="1" ht="12.75"/>
    <row r="17075" s="3161" customFormat="1" ht="12.75"/>
    <row r="17076" s="3161" customFormat="1" ht="12.75"/>
    <row r="17077" s="3161" customFormat="1" ht="12.75"/>
    <row r="17078" s="3161" customFormat="1" ht="12.75"/>
    <row r="17079" s="3161" customFormat="1" ht="12.75"/>
    <row r="17080" s="3161" customFormat="1" ht="12.75"/>
    <row r="17081" s="3161" customFormat="1" ht="12.75"/>
    <row r="17082" s="3161" customFormat="1" ht="12.75"/>
    <row r="17083" s="3161" customFormat="1" ht="12.75"/>
    <row r="17084" s="3161" customFormat="1" ht="12.75"/>
    <row r="17085" s="3161" customFormat="1" ht="12.75"/>
    <row r="17086" s="3161" customFormat="1" ht="12.75"/>
    <row r="17087" s="3161" customFormat="1" ht="12.75"/>
    <row r="17088" s="3161" customFormat="1" ht="12.75"/>
    <row r="17089" s="3161" customFormat="1" ht="12.75"/>
    <row r="17090" s="3161" customFormat="1" ht="12.75"/>
    <row r="17091" s="3161" customFormat="1" ht="12.75"/>
    <row r="17092" s="3161" customFormat="1" ht="12.75"/>
    <row r="17093" s="3161" customFormat="1" ht="12.75"/>
    <row r="17094" s="3161" customFormat="1" ht="12.75"/>
    <row r="17095" s="3161" customFormat="1" ht="12.75"/>
    <row r="17096" s="3161" customFormat="1" ht="12.75"/>
    <row r="17097" s="3161" customFormat="1" ht="12.75"/>
    <row r="17098" s="3161" customFormat="1" ht="12.75"/>
    <row r="17099" s="3161" customFormat="1" ht="12.75"/>
    <row r="17100" s="3161" customFormat="1" ht="12.75"/>
    <row r="17101" s="3161" customFormat="1" ht="12.75"/>
    <row r="17102" s="3161" customFormat="1" ht="12.75"/>
    <row r="17103" s="3161" customFormat="1" ht="12.75"/>
    <row r="17104" s="3161" customFormat="1" ht="12.75"/>
    <row r="17105" s="3161" customFormat="1" ht="12.75"/>
    <row r="17106" s="3161" customFormat="1" ht="12.75"/>
    <row r="17107" s="3161" customFormat="1" ht="12.75"/>
    <row r="17108" s="3161" customFormat="1" ht="12.75"/>
    <row r="17109" s="3161" customFormat="1" ht="12.75"/>
    <row r="17110" s="3161" customFormat="1" ht="12.75"/>
    <row r="17111" s="3161" customFormat="1" ht="12.75"/>
    <row r="17112" s="3161" customFormat="1" ht="12.75"/>
    <row r="17113" s="3161" customFormat="1" ht="12.75"/>
    <row r="17114" s="3161" customFormat="1" ht="12.75"/>
    <row r="17115" s="3161" customFormat="1" ht="12.75"/>
    <row r="17116" s="3161" customFormat="1" ht="12.75"/>
    <row r="17117" s="3161" customFormat="1" ht="12.75"/>
    <row r="17118" s="3161" customFormat="1" ht="12.75"/>
    <row r="17119" s="3161" customFormat="1" ht="12.75"/>
    <row r="17120" s="3161" customFormat="1" ht="12.75"/>
    <row r="17121" s="3161" customFormat="1" ht="12.75"/>
    <row r="17122" s="3161" customFormat="1" ht="12.75"/>
    <row r="17123" s="3161" customFormat="1" ht="12.75"/>
    <row r="17124" s="3161" customFormat="1" ht="12.75"/>
    <row r="17125" s="3161" customFormat="1" ht="12.75"/>
    <row r="17126" s="3161" customFormat="1" ht="12.75"/>
    <row r="17127" s="3161" customFormat="1" ht="12.75"/>
    <row r="17128" s="3161" customFormat="1" ht="12.75"/>
    <row r="17129" s="3161" customFormat="1" ht="12.75"/>
    <row r="17130" s="3161" customFormat="1" ht="12.75"/>
    <row r="17131" s="3161" customFormat="1" ht="12.75"/>
    <row r="17132" s="3161" customFormat="1" ht="12.75"/>
    <row r="17133" s="3161" customFormat="1" ht="12.75"/>
    <row r="17134" s="3161" customFormat="1" ht="12.75"/>
    <row r="17135" s="3161" customFormat="1" ht="12.75"/>
    <row r="17136" s="3161" customFormat="1" ht="12.75"/>
    <row r="17137" s="3161" customFormat="1" ht="12.75"/>
    <row r="17138" s="3161" customFormat="1" ht="12.75"/>
    <row r="17139" s="3161" customFormat="1" ht="12.75"/>
    <row r="17140" s="3161" customFormat="1" ht="12.75"/>
    <row r="17141" s="3161" customFormat="1" ht="12.75"/>
    <row r="17142" s="3161" customFormat="1" ht="12.75"/>
    <row r="17143" s="3161" customFormat="1" ht="12.75"/>
    <row r="17144" s="3161" customFormat="1" ht="12.75"/>
    <row r="17145" s="3161" customFormat="1" ht="12.75"/>
    <row r="17146" s="3161" customFormat="1" ht="12.75"/>
    <row r="17147" s="3161" customFormat="1" ht="12.75"/>
    <row r="17148" s="3161" customFormat="1" ht="12.75"/>
    <row r="17149" s="3161" customFormat="1" ht="12.75"/>
    <row r="17150" s="3161" customFormat="1" ht="12.75"/>
    <row r="17151" s="3161" customFormat="1" ht="12.75"/>
    <row r="17152" s="3161" customFormat="1" ht="12.75"/>
    <row r="17153" s="3161" customFormat="1" ht="12.75"/>
    <row r="17154" s="3161" customFormat="1" ht="12.75"/>
    <row r="17155" s="3161" customFormat="1" ht="12.75"/>
    <row r="17156" s="3161" customFormat="1" ht="12.75"/>
    <row r="17157" s="3161" customFormat="1" ht="12.75"/>
    <row r="17158" s="3161" customFormat="1" ht="12.75"/>
    <row r="17159" s="3161" customFormat="1" ht="12.75"/>
    <row r="17160" s="3161" customFormat="1" ht="12.75"/>
    <row r="17161" s="3161" customFormat="1" ht="12.75"/>
    <row r="17162" s="3161" customFormat="1" ht="12.75"/>
    <row r="17163" s="3161" customFormat="1" ht="12.75"/>
    <row r="17164" s="3161" customFormat="1" ht="12.75"/>
    <row r="17165" s="3161" customFormat="1" ht="12.75"/>
    <row r="17166" s="3161" customFormat="1" ht="12.75"/>
    <row r="17167" s="3161" customFormat="1" ht="12.75"/>
    <row r="17168" s="3161" customFormat="1" ht="12.75"/>
    <row r="17169" s="3161" customFormat="1" ht="12.75"/>
    <row r="17170" s="3161" customFormat="1" ht="12.75"/>
    <row r="17171" s="3161" customFormat="1" ht="12.75"/>
    <row r="17172" s="3161" customFormat="1" ht="12.75"/>
    <row r="17173" s="3161" customFormat="1" ht="12.75"/>
    <row r="17174" s="3161" customFormat="1" ht="12.75"/>
    <row r="17175" s="3161" customFormat="1" ht="12.75"/>
    <row r="17176" s="3161" customFormat="1" ht="12.75"/>
    <row r="17177" s="3161" customFormat="1" ht="12.75"/>
    <row r="17178" s="3161" customFormat="1" ht="12.75"/>
    <row r="17179" s="3161" customFormat="1" ht="12.75"/>
    <row r="17180" s="3161" customFormat="1" ht="12.75"/>
    <row r="17181" s="3161" customFormat="1" ht="12.75"/>
    <row r="17182" s="3161" customFormat="1" ht="12.75"/>
    <row r="17183" s="3161" customFormat="1" ht="12.75"/>
    <row r="17184" s="3161" customFormat="1" ht="12.75"/>
    <row r="17185" s="3161" customFormat="1" ht="12.75"/>
    <row r="17186" s="3161" customFormat="1" ht="12.75"/>
    <row r="17187" s="3161" customFormat="1" ht="12.75"/>
    <row r="17188" s="3161" customFormat="1" ht="12.75"/>
    <row r="17189" s="3161" customFormat="1" ht="12.75"/>
    <row r="17190" s="3161" customFormat="1" ht="12.75"/>
    <row r="17191" s="3161" customFormat="1" ht="12.75"/>
    <row r="17192" s="3161" customFormat="1" ht="12.75"/>
    <row r="17193" s="3161" customFormat="1" ht="12.75"/>
    <row r="17194" s="3161" customFormat="1" ht="12.75"/>
    <row r="17195" s="3161" customFormat="1" ht="12.75"/>
    <row r="17196" s="3161" customFormat="1" ht="12.75"/>
    <row r="17197" s="3161" customFormat="1" ht="12.75"/>
    <row r="17198" s="3161" customFormat="1" ht="12.75"/>
    <row r="17199" s="3161" customFormat="1" ht="12.75"/>
    <row r="17200" s="3161" customFormat="1" ht="12.75"/>
    <row r="17201" s="3161" customFormat="1" ht="12.75"/>
    <row r="17202" s="3161" customFormat="1" ht="12.75"/>
    <row r="17203" s="3161" customFormat="1" ht="12.75"/>
    <row r="17204" s="3161" customFormat="1" ht="12.75"/>
    <row r="17205" s="3161" customFormat="1" ht="12.75"/>
    <row r="17206" s="3161" customFormat="1" ht="12.75"/>
    <row r="17207" s="3161" customFormat="1" ht="12.75"/>
    <row r="17208" s="3161" customFormat="1" ht="12.75"/>
    <row r="17209" s="3161" customFormat="1" ht="12.75"/>
    <row r="17210" s="3161" customFormat="1" ht="12.75"/>
    <row r="17211" s="3161" customFormat="1" ht="12.75"/>
    <row r="17212" s="3161" customFormat="1" ht="12.75"/>
    <row r="17213" s="3161" customFormat="1" ht="12.75"/>
    <row r="17214" s="3161" customFormat="1" ht="12.75"/>
    <row r="17215" s="3161" customFormat="1" ht="12.75"/>
    <row r="17216" s="3161" customFormat="1" ht="12.75"/>
    <row r="17217" s="3161" customFormat="1" ht="12.75"/>
    <row r="17218" s="3161" customFormat="1" ht="12.75"/>
    <row r="17219" s="3161" customFormat="1" ht="12.75"/>
    <row r="17220" s="3161" customFormat="1" ht="12.75"/>
    <row r="17221" s="3161" customFormat="1" ht="12.75"/>
    <row r="17222" s="3161" customFormat="1" ht="12.75"/>
    <row r="17223" s="3161" customFormat="1" ht="12.75"/>
    <row r="17224" s="3161" customFormat="1" ht="12.75"/>
    <row r="17225" s="3161" customFormat="1" ht="12.75"/>
    <row r="17226" s="3161" customFormat="1" ht="12.75"/>
    <row r="17227" s="3161" customFormat="1" ht="12.75"/>
    <row r="17228" s="3161" customFormat="1" ht="12.75"/>
    <row r="17229" s="3161" customFormat="1" ht="12.75"/>
    <row r="17230" s="3161" customFormat="1" ht="12.75"/>
    <row r="17231" s="3161" customFormat="1" ht="12.75"/>
    <row r="17232" s="3161" customFormat="1" ht="12.75"/>
    <row r="17233" s="3161" customFormat="1" ht="12.75"/>
    <row r="17234" s="3161" customFormat="1" ht="12.75"/>
    <row r="17235" s="3161" customFormat="1" ht="12.75"/>
    <row r="17236" s="3161" customFormat="1" ht="12.75"/>
    <row r="17237" s="3161" customFormat="1" ht="12.75"/>
    <row r="17238" s="3161" customFormat="1" ht="12.75"/>
    <row r="17239" s="3161" customFormat="1" ht="12.75"/>
    <row r="17240" s="3161" customFormat="1" ht="12.75"/>
    <row r="17241" s="3161" customFormat="1" ht="12.75"/>
    <row r="17242" s="3161" customFormat="1" ht="12.75"/>
    <row r="17243" s="3161" customFormat="1" ht="12.75"/>
    <row r="17244" s="3161" customFormat="1" ht="12.75"/>
    <row r="17245" s="3161" customFormat="1" ht="12.75"/>
    <row r="17246" s="3161" customFormat="1" ht="12.75"/>
    <row r="17247" s="3161" customFormat="1" ht="12.75"/>
    <row r="17248" s="3161" customFormat="1" ht="12.75"/>
    <row r="17249" s="3161" customFormat="1" ht="12.75"/>
    <row r="17250" s="3161" customFormat="1" ht="12.75"/>
    <row r="17251" s="3161" customFormat="1" ht="12.75"/>
    <row r="17252" s="3161" customFormat="1" ht="12.75"/>
    <row r="17253" s="3161" customFormat="1" ht="12.75"/>
    <row r="17254" s="3161" customFormat="1" ht="12.75"/>
    <row r="17255" s="3161" customFormat="1" ht="12.75"/>
    <row r="17256" s="3161" customFormat="1" ht="12.75"/>
    <row r="17257" s="3161" customFormat="1" ht="12.75"/>
    <row r="17258" s="3161" customFormat="1" ht="12.75"/>
    <row r="17259" s="3161" customFormat="1" ht="12.75"/>
    <row r="17260" s="3161" customFormat="1" ht="12.75"/>
    <row r="17261" s="3161" customFormat="1" ht="12.75"/>
    <row r="17262" s="3161" customFormat="1" ht="12.75"/>
    <row r="17263" s="3161" customFormat="1" ht="12.75"/>
    <row r="17264" s="3161" customFormat="1" ht="12.75"/>
    <row r="17265" s="3161" customFormat="1" ht="12.75"/>
    <row r="17266" s="3161" customFormat="1" ht="12.75"/>
    <row r="17267" s="3161" customFormat="1" ht="12.75"/>
    <row r="17268" s="3161" customFormat="1" ht="12.75"/>
    <row r="17269" s="3161" customFormat="1" ht="12.75"/>
    <row r="17270" s="3161" customFormat="1" ht="12.75"/>
    <row r="17271" s="3161" customFormat="1" ht="12.75"/>
    <row r="17272" s="3161" customFormat="1" ht="12.75"/>
    <row r="17273" s="3161" customFormat="1" ht="12.75"/>
    <row r="17274" s="3161" customFormat="1" ht="12.75"/>
    <row r="17275" s="3161" customFormat="1" ht="12.75"/>
    <row r="17276" s="3161" customFormat="1" ht="12.75"/>
    <row r="17277" s="3161" customFormat="1" ht="12.75"/>
    <row r="17278" s="3161" customFormat="1" ht="12.75"/>
    <row r="17279" s="3161" customFormat="1" ht="12.75"/>
    <row r="17280" s="3161" customFormat="1" ht="12.75"/>
    <row r="17281" s="3161" customFormat="1" ht="12.75"/>
    <row r="17282" s="3161" customFormat="1" ht="12.75"/>
    <row r="17283" s="3161" customFormat="1" ht="12.75"/>
    <row r="17284" s="3161" customFormat="1" ht="12.75"/>
    <row r="17285" s="3161" customFormat="1" ht="12.75"/>
    <row r="17286" s="3161" customFormat="1" ht="12.75"/>
    <row r="17287" s="3161" customFormat="1" ht="12.75"/>
    <row r="17288" s="3161" customFormat="1" ht="12.75"/>
    <row r="17289" s="3161" customFormat="1" ht="12.75"/>
    <row r="17290" s="3161" customFormat="1" ht="12.75"/>
    <row r="17291" s="3161" customFormat="1" ht="12.75"/>
    <row r="17292" s="3161" customFormat="1" ht="12.75"/>
    <row r="17293" s="3161" customFormat="1" ht="12.75"/>
    <row r="17294" s="3161" customFormat="1" ht="12.75"/>
    <row r="17295" s="3161" customFormat="1" ht="12.75"/>
    <row r="17296" s="3161" customFormat="1" ht="12.75"/>
    <row r="17297" s="3161" customFormat="1" ht="12.75"/>
    <row r="17298" s="3161" customFormat="1" ht="12.75"/>
    <row r="17299" s="3161" customFormat="1" ht="12.75"/>
    <row r="17300" s="3161" customFormat="1" ht="12.75"/>
    <row r="17301" s="3161" customFormat="1" ht="12.75"/>
    <row r="17302" s="3161" customFormat="1" ht="12.75"/>
    <row r="17303" s="3161" customFormat="1" ht="12.75"/>
    <row r="17304" s="3161" customFormat="1" ht="12.75"/>
    <row r="17305" s="3161" customFormat="1" ht="12.75"/>
    <row r="17306" s="3161" customFormat="1" ht="12.75"/>
    <row r="17307" s="3161" customFormat="1" ht="12.75"/>
    <row r="17308" s="3161" customFormat="1" ht="12.75"/>
    <row r="17309" s="3161" customFormat="1" ht="12.75"/>
    <row r="17310" s="3161" customFormat="1" ht="12.75"/>
    <row r="17311" s="3161" customFormat="1" ht="12.75"/>
    <row r="17312" s="3161" customFormat="1" ht="12.75"/>
    <row r="17313" s="3161" customFormat="1" ht="12.75"/>
    <row r="17314" s="3161" customFormat="1" ht="12.75"/>
    <row r="17315" s="3161" customFormat="1" ht="12.75"/>
    <row r="17316" s="3161" customFormat="1" ht="12.75"/>
    <row r="17317" s="3161" customFormat="1" ht="12.75"/>
    <row r="17318" s="3161" customFormat="1" ht="12.75"/>
    <row r="17319" s="3161" customFormat="1" ht="12.75"/>
    <row r="17320" s="3161" customFormat="1" ht="12.75"/>
    <row r="17321" s="3161" customFormat="1" ht="12.75"/>
    <row r="17322" s="3161" customFormat="1" ht="12.75"/>
    <row r="17323" s="3161" customFormat="1" ht="12.75"/>
    <row r="17324" s="3161" customFormat="1" ht="12.75"/>
    <row r="17325" s="3161" customFormat="1" ht="12.75"/>
    <row r="17326" s="3161" customFormat="1" ht="12.75"/>
    <row r="17327" s="3161" customFormat="1" ht="12.75"/>
    <row r="17328" s="3161" customFormat="1" ht="12.75"/>
    <row r="17329" s="3161" customFormat="1" ht="12.75"/>
    <row r="17330" s="3161" customFormat="1" ht="12.75"/>
    <row r="17331" s="3161" customFormat="1" ht="12.75"/>
    <row r="17332" s="3161" customFormat="1" ht="12.75"/>
    <row r="17333" s="3161" customFormat="1" ht="12.75"/>
    <row r="17334" s="3161" customFormat="1" ht="12.75"/>
    <row r="17335" s="3161" customFormat="1" ht="12.75"/>
    <row r="17336" s="3161" customFormat="1" ht="12.75"/>
    <row r="17337" s="3161" customFormat="1" ht="12.75"/>
    <row r="17338" s="3161" customFormat="1" ht="12.75"/>
    <row r="17339" s="3161" customFormat="1" ht="12.75"/>
    <row r="17340" s="3161" customFormat="1" ht="12.75"/>
    <row r="17341" s="3161" customFormat="1" ht="12.75"/>
    <row r="17342" s="3161" customFormat="1" ht="12.75"/>
    <row r="17343" s="3161" customFormat="1" ht="12.75"/>
    <row r="17344" s="3161" customFormat="1" ht="12.75"/>
    <row r="17345" s="3161" customFormat="1" ht="12.75"/>
    <row r="17346" s="3161" customFormat="1" ht="12.75"/>
    <row r="17347" s="3161" customFormat="1" ht="12.75"/>
    <row r="17348" s="3161" customFormat="1" ht="12.75"/>
    <row r="17349" s="3161" customFormat="1" ht="12.75"/>
    <row r="17350" s="3161" customFormat="1" ht="12.75"/>
    <row r="17351" s="3161" customFormat="1" ht="12.75"/>
    <row r="17352" s="3161" customFormat="1" ht="12.75"/>
    <row r="17353" s="3161" customFormat="1" ht="12.75"/>
    <row r="17354" s="3161" customFormat="1" ht="12.75"/>
    <row r="17355" s="3161" customFormat="1" ht="12.75"/>
    <row r="17356" s="3161" customFormat="1" ht="12.75"/>
    <row r="17357" s="3161" customFormat="1" ht="12.75"/>
    <row r="17358" s="3161" customFormat="1" ht="12.75"/>
    <row r="17359" s="3161" customFormat="1" ht="12.75"/>
    <row r="17360" s="3161" customFormat="1" ht="12.75"/>
    <row r="17361" s="3161" customFormat="1" ht="12.75"/>
    <row r="17362" s="3161" customFormat="1" ht="12.75"/>
    <row r="17363" s="3161" customFormat="1" ht="12.75"/>
    <row r="17364" s="3161" customFormat="1" ht="12.75"/>
    <row r="17365" s="3161" customFormat="1" ht="12.75"/>
    <row r="17366" s="3161" customFormat="1" ht="12.75"/>
    <row r="17367" s="3161" customFormat="1" ht="12.75"/>
    <row r="17368" s="3161" customFormat="1" ht="12.75"/>
    <row r="17369" s="3161" customFormat="1" ht="12.75"/>
    <row r="17370" s="3161" customFormat="1" ht="12.75"/>
    <row r="17371" s="3161" customFormat="1" ht="12.75"/>
    <row r="17372" s="3161" customFormat="1" ht="12.75"/>
    <row r="17373" s="3161" customFormat="1" ht="12.75"/>
    <row r="17374" s="3161" customFormat="1" ht="12.75"/>
    <row r="17375" s="3161" customFormat="1" ht="12.75"/>
    <row r="17376" s="3161" customFormat="1" ht="12.75"/>
    <row r="17377" s="3161" customFormat="1" ht="12.75"/>
    <row r="17378" s="3161" customFormat="1" ht="12.75"/>
    <row r="17379" s="3161" customFormat="1" ht="12.75"/>
    <row r="17380" s="3161" customFormat="1" ht="12.75"/>
    <row r="17381" s="3161" customFormat="1" ht="12.75"/>
    <row r="17382" s="3161" customFormat="1" ht="12.75"/>
    <row r="17383" s="3161" customFormat="1" ht="12.75"/>
    <row r="17384" s="3161" customFormat="1" ht="12.75"/>
    <row r="17385" s="3161" customFormat="1" ht="12.75"/>
    <row r="17386" s="3161" customFormat="1" ht="12.75"/>
    <row r="17387" s="3161" customFormat="1" ht="12.75"/>
    <row r="17388" s="3161" customFormat="1" ht="12.75"/>
    <row r="17389" s="3161" customFormat="1" ht="12.75"/>
    <row r="17390" s="3161" customFormat="1" ht="12.75"/>
    <row r="17391" s="3161" customFormat="1" ht="12.75"/>
    <row r="17392" s="3161" customFormat="1" ht="12.75"/>
    <row r="17393" s="3161" customFormat="1" ht="12.75"/>
    <row r="17394" s="3161" customFormat="1" ht="12.75"/>
    <row r="17395" s="3161" customFormat="1" ht="12.75"/>
    <row r="17396" s="3161" customFormat="1" ht="12.75"/>
    <row r="17397" s="3161" customFormat="1" ht="12.75"/>
    <row r="17398" s="3161" customFormat="1" ht="12.75"/>
    <row r="17399" s="3161" customFormat="1" ht="12.75"/>
    <row r="17400" s="3161" customFormat="1" ht="12.75"/>
    <row r="17401" s="3161" customFormat="1" ht="12.75"/>
    <row r="17402" s="3161" customFormat="1" ht="12.75"/>
    <row r="17403" s="3161" customFormat="1" ht="12.75"/>
    <row r="17404" s="3161" customFormat="1" ht="12.75"/>
    <row r="17405" s="3161" customFormat="1" ht="12.75"/>
    <row r="17406" s="3161" customFormat="1" ht="12.75"/>
    <row r="17407" s="3161" customFormat="1" ht="12.75"/>
    <row r="17408" s="3161" customFormat="1" ht="12.75"/>
    <row r="17409" s="3161" customFormat="1" ht="12.75"/>
    <row r="17410" s="3161" customFormat="1" ht="12.75"/>
    <row r="17411" s="3161" customFormat="1" ht="12.75"/>
    <row r="17412" s="3161" customFormat="1" ht="12.75"/>
    <row r="17413" s="3161" customFormat="1" ht="12.75"/>
    <row r="17414" s="3161" customFormat="1" ht="12.75"/>
    <row r="17415" s="3161" customFormat="1" ht="12.75"/>
    <row r="17416" s="3161" customFormat="1" ht="12.75"/>
    <row r="17417" s="3161" customFormat="1" ht="12.75"/>
    <row r="17418" s="3161" customFormat="1" ht="12.75"/>
    <row r="17419" s="3161" customFormat="1" ht="12.75"/>
    <row r="17420" s="3161" customFormat="1" ht="12.75"/>
    <row r="17421" s="3161" customFormat="1" ht="12.75"/>
    <row r="17422" s="3161" customFormat="1" ht="12.75"/>
    <row r="17423" s="3161" customFormat="1" ht="12.75"/>
    <row r="17424" s="3161" customFormat="1" ht="12.75"/>
    <row r="17425" s="3161" customFormat="1" ht="12.75"/>
    <row r="17426" s="3161" customFormat="1" ht="12.75"/>
    <row r="17427" s="3161" customFormat="1" ht="12.75"/>
    <row r="17428" s="3161" customFormat="1" ht="12.75"/>
    <row r="17429" s="3161" customFormat="1" ht="12.75"/>
    <row r="17430" s="3161" customFormat="1" ht="12.75"/>
    <row r="17431" s="3161" customFormat="1" ht="12.75"/>
    <row r="17432" s="3161" customFormat="1" ht="12.75"/>
    <row r="17433" s="3161" customFormat="1" ht="12.75"/>
    <row r="17434" s="3161" customFormat="1" ht="12.75"/>
    <row r="17435" s="3161" customFormat="1" ht="12.75"/>
    <row r="17436" s="3161" customFormat="1" ht="12.75"/>
    <row r="17437" s="3161" customFormat="1" ht="12.75"/>
    <row r="17438" s="3161" customFormat="1" ht="12.75"/>
    <row r="17439" s="3161" customFormat="1" ht="12.75"/>
    <row r="17440" s="3161" customFormat="1" ht="12.75"/>
    <row r="17441" s="3161" customFormat="1" ht="12.75"/>
    <row r="17442" s="3161" customFormat="1" ht="12.75"/>
    <row r="17443" s="3161" customFormat="1" ht="12.75"/>
    <row r="17444" s="3161" customFormat="1" ht="12.75"/>
    <row r="17445" s="3161" customFormat="1" ht="12.75"/>
    <row r="17446" s="3161" customFormat="1" ht="12.75"/>
    <row r="17447" s="3161" customFormat="1" ht="12.75"/>
    <row r="17448" s="3161" customFormat="1" ht="12.75"/>
    <row r="17449" s="3161" customFormat="1" ht="12.75"/>
    <row r="17450" s="3161" customFormat="1" ht="12.75"/>
    <row r="17451" s="3161" customFormat="1" ht="12.75"/>
    <row r="17452" s="3161" customFormat="1" ht="12.75"/>
    <row r="17453" s="3161" customFormat="1" ht="12.75"/>
    <row r="17454" s="3161" customFormat="1" ht="12.75"/>
    <row r="17455" s="3161" customFormat="1" ht="12.75"/>
    <row r="17456" s="3161" customFormat="1" ht="12.75"/>
    <row r="17457" s="3161" customFormat="1" ht="12.75"/>
    <row r="17458" s="3161" customFormat="1" ht="12.75"/>
    <row r="17459" s="3161" customFormat="1" ht="12.75"/>
    <row r="17460" s="3161" customFormat="1" ht="12.75"/>
    <row r="17461" s="3161" customFormat="1" ht="12.75"/>
    <row r="17462" s="3161" customFormat="1" ht="12.75"/>
    <row r="17463" s="3161" customFormat="1" ht="12.75"/>
    <row r="17464" s="3161" customFormat="1" ht="12.75"/>
    <row r="17465" s="3161" customFormat="1" ht="12.75"/>
    <row r="17466" s="3161" customFormat="1" ht="12.75"/>
    <row r="17467" s="3161" customFormat="1" ht="12.75"/>
    <row r="17468" s="3161" customFormat="1" ht="12.75"/>
    <row r="17469" s="3161" customFormat="1" ht="12.75"/>
    <row r="17470" s="3161" customFormat="1" ht="12.75"/>
    <row r="17471" s="3161" customFormat="1" ht="12.75"/>
    <row r="17472" s="3161" customFormat="1" ht="12.75"/>
    <row r="17473" s="3161" customFormat="1" ht="12.75"/>
    <row r="17474" s="3161" customFormat="1" ht="12.75"/>
    <row r="17475" s="3161" customFormat="1" ht="12.75"/>
    <row r="17476" s="3161" customFormat="1" ht="12.75"/>
    <row r="17477" s="3161" customFormat="1" ht="12.75"/>
    <row r="17478" s="3161" customFormat="1" ht="12.75"/>
    <row r="17479" s="3161" customFormat="1" ht="12.75"/>
    <row r="17480" s="3161" customFormat="1" ht="12.75"/>
    <row r="17481" s="3161" customFormat="1" ht="12.75"/>
    <row r="17482" s="3161" customFormat="1" ht="12.75"/>
    <row r="17483" s="3161" customFormat="1" ht="12.75"/>
    <row r="17484" s="3161" customFormat="1" ht="12.75"/>
    <row r="17485" s="3161" customFormat="1" ht="12.75"/>
    <row r="17486" s="3161" customFormat="1" ht="12.75"/>
    <row r="17487" s="3161" customFormat="1" ht="12.75"/>
    <row r="17488" s="3161" customFormat="1" ht="12.75"/>
    <row r="17489" s="3161" customFormat="1" ht="12.75"/>
    <row r="17490" s="3161" customFormat="1" ht="12.75"/>
    <row r="17491" s="3161" customFormat="1" ht="12.75"/>
    <row r="17492" s="3161" customFormat="1" ht="12.75"/>
    <row r="17493" s="3161" customFormat="1" ht="12.75"/>
    <row r="17494" s="3161" customFormat="1" ht="12.75"/>
    <row r="17495" s="3161" customFormat="1" ht="12.75"/>
    <row r="17496" s="3161" customFormat="1" ht="12.75"/>
    <row r="17497" s="3161" customFormat="1" ht="12.75"/>
    <row r="17498" s="3161" customFormat="1" ht="12.75"/>
    <row r="17499" s="3161" customFormat="1" ht="12.75"/>
    <row r="17500" s="3161" customFormat="1" ht="12.75"/>
    <row r="17501" s="3161" customFormat="1" ht="12.75"/>
    <row r="17502" s="3161" customFormat="1" ht="12.75"/>
    <row r="17503" s="3161" customFormat="1" ht="12.75"/>
    <row r="17504" s="3161" customFormat="1" ht="12.75"/>
    <row r="17505" s="3161" customFormat="1" ht="12.75"/>
    <row r="17506" s="3161" customFormat="1" ht="12.75"/>
    <row r="17507" s="3161" customFormat="1" ht="12.75"/>
    <row r="17508" s="3161" customFormat="1" ht="12.75"/>
    <row r="17509" s="3161" customFormat="1" ht="12.75"/>
    <row r="17510" s="3161" customFormat="1" ht="12.75"/>
    <row r="17511" s="3161" customFormat="1" ht="12.75"/>
    <row r="17512" s="3161" customFormat="1" ht="12.75"/>
    <row r="17513" s="3161" customFormat="1" ht="12.75"/>
    <row r="17514" s="3161" customFormat="1" ht="12.75"/>
    <row r="17515" s="3161" customFormat="1" ht="12.75"/>
    <row r="17516" s="3161" customFormat="1" ht="12.75"/>
    <row r="17517" s="3161" customFormat="1" ht="12.75"/>
    <row r="17518" s="3161" customFormat="1" ht="12.75"/>
    <row r="17519" s="3161" customFormat="1" ht="12.75"/>
    <row r="17520" s="3161" customFormat="1" ht="12.75"/>
    <row r="17521" s="3161" customFormat="1" ht="12.75"/>
    <row r="17522" s="3161" customFormat="1" ht="12.75"/>
    <row r="17523" s="3161" customFormat="1" ht="12.75"/>
    <row r="17524" s="3161" customFormat="1" ht="12.75"/>
    <row r="17525" s="3161" customFormat="1" ht="12.75"/>
    <row r="17526" s="3161" customFormat="1" ht="12.75"/>
    <row r="17527" s="3161" customFormat="1" ht="12.75"/>
    <row r="17528" s="3161" customFormat="1" ht="12.75"/>
    <row r="17529" s="3161" customFormat="1" ht="12.75"/>
    <row r="17530" s="3161" customFormat="1" ht="12.75"/>
    <row r="17531" s="3161" customFormat="1" ht="12.75"/>
    <row r="17532" s="3161" customFormat="1" ht="12.75"/>
    <row r="17533" s="3161" customFormat="1" ht="12.75"/>
    <row r="17534" s="3161" customFormat="1" ht="12.75"/>
    <row r="17535" s="3161" customFormat="1" ht="12.75"/>
    <row r="17536" s="3161" customFormat="1" ht="12.75"/>
    <row r="17537" s="3161" customFormat="1" ht="12.75"/>
    <row r="17538" s="3161" customFormat="1" ht="12.75"/>
    <row r="17539" s="3161" customFormat="1" ht="12.75"/>
    <row r="17540" s="3161" customFormat="1" ht="12.75"/>
    <row r="17541" s="3161" customFormat="1" ht="12.75"/>
    <row r="17542" s="3161" customFormat="1" ht="12.75"/>
    <row r="17543" s="3161" customFormat="1" ht="12.75"/>
    <row r="17544" s="3161" customFormat="1" ht="12.75"/>
    <row r="17545" s="3161" customFormat="1" ht="12.75"/>
    <row r="17546" s="3161" customFormat="1" ht="12.75"/>
    <row r="17547" s="3161" customFormat="1" ht="12.75"/>
    <row r="17548" s="3161" customFormat="1" ht="12.75"/>
    <row r="17549" s="3161" customFormat="1" ht="12.75"/>
    <row r="17550" s="3161" customFormat="1" ht="12.75"/>
    <row r="17551" s="3161" customFormat="1" ht="12.75"/>
    <row r="17552" s="3161" customFormat="1" ht="12.75"/>
    <row r="17553" s="3161" customFormat="1" ht="12.75"/>
    <row r="17554" s="3161" customFormat="1" ht="12.75"/>
    <row r="17555" s="3161" customFormat="1" ht="12.75"/>
    <row r="17556" s="3161" customFormat="1" ht="12.75"/>
    <row r="17557" s="3161" customFormat="1" ht="12.75"/>
    <row r="17558" s="3161" customFormat="1" ht="12.75"/>
    <row r="17559" s="3161" customFormat="1" ht="12.75"/>
    <row r="17560" s="3161" customFormat="1" ht="12.75"/>
    <row r="17561" s="3161" customFormat="1" ht="12.75"/>
    <row r="17562" s="3161" customFormat="1" ht="12.75"/>
    <row r="17563" s="3161" customFormat="1" ht="12.75"/>
    <row r="17564" s="3161" customFormat="1" ht="12.75"/>
    <row r="17565" s="3161" customFormat="1" ht="12.75"/>
    <row r="17566" s="3161" customFormat="1" ht="12.75"/>
    <row r="17567" s="3161" customFormat="1" ht="12.75"/>
    <row r="17568" s="3161" customFormat="1" ht="12.75"/>
    <row r="17569" s="3161" customFormat="1" ht="12.75"/>
    <row r="17570" s="3161" customFormat="1" ht="12.75"/>
    <row r="17571" s="3161" customFormat="1" ht="12.75"/>
    <row r="17572" s="3161" customFormat="1" ht="12.75"/>
    <row r="17573" s="3161" customFormat="1" ht="12.75"/>
    <row r="17574" s="3161" customFormat="1" ht="12.75"/>
    <row r="17575" s="3161" customFormat="1" ht="12.75"/>
    <row r="17576" s="3161" customFormat="1" ht="12.75"/>
    <row r="17577" s="3161" customFormat="1" ht="12.75"/>
    <row r="17578" s="3161" customFormat="1" ht="12.75"/>
    <row r="17579" s="3161" customFormat="1" ht="12.75"/>
    <row r="17580" s="3161" customFormat="1" ht="12.75"/>
    <row r="17581" s="3161" customFormat="1" ht="12.75"/>
    <row r="17582" s="3161" customFormat="1" ht="12.75"/>
    <row r="17583" s="3161" customFormat="1" ht="12.75"/>
    <row r="17584" s="3161" customFormat="1" ht="12.75"/>
    <row r="17585" s="3161" customFormat="1" ht="12.75"/>
    <row r="17586" s="3161" customFormat="1" ht="12.75"/>
    <row r="17587" s="3161" customFormat="1" ht="12.75"/>
    <row r="17588" s="3161" customFormat="1" ht="12.75"/>
    <row r="17589" s="3161" customFormat="1" ht="12.75"/>
    <row r="17590" s="3161" customFormat="1" ht="12.75"/>
    <row r="17591" s="3161" customFormat="1" ht="12.75"/>
    <row r="17592" s="3161" customFormat="1" ht="12.75"/>
    <row r="17593" s="3161" customFormat="1" ht="12.75"/>
    <row r="17594" s="3161" customFormat="1" ht="12.75"/>
    <row r="17595" s="3161" customFormat="1" ht="12.75"/>
    <row r="17596" s="3161" customFormat="1" ht="12.75"/>
    <row r="17597" s="3161" customFormat="1" ht="12.75"/>
    <row r="17598" s="3161" customFormat="1" ht="12.75"/>
    <row r="17599" s="3161" customFormat="1" ht="12.75"/>
    <row r="17600" s="3161" customFormat="1" ht="12.75"/>
    <row r="17601" s="3161" customFormat="1" ht="12.75"/>
    <row r="17602" s="3161" customFormat="1" ht="12.75"/>
    <row r="17603" s="3161" customFormat="1" ht="12.75"/>
    <row r="17604" s="3161" customFormat="1" ht="12.75"/>
    <row r="17605" s="3161" customFormat="1" ht="12.75"/>
    <row r="17606" s="3161" customFormat="1" ht="12.75"/>
    <row r="17607" s="3161" customFormat="1" ht="12.75"/>
    <row r="17608" s="3161" customFormat="1" ht="12.75"/>
    <row r="17609" s="3161" customFormat="1" ht="12.75"/>
    <row r="17610" s="3161" customFormat="1" ht="12.75"/>
    <row r="17611" s="3161" customFormat="1" ht="12.75"/>
    <row r="17612" s="3161" customFormat="1" ht="12.75"/>
    <row r="17613" s="3161" customFormat="1" ht="12.75"/>
    <row r="17614" s="3161" customFormat="1" ht="12.75"/>
    <row r="17615" s="3161" customFormat="1" ht="12.75"/>
    <row r="17616" s="3161" customFormat="1" ht="12.75"/>
    <row r="17617" s="3161" customFormat="1" ht="12.75"/>
    <row r="17618" s="3161" customFormat="1" ht="12.75"/>
    <row r="17619" s="3161" customFormat="1" ht="12.75"/>
    <row r="17620" s="3161" customFormat="1" ht="12.75"/>
    <row r="17621" s="3161" customFormat="1" ht="12.75"/>
    <row r="17622" s="3161" customFormat="1" ht="12.75"/>
    <row r="17623" s="3161" customFormat="1" ht="12.75"/>
    <row r="17624" s="3161" customFormat="1" ht="12.75"/>
    <row r="17625" s="3161" customFormat="1" ht="12.75"/>
    <row r="17626" s="3161" customFormat="1" ht="12.75"/>
    <row r="17627" s="3161" customFormat="1" ht="12.75"/>
    <row r="17628" s="3161" customFormat="1" ht="12.75"/>
    <row r="17629" s="3161" customFormat="1" ht="12.75"/>
    <row r="17630" s="3161" customFormat="1" ht="12.75"/>
    <row r="17631" s="3161" customFormat="1" ht="12.75"/>
    <row r="17632" s="3161" customFormat="1" ht="12.75"/>
    <row r="17633" s="3161" customFormat="1" ht="12.75"/>
    <row r="17634" s="3161" customFormat="1" ht="12.75"/>
    <row r="17635" s="3161" customFormat="1" ht="12.75"/>
    <row r="17636" s="3161" customFormat="1" ht="12.75"/>
    <row r="17637" s="3161" customFormat="1" ht="12.75"/>
    <row r="17638" s="3161" customFormat="1" ht="12.75"/>
    <row r="17639" s="3161" customFormat="1" ht="12.75"/>
    <row r="17640" s="3161" customFormat="1" ht="12.75"/>
    <row r="17641" s="3161" customFormat="1" ht="12.75"/>
    <row r="17642" s="3161" customFormat="1" ht="12.75"/>
    <row r="17643" s="3161" customFormat="1" ht="12.75"/>
    <row r="17644" s="3161" customFormat="1" ht="12.75"/>
    <row r="17645" s="3161" customFormat="1" ht="12.75"/>
    <row r="17646" s="3161" customFormat="1" ht="12.75"/>
    <row r="17647" s="3161" customFormat="1" ht="12.75"/>
    <row r="17648" s="3161" customFormat="1" ht="12.75"/>
    <row r="17649" s="3161" customFormat="1" ht="12.75"/>
    <row r="17650" s="3161" customFormat="1" ht="12.75"/>
    <row r="17651" s="3161" customFormat="1" ht="12.75"/>
    <row r="17652" s="3161" customFormat="1" ht="12.75"/>
    <row r="17653" s="3161" customFormat="1" ht="12.75"/>
    <row r="17654" s="3161" customFormat="1" ht="12.75"/>
    <row r="17655" s="3161" customFormat="1" ht="12.75"/>
    <row r="17656" s="3161" customFormat="1" ht="12.75"/>
    <row r="17657" s="3161" customFormat="1" ht="12.75"/>
    <row r="17658" s="3161" customFormat="1" ht="12.75"/>
    <row r="17659" s="3161" customFormat="1" ht="12.75"/>
    <row r="17660" s="3161" customFormat="1" ht="12.75"/>
    <row r="17661" s="3161" customFormat="1" ht="12.75"/>
    <row r="17662" s="3161" customFormat="1" ht="12.75"/>
    <row r="17663" s="3161" customFormat="1" ht="12.75"/>
    <row r="17664" s="3161" customFormat="1" ht="12.75"/>
    <row r="17665" s="3161" customFormat="1" ht="12.75"/>
    <row r="17666" s="3161" customFormat="1" ht="12.75"/>
    <row r="17667" s="3161" customFormat="1" ht="12.75"/>
    <row r="17668" s="3161" customFormat="1" ht="12.75"/>
    <row r="17669" s="3161" customFormat="1" ht="12.75"/>
    <row r="17670" s="3161" customFormat="1" ht="12.75"/>
    <row r="17671" s="3161" customFormat="1" ht="12.75"/>
    <row r="17672" s="3161" customFormat="1" ht="12.75"/>
    <row r="17673" s="3161" customFormat="1" ht="12.75"/>
    <row r="17674" s="3161" customFormat="1" ht="12.75"/>
    <row r="17675" s="3161" customFormat="1" ht="12.75"/>
    <row r="17676" s="3161" customFormat="1" ht="12.75"/>
    <row r="17677" s="3161" customFormat="1" ht="12.75"/>
    <row r="17678" s="3161" customFormat="1" ht="12.75"/>
    <row r="17679" s="3161" customFormat="1" ht="12.75"/>
    <row r="17680" s="3161" customFormat="1" ht="12.75"/>
    <row r="17681" s="3161" customFormat="1" ht="12.75"/>
    <row r="17682" s="3161" customFormat="1" ht="12.75"/>
    <row r="17683" s="3161" customFormat="1" ht="12.75"/>
    <row r="17684" s="3161" customFormat="1" ht="12.75"/>
    <row r="17685" s="3161" customFormat="1" ht="12.75"/>
    <row r="17686" s="3161" customFormat="1" ht="12.75"/>
    <row r="17687" s="3161" customFormat="1" ht="12.75"/>
    <row r="17688" s="3161" customFormat="1" ht="12.75"/>
    <row r="17689" s="3161" customFormat="1" ht="12.75"/>
    <row r="17690" s="3161" customFormat="1" ht="12.75"/>
    <row r="17691" s="3161" customFormat="1" ht="12.75"/>
    <row r="17692" s="3161" customFormat="1" ht="12.75"/>
    <row r="17693" s="3161" customFormat="1" ht="12.75"/>
    <row r="17694" s="3161" customFormat="1" ht="12.75"/>
    <row r="17695" s="3161" customFormat="1" ht="12.75"/>
    <row r="17696" s="3161" customFormat="1" ht="12.75"/>
    <row r="17697" s="3161" customFormat="1" ht="12.75"/>
    <row r="17698" s="3161" customFormat="1" ht="12.75"/>
    <row r="17699" s="3161" customFormat="1" ht="12.75"/>
    <row r="17700" s="3161" customFormat="1" ht="12.75"/>
    <row r="17701" s="3161" customFormat="1" ht="12.75"/>
    <row r="17702" s="3161" customFormat="1" ht="12.75"/>
    <row r="17703" s="3161" customFormat="1" ht="12.75"/>
    <row r="17704" s="3161" customFormat="1" ht="12.75"/>
    <row r="17705" s="3161" customFormat="1" ht="12.75"/>
    <row r="17706" s="3161" customFormat="1" ht="12.75"/>
    <row r="17707" s="3161" customFormat="1" ht="12.75"/>
    <row r="17708" s="3161" customFormat="1" ht="12.75"/>
    <row r="17709" s="3161" customFormat="1" ht="12.75"/>
    <row r="17710" s="3161" customFormat="1" ht="12.75"/>
    <row r="17711" s="3161" customFormat="1" ht="12.75"/>
    <row r="17712" s="3161" customFormat="1" ht="12.75"/>
    <row r="17713" s="3161" customFormat="1" ht="12.75"/>
    <row r="17714" s="3161" customFormat="1" ht="12.75"/>
    <row r="17715" s="3161" customFormat="1" ht="12.75"/>
    <row r="17716" s="3161" customFormat="1" ht="12.75"/>
    <row r="17717" s="3161" customFormat="1" ht="12.75"/>
    <row r="17718" s="3161" customFormat="1" ht="12.75"/>
    <row r="17719" s="3161" customFormat="1" ht="12.75"/>
    <row r="17720" s="3161" customFormat="1" ht="12.75"/>
    <row r="17721" s="3161" customFormat="1" ht="12.75"/>
    <row r="17722" s="3161" customFormat="1" ht="12.75"/>
    <row r="17723" s="3161" customFormat="1" ht="12.75"/>
    <row r="17724" s="3161" customFormat="1" ht="12.75"/>
    <row r="17725" s="3161" customFormat="1" ht="12.75"/>
    <row r="17726" s="3161" customFormat="1" ht="12.75"/>
    <row r="17727" s="3161" customFormat="1" ht="12.75"/>
    <row r="17728" s="3161" customFormat="1" ht="12.75"/>
    <row r="17729" s="3161" customFormat="1" ht="12.75"/>
    <row r="17730" s="3161" customFormat="1" ht="12.75"/>
    <row r="17731" s="3161" customFormat="1" ht="12.75"/>
    <row r="17732" s="3161" customFormat="1" ht="12.75"/>
    <row r="17733" s="3161" customFormat="1" ht="12.75"/>
    <row r="17734" s="3161" customFormat="1" ht="12.75"/>
    <row r="17735" s="3161" customFormat="1" ht="12.75"/>
    <row r="17736" s="3161" customFormat="1" ht="12.75"/>
    <row r="17737" s="3161" customFormat="1" ht="12.75"/>
    <row r="17738" s="3161" customFormat="1" ht="12.75"/>
    <row r="17739" s="3161" customFormat="1" ht="12.75"/>
    <row r="17740" s="3161" customFormat="1" ht="12.75"/>
    <row r="17741" s="3161" customFormat="1" ht="12.75"/>
    <row r="17742" s="3161" customFormat="1" ht="12.75"/>
    <row r="17743" s="3161" customFormat="1" ht="12.75"/>
    <row r="17744" s="3161" customFormat="1" ht="12.75"/>
    <row r="17745" s="3161" customFormat="1" ht="12.75"/>
    <row r="17746" s="3161" customFormat="1" ht="12.75"/>
    <row r="17747" s="3161" customFormat="1" ht="12.75"/>
    <row r="17748" s="3161" customFormat="1" ht="12.75"/>
    <row r="17749" s="3161" customFormat="1" ht="12.75"/>
    <row r="17750" s="3161" customFormat="1" ht="12.75"/>
    <row r="17751" s="3161" customFormat="1" ht="12.75"/>
    <row r="17752" s="3161" customFormat="1" ht="12.75"/>
    <row r="17753" s="3161" customFormat="1" ht="12.75"/>
    <row r="17754" s="3161" customFormat="1" ht="12.75"/>
    <row r="17755" s="3161" customFormat="1" ht="12.75"/>
    <row r="17756" s="3161" customFormat="1" ht="12.75"/>
    <row r="17757" s="3161" customFormat="1" ht="12.75"/>
    <row r="17758" s="3161" customFormat="1" ht="12.75"/>
    <row r="17759" s="3161" customFormat="1" ht="12.75"/>
    <row r="17760" s="3161" customFormat="1" ht="12.75"/>
    <row r="17761" s="3161" customFormat="1" ht="12.75"/>
    <row r="17762" s="3161" customFormat="1" ht="12.75"/>
    <row r="17763" s="3161" customFormat="1" ht="12.75"/>
    <row r="17764" s="3161" customFormat="1" ht="12.75"/>
    <row r="17765" s="3161" customFormat="1" ht="12.75"/>
    <row r="17766" s="3161" customFormat="1" ht="12.75"/>
    <row r="17767" s="3161" customFormat="1" ht="12.75"/>
    <row r="17768" s="3161" customFormat="1" ht="12.75"/>
    <row r="17769" s="3161" customFormat="1" ht="12.75"/>
    <row r="17770" s="3161" customFormat="1" ht="12.75"/>
    <row r="17771" s="3161" customFormat="1" ht="12.75"/>
    <row r="17772" s="3161" customFormat="1" ht="12.75"/>
    <row r="17773" s="3161" customFormat="1" ht="12.75"/>
    <row r="17774" s="3161" customFormat="1" ht="12.75"/>
    <row r="17775" s="3161" customFormat="1" ht="12.75"/>
    <row r="17776" s="3161" customFormat="1" ht="12.75"/>
    <row r="17777" s="3161" customFormat="1" ht="12.75"/>
    <row r="17778" s="3161" customFormat="1" ht="12.75"/>
    <row r="17779" s="3161" customFormat="1" ht="12.75"/>
    <row r="17780" s="3161" customFormat="1" ht="12.75"/>
    <row r="17781" s="3161" customFormat="1" ht="12.75"/>
    <row r="17782" s="3161" customFormat="1" ht="12.75"/>
    <row r="17783" s="3161" customFormat="1" ht="12.75"/>
    <row r="17784" s="3161" customFormat="1" ht="12.75"/>
    <row r="17785" s="3161" customFormat="1" ht="12.75"/>
    <row r="17786" s="3161" customFormat="1" ht="12.75"/>
    <row r="17787" s="3161" customFormat="1" ht="12.75"/>
    <row r="17788" s="3161" customFormat="1" ht="12.75"/>
    <row r="17789" s="3161" customFormat="1" ht="12.75"/>
    <row r="17790" s="3161" customFormat="1" ht="12.75"/>
    <row r="17791" s="3161" customFormat="1" ht="12.75"/>
    <row r="17792" s="3161" customFormat="1" ht="12.75"/>
    <row r="17793" s="3161" customFormat="1" ht="12.75"/>
    <row r="17794" s="3161" customFormat="1" ht="12.75"/>
    <row r="17795" s="3161" customFormat="1" ht="12.75"/>
    <row r="17796" s="3161" customFormat="1" ht="12.75"/>
    <row r="17797" s="3161" customFormat="1" ht="12.75"/>
    <row r="17798" s="3161" customFormat="1" ht="12.75"/>
    <row r="17799" s="3161" customFormat="1" ht="12.75"/>
    <row r="17800" s="3161" customFormat="1" ht="12.75"/>
    <row r="17801" s="3161" customFormat="1" ht="12.75"/>
    <row r="17802" s="3161" customFormat="1" ht="12.75"/>
    <row r="17803" s="3161" customFormat="1" ht="12.75"/>
    <row r="17804" s="3161" customFormat="1" ht="12.75"/>
    <row r="17805" s="3161" customFormat="1" ht="12.75"/>
    <row r="17806" s="3161" customFormat="1" ht="12.75"/>
    <row r="17807" s="3161" customFormat="1" ht="12.75"/>
    <row r="17808" s="3161" customFormat="1" ht="12.75"/>
    <row r="17809" s="3161" customFormat="1" ht="12.75"/>
    <row r="17810" s="3161" customFormat="1" ht="12.75"/>
    <row r="17811" s="3161" customFormat="1" ht="12.75"/>
    <row r="17812" s="3161" customFormat="1" ht="12.75"/>
    <row r="17813" s="3161" customFormat="1" ht="12.75"/>
    <row r="17814" s="3161" customFormat="1" ht="12.75"/>
    <row r="17815" s="3161" customFormat="1" ht="12.75"/>
    <row r="17816" s="3161" customFormat="1" ht="12.75"/>
    <row r="17817" s="3161" customFormat="1" ht="12.75"/>
    <row r="17818" s="3161" customFormat="1" ht="12.75"/>
    <row r="17819" s="3161" customFormat="1" ht="12.75"/>
    <row r="17820" s="3161" customFormat="1" ht="12.75"/>
    <row r="17821" s="3161" customFormat="1" ht="12.75"/>
    <row r="17822" s="3161" customFormat="1" ht="12.75"/>
    <row r="17823" s="3161" customFormat="1" ht="12.75"/>
    <row r="17824" s="3161" customFormat="1" ht="12.75"/>
    <row r="17825" s="3161" customFormat="1" ht="12.75"/>
    <row r="17826" s="3161" customFormat="1" ht="12.75"/>
    <row r="17827" s="3161" customFormat="1" ht="12.75"/>
    <row r="17828" s="3161" customFormat="1" ht="12.75"/>
    <row r="17829" s="3161" customFormat="1" ht="12.75"/>
    <row r="17830" s="3161" customFormat="1" ht="12.75"/>
    <row r="17831" s="3161" customFormat="1" ht="12.75"/>
    <row r="17832" s="3161" customFormat="1" ht="12.75"/>
    <row r="17833" s="3161" customFormat="1" ht="12.75"/>
    <row r="17834" s="3161" customFormat="1" ht="12.75"/>
    <row r="17835" s="3161" customFormat="1" ht="12.75"/>
    <row r="17836" s="3161" customFormat="1" ht="12.75"/>
    <row r="17837" s="3161" customFormat="1" ht="12.75"/>
    <row r="17838" s="3161" customFormat="1" ht="12.75"/>
    <row r="17839" s="3161" customFormat="1" ht="12.75"/>
    <row r="17840" s="3161" customFormat="1" ht="12.75"/>
    <row r="17841" s="3161" customFormat="1" ht="12.75"/>
    <row r="17842" s="3161" customFormat="1" ht="12.75"/>
    <row r="17843" s="3161" customFormat="1" ht="12.75"/>
    <row r="17844" s="3161" customFormat="1" ht="12.75"/>
    <row r="17845" s="3161" customFormat="1" ht="12.75"/>
    <row r="17846" s="3161" customFormat="1" ht="12.75"/>
    <row r="17847" s="3161" customFormat="1" ht="12.75"/>
    <row r="17848" s="3161" customFormat="1" ht="12.75"/>
    <row r="17849" s="3161" customFormat="1" ht="12.75"/>
    <row r="17850" s="3161" customFormat="1" ht="12.75"/>
    <row r="17851" s="3161" customFormat="1" ht="12.75"/>
    <row r="17852" s="3161" customFormat="1" ht="12.75"/>
    <row r="17853" s="3161" customFormat="1" ht="12.75"/>
    <row r="17854" s="3161" customFormat="1" ht="12.75"/>
    <row r="17855" s="3161" customFormat="1" ht="12.75"/>
    <row r="17856" s="3161" customFormat="1" ht="12.75"/>
    <row r="17857" s="3161" customFormat="1" ht="12.75"/>
    <row r="17858" s="3161" customFormat="1" ht="12.75"/>
    <row r="17859" s="3161" customFormat="1" ht="12.75"/>
    <row r="17860" s="3161" customFormat="1" ht="12.75"/>
    <row r="17861" s="3161" customFormat="1" ht="12.75"/>
    <row r="17862" s="3161" customFormat="1" ht="12.75"/>
    <row r="17863" s="3161" customFormat="1" ht="12.75"/>
    <row r="17864" s="3161" customFormat="1" ht="12.75"/>
    <row r="17865" s="3161" customFormat="1" ht="12.75"/>
    <row r="17866" s="3161" customFormat="1" ht="12.75"/>
    <row r="17867" s="3161" customFormat="1" ht="12.75"/>
    <row r="17868" s="3161" customFormat="1" ht="12.75"/>
    <row r="17869" s="3161" customFormat="1" ht="12.75"/>
    <row r="17870" s="3161" customFormat="1" ht="12.75"/>
    <row r="17871" s="3161" customFormat="1" ht="12.75"/>
    <row r="17872" s="3161" customFormat="1" ht="12.75"/>
    <row r="17873" s="3161" customFormat="1" ht="12.75"/>
    <row r="17874" s="3161" customFormat="1" ht="12.75"/>
    <row r="17875" s="3161" customFormat="1" ht="12.75"/>
    <row r="17876" s="3161" customFormat="1" ht="12.75"/>
    <row r="17877" s="3161" customFormat="1" ht="12.75"/>
    <row r="17878" s="3161" customFormat="1" ht="12.75"/>
    <row r="17879" s="3161" customFormat="1" ht="12.75"/>
    <row r="17880" s="3161" customFormat="1" ht="12.75"/>
    <row r="17881" s="3161" customFormat="1" ht="12.75"/>
    <row r="17882" s="3161" customFormat="1" ht="12.75"/>
    <row r="17883" s="3161" customFormat="1" ht="12.75"/>
    <row r="17884" s="3161" customFormat="1" ht="12.75"/>
    <row r="17885" s="3161" customFormat="1" ht="12.75"/>
    <row r="17886" s="3161" customFormat="1" ht="12.75"/>
    <row r="17887" s="3161" customFormat="1" ht="12.75"/>
    <row r="17888" s="3161" customFormat="1" ht="12.75"/>
    <row r="17889" s="3161" customFormat="1" ht="12.75"/>
    <row r="17890" s="3161" customFormat="1" ht="12.75"/>
    <row r="17891" s="3161" customFormat="1" ht="12.75"/>
    <row r="17892" s="3161" customFormat="1" ht="12.75"/>
    <row r="17893" s="3161" customFormat="1" ht="12.75"/>
    <row r="17894" s="3161" customFormat="1" ht="12.75"/>
    <row r="17895" s="3161" customFormat="1" ht="12.75"/>
    <row r="17896" s="3161" customFormat="1" ht="12.75"/>
    <row r="17897" s="3161" customFormat="1" ht="12.75"/>
    <row r="17898" s="3161" customFormat="1" ht="12.75"/>
    <row r="17899" s="3161" customFormat="1" ht="12.75"/>
    <row r="17900" s="3161" customFormat="1" ht="12.75"/>
    <row r="17901" s="3161" customFormat="1" ht="12.75"/>
    <row r="17902" s="3161" customFormat="1" ht="12.75"/>
    <row r="17903" s="3161" customFormat="1" ht="12.75"/>
    <row r="17904" s="3161" customFormat="1" ht="12.75"/>
    <row r="17905" s="3161" customFormat="1" ht="12.75"/>
    <row r="17906" s="3161" customFormat="1" ht="12.75"/>
    <row r="17907" s="3161" customFormat="1" ht="12.75"/>
    <row r="17908" s="3161" customFormat="1" ht="12.75"/>
    <row r="17909" s="3161" customFormat="1" ht="12.75"/>
    <row r="17910" s="3161" customFormat="1" ht="12.75"/>
    <row r="17911" s="3161" customFormat="1" ht="12.75"/>
    <row r="17912" s="3161" customFormat="1" ht="12.75"/>
    <row r="17913" s="3161" customFormat="1" ht="12.75"/>
    <row r="17914" s="3161" customFormat="1" ht="12.75"/>
    <row r="17915" s="3161" customFormat="1" ht="12.75"/>
    <row r="17916" s="3161" customFormat="1" ht="12.75"/>
    <row r="17917" s="3161" customFormat="1" ht="12.75"/>
    <row r="17918" s="3161" customFormat="1" ht="12.75"/>
    <row r="17919" s="3161" customFormat="1" ht="12.75"/>
    <row r="17920" s="3161" customFormat="1" ht="12.75"/>
    <row r="17921" s="3161" customFormat="1" ht="12.75"/>
    <row r="17922" s="3161" customFormat="1" ht="12.75"/>
    <row r="17923" s="3161" customFormat="1" ht="12.75"/>
    <row r="17924" s="3161" customFormat="1" ht="12.75"/>
    <row r="17925" s="3161" customFormat="1" ht="12.75"/>
    <row r="17926" s="3161" customFormat="1" ht="12.75"/>
    <row r="17927" s="3161" customFormat="1" ht="12.75"/>
    <row r="17928" s="3161" customFormat="1" ht="12.75"/>
    <row r="17929" s="3161" customFormat="1" ht="12.75"/>
    <row r="17930" s="3161" customFormat="1" ht="12.75"/>
    <row r="17931" s="3161" customFormat="1" ht="12.75"/>
    <row r="17932" s="3161" customFormat="1" ht="12.75"/>
    <row r="17933" s="3161" customFormat="1" ht="12.75"/>
    <row r="17934" s="3161" customFormat="1" ht="12.75"/>
    <row r="17935" s="3161" customFormat="1" ht="12.75"/>
    <row r="17936" s="3161" customFormat="1" ht="12.75"/>
    <row r="17937" s="3161" customFormat="1" ht="12.75"/>
    <row r="17938" s="3161" customFormat="1" ht="12.75"/>
    <row r="17939" s="3161" customFormat="1" ht="12.75"/>
    <row r="17940" s="3161" customFormat="1" ht="12.75"/>
    <row r="17941" s="3161" customFormat="1" ht="12.75"/>
    <row r="17942" s="3161" customFormat="1" ht="12.75"/>
    <row r="17943" s="3161" customFormat="1" ht="12.75"/>
    <row r="17944" s="3161" customFormat="1" ht="12.75"/>
    <row r="17945" s="3161" customFormat="1" ht="12.75"/>
    <row r="17946" s="3161" customFormat="1" ht="12.75"/>
    <row r="17947" s="3161" customFormat="1" ht="12.75"/>
    <row r="17948" s="3161" customFormat="1" ht="12.75"/>
    <row r="17949" s="3161" customFormat="1" ht="12.75"/>
    <row r="17950" s="3161" customFormat="1" ht="12.75"/>
    <row r="17951" s="3161" customFormat="1" ht="12.75"/>
    <row r="17952" s="3161" customFormat="1" ht="12.75"/>
    <row r="17953" s="3161" customFormat="1" ht="12.75"/>
    <row r="17954" s="3161" customFormat="1" ht="12.75"/>
    <row r="17955" s="3161" customFormat="1" ht="12.75"/>
    <row r="17956" s="3161" customFormat="1" ht="12.75"/>
    <row r="17957" s="3161" customFormat="1" ht="12.75"/>
    <row r="17958" s="3161" customFormat="1" ht="12.75"/>
    <row r="17959" s="3161" customFormat="1" ht="12.75"/>
    <row r="17960" s="3161" customFormat="1" ht="12.75"/>
    <row r="17961" s="3161" customFormat="1" ht="12.75"/>
    <row r="17962" s="3161" customFormat="1" ht="12.75"/>
    <row r="17963" s="3161" customFormat="1" ht="12.75"/>
    <row r="17964" s="3161" customFormat="1" ht="12.75"/>
    <row r="17965" s="3161" customFormat="1" ht="12.75"/>
    <row r="17966" s="3161" customFormat="1" ht="12.75"/>
    <row r="17967" s="3161" customFormat="1" ht="12.75"/>
    <row r="17968" s="3161" customFormat="1" ht="12.75"/>
    <row r="17969" s="3161" customFormat="1" ht="12.75"/>
    <row r="17970" s="3161" customFormat="1" ht="12.75"/>
    <row r="17971" s="3161" customFormat="1" ht="12.75"/>
    <row r="17972" s="3161" customFormat="1" ht="12.75"/>
    <row r="17973" s="3161" customFormat="1" ht="12.75"/>
    <row r="17974" s="3161" customFormat="1" ht="12.75"/>
    <row r="17975" s="3161" customFormat="1" ht="12.75"/>
    <row r="17976" s="3161" customFormat="1" ht="12.75"/>
    <row r="17977" s="3161" customFormat="1" ht="12.75"/>
    <row r="17978" s="3161" customFormat="1" ht="12.75"/>
    <row r="17979" s="3161" customFormat="1" ht="12.75"/>
    <row r="17980" s="3161" customFormat="1" ht="12.75"/>
    <row r="17981" s="3161" customFormat="1" ht="12.75"/>
    <row r="17982" s="3161" customFormat="1" ht="12.75"/>
    <row r="17983" s="3161" customFormat="1" ht="12.75"/>
    <row r="17984" s="3161" customFormat="1" ht="12.75"/>
    <row r="17985" s="3161" customFormat="1" ht="12.75"/>
    <row r="17986" s="3161" customFormat="1" ht="12.75"/>
    <row r="17987" s="3161" customFormat="1" ht="12.75"/>
    <row r="17988" s="3161" customFormat="1" ht="12.75"/>
    <row r="17989" s="3161" customFormat="1" ht="12.75"/>
    <row r="17990" s="3161" customFormat="1" ht="12.75"/>
    <row r="17991" s="3161" customFormat="1" ht="12.75"/>
    <row r="17992" s="3161" customFormat="1" ht="12.75"/>
    <row r="17993" s="3161" customFormat="1" ht="12.75"/>
    <row r="17994" s="3161" customFormat="1" ht="12.75"/>
    <row r="17995" s="3161" customFormat="1" ht="12.75"/>
    <row r="17996" s="3161" customFormat="1" ht="12.75"/>
    <row r="17997" s="3161" customFormat="1" ht="12.75"/>
    <row r="17998" s="3161" customFormat="1" ht="12.75"/>
    <row r="17999" s="3161" customFormat="1" ht="12.75"/>
    <row r="18000" s="3161" customFormat="1" ht="12.75"/>
    <row r="18001" s="3161" customFormat="1" ht="12.75"/>
    <row r="18002" s="3161" customFormat="1" ht="12.75"/>
    <row r="18003" s="3161" customFormat="1" ht="12.75"/>
    <row r="18004" s="3161" customFormat="1" ht="12.75"/>
    <row r="18005" s="3161" customFormat="1" ht="12.75"/>
    <row r="18006" s="3161" customFormat="1" ht="12.75"/>
    <row r="18007" s="3161" customFormat="1" ht="12.75"/>
    <row r="18008" s="3161" customFormat="1" ht="12.75"/>
    <row r="18009" s="3161" customFormat="1" ht="12.75"/>
    <row r="18010" s="3161" customFormat="1" ht="12.75"/>
    <row r="18011" s="3161" customFormat="1" ht="12.75"/>
    <row r="18012" s="3161" customFormat="1" ht="12.75"/>
    <row r="18013" s="3161" customFormat="1" ht="12.75"/>
    <row r="18014" s="3161" customFormat="1" ht="12.75"/>
    <row r="18015" s="3161" customFormat="1" ht="12.75"/>
    <row r="18016" s="3161" customFormat="1" ht="12.75"/>
    <row r="18017" s="3161" customFormat="1" ht="12.75"/>
    <row r="18018" s="3161" customFormat="1" ht="12.75"/>
    <row r="18019" s="3161" customFormat="1" ht="12.75"/>
    <row r="18020" s="3161" customFormat="1" ht="12.75"/>
    <row r="18021" s="3161" customFormat="1" ht="12.75"/>
    <row r="18022" s="3161" customFormat="1" ht="12.75"/>
    <row r="18023" s="3161" customFormat="1" ht="12.75"/>
    <row r="18024" s="3161" customFormat="1" ht="12.75"/>
    <row r="18025" s="3161" customFormat="1" ht="12.75"/>
    <row r="18026" s="3161" customFormat="1" ht="12.75"/>
    <row r="18027" s="3161" customFormat="1" ht="12.75"/>
    <row r="18028" s="3161" customFormat="1" ht="12.75"/>
    <row r="18029" s="3161" customFormat="1" ht="12.75"/>
    <row r="18030" s="3161" customFormat="1" ht="12.75"/>
    <row r="18031" s="3161" customFormat="1" ht="12.75"/>
    <row r="18032" s="3161" customFormat="1" ht="12.75"/>
    <row r="18033" s="3161" customFormat="1" ht="12.75"/>
    <row r="18034" s="3161" customFormat="1" ht="12.75"/>
    <row r="18035" s="3161" customFormat="1" ht="12.75"/>
    <row r="18036" s="3161" customFormat="1" ht="12.75"/>
    <row r="18037" s="3161" customFormat="1" ht="12.75"/>
    <row r="18038" s="3161" customFormat="1" ht="12.75"/>
    <row r="18039" s="3161" customFormat="1" ht="12.75"/>
    <row r="18040" s="3161" customFormat="1" ht="12.75"/>
    <row r="18041" s="3161" customFormat="1" ht="12.75"/>
    <row r="18042" s="3161" customFormat="1" ht="12.75"/>
    <row r="18043" s="3161" customFormat="1" ht="12.75"/>
    <row r="18044" s="3161" customFormat="1" ht="12.75"/>
    <row r="18045" s="3161" customFormat="1" ht="12.75"/>
    <row r="18046" s="3161" customFormat="1" ht="12.75"/>
    <row r="18047" s="3161" customFormat="1" ht="12.75"/>
    <row r="18048" s="3161" customFormat="1" ht="12.75"/>
    <row r="18049" s="3161" customFormat="1" ht="12.75"/>
    <row r="18050" s="3161" customFormat="1" ht="12.75"/>
    <row r="18051" s="3161" customFormat="1" ht="12.75"/>
    <row r="18052" s="3161" customFormat="1" ht="12.75"/>
    <row r="18053" s="3161" customFormat="1" ht="12.75"/>
    <row r="18054" s="3161" customFormat="1" ht="12.75"/>
    <row r="18055" s="3161" customFormat="1" ht="12.75"/>
    <row r="18056" s="3161" customFormat="1" ht="12.75"/>
    <row r="18057" s="3161" customFormat="1" ht="12.75"/>
    <row r="18058" s="3161" customFormat="1" ht="12.75"/>
    <row r="18059" s="3161" customFormat="1" ht="12.75"/>
    <row r="18060" s="3161" customFormat="1" ht="12.75"/>
    <row r="18061" s="3161" customFormat="1" ht="12.75"/>
    <row r="18062" s="3161" customFormat="1" ht="12.75"/>
    <row r="18063" s="3161" customFormat="1" ht="12.75"/>
    <row r="18064" s="3161" customFormat="1" ht="12.75"/>
    <row r="18065" s="3161" customFormat="1" ht="12.75"/>
    <row r="18066" s="3161" customFormat="1" ht="12.75"/>
    <row r="18067" s="3161" customFormat="1" ht="12.75"/>
    <row r="18068" s="3161" customFormat="1" ht="12.75"/>
    <row r="18069" s="3161" customFormat="1" ht="12.75"/>
    <row r="18070" s="3161" customFormat="1" ht="12.75"/>
    <row r="18071" s="3161" customFormat="1" ht="12.75"/>
    <row r="18072" s="3161" customFormat="1" ht="12.75"/>
    <row r="18073" s="3161" customFormat="1" ht="12.75"/>
    <row r="18074" s="3161" customFormat="1" ht="12.75"/>
    <row r="18075" s="3161" customFormat="1" ht="12.75"/>
    <row r="18076" s="3161" customFormat="1" ht="12.75"/>
    <row r="18077" s="3161" customFormat="1" ht="12.75"/>
    <row r="18078" s="3161" customFormat="1" ht="12.75"/>
    <row r="18079" s="3161" customFormat="1" ht="12.75"/>
    <row r="18080" s="3161" customFormat="1" ht="12.75"/>
    <row r="18081" s="3161" customFormat="1" ht="12.75"/>
    <row r="18082" s="3161" customFormat="1" ht="12.75"/>
    <row r="18083" s="3161" customFormat="1" ht="12.75"/>
    <row r="18084" s="3161" customFormat="1" ht="12.75"/>
    <row r="18085" s="3161" customFormat="1" ht="12.75"/>
    <row r="18086" s="3161" customFormat="1" ht="12.75"/>
    <row r="18087" s="3161" customFormat="1" ht="12.75"/>
    <row r="18088" s="3161" customFormat="1" ht="12.75"/>
    <row r="18089" s="3161" customFormat="1" ht="12.75"/>
    <row r="18090" s="3161" customFormat="1" ht="12.75"/>
    <row r="18091" s="3161" customFormat="1" ht="12.75"/>
    <row r="18092" s="3161" customFormat="1" ht="12.75"/>
    <row r="18093" s="3161" customFormat="1" ht="12.75"/>
    <row r="18094" s="3161" customFormat="1" ht="12.75"/>
    <row r="18095" s="3161" customFormat="1" ht="12.75"/>
    <row r="18096" s="3161" customFormat="1" ht="12.75"/>
    <row r="18097" s="3161" customFormat="1" ht="12.75"/>
    <row r="18098" s="3161" customFormat="1" ht="12.75"/>
    <row r="18099" s="3161" customFormat="1" ht="12.75"/>
    <row r="18100" s="3161" customFormat="1" ht="12.75"/>
    <row r="18101" s="3161" customFormat="1" ht="12.75"/>
    <row r="18102" s="3161" customFormat="1" ht="12.75"/>
    <row r="18103" s="3161" customFormat="1" ht="12.75"/>
    <row r="18104" s="3161" customFormat="1" ht="12.75"/>
    <row r="18105" s="3161" customFormat="1" ht="12.75"/>
    <row r="18106" s="3161" customFormat="1" ht="12.75"/>
    <row r="18107" s="3161" customFormat="1" ht="12.75"/>
    <row r="18108" s="3161" customFormat="1" ht="12.75"/>
    <row r="18109" s="3161" customFormat="1" ht="12.75"/>
    <row r="18110" s="3161" customFormat="1" ht="12.75"/>
    <row r="18111" s="3161" customFormat="1" ht="12.75"/>
    <row r="18112" s="3161" customFormat="1" ht="12.75"/>
    <row r="18113" s="3161" customFormat="1" ht="12.75"/>
    <row r="18114" s="3161" customFormat="1" ht="12.75"/>
    <row r="18115" s="3161" customFormat="1" ht="12.75"/>
    <row r="18116" s="3161" customFormat="1" ht="12.75"/>
    <row r="18117" s="3161" customFormat="1" ht="12.75"/>
    <row r="18118" s="3161" customFormat="1" ht="12.75"/>
    <row r="18119" s="3161" customFormat="1" ht="12.75"/>
    <row r="18120" s="3161" customFormat="1" ht="12.75"/>
    <row r="18121" s="3161" customFormat="1" ht="12.75"/>
    <row r="18122" s="3161" customFormat="1" ht="12.75"/>
    <row r="18123" s="3161" customFormat="1" ht="12.75"/>
    <row r="18124" s="3161" customFormat="1" ht="12.75"/>
    <row r="18125" s="3161" customFormat="1" ht="12.75"/>
    <row r="18126" s="3161" customFormat="1" ht="12.75"/>
    <row r="18127" s="3161" customFormat="1" ht="12.75"/>
    <row r="18128" s="3161" customFormat="1" ht="12.75"/>
    <row r="18129" s="3161" customFormat="1" ht="12.75"/>
    <row r="18130" s="3161" customFormat="1" ht="12.75"/>
    <row r="18131" s="3161" customFormat="1" ht="12.75"/>
    <row r="18132" s="3161" customFormat="1" ht="12.75"/>
    <row r="18133" s="3161" customFormat="1" ht="12.75"/>
    <row r="18134" s="3161" customFormat="1" ht="12.75"/>
    <row r="18135" s="3161" customFormat="1" ht="12.75"/>
    <row r="18136" s="3161" customFormat="1" ht="12.75"/>
    <row r="18137" s="3161" customFormat="1" ht="12.75"/>
    <row r="18138" s="3161" customFormat="1" ht="12.75"/>
    <row r="18139" s="3161" customFormat="1" ht="12.75"/>
    <row r="18140" s="3161" customFormat="1" ht="12.75"/>
    <row r="18141" s="3161" customFormat="1" ht="12.75"/>
    <row r="18142" s="3161" customFormat="1" ht="12.75"/>
    <row r="18143" s="3161" customFormat="1" ht="12.75"/>
    <row r="18144" s="3161" customFormat="1" ht="12.75"/>
    <row r="18145" s="3161" customFormat="1" ht="12.75"/>
    <row r="18146" s="3161" customFormat="1" ht="12.75"/>
    <row r="18147" s="3161" customFormat="1" ht="12.75"/>
    <row r="18148" s="3161" customFormat="1" ht="12.75"/>
    <row r="18149" s="3161" customFormat="1" ht="12.75"/>
    <row r="18150" s="3161" customFormat="1" ht="12.75"/>
    <row r="18151" s="3161" customFormat="1" ht="12.75"/>
    <row r="18152" s="3161" customFormat="1" ht="12.75"/>
    <row r="18153" s="3161" customFormat="1" ht="12.75"/>
    <row r="18154" s="3161" customFormat="1" ht="12.75"/>
    <row r="18155" s="3161" customFormat="1" ht="12.75"/>
    <row r="18156" s="3161" customFormat="1" ht="12.75"/>
    <row r="18157" s="3161" customFormat="1" ht="12.75"/>
    <row r="18158" s="3161" customFormat="1" ht="12.75"/>
    <row r="18159" s="3161" customFormat="1" ht="12.75"/>
    <row r="18160" s="3161" customFormat="1" ht="12.75"/>
    <row r="18161" s="3161" customFormat="1" ht="12.75"/>
    <row r="18162" s="3161" customFormat="1" ht="12.75"/>
    <row r="18163" s="3161" customFormat="1" ht="12.75"/>
    <row r="18164" s="3161" customFormat="1" ht="12.75"/>
    <row r="18165" s="3161" customFormat="1" ht="12.75"/>
    <row r="18166" s="3161" customFormat="1" ht="12.75"/>
    <row r="18167" s="3161" customFormat="1" ht="12.75"/>
    <row r="18168" s="3161" customFormat="1" ht="12.75"/>
    <row r="18169" s="3161" customFormat="1" ht="12.75"/>
    <row r="18170" s="3161" customFormat="1" ht="12.75"/>
    <row r="18171" s="3161" customFormat="1" ht="12.75"/>
    <row r="18172" s="3161" customFormat="1" ht="12.75"/>
    <row r="18173" s="3161" customFormat="1" ht="12.75"/>
    <row r="18174" s="3161" customFormat="1" ht="12.75"/>
    <row r="18175" s="3161" customFormat="1" ht="12.75"/>
    <row r="18176" s="3161" customFormat="1" ht="12.75"/>
    <row r="18177" s="3161" customFormat="1" ht="12.75"/>
    <row r="18178" s="3161" customFormat="1" ht="12.75"/>
    <row r="18179" s="3161" customFormat="1" ht="12.75"/>
    <row r="18180" s="3161" customFormat="1" ht="12.75"/>
    <row r="18181" s="3161" customFormat="1" ht="12.75"/>
    <row r="18182" s="3161" customFormat="1" ht="12.75"/>
    <row r="18183" s="3161" customFormat="1" ht="12.75"/>
    <row r="18184" s="3161" customFormat="1" ht="12.75"/>
    <row r="18185" s="3161" customFormat="1" ht="12.75"/>
    <row r="18186" s="3161" customFormat="1" ht="12.75"/>
    <row r="18187" s="3161" customFormat="1" ht="12.75"/>
    <row r="18188" s="3161" customFormat="1" ht="12.75"/>
    <row r="18189" s="3161" customFormat="1" ht="12.75"/>
    <row r="18190" s="3161" customFormat="1" ht="12.75"/>
    <row r="18191" s="3161" customFormat="1" ht="12.75"/>
    <row r="18192" s="3161" customFormat="1" ht="12.75"/>
    <row r="18193" s="3161" customFormat="1" ht="12.75"/>
    <row r="18194" s="3161" customFormat="1" ht="12.75"/>
    <row r="18195" s="3161" customFormat="1" ht="12.75"/>
    <row r="18196" s="3161" customFormat="1" ht="12.75"/>
    <row r="18197" s="3161" customFormat="1" ht="12.75"/>
    <row r="18198" s="3161" customFormat="1" ht="12.75"/>
    <row r="18199" s="3161" customFormat="1" ht="12.75"/>
    <row r="18200" s="3161" customFormat="1" ht="12.75"/>
    <row r="18201" s="3161" customFormat="1" ht="12.75"/>
    <row r="18202" s="3161" customFormat="1" ht="12.75"/>
    <row r="18203" s="3161" customFormat="1" ht="12.75"/>
    <row r="18204" s="3161" customFormat="1" ht="12.75"/>
    <row r="18205" s="3161" customFormat="1" ht="12.75"/>
    <row r="18206" s="3161" customFormat="1" ht="12.75"/>
    <row r="18207" s="3161" customFormat="1" ht="12.75"/>
    <row r="18208" s="3161" customFormat="1" ht="12.75"/>
    <row r="18209" s="3161" customFormat="1" ht="12.75"/>
    <row r="18210" s="3161" customFormat="1" ht="12.75"/>
    <row r="18211" s="3161" customFormat="1" ht="12.75"/>
    <row r="18212" s="3161" customFormat="1" ht="12.75"/>
    <row r="18213" s="3161" customFormat="1" ht="12.75"/>
    <row r="18214" s="3161" customFormat="1" ht="12.75"/>
    <row r="18215" s="3161" customFormat="1" ht="12.75"/>
    <row r="18216" s="3161" customFormat="1" ht="12.75"/>
    <row r="18217" s="3161" customFormat="1" ht="12.75"/>
    <row r="18218" s="3161" customFormat="1" ht="12.75"/>
    <row r="18219" s="3161" customFormat="1" ht="12.75"/>
    <row r="18220" s="3161" customFormat="1" ht="12.75"/>
    <row r="18221" s="3161" customFormat="1" ht="12.75"/>
    <row r="18222" s="3161" customFormat="1" ht="12.75"/>
    <row r="18223" s="3161" customFormat="1" ht="12.75"/>
    <row r="18224" s="3161" customFormat="1" ht="12.75"/>
    <row r="18225" s="3161" customFormat="1" ht="12.75"/>
    <row r="18226" s="3161" customFormat="1" ht="12.75"/>
    <row r="18227" s="3161" customFormat="1" ht="12.75"/>
    <row r="18228" s="3161" customFormat="1" ht="12.75"/>
    <row r="18229" s="3161" customFormat="1" ht="12.75"/>
    <row r="18230" s="3161" customFormat="1" ht="12.75"/>
    <row r="18231" s="3161" customFormat="1" ht="12.75"/>
    <row r="18232" s="3161" customFormat="1" ht="12.75"/>
    <row r="18233" s="3161" customFormat="1" ht="12.75"/>
    <row r="18234" s="3161" customFormat="1" ht="12.75"/>
    <row r="18235" s="3161" customFormat="1" ht="12.75"/>
    <row r="18236" s="3161" customFormat="1" ht="12.75"/>
    <row r="18237" s="3161" customFormat="1" ht="12.75"/>
    <row r="18238" s="3161" customFormat="1" ht="12.75"/>
    <row r="18239" s="3161" customFormat="1" ht="12.75"/>
    <row r="18240" s="3161" customFormat="1" ht="12.75"/>
    <row r="18241" s="3161" customFormat="1" ht="12.75"/>
    <row r="18242" s="3161" customFormat="1" ht="12.75"/>
    <row r="18243" s="3161" customFormat="1" ht="12.75"/>
    <row r="18244" s="3161" customFormat="1" ht="12.75"/>
    <row r="18245" s="3161" customFormat="1" ht="12.75"/>
    <row r="18246" s="3161" customFormat="1" ht="12.75"/>
    <row r="18247" s="3161" customFormat="1" ht="12.75"/>
    <row r="18248" s="3161" customFormat="1" ht="12.75"/>
    <row r="18249" s="3161" customFormat="1" ht="12.75"/>
    <row r="18250" s="3161" customFormat="1" ht="12.75"/>
    <row r="18251" s="3161" customFormat="1" ht="12.75"/>
    <row r="18252" s="3161" customFormat="1" ht="12.75"/>
    <row r="18253" s="3161" customFormat="1" ht="12.75"/>
    <row r="18254" s="3161" customFormat="1" ht="12.75"/>
    <row r="18255" s="3161" customFormat="1" ht="12.75"/>
    <row r="18256" s="3161" customFormat="1" ht="12.75"/>
    <row r="18257" s="3161" customFormat="1" ht="12.75"/>
    <row r="18258" s="3161" customFormat="1" ht="12.75"/>
    <row r="18259" s="3161" customFormat="1" ht="12.75"/>
    <row r="18260" s="3161" customFormat="1" ht="12.75"/>
    <row r="18261" s="3161" customFormat="1" ht="12.75"/>
    <row r="18262" s="3161" customFormat="1" ht="12.75"/>
    <row r="18263" s="3161" customFormat="1" ht="12.75"/>
    <row r="18264" s="3161" customFormat="1" ht="12.75"/>
    <row r="18265" s="3161" customFormat="1" ht="12.75"/>
    <row r="18266" s="3161" customFormat="1" ht="12.75"/>
    <row r="18267" s="3161" customFormat="1" ht="12.75"/>
    <row r="18268" s="3161" customFormat="1" ht="12.75"/>
    <row r="18269" s="3161" customFormat="1" ht="12.75"/>
    <row r="18270" s="3161" customFormat="1" ht="12.75"/>
    <row r="18271" s="3161" customFormat="1" ht="12.75"/>
    <row r="18272" s="3161" customFormat="1" ht="12.75"/>
    <row r="18273" s="3161" customFormat="1" ht="12.75"/>
    <row r="18274" s="3161" customFormat="1" ht="12.75"/>
    <row r="18275" s="3161" customFormat="1" ht="12.75"/>
    <row r="18276" s="3161" customFormat="1" ht="12.75"/>
    <row r="18277" s="3161" customFormat="1" ht="12.75"/>
    <row r="18278" s="3161" customFormat="1" ht="12.75"/>
    <row r="18279" s="3161" customFormat="1" ht="12.75"/>
    <row r="18280" s="3161" customFormat="1" ht="12.75"/>
    <row r="18281" s="3161" customFormat="1" ht="12.75"/>
    <row r="18282" s="3161" customFormat="1" ht="12.75"/>
    <row r="18283" s="3161" customFormat="1" ht="12.75"/>
    <row r="18284" s="3161" customFormat="1" ht="12.75"/>
    <row r="18285" s="3161" customFormat="1" ht="12.75"/>
    <row r="18286" s="3161" customFormat="1" ht="12.75"/>
    <row r="18287" s="3161" customFormat="1" ht="12.75"/>
    <row r="18288" s="3161" customFormat="1" ht="12.75"/>
    <row r="18289" s="3161" customFormat="1" ht="12.75"/>
    <row r="18290" s="3161" customFormat="1" ht="12.75"/>
    <row r="18291" s="3161" customFormat="1" ht="12.75"/>
    <row r="18292" s="3161" customFormat="1" ht="12.75"/>
    <row r="18293" s="3161" customFormat="1" ht="12.75"/>
    <row r="18294" s="3161" customFormat="1" ht="12.75"/>
    <row r="18295" s="3161" customFormat="1" ht="12.75"/>
    <row r="18296" s="3161" customFormat="1" ht="12.75"/>
    <row r="18297" s="3161" customFormat="1" ht="12.75"/>
    <row r="18298" s="3161" customFormat="1" ht="12.75"/>
    <row r="18299" s="3161" customFormat="1" ht="12.75"/>
    <row r="18300" s="3161" customFormat="1" ht="12.75"/>
    <row r="18301" s="3161" customFormat="1" ht="12.75"/>
    <row r="18302" s="3161" customFormat="1" ht="12.75"/>
    <row r="18303" s="3161" customFormat="1" ht="12.75"/>
    <row r="18304" s="3161" customFormat="1" ht="12.75"/>
    <row r="18305" s="3161" customFormat="1" ht="12.75"/>
    <row r="18306" s="3161" customFormat="1" ht="12.75"/>
    <row r="18307" s="3161" customFormat="1" ht="12.75"/>
    <row r="18308" s="3161" customFormat="1" ht="12.75"/>
    <row r="18309" s="3161" customFormat="1" ht="12.75"/>
    <row r="18310" s="3161" customFormat="1" ht="12.75"/>
    <row r="18311" s="3161" customFormat="1" ht="12.75"/>
    <row r="18312" s="3161" customFormat="1" ht="12.75"/>
    <row r="18313" s="3161" customFormat="1" ht="12.75"/>
    <row r="18314" s="3161" customFormat="1" ht="12.75"/>
    <row r="18315" s="3161" customFormat="1" ht="12.75"/>
    <row r="18316" s="3161" customFormat="1" ht="12.75"/>
    <row r="18317" s="3161" customFormat="1" ht="12.75"/>
    <row r="18318" s="3161" customFormat="1" ht="12.75"/>
    <row r="18319" s="3161" customFormat="1" ht="12.75"/>
    <row r="18320" s="3161" customFormat="1" ht="12.75"/>
    <row r="18321" s="3161" customFormat="1" ht="12.75"/>
    <row r="18322" s="3161" customFormat="1" ht="12.75"/>
    <row r="18323" s="3161" customFormat="1" ht="12.75"/>
    <row r="18324" s="3161" customFormat="1" ht="12.75"/>
    <row r="18325" s="3161" customFormat="1" ht="12.75"/>
    <row r="18326" s="3161" customFormat="1" ht="12.75"/>
    <row r="18327" s="3161" customFormat="1" ht="12.75"/>
    <row r="18328" s="3161" customFormat="1" ht="12.75"/>
    <row r="18329" s="3161" customFormat="1" ht="12.75"/>
    <row r="18330" s="3161" customFormat="1" ht="12.75"/>
    <row r="18331" s="3161" customFormat="1" ht="12.75"/>
    <row r="18332" s="3161" customFormat="1" ht="12.75"/>
    <row r="18333" s="3161" customFormat="1" ht="12.75"/>
    <row r="18334" s="3161" customFormat="1" ht="12.75"/>
    <row r="18335" s="3161" customFormat="1" ht="12.75"/>
    <row r="18336" s="3161" customFormat="1" ht="12.75"/>
    <row r="18337" s="3161" customFormat="1" ht="12.75"/>
    <row r="18338" s="3161" customFormat="1" ht="12.75"/>
    <row r="18339" s="3161" customFormat="1" ht="12.75"/>
    <row r="18340" s="3161" customFormat="1" ht="12.75"/>
    <row r="18341" s="3161" customFormat="1" ht="12.75"/>
    <row r="18342" s="3161" customFormat="1" ht="12.75"/>
    <row r="18343" s="3161" customFormat="1" ht="12.75"/>
    <row r="18344" s="3161" customFormat="1" ht="12.75"/>
    <row r="18345" s="3161" customFormat="1" ht="12.75"/>
    <row r="18346" s="3161" customFormat="1" ht="12.75"/>
    <row r="18347" s="3161" customFormat="1" ht="12.75"/>
    <row r="18348" s="3161" customFormat="1" ht="12.75"/>
    <row r="18349" s="3161" customFormat="1" ht="12.75"/>
    <row r="18350" s="3161" customFormat="1" ht="12.75"/>
    <row r="18351" s="3161" customFormat="1" ht="12.75"/>
    <row r="18352" s="3161" customFormat="1" ht="12.75"/>
    <row r="18353" s="3161" customFormat="1" ht="12.75"/>
    <row r="18354" s="3161" customFormat="1" ht="12.75"/>
    <row r="18355" s="3161" customFormat="1" ht="12.75"/>
    <row r="18356" s="3161" customFormat="1" ht="12.75"/>
    <row r="18357" s="3161" customFormat="1" ht="12.75"/>
    <row r="18358" s="3161" customFormat="1" ht="12.75"/>
    <row r="18359" s="3161" customFormat="1" ht="12.75"/>
    <row r="18360" s="3161" customFormat="1" ht="12.75"/>
    <row r="18361" s="3161" customFormat="1" ht="12.75"/>
    <row r="18362" s="3161" customFormat="1" ht="12.75"/>
    <row r="18363" s="3161" customFormat="1" ht="12.75"/>
    <row r="18364" s="3161" customFormat="1" ht="12.75"/>
    <row r="18365" s="3161" customFormat="1" ht="12.75"/>
    <row r="18366" s="3161" customFormat="1" ht="12.75"/>
    <row r="18367" s="3161" customFormat="1" ht="12.75"/>
    <row r="18368" s="3161" customFormat="1" ht="12.75"/>
    <row r="18369" s="3161" customFormat="1" ht="12.75"/>
    <row r="18370" s="3161" customFormat="1" ht="12.75"/>
    <row r="18371" s="3161" customFormat="1" ht="12.75"/>
    <row r="18372" s="3161" customFormat="1" ht="12.75"/>
    <row r="18373" s="3161" customFormat="1" ht="12.75"/>
    <row r="18374" s="3161" customFormat="1" ht="12.75"/>
    <row r="18375" s="3161" customFormat="1" ht="12.75"/>
    <row r="18376" s="3161" customFormat="1" ht="12.75"/>
    <row r="18377" s="3161" customFormat="1" ht="12.75"/>
    <row r="18378" s="3161" customFormat="1" ht="12.75"/>
    <row r="18379" s="3161" customFormat="1" ht="12.75"/>
    <row r="18380" s="3161" customFormat="1" ht="12.75"/>
    <row r="18381" s="3161" customFormat="1" ht="12.75"/>
    <row r="18382" s="3161" customFormat="1" ht="12.75"/>
    <row r="18383" s="3161" customFormat="1" ht="12.75"/>
    <row r="18384" s="3161" customFormat="1" ht="12.75"/>
    <row r="18385" s="3161" customFormat="1" ht="12.75"/>
    <row r="18386" s="3161" customFormat="1" ht="12.75"/>
    <row r="18387" s="3161" customFormat="1" ht="12.75"/>
    <row r="18388" s="3161" customFormat="1" ht="12.75"/>
    <row r="18389" s="3161" customFormat="1" ht="12.75"/>
    <row r="18390" s="3161" customFormat="1" ht="12.75"/>
    <row r="18391" s="3161" customFormat="1" ht="12.75"/>
    <row r="18392" s="3161" customFormat="1" ht="12.75"/>
    <row r="18393" s="3161" customFormat="1" ht="12.75"/>
    <row r="18394" s="3161" customFormat="1" ht="12.75"/>
    <row r="18395" s="3161" customFormat="1" ht="12.75"/>
    <row r="18396" s="3161" customFormat="1" ht="12.75"/>
    <row r="18397" s="3161" customFormat="1" ht="12.75"/>
    <row r="18398" s="3161" customFormat="1" ht="12.75"/>
    <row r="18399" s="3161" customFormat="1" ht="12.75"/>
    <row r="18400" s="3161" customFormat="1" ht="12.75"/>
    <row r="18401" s="3161" customFormat="1" ht="12.75"/>
    <row r="18402" s="3161" customFormat="1" ht="12.75"/>
    <row r="18403" s="3161" customFormat="1" ht="12.75"/>
    <row r="18404" s="3161" customFormat="1" ht="12.75"/>
    <row r="18405" s="3161" customFormat="1" ht="12.75"/>
    <row r="18406" s="3161" customFormat="1" ht="12.75"/>
    <row r="18407" s="3161" customFormat="1" ht="12.75"/>
    <row r="18408" s="3161" customFormat="1" ht="12.75"/>
    <row r="18409" s="3161" customFormat="1" ht="12.75"/>
    <row r="18410" s="3161" customFormat="1" ht="12.75"/>
    <row r="18411" s="3161" customFormat="1" ht="12.75"/>
    <row r="18412" s="3161" customFormat="1" ht="12.75"/>
    <row r="18413" s="3161" customFormat="1" ht="12.75"/>
    <row r="18414" s="3161" customFormat="1" ht="12.75"/>
    <row r="18415" s="3161" customFormat="1" ht="12.75"/>
    <row r="18416" s="3161" customFormat="1" ht="12.75"/>
    <row r="18417" s="3161" customFormat="1" ht="12.75"/>
    <row r="18418" s="3161" customFormat="1" ht="12.75"/>
    <row r="18419" s="3161" customFormat="1" ht="12.75"/>
    <row r="18420" s="3161" customFormat="1" ht="12.75"/>
    <row r="18421" s="3161" customFormat="1" ht="12.75"/>
    <row r="18422" s="3161" customFormat="1" ht="12.75"/>
    <row r="18423" s="3161" customFormat="1" ht="12.75"/>
    <row r="18424" s="3161" customFormat="1" ht="12.75"/>
    <row r="18425" s="3161" customFormat="1" ht="12.75"/>
    <row r="18426" s="3161" customFormat="1" ht="12.75"/>
    <row r="18427" s="3161" customFormat="1" ht="12.75"/>
    <row r="18428" s="3161" customFormat="1" ht="12.75"/>
    <row r="18429" s="3161" customFormat="1" ht="12.75"/>
    <row r="18430" s="3161" customFormat="1" ht="12.75"/>
    <row r="18431" s="3161" customFormat="1" ht="12.75"/>
    <row r="18432" s="3161" customFormat="1" ht="12.75"/>
    <row r="18433" s="3161" customFormat="1" ht="12.75"/>
    <row r="18434" s="3161" customFormat="1" ht="12.75"/>
    <row r="18435" s="3161" customFormat="1" ht="12.75"/>
    <row r="18436" s="3161" customFormat="1" ht="12.75"/>
    <row r="18437" s="3161" customFormat="1" ht="12.75"/>
    <row r="18438" s="3161" customFormat="1" ht="12.75"/>
    <row r="18439" s="3161" customFormat="1" ht="12.75"/>
    <row r="18440" s="3161" customFormat="1" ht="12.75"/>
    <row r="18441" s="3161" customFormat="1" ht="12.75"/>
    <row r="18442" s="3161" customFormat="1" ht="12.75"/>
    <row r="18443" s="3161" customFormat="1" ht="12.75"/>
    <row r="18444" s="3161" customFormat="1" ht="12.75"/>
    <row r="18445" s="3161" customFormat="1" ht="12.75"/>
    <row r="18446" s="3161" customFormat="1" ht="12.75"/>
    <row r="18447" s="3161" customFormat="1" ht="12.75"/>
    <row r="18448" s="3161" customFormat="1" ht="12.75"/>
    <row r="18449" s="3161" customFormat="1" ht="12.75"/>
    <row r="18450" s="3161" customFormat="1" ht="12.75"/>
    <row r="18451" s="3161" customFormat="1" ht="12.75"/>
    <row r="18452" s="3161" customFormat="1" ht="12.75"/>
    <row r="18453" s="3161" customFormat="1" ht="12.75"/>
    <row r="18454" s="3161" customFormat="1" ht="12.75"/>
    <row r="18455" s="3161" customFormat="1" ht="12.75"/>
    <row r="18456" s="3161" customFormat="1" ht="12.75"/>
    <row r="18457" s="3161" customFormat="1" ht="12.75"/>
    <row r="18458" s="3161" customFormat="1" ht="12.75"/>
    <row r="18459" s="3161" customFormat="1" ht="12.75"/>
    <row r="18460" s="3161" customFormat="1" ht="12.75"/>
    <row r="18461" s="3161" customFormat="1" ht="12.75"/>
    <row r="18462" s="3161" customFormat="1" ht="12.75"/>
    <row r="18463" s="3161" customFormat="1" ht="12.75"/>
    <row r="18464" s="3161" customFormat="1" ht="12.75"/>
    <row r="18465" s="3161" customFormat="1" ht="12.75"/>
    <row r="18466" s="3161" customFormat="1" ht="12.75"/>
    <row r="18467" s="3161" customFormat="1" ht="12.75"/>
    <row r="18468" s="3161" customFormat="1" ht="12.75"/>
    <row r="18469" s="3161" customFormat="1" ht="12.75"/>
    <row r="18470" s="3161" customFormat="1" ht="12.75"/>
    <row r="18471" s="3161" customFormat="1" ht="12.75"/>
    <row r="18472" s="3161" customFormat="1" ht="12.75"/>
    <row r="18473" s="3161" customFormat="1" ht="12.75"/>
    <row r="18474" s="3161" customFormat="1" ht="12.75"/>
    <row r="18475" s="3161" customFormat="1" ht="12.75"/>
    <row r="18476" s="3161" customFormat="1" ht="12.75"/>
    <row r="18477" s="3161" customFormat="1" ht="12.75"/>
    <row r="18478" s="3161" customFormat="1" ht="12.75"/>
    <row r="18479" s="3161" customFormat="1" ht="12.75"/>
    <row r="18480" s="3161" customFormat="1" ht="12.75"/>
    <row r="18481" s="3161" customFormat="1" ht="12.75"/>
    <row r="18482" s="3161" customFormat="1" ht="12.75"/>
    <row r="18483" s="3161" customFormat="1" ht="12.75"/>
    <row r="18484" s="3161" customFormat="1" ht="12.75"/>
    <row r="18485" s="3161" customFormat="1" ht="12.75"/>
    <row r="18486" s="3161" customFormat="1" ht="12.75"/>
    <row r="18487" s="3161" customFormat="1" ht="12.75"/>
    <row r="18488" s="3161" customFormat="1" ht="12.75"/>
    <row r="18489" s="3161" customFormat="1" ht="12.75"/>
    <row r="18490" s="3161" customFormat="1" ht="12.75"/>
    <row r="18491" s="3161" customFormat="1" ht="12.75"/>
    <row r="18492" s="3161" customFormat="1" ht="12.75"/>
    <row r="18493" s="3161" customFormat="1" ht="12.75"/>
    <row r="18494" s="3161" customFormat="1" ht="12.75"/>
    <row r="18495" s="3161" customFormat="1" ht="12.75"/>
    <row r="18496" s="3161" customFormat="1" ht="12.75"/>
    <row r="18497" s="3161" customFormat="1" ht="12.75"/>
    <row r="18498" s="3161" customFormat="1" ht="12.75"/>
    <row r="18499" s="3161" customFormat="1" ht="12.75"/>
    <row r="18500" s="3161" customFormat="1" ht="12.75"/>
    <row r="18501" s="3161" customFormat="1" ht="12.75"/>
    <row r="18502" s="3161" customFormat="1" ht="12.75"/>
    <row r="18503" s="3161" customFormat="1" ht="12.75"/>
    <row r="18504" s="3161" customFormat="1" ht="12.75"/>
    <row r="18505" s="3161" customFormat="1" ht="12.75"/>
    <row r="18506" s="3161" customFormat="1" ht="12.75"/>
    <row r="18507" s="3161" customFormat="1" ht="12.75"/>
    <row r="18508" s="3161" customFormat="1" ht="12.75"/>
    <row r="18509" s="3161" customFormat="1" ht="12.75"/>
    <row r="18510" s="3161" customFormat="1" ht="12.75"/>
    <row r="18511" s="3161" customFormat="1" ht="12.75"/>
    <row r="18512" s="3161" customFormat="1" ht="12.75"/>
    <row r="18513" s="3161" customFormat="1" ht="12.75"/>
    <row r="18514" s="3161" customFormat="1" ht="12.75"/>
    <row r="18515" s="3161" customFormat="1" ht="12.75"/>
    <row r="18516" s="3161" customFormat="1" ht="12.75"/>
    <row r="18517" s="3161" customFormat="1" ht="12.75"/>
    <row r="18518" s="3161" customFormat="1" ht="12.75"/>
    <row r="18519" s="3161" customFormat="1" ht="12.75"/>
    <row r="18520" s="3161" customFormat="1" ht="12.75"/>
    <row r="18521" s="3161" customFormat="1" ht="12.75"/>
    <row r="18522" s="3161" customFormat="1" ht="12.75"/>
    <row r="18523" s="3161" customFormat="1" ht="12.75"/>
    <row r="18524" s="3161" customFormat="1" ht="12.75"/>
    <row r="18525" s="3161" customFormat="1" ht="12.75"/>
    <row r="18526" s="3161" customFormat="1" ht="12.75"/>
    <row r="18527" s="3161" customFormat="1" ht="12.75"/>
    <row r="18528" s="3161" customFormat="1" ht="12.75"/>
    <row r="18529" s="3161" customFormat="1" ht="12.75"/>
    <row r="18530" s="3161" customFormat="1" ht="12.75"/>
    <row r="18531" s="3161" customFormat="1" ht="12.75"/>
    <row r="18532" s="3161" customFormat="1" ht="12.75"/>
    <row r="18533" s="3161" customFormat="1" ht="12.75"/>
    <row r="18534" s="3161" customFormat="1" ht="12.75"/>
    <row r="18535" s="3161" customFormat="1" ht="12.75"/>
    <row r="18536" s="3161" customFormat="1" ht="12.75"/>
    <row r="18537" s="3161" customFormat="1" ht="12.75"/>
    <row r="18538" s="3161" customFormat="1" ht="12.75"/>
    <row r="18539" s="3161" customFormat="1" ht="12.75"/>
    <row r="18540" s="3161" customFormat="1" ht="12.75"/>
    <row r="18541" s="3161" customFormat="1" ht="12.75"/>
    <row r="18542" s="3161" customFormat="1" ht="12.75"/>
    <row r="18543" s="3161" customFormat="1" ht="12.75"/>
    <row r="18544" s="3161" customFormat="1" ht="12.75"/>
    <row r="18545" s="3161" customFormat="1" ht="12.75"/>
    <row r="18546" s="3161" customFormat="1" ht="12.75"/>
    <row r="18547" s="3161" customFormat="1" ht="12.75"/>
    <row r="18548" s="3161" customFormat="1" ht="12.75"/>
    <row r="18549" s="3161" customFormat="1" ht="12.75"/>
    <row r="18550" s="3161" customFormat="1" ht="12.75"/>
    <row r="18551" s="3161" customFormat="1" ht="12.75"/>
    <row r="18552" s="3161" customFormat="1" ht="12.75"/>
    <row r="18553" s="3161" customFormat="1" ht="12.75"/>
    <row r="18554" s="3161" customFormat="1" ht="12.75"/>
    <row r="18555" s="3161" customFormat="1" ht="12.75"/>
    <row r="18556" s="3161" customFormat="1" ht="12.75"/>
    <row r="18557" s="3161" customFormat="1" ht="12.75"/>
    <row r="18558" s="3161" customFormat="1" ht="12.75"/>
    <row r="18559" s="3161" customFormat="1" ht="12.75"/>
    <row r="18560" s="3161" customFormat="1" ht="12.75"/>
    <row r="18561" s="3161" customFormat="1" ht="12.75"/>
    <row r="18562" s="3161" customFormat="1" ht="12.75"/>
    <row r="18563" s="3161" customFormat="1" ht="12.75"/>
    <row r="18564" s="3161" customFormat="1" ht="12.75"/>
    <row r="18565" s="3161" customFormat="1" ht="12.75"/>
    <row r="18566" s="3161" customFormat="1" ht="12.75"/>
    <row r="18567" s="3161" customFormat="1" ht="12.75"/>
    <row r="18568" s="3161" customFormat="1" ht="12.75"/>
    <row r="18569" s="3161" customFormat="1" ht="12.75"/>
    <row r="18570" s="3161" customFormat="1" ht="12.75"/>
    <row r="18571" s="3161" customFormat="1" ht="12.75"/>
    <row r="18572" s="3161" customFormat="1" ht="12.75"/>
    <row r="18573" s="3161" customFormat="1" ht="12.75"/>
    <row r="18574" s="3161" customFormat="1" ht="12.75"/>
    <row r="18575" s="3161" customFormat="1" ht="12.75"/>
    <row r="18576" s="3161" customFormat="1" ht="12.75"/>
    <row r="18577" s="3161" customFormat="1" ht="12.75"/>
    <row r="18578" s="3161" customFormat="1" ht="12.75"/>
    <row r="18579" s="3161" customFormat="1" ht="12.75"/>
    <row r="18580" s="3161" customFormat="1" ht="12.75"/>
    <row r="18581" s="3161" customFormat="1" ht="12.75"/>
    <row r="18582" s="3161" customFormat="1" ht="12.75"/>
    <row r="18583" s="3161" customFormat="1" ht="12.75"/>
    <row r="18584" s="3161" customFormat="1" ht="12.75"/>
    <row r="18585" s="3161" customFormat="1" ht="12.75"/>
    <row r="18586" s="3161" customFormat="1" ht="12.75"/>
    <row r="18587" s="3161" customFormat="1" ht="12.75"/>
    <row r="18588" s="3161" customFormat="1" ht="12.75"/>
    <row r="18589" s="3161" customFormat="1" ht="12.75"/>
    <row r="18590" s="3161" customFormat="1" ht="12.75"/>
    <row r="18591" s="3161" customFormat="1" ht="12.75"/>
    <row r="18592" s="3161" customFormat="1" ht="12.75"/>
    <row r="18593" s="3161" customFormat="1" ht="12.75"/>
    <row r="18594" s="3161" customFormat="1" ht="12.75"/>
    <row r="18595" s="3161" customFormat="1" ht="12.75"/>
    <row r="18596" s="3161" customFormat="1" ht="12.75"/>
    <row r="18597" s="3161" customFormat="1" ht="12.75"/>
    <row r="18598" s="3161" customFormat="1" ht="12.75"/>
    <row r="18599" s="3161" customFormat="1" ht="12.75"/>
    <row r="18600" s="3161" customFormat="1" ht="12.75"/>
    <row r="18601" s="3161" customFormat="1" ht="12.75"/>
    <row r="18602" s="3161" customFormat="1" ht="12.75"/>
    <row r="18603" s="3161" customFormat="1" ht="12.75"/>
    <row r="18604" s="3161" customFormat="1" ht="12.75"/>
    <row r="18605" s="3161" customFormat="1" ht="12.75"/>
    <row r="18606" s="3161" customFormat="1" ht="12.75"/>
    <row r="18607" s="3161" customFormat="1" ht="12.75"/>
    <row r="18608" s="3161" customFormat="1" ht="12.75"/>
    <row r="18609" s="3161" customFormat="1" ht="12.75"/>
    <row r="18610" s="3161" customFormat="1" ht="12.75"/>
    <row r="18611" s="3161" customFormat="1" ht="12.75"/>
    <row r="18612" s="3161" customFormat="1" ht="12.75"/>
    <row r="18613" s="3161" customFormat="1" ht="12.75"/>
    <row r="18614" s="3161" customFormat="1" ht="12.75"/>
    <row r="18615" s="3161" customFormat="1" ht="12.75"/>
    <row r="18616" s="3161" customFormat="1" ht="12.75"/>
    <row r="18617" s="3161" customFormat="1" ht="12.75"/>
    <row r="18618" s="3161" customFormat="1" ht="12.75"/>
    <row r="18619" s="3161" customFormat="1" ht="12.75"/>
    <row r="18620" s="3161" customFormat="1" ht="12.75"/>
    <row r="18621" s="3161" customFormat="1" ht="12.75"/>
    <row r="18622" s="3161" customFormat="1" ht="12.75"/>
    <row r="18623" s="3161" customFormat="1" ht="12.75"/>
    <row r="18624" s="3161" customFormat="1" ht="12.75"/>
    <row r="18625" s="3161" customFormat="1" ht="12.75"/>
    <row r="18626" s="3161" customFormat="1" ht="12.75"/>
    <row r="18627" s="3161" customFormat="1" ht="12.75"/>
    <row r="18628" s="3161" customFormat="1" ht="12.75"/>
    <row r="18629" s="3161" customFormat="1" ht="12.75"/>
    <row r="18630" s="3161" customFormat="1" ht="12.75"/>
    <row r="18631" s="3161" customFormat="1" ht="12.75"/>
    <row r="18632" s="3161" customFormat="1" ht="12.75"/>
    <row r="18633" s="3161" customFormat="1" ht="12.75"/>
    <row r="18634" s="3161" customFormat="1" ht="12.75"/>
    <row r="18635" s="3161" customFormat="1" ht="12.75"/>
    <row r="18636" s="3161" customFormat="1" ht="12.75"/>
    <row r="18637" s="3161" customFormat="1" ht="12.75"/>
    <row r="18638" s="3161" customFormat="1" ht="12.75"/>
    <row r="18639" s="3161" customFormat="1" ht="12.75"/>
    <row r="18640" s="3161" customFormat="1" ht="12.75"/>
    <row r="18641" s="3161" customFormat="1" ht="12.75"/>
    <row r="18642" s="3161" customFormat="1" ht="12.75"/>
    <row r="18643" s="3161" customFormat="1" ht="12.75"/>
    <row r="18644" s="3161" customFormat="1" ht="12.75"/>
    <row r="18645" s="3161" customFormat="1" ht="12.75"/>
    <row r="18646" s="3161" customFormat="1" ht="12.75"/>
    <row r="18647" s="3161" customFormat="1" ht="12.75"/>
    <row r="18648" s="3161" customFormat="1" ht="12.75"/>
    <row r="18649" s="3161" customFormat="1" ht="12.75"/>
    <row r="18650" s="3161" customFormat="1" ht="12.75"/>
    <row r="18651" s="3161" customFormat="1" ht="12.75"/>
    <row r="18652" s="3161" customFormat="1" ht="12.75"/>
    <row r="18653" s="3161" customFormat="1" ht="12.75"/>
    <row r="18654" s="3161" customFormat="1" ht="12.75"/>
    <row r="18655" s="3161" customFormat="1" ht="12.75"/>
    <row r="18656" s="3161" customFormat="1" ht="12.75"/>
    <row r="18657" s="3161" customFormat="1" ht="12.75"/>
    <row r="18658" s="3161" customFormat="1" ht="12.75"/>
    <row r="18659" s="3161" customFormat="1" ht="12.75"/>
    <row r="18660" s="3161" customFormat="1" ht="12.75"/>
    <row r="18661" s="3161" customFormat="1" ht="12.75"/>
    <row r="18662" s="3161" customFormat="1" ht="12.75"/>
    <row r="18663" s="3161" customFormat="1" ht="12.75"/>
    <row r="18664" s="3161" customFormat="1" ht="12.75"/>
    <row r="18665" s="3161" customFormat="1" ht="12.75"/>
    <row r="18666" s="3161" customFormat="1" ht="12.75"/>
    <row r="18667" s="3161" customFormat="1" ht="12.75"/>
    <row r="18668" s="3161" customFormat="1" ht="12.75"/>
    <row r="18669" s="3161" customFormat="1" ht="12.75"/>
    <row r="18670" s="3161" customFormat="1" ht="12.75"/>
    <row r="18671" s="3161" customFormat="1" ht="12.75"/>
    <row r="18672" s="3161" customFormat="1" ht="12.75"/>
    <row r="18673" s="3161" customFormat="1" ht="12.75"/>
    <row r="18674" s="3161" customFormat="1" ht="12.75"/>
    <row r="18675" s="3161" customFormat="1" ht="12.75"/>
    <row r="18676" s="3161" customFormat="1" ht="12.75"/>
    <row r="18677" s="3161" customFormat="1" ht="12.75"/>
    <row r="18678" s="3161" customFormat="1" ht="12.75"/>
    <row r="18679" s="3161" customFormat="1" ht="12.75"/>
    <row r="18680" s="3161" customFormat="1" ht="12.75"/>
    <row r="18681" s="3161" customFormat="1" ht="12.75"/>
    <row r="18682" s="3161" customFormat="1" ht="12.75"/>
    <row r="18683" s="3161" customFormat="1" ht="12.75"/>
    <row r="18684" s="3161" customFormat="1" ht="12.75"/>
    <row r="18685" s="3161" customFormat="1" ht="12.75"/>
    <row r="18686" s="3161" customFormat="1" ht="12.75"/>
    <row r="18687" s="3161" customFormat="1" ht="12.75"/>
    <row r="18688" s="3161" customFormat="1" ht="12.75"/>
    <row r="18689" s="3161" customFormat="1" ht="12.75"/>
    <row r="18690" s="3161" customFormat="1" ht="12.75"/>
    <row r="18691" s="3161" customFormat="1" ht="12.75"/>
    <row r="18692" s="3161" customFormat="1" ht="12.75"/>
    <row r="18693" s="3161" customFormat="1" ht="12.75"/>
    <row r="18694" s="3161" customFormat="1" ht="12.75"/>
    <row r="18695" s="3161" customFormat="1" ht="12.75"/>
    <row r="18696" s="3161" customFormat="1" ht="12.75"/>
    <row r="18697" s="3161" customFormat="1" ht="12.75"/>
    <row r="18698" s="3161" customFormat="1" ht="12.75"/>
    <row r="18699" s="3161" customFormat="1" ht="12.75"/>
    <row r="18700" s="3161" customFormat="1" ht="12.75"/>
    <row r="18701" s="3161" customFormat="1" ht="12.75"/>
    <row r="18702" s="3161" customFormat="1" ht="12.75"/>
    <row r="18703" s="3161" customFormat="1" ht="12.75"/>
    <row r="18704" s="3161" customFormat="1" ht="12.75"/>
    <row r="18705" s="3161" customFormat="1" ht="12.75"/>
    <row r="18706" s="3161" customFormat="1" ht="12.75"/>
    <row r="18707" s="3161" customFormat="1" ht="12.75"/>
    <row r="18708" s="3161" customFormat="1" ht="12.75"/>
    <row r="18709" s="3161" customFormat="1" ht="12.75"/>
    <row r="18710" s="3161" customFormat="1" ht="12.75"/>
    <row r="18711" s="3161" customFormat="1" ht="12.75"/>
    <row r="18712" s="3161" customFormat="1" ht="12.75"/>
    <row r="18713" s="3161" customFormat="1" ht="12.75"/>
    <row r="18714" s="3161" customFormat="1" ht="12.75"/>
    <row r="18715" s="3161" customFormat="1" ht="12.75"/>
    <row r="18716" s="3161" customFormat="1" ht="12.75"/>
    <row r="18717" s="3161" customFormat="1" ht="12.75"/>
    <row r="18718" s="3161" customFormat="1" ht="12.75"/>
    <row r="18719" s="3161" customFormat="1" ht="12.75"/>
    <row r="18720" s="3161" customFormat="1" ht="12.75"/>
    <row r="18721" s="3161" customFormat="1" ht="12.75"/>
    <row r="18722" s="3161" customFormat="1" ht="12.75"/>
    <row r="18723" s="3161" customFormat="1" ht="12.75"/>
    <row r="18724" s="3161" customFormat="1" ht="12.75"/>
    <row r="18725" s="3161" customFormat="1" ht="12.75"/>
    <row r="18726" s="3161" customFormat="1" ht="12.75"/>
    <row r="18727" s="3161" customFormat="1" ht="12.75"/>
    <row r="18728" s="3161" customFormat="1" ht="12.75"/>
    <row r="18729" s="3161" customFormat="1" ht="12.75"/>
    <row r="18730" s="3161" customFormat="1" ht="12.75"/>
    <row r="18731" s="3161" customFormat="1" ht="12.75"/>
    <row r="18732" s="3161" customFormat="1" ht="12.75"/>
    <row r="18733" s="3161" customFormat="1" ht="12.75"/>
    <row r="18734" s="3161" customFormat="1" ht="12.75"/>
    <row r="18735" s="3161" customFormat="1" ht="12.75"/>
    <row r="18736" s="3161" customFormat="1" ht="12.75"/>
    <row r="18737" s="3161" customFormat="1" ht="12.75"/>
    <row r="18738" s="3161" customFormat="1" ht="12.75"/>
    <row r="18739" s="3161" customFormat="1" ht="12.75"/>
    <row r="18740" s="3161" customFormat="1" ht="12.75"/>
    <row r="18741" s="3161" customFormat="1" ht="12.75"/>
    <row r="18742" s="3161" customFormat="1" ht="12.75"/>
    <row r="18743" s="3161" customFormat="1" ht="12.75"/>
    <row r="18744" s="3161" customFormat="1" ht="12.75"/>
    <row r="18745" s="3161" customFormat="1" ht="12.75"/>
    <row r="18746" s="3161" customFormat="1" ht="12.75"/>
    <row r="18747" s="3161" customFormat="1" ht="12.75"/>
    <row r="18748" s="3161" customFormat="1" ht="12.75"/>
    <row r="18749" s="3161" customFormat="1" ht="12.75"/>
    <row r="18750" s="3161" customFormat="1" ht="12.75"/>
    <row r="18751" s="3161" customFormat="1" ht="12.75"/>
    <row r="18752" s="3161" customFormat="1" ht="12.75"/>
    <row r="18753" s="3161" customFormat="1" ht="12.75"/>
    <row r="18754" s="3161" customFormat="1" ht="12.75"/>
    <row r="18755" s="3161" customFormat="1" ht="12.75"/>
    <row r="18756" s="3161" customFormat="1" ht="12.75"/>
    <row r="18757" s="3161" customFormat="1" ht="12.75"/>
    <row r="18758" s="3161" customFormat="1" ht="12.75"/>
    <row r="18759" s="3161" customFormat="1" ht="12.75"/>
    <row r="18760" s="3161" customFormat="1" ht="12.75"/>
    <row r="18761" s="3161" customFormat="1" ht="12.75"/>
    <row r="18762" s="3161" customFormat="1" ht="12.75"/>
    <row r="18763" s="3161" customFormat="1" ht="12.75"/>
    <row r="18764" s="3161" customFormat="1" ht="12.75"/>
    <row r="18765" s="3161" customFormat="1" ht="12.75"/>
    <row r="18766" s="3161" customFormat="1" ht="12.75"/>
    <row r="18767" s="3161" customFormat="1" ht="12.75"/>
    <row r="18768" s="3161" customFormat="1" ht="12.75"/>
    <row r="18769" s="3161" customFormat="1" ht="12.75"/>
    <row r="18770" s="3161" customFormat="1" ht="12.75"/>
    <row r="18771" s="3161" customFormat="1" ht="12.75"/>
    <row r="18772" s="3161" customFormat="1" ht="12.75"/>
    <row r="18773" s="3161" customFormat="1" ht="12.75"/>
    <row r="18774" s="3161" customFormat="1" ht="12.75"/>
    <row r="18775" s="3161" customFormat="1" ht="12.75"/>
    <row r="18776" s="3161" customFormat="1" ht="12.75"/>
    <row r="18777" s="3161" customFormat="1" ht="12.75"/>
    <row r="18778" s="3161" customFormat="1" ht="12.75"/>
    <row r="18779" s="3161" customFormat="1" ht="12.75"/>
    <row r="18780" s="3161" customFormat="1" ht="12.75"/>
    <row r="18781" s="3161" customFormat="1" ht="12.75"/>
    <row r="18782" s="3161" customFormat="1" ht="12.75"/>
    <row r="18783" s="3161" customFormat="1" ht="12.75"/>
    <row r="18784" s="3161" customFormat="1" ht="12.75"/>
    <row r="18785" s="3161" customFormat="1" ht="12.75"/>
    <row r="18786" s="3161" customFormat="1" ht="12.75"/>
    <row r="18787" s="3161" customFormat="1" ht="12.75"/>
    <row r="18788" s="3161" customFormat="1" ht="12.75"/>
    <row r="18789" s="3161" customFormat="1" ht="12.75"/>
    <row r="18790" s="3161" customFormat="1" ht="12.75"/>
    <row r="18791" s="3161" customFormat="1" ht="12.75"/>
    <row r="18792" s="3161" customFormat="1" ht="12.75"/>
    <row r="18793" s="3161" customFormat="1" ht="12.75"/>
    <row r="18794" s="3161" customFormat="1" ht="12.75"/>
    <row r="18795" s="3161" customFormat="1" ht="12.75"/>
    <row r="18796" s="3161" customFormat="1" ht="12.75"/>
    <row r="18797" s="3161" customFormat="1" ht="12.75"/>
    <row r="18798" s="3161" customFormat="1" ht="12.75"/>
    <row r="18799" s="3161" customFormat="1" ht="12.75"/>
    <row r="18800" s="3161" customFormat="1" ht="12.75"/>
    <row r="18801" s="3161" customFormat="1" ht="12.75"/>
    <row r="18802" s="3161" customFormat="1" ht="12.75"/>
    <row r="18803" s="3161" customFormat="1" ht="12.75"/>
    <row r="18804" s="3161" customFormat="1" ht="12.75"/>
    <row r="18805" s="3161" customFormat="1" ht="12.75"/>
    <row r="18806" s="3161" customFormat="1" ht="12.75"/>
    <row r="18807" s="3161" customFormat="1" ht="12.75"/>
    <row r="18808" s="3161" customFormat="1" ht="12.75"/>
    <row r="18809" s="3161" customFormat="1" ht="12.75"/>
    <row r="18810" s="3161" customFormat="1" ht="12.75"/>
    <row r="18811" s="3161" customFormat="1" ht="12.75"/>
    <row r="18812" s="3161" customFormat="1" ht="12.75"/>
    <row r="18813" s="3161" customFormat="1" ht="12.75"/>
    <row r="18814" s="3161" customFormat="1" ht="12.75"/>
    <row r="18815" s="3161" customFormat="1" ht="12.75"/>
    <row r="18816" s="3161" customFormat="1" ht="12.75"/>
    <row r="18817" s="3161" customFormat="1" ht="12.75"/>
    <row r="18818" s="3161" customFormat="1" ht="12.75"/>
    <row r="18819" s="3161" customFormat="1" ht="12.75"/>
    <row r="18820" s="3161" customFormat="1" ht="12.75"/>
    <row r="18821" s="3161" customFormat="1" ht="12.75"/>
    <row r="18822" s="3161" customFormat="1" ht="12.75"/>
    <row r="18823" s="3161" customFormat="1" ht="12.75"/>
    <row r="18824" s="3161" customFormat="1" ht="12.75"/>
    <row r="18825" s="3161" customFormat="1" ht="12.75"/>
    <row r="18826" s="3161" customFormat="1" ht="12.75"/>
    <row r="18827" s="3161" customFormat="1" ht="12.75"/>
    <row r="18828" s="3161" customFormat="1" ht="12.75"/>
    <row r="18829" s="3161" customFormat="1" ht="12.75"/>
    <row r="18830" s="3161" customFormat="1" ht="12.75"/>
    <row r="18831" s="3161" customFormat="1" ht="12.75"/>
    <row r="18832" s="3161" customFormat="1" ht="12.75"/>
    <row r="18833" s="3161" customFormat="1" ht="12.75"/>
    <row r="18834" s="3161" customFormat="1" ht="12.75"/>
    <row r="18835" s="3161" customFormat="1" ht="12.75"/>
    <row r="18836" s="3161" customFormat="1" ht="12.75"/>
    <row r="18837" s="3161" customFormat="1" ht="12.75"/>
    <row r="18838" s="3161" customFormat="1" ht="12.75"/>
    <row r="18839" s="3161" customFormat="1" ht="12.75"/>
    <row r="18840" s="3161" customFormat="1" ht="12.75"/>
    <row r="18841" s="3161" customFormat="1" ht="12.75"/>
    <row r="18842" s="3161" customFormat="1" ht="12.75"/>
    <row r="18843" s="3161" customFormat="1" ht="12.75"/>
    <row r="18844" s="3161" customFormat="1" ht="12.75"/>
    <row r="18845" s="3161" customFormat="1" ht="12.75"/>
    <row r="18846" s="3161" customFormat="1" ht="12.75"/>
    <row r="18847" s="3161" customFormat="1" ht="12.75"/>
    <row r="18848" s="3161" customFormat="1" ht="12.75"/>
    <row r="18849" s="3161" customFormat="1" ht="12.75"/>
    <row r="18850" s="3161" customFormat="1" ht="12.75"/>
    <row r="18851" s="3161" customFormat="1" ht="12.75"/>
    <row r="18852" s="3161" customFormat="1" ht="12.75"/>
    <row r="18853" s="3161" customFormat="1" ht="12.75"/>
    <row r="18854" s="3161" customFormat="1" ht="12.75"/>
    <row r="18855" s="3161" customFormat="1" ht="12.75"/>
    <row r="18856" s="3161" customFormat="1" ht="12.75"/>
    <row r="18857" s="3161" customFormat="1" ht="12.75"/>
    <row r="18858" s="3161" customFormat="1" ht="12.75"/>
    <row r="18859" s="3161" customFormat="1" ht="12.75"/>
    <row r="18860" s="3161" customFormat="1" ht="12.75"/>
    <row r="18861" s="3161" customFormat="1" ht="12.75"/>
    <row r="18862" s="3161" customFormat="1" ht="12.75"/>
    <row r="18863" s="3161" customFormat="1" ht="12.75"/>
    <row r="18864" s="3161" customFormat="1" ht="12.75"/>
    <row r="18865" s="3161" customFormat="1" ht="12.75"/>
    <row r="18866" s="3161" customFormat="1" ht="12.75"/>
    <row r="18867" s="3161" customFormat="1" ht="12.75"/>
    <row r="18868" s="3161" customFormat="1" ht="12.75"/>
    <row r="18869" s="3161" customFormat="1" ht="12.75"/>
    <row r="18870" s="3161" customFormat="1" ht="12.75"/>
    <row r="18871" s="3161" customFormat="1" ht="12.75"/>
    <row r="18872" s="3161" customFormat="1" ht="12.75"/>
    <row r="18873" s="3161" customFormat="1" ht="12.75"/>
    <row r="18874" s="3161" customFormat="1" ht="12.75"/>
    <row r="18875" s="3161" customFormat="1" ht="12.75"/>
    <row r="18876" s="3161" customFormat="1" ht="12.75"/>
    <row r="18877" s="3161" customFormat="1" ht="12.75"/>
    <row r="18878" s="3161" customFormat="1" ht="12.75"/>
    <row r="18879" s="3161" customFormat="1" ht="12.75"/>
    <row r="18880" s="3161" customFormat="1" ht="12.75"/>
    <row r="18881" s="3161" customFormat="1" ht="12.75"/>
    <row r="18882" s="3161" customFormat="1" ht="12.75"/>
    <row r="18883" s="3161" customFormat="1" ht="12.75"/>
    <row r="18884" s="3161" customFormat="1" ht="12.75"/>
    <row r="18885" s="3161" customFormat="1" ht="12.75"/>
    <row r="18886" s="3161" customFormat="1" ht="12.75"/>
    <row r="18887" s="3161" customFormat="1" ht="12.75"/>
    <row r="18888" s="3161" customFormat="1" ht="12.75"/>
    <row r="18889" s="3161" customFormat="1" ht="12.75"/>
    <row r="18890" s="3161" customFormat="1" ht="12.75"/>
    <row r="18891" s="3161" customFormat="1" ht="12.75"/>
    <row r="18892" s="3161" customFormat="1" ht="12.75"/>
    <row r="18893" s="3161" customFormat="1" ht="12.75"/>
    <row r="18894" s="3161" customFormat="1" ht="12.75"/>
    <row r="18895" s="3161" customFormat="1" ht="12.75"/>
    <row r="18896" s="3161" customFormat="1" ht="12.75"/>
    <row r="18897" s="3161" customFormat="1" ht="12.75"/>
    <row r="18898" s="3161" customFormat="1" ht="12.75"/>
    <row r="18899" s="3161" customFormat="1" ht="12.75"/>
    <row r="18900" s="3161" customFormat="1" ht="12.75"/>
    <row r="18901" s="3161" customFormat="1" ht="12.75"/>
    <row r="18902" s="3161" customFormat="1" ht="12.75"/>
    <row r="18903" s="3161" customFormat="1" ht="12.75"/>
    <row r="18904" s="3161" customFormat="1" ht="12.75"/>
    <row r="18905" s="3161" customFormat="1" ht="12.75"/>
    <row r="18906" s="3161" customFormat="1" ht="12.75"/>
    <row r="18907" s="3161" customFormat="1" ht="12.75"/>
    <row r="18908" s="3161" customFormat="1" ht="12.75"/>
    <row r="18909" s="3161" customFormat="1" ht="12.75"/>
    <row r="18910" s="3161" customFormat="1" ht="12.75"/>
    <row r="18911" s="3161" customFormat="1" ht="12.75"/>
    <row r="18912" s="3161" customFormat="1" ht="12.75"/>
    <row r="18913" s="3161" customFormat="1" ht="12.75"/>
    <row r="18914" s="3161" customFormat="1" ht="12.75"/>
    <row r="18915" s="3161" customFormat="1" ht="12.75"/>
    <row r="18916" s="3161" customFormat="1" ht="12.75"/>
    <row r="18917" s="3161" customFormat="1" ht="12.75"/>
    <row r="18918" s="3161" customFormat="1" ht="12.75"/>
    <row r="18919" s="3161" customFormat="1" ht="12.75"/>
    <row r="18920" s="3161" customFormat="1" ht="12.75"/>
    <row r="18921" s="3161" customFormat="1" ht="12.75"/>
    <row r="18922" s="3161" customFormat="1" ht="12.75"/>
    <row r="18923" s="3161" customFormat="1" ht="12.75"/>
    <row r="18924" s="3161" customFormat="1" ht="12.75"/>
    <row r="18925" s="3161" customFormat="1" ht="12.75"/>
    <row r="18926" s="3161" customFormat="1" ht="12.75"/>
    <row r="18927" s="3161" customFormat="1" ht="12.75"/>
    <row r="18928" s="3161" customFormat="1" ht="12.75"/>
    <row r="18929" s="3161" customFormat="1" ht="12.75"/>
    <row r="18930" s="3161" customFormat="1" ht="12.75"/>
    <row r="18931" s="3161" customFormat="1" ht="12.75"/>
    <row r="18932" s="3161" customFormat="1" ht="12.75"/>
    <row r="18933" s="3161" customFormat="1" ht="12.75"/>
    <row r="18934" s="3161" customFormat="1" ht="12.75"/>
    <row r="18935" s="3161" customFormat="1" ht="12.75"/>
    <row r="18936" s="3161" customFormat="1" ht="12.75"/>
    <row r="18937" s="3161" customFormat="1" ht="12.75"/>
    <row r="18938" s="3161" customFormat="1" ht="12.75"/>
    <row r="18939" s="3161" customFormat="1" ht="12.75"/>
    <row r="18940" s="3161" customFormat="1" ht="12.75"/>
    <row r="18941" s="3161" customFormat="1" ht="12.75"/>
    <row r="18942" s="3161" customFormat="1" ht="12.75"/>
    <row r="18943" s="3161" customFormat="1" ht="12.75"/>
    <row r="18944" s="3161" customFormat="1" ht="12.75"/>
    <row r="18945" s="3161" customFormat="1" ht="12.75"/>
    <row r="18946" s="3161" customFormat="1" ht="12.75"/>
    <row r="18947" s="3161" customFormat="1" ht="12.75"/>
    <row r="18948" s="3161" customFormat="1" ht="12.75"/>
    <row r="18949" s="3161" customFormat="1" ht="12.75"/>
    <row r="18950" s="3161" customFormat="1" ht="12.75"/>
    <row r="18951" s="3161" customFormat="1" ht="12.75"/>
    <row r="18952" s="3161" customFormat="1" ht="12.75"/>
    <row r="18953" s="3161" customFormat="1" ht="12.75"/>
    <row r="18954" s="3161" customFormat="1" ht="12.75"/>
    <row r="18955" s="3161" customFormat="1" ht="12.75"/>
    <row r="18956" s="3161" customFormat="1" ht="12.75"/>
    <row r="18957" s="3161" customFormat="1" ht="12.75"/>
    <row r="18958" s="3161" customFormat="1" ht="12.75"/>
    <row r="18959" s="3161" customFormat="1" ht="12.75"/>
    <row r="18960" s="3161" customFormat="1" ht="12.75"/>
    <row r="18961" s="3161" customFormat="1" ht="12.75"/>
    <row r="18962" s="3161" customFormat="1" ht="12.75"/>
    <row r="18963" s="3161" customFormat="1" ht="12.75"/>
    <row r="18964" s="3161" customFormat="1" ht="12.75"/>
    <row r="18965" s="3161" customFormat="1" ht="12.75"/>
    <row r="18966" s="3161" customFormat="1" ht="12.75"/>
    <row r="18967" s="3161" customFormat="1" ht="12.75"/>
    <row r="18968" s="3161" customFormat="1" ht="12.75"/>
    <row r="18969" s="3161" customFormat="1" ht="12.75"/>
    <row r="18970" s="3161" customFormat="1" ht="12.75"/>
    <row r="18971" s="3161" customFormat="1" ht="12.75"/>
    <row r="18972" s="3161" customFormat="1" ht="12.75"/>
    <row r="18973" s="3161" customFormat="1" ht="12.75"/>
    <row r="18974" s="3161" customFormat="1" ht="12.75"/>
    <row r="18975" s="3161" customFormat="1" ht="12.75"/>
    <row r="18976" s="3161" customFormat="1" ht="12.75"/>
    <row r="18977" s="3161" customFormat="1" ht="12.75"/>
    <row r="18978" s="3161" customFormat="1" ht="12.75"/>
    <row r="18979" s="3161" customFormat="1" ht="12.75"/>
    <row r="18980" s="3161" customFormat="1" ht="12.75"/>
    <row r="18981" s="3161" customFormat="1" ht="12.75"/>
    <row r="18982" s="3161" customFormat="1" ht="12.75"/>
    <row r="18983" s="3161" customFormat="1" ht="12.75"/>
    <row r="18984" s="3161" customFormat="1" ht="12.75"/>
    <row r="18985" s="3161" customFormat="1" ht="12.75"/>
    <row r="18986" s="3161" customFormat="1" ht="12.75"/>
    <row r="18987" s="3161" customFormat="1" ht="12.75"/>
    <row r="18988" s="3161" customFormat="1" ht="12.75"/>
    <row r="18989" s="3161" customFormat="1" ht="12.75"/>
    <row r="18990" s="3161" customFormat="1" ht="12.75"/>
    <row r="18991" s="3161" customFormat="1" ht="12.75"/>
    <row r="18992" s="3161" customFormat="1" ht="12.75"/>
    <row r="18993" s="3161" customFormat="1" ht="12.75"/>
    <row r="18994" s="3161" customFormat="1" ht="12.75"/>
    <row r="18995" s="3161" customFormat="1" ht="12.75"/>
    <row r="18996" s="3161" customFormat="1" ht="12.75"/>
    <row r="18997" s="3161" customFormat="1" ht="12.75"/>
    <row r="18998" s="3161" customFormat="1" ht="12.75"/>
    <row r="18999" s="3161" customFormat="1" ht="12.75"/>
    <row r="19000" s="3161" customFormat="1" ht="12.75"/>
    <row r="19001" s="3161" customFormat="1" ht="12.75"/>
    <row r="19002" s="3161" customFormat="1" ht="12.75"/>
    <row r="19003" s="3161" customFormat="1" ht="12.75"/>
    <row r="19004" s="3161" customFormat="1" ht="12.75"/>
    <row r="19005" s="3161" customFormat="1" ht="12.75"/>
    <row r="19006" s="3161" customFormat="1" ht="12.75"/>
    <row r="19007" s="3161" customFormat="1" ht="12.75"/>
    <row r="19008" s="3161" customFormat="1" ht="12.75"/>
    <row r="19009" s="3161" customFormat="1" ht="12.75"/>
    <row r="19010" s="3161" customFormat="1" ht="12.75"/>
    <row r="19011" s="3161" customFormat="1" ht="12.75"/>
    <row r="19012" s="3161" customFormat="1" ht="12.75"/>
    <row r="19013" s="3161" customFormat="1" ht="12.75"/>
    <row r="19014" s="3161" customFormat="1" ht="12.75"/>
    <row r="19015" s="3161" customFormat="1" ht="12.75"/>
    <row r="19016" s="3161" customFormat="1" ht="12.75"/>
    <row r="19017" s="3161" customFormat="1" ht="12.75"/>
    <row r="19018" s="3161" customFormat="1" ht="12.75"/>
    <row r="19019" s="3161" customFormat="1" ht="12.75"/>
    <row r="19020" s="3161" customFormat="1" ht="12.75"/>
    <row r="19021" s="3161" customFormat="1" ht="12.75"/>
    <row r="19022" s="3161" customFormat="1" ht="12.75"/>
    <row r="19023" s="3161" customFormat="1" ht="12.75"/>
    <row r="19024" s="3161" customFormat="1" ht="12.75"/>
    <row r="19025" s="3161" customFormat="1" ht="12.75"/>
    <row r="19026" s="3161" customFormat="1" ht="12.75"/>
    <row r="19027" s="3161" customFormat="1" ht="12.75"/>
    <row r="19028" s="3161" customFormat="1" ht="12.75"/>
    <row r="19029" s="3161" customFormat="1" ht="12.75"/>
    <row r="19030" s="3161" customFormat="1" ht="12.75"/>
    <row r="19031" s="3161" customFormat="1" ht="12.75"/>
    <row r="19032" s="3161" customFormat="1" ht="12.75"/>
    <row r="19033" s="3161" customFormat="1" ht="12.75"/>
    <row r="19034" s="3161" customFormat="1" ht="12.75"/>
    <row r="19035" s="3161" customFormat="1" ht="12.75"/>
    <row r="19036" s="3161" customFormat="1" ht="12.75"/>
    <row r="19037" s="3161" customFormat="1" ht="12.75"/>
    <row r="19038" s="3161" customFormat="1" ht="12.75"/>
    <row r="19039" s="3161" customFormat="1" ht="12.75"/>
    <row r="19040" s="3161" customFormat="1" ht="12.75"/>
    <row r="19041" s="3161" customFormat="1" ht="12.75"/>
    <row r="19042" s="3161" customFormat="1" ht="12.75"/>
    <row r="19043" s="3161" customFormat="1" ht="12.75"/>
    <row r="19044" s="3161" customFormat="1" ht="12.75"/>
    <row r="19045" s="3161" customFormat="1" ht="12.75"/>
    <row r="19046" s="3161" customFormat="1" ht="12.75"/>
    <row r="19047" s="3161" customFormat="1" ht="12.75"/>
    <row r="19048" s="3161" customFormat="1" ht="12.75"/>
    <row r="19049" s="3161" customFormat="1" ht="12.75"/>
    <row r="19050" s="3161" customFormat="1" ht="12.75"/>
    <row r="19051" s="3161" customFormat="1" ht="12.75"/>
    <row r="19052" s="3161" customFormat="1" ht="12.75"/>
    <row r="19053" s="3161" customFormat="1" ht="12.75"/>
    <row r="19054" s="3161" customFormat="1" ht="12.75"/>
    <row r="19055" s="3161" customFormat="1" ht="12.75"/>
    <row r="19056" s="3161" customFormat="1" ht="12.75"/>
    <row r="19057" s="3161" customFormat="1" ht="12.75"/>
    <row r="19058" s="3161" customFormat="1" ht="12.75"/>
    <row r="19059" s="3161" customFormat="1" ht="12.75"/>
    <row r="19060" s="3161" customFormat="1" ht="12.75"/>
    <row r="19061" s="3161" customFormat="1" ht="12.75"/>
    <row r="19062" s="3161" customFormat="1" ht="12.75"/>
    <row r="19063" s="3161" customFormat="1" ht="12.75"/>
    <row r="19064" s="3161" customFormat="1" ht="12.75"/>
    <row r="19065" s="3161" customFormat="1" ht="12.75"/>
    <row r="19066" s="3161" customFormat="1" ht="12.75"/>
    <row r="19067" s="3161" customFormat="1" ht="12.75"/>
    <row r="19068" s="3161" customFormat="1" ht="12.75"/>
    <row r="19069" s="3161" customFormat="1" ht="12.75"/>
    <row r="19070" s="3161" customFormat="1" ht="12.75"/>
    <row r="19071" s="3161" customFormat="1" ht="12.75"/>
    <row r="19072" s="3161" customFormat="1" ht="12.75"/>
    <row r="19073" s="3161" customFormat="1" ht="12.75"/>
    <row r="19074" s="3161" customFormat="1" ht="12.75"/>
    <row r="19075" s="3161" customFormat="1" ht="12.75"/>
    <row r="19076" s="3161" customFormat="1" ht="12.75"/>
    <row r="19077" s="3161" customFormat="1" ht="12.75"/>
    <row r="19078" s="3161" customFormat="1" ht="12.75"/>
    <row r="19079" s="3161" customFormat="1" ht="12.75"/>
    <row r="19080" s="3161" customFormat="1" ht="12.75"/>
    <row r="19081" s="3161" customFormat="1" ht="12.75"/>
    <row r="19082" s="3161" customFormat="1" ht="12.75"/>
    <row r="19083" s="3161" customFormat="1" ht="12.75"/>
    <row r="19084" s="3161" customFormat="1" ht="12.75"/>
    <row r="19085" s="3161" customFormat="1" ht="12.75"/>
    <row r="19086" s="3161" customFormat="1" ht="12.75"/>
    <row r="19087" s="3161" customFormat="1" ht="12.75"/>
    <row r="19088" s="3161" customFormat="1" ht="12.75"/>
    <row r="19089" s="3161" customFormat="1" ht="12.75"/>
    <row r="19090" s="3161" customFormat="1" ht="12.75"/>
    <row r="19091" s="3161" customFormat="1" ht="12.75"/>
    <row r="19092" s="3161" customFormat="1" ht="12.75"/>
    <row r="19093" s="3161" customFormat="1" ht="12.75"/>
    <row r="19094" s="3161" customFormat="1" ht="12.75"/>
    <row r="19095" s="3161" customFormat="1" ht="12.75"/>
    <row r="19096" s="3161" customFormat="1" ht="12.75"/>
    <row r="19097" s="3161" customFormat="1" ht="12.75"/>
    <row r="19098" s="3161" customFormat="1" ht="12.75"/>
    <row r="19099" s="3161" customFormat="1" ht="12.75"/>
    <row r="19100" s="3161" customFormat="1" ht="12.75"/>
    <row r="19101" s="3161" customFormat="1" ht="12.75"/>
    <row r="19102" s="3161" customFormat="1" ht="12.75"/>
    <row r="19103" s="3161" customFormat="1" ht="12.75"/>
    <row r="19104" s="3161" customFormat="1" ht="12.75"/>
    <row r="19105" s="3161" customFormat="1" ht="12.75"/>
    <row r="19106" s="3161" customFormat="1" ht="12.75"/>
    <row r="19107" s="3161" customFormat="1" ht="12.75"/>
    <row r="19108" s="3161" customFormat="1" ht="12.75"/>
    <row r="19109" s="3161" customFormat="1" ht="12.75"/>
    <row r="19110" s="3161" customFormat="1" ht="12.75"/>
    <row r="19111" s="3161" customFormat="1" ht="12.75"/>
    <row r="19112" s="3161" customFormat="1" ht="12.75"/>
    <row r="19113" s="3161" customFormat="1" ht="12.75"/>
    <row r="19114" s="3161" customFormat="1" ht="12.75"/>
    <row r="19115" s="3161" customFormat="1" ht="12.75"/>
    <row r="19116" s="3161" customFormat="1" ht="12.75"/>
    <row r="19117" s="3161" customFormat="1" ht="12.75"/>
    <row r="19118" s="3161" customFormat="1" ht="12.75"/>
    <row r="19119" s="3161" customFormat="1" ht="12.75"/>
    <row r="19120" s="3161" customFormat="1" ht="12.75"/>
    <row r="19121" s="3161" customFormat="1" ht="12.75"/>
    <row r="19122" s="3161" customFormat="1" ht="12.75"/>
    <row r="19123" s="3161" customFormat="1" ht="12.75"/>
    <row r="19124" s="3161" customFormat="1" ht="12.75"/>
    <row r="19125" s="3161" customFormat="1" ht="12.75"/>
    <row r="19126" s="3161" customFormat="1" ht="12.75"/>
    <row r="19127" s="3161" customFormat="1" ht="12.75"/>
    <row r="19128" s="3161" customFormat="1" ht="12.75"/>
    <row r="19129" s="3161" customFormat="1" ht="12.75"/>
    <row r="19130" s="3161" customFormat="1" ht="12.75"/>
    <row r="19131" s="3161" customFormat="1" ht="12.75"/>
    <row r="19132" s="3161" customFormat="1" ht="12.75"/>
    <row r="19133" s="3161" customFormat="1" ht="12.75"/>
    <row r="19134" s="3161" customFormat="1" ht="12.75"/>
    <row r="19135" s="3161" customFormat="1" ht="12.75"/>
    <row r="19136" s="3161" customFormat="1" ht="12.75"/>
    <row r="19137" s="3161" customFormat="1" ht="12.75"/>
    <row r="19138" s="3161" customFormat="1" ht="12.75"/>
    <row r="19139" s="3161" customFormat="1" ht="12.75"/>
    <row r="19140" s="3161" customFormat="1" ht="12.75"/>
    <row r="19141" s="3161" customFormat="1" ht="12.75"/>
    <row r="19142" s="3161" customFormat="1" ht="12.75"/>
    <row r="19143" s="3161" customFormat="1" ht="12.75"/>
    <row r="19144" s="3161" customFormat="1" ht="12.75"/>
    <row r="19145" s="3161" customFormat="1" ht="12.75"/>
    <row r="19146" s="3161" customFormat="1" ht="12.75"/>
    <row r="19147" s="3161" customFormat="1" ht="12.75"/>
    <row r="19148" s="3161" customFormat="1" ht="12.75"/>
    <row r="19149" s="3161" customFormat="1" ht="12.75"/>
    <row r="19150" s="3161" customFormat="1" ht="12.75"/>
    <row r="19151" s="3161" customFormat="1" ht="12.75"/>
    <row r="19152" s="3161" customFormat="1" ht="12.75"/>
    <row r="19153" s="3161" customFormat="1" ht="12.75"/>
    <row r="19154" s="3161" customFormat="1" ht="12.75"/>
    <row r="19155" s="3161" customFormat="1" ht="12.75"/>
    <row r="19156" s="3161" customFormat="1" ht="12.75"/>
    <row r="19157" s="3161" customFormat="1" ht="12.75"/>
    <row r="19158" s="3161" customFormat="1" ht="12.75"/>
    <row r="19159" s="3161" customFormat="1" ht="12.75"/>
    <row r="19160" s="3161" customFormat="1" ht="12.75"/>
    <row r="19161" s="3161" customFormat="1" ht="12.75"/>
    <row r="19162" s="3161" customFormat="1" ht="12.75"/>
    <row r="19163" s="3161" customFormat="1" ht="12.75"/>
    <row r="19164" s="3161" customFormat="1" ht="12.75"/>
    <row r="19165" s="3161" customFormat="1" ht="12.75"/>
    <row r="19166" s="3161" customFormat="1" ht="12.75"/>
    <row r="19167" s="3161" customFormat="1" ht="12.75"/>
    <row r="19168" s="3161" customFormat="1" ht="12.75"/>
    <row r="19169" s="3161" customFormat="1" ht="12.75"/>
    <row r="19170" s="3161" customFormat="1" ht="12.75"/>
    <row r="19171" s="3161" customFormat="1" ht="12.75"/>
    <row r="19172" s="3161" customFormat="1" ht="12.75"/>
    <row r="19173" s="3161" customFormat="1" ht="12.75"/>
    <row r="19174" s="3161" customFormat="1" ht="12.75"/>
    <row r="19175" s="3161" customFormat="1" ht="12.75"/>
    <row r="19176" s="3161" customFormat="1" ht="12.75"/>
    <row r="19177" s="3161" customFormat="1" ht="12.75"/>
    <row r="19178" s="3161" customFormat="1" ht="12.75"/>
    <row r="19179" s="3161" customFormat="1" ht="12.75"/>
    <row r="19180" s="3161" customFormat="1" ht="12.75"/>
    <row r="19181" s="3161" customFormat="1" ht="12.75"/>
    <row r="19182" s="3161" customFormat="1" ht="12.75"/>
    <row r="19183" s="3161" customFormat="1" ht="12.75"/>
    <row r="19184" s="3161" customFormat="1" ht="12.75"/>
    <row r="19185" s="3161" customFormat="1" ht="12.75"/>
    <row r="19186" s="3161" customFormat="1" ht="12.75"/>
    <row r="19187" s="3161" customFormat="1" ht="12.75"/>
    <row r="19188" s="3161" customFormat="1" ht="12.75"/>
    <row r="19189" s="3161" customFormat="1" ht="12.75"/>
    <row r="19190" s="3161" customFormat="1" ht="12.75"/>
    <row r="19191" s="3161" customFormat="1" ht="12.75"/>
    <row r="19192" s="3161" customFormat="1" ht="12.75"/>
    <row r="19193" s="3161" customFormat="1" ht="12.75"/>
    <row r="19194" s="3161" customFormat="1" ht="12.75"/>
    <row r="19195" s="3161" customFormat="1" ht="12.75"/>
    <row r="19196" s="3161" customFormat="1" ht="12.75"/>
    <row r="19197" s="3161" customFormat="1" ht="12.75"/>
    <row r="19198" s="3161" customFormat="1" ht="12.75"/>
    <row r="19199" s="3161" customFormat="1" ht="12.75"/>
    <row r="19200" s="3161" customFormat="1" ht="12.75"/>
    <row r="19201" s="3161" customFormat="1" ht="12.75"/>
    <row r="19202" s="3161" customFormat="1" ht="12.75"/>
    <row r="19203" s="3161" customFormat="1" ht="12.75"/>
    <row r="19204" s="3161" customFormat="1" ht="12.75"/>
    <row r="19205" s="3161" customFormat="1" ht="12.75"/>
    <row r="19206" s="3161" customFormat="1" ht="12.75"/>
    <row r="19207" s="3161" customFormat="1" ht="12.75"/>
    <row r="19208" s="3161" customFormat="1" ht="12.75"/>
    <row r="19209" s="3161" customFormat="1" ht="12.75"/>
    <row r="19210" s="3161" customFormat="1" ht="12.75"/>
    <row r="19211" s="3161" customFormat="1" ht="12.75"/>
    <row r="19212" s="3161" customFormat="1" ht="12.75"/>
    <row r="19213" s="3161" customFormat="1" ht="12.75"/>
    <row r="19214" s="3161" customFormat="1" ht="12.75"/>
    <row r="19215" s="3161" customFormat="1" ht="12.75"/>
    <row r="19216" s="3161" customFormat="1" ht="12.75"/>
    <row r="19217" s="3161" customFormat="1" ht="12.75"/>
    <row r="19218" s="3161" customFormat="1" ht="12.75"/>
    <row r="19219" s="3161" customFormat="1" ht="12.75"/>
    <row r="19220" s="3161" customFormat="1" ht="12.75"/>
    <row r="19221" s="3161" customFormat="1" ht="12.75"/>
    <row r="19222" s="3161" customFormat="1" ht="12.75"/>
    <row r="19223" s="3161" customFormat="1" ht="12.75"/>
    <row r="19224" s="3161" customFormat="1" ht="12.75"/>
    <row r="19225" s="3161" customFormat="1" ht="12.75"/>
    <row r="19226" s="3161" customFormat="1" ht="12.75"/>
    <row r="19227" s="3161" customFormat="1" ht="12.75"/>
    <row r="19228" s="3161" customFormat="1" ht="12.75"/>
    <row r="19229" s="3161" customFormat="1" ht="12.75"/>
    <row r="19230" s="3161" customFormat="1" ht="12.75"/>
    <row r="19231" s="3161" customFormat="1" ht="12.75"/>
    <row r="19232" s="3161" customFormat="1" ht="12.75"/>
    <row r="19233" s="3161" customFormat="1" ht="12.75"/>
    <row r="19234" s="3161" customFormat="1" ht="12.75"/>
    <row r="19235" s="3161" customFormat="1" ht="12.75"/>
    <row r="19236" s="3161" customFormat="1" ht="12.75"/>
    <row r="19237" s="3161" customFormat="1" ht="12.75"/>
    <row r="19238" s="3161" customFormat="1" ht="12.75"/>
    <row r="19239" s="3161" customFormat="1" ht="12.75"/>
    <row r="19240" s="3161" customFormat="1" ht="12.75"/>
    <row r="19241" s="3161" customFormat="1" ht="12.75"/>
    <row r="19242" s="3161" customFormat="1" ht="12.75"/>
    <row r="19243" s="3161" customFormat="1" ht="12.75"/>
    <row r="19244" s="3161" customFormat="1" ht="12.75"/>
    <row r="19245" s="3161" customFormat="1" ht="12.75"/>
    <row r="19246" s="3161" customFormat="1" ht="12.75"/>
    <row r="19247" s="3161" customFormat="1" ht="12.75"/>
    <row r="19248" s="3161" customFormat="1" ht="12.75"/>
    <row r="19249" s="3161" customFormat="1" ht="12.75"/>
    <row r="19250" s="3161" customFormat="1" ht="12.75"/>
    <row r="19251" s="3161" customFormat="1" ht="12.75"/>
    <row r="19252" s="3161" customFormat="1" ht="12.75"/>
    <row r="19253" s="3161" customFormat="1" ht="12.75"/>
    <row r="19254" s="3161" customFormat="1" ht="12.75"/>
    <row r="19255" s="3161" customFormat="1" ht="12.75"/>
    <row r="19256" s="3161" customFormat="1" ht="12.75"/>
    <row r="19257" s="3161" customFormat="1" ht="12.75"/>
    <row r="19258" s="3161" customFormat="1" ht="12.75"/>
    <row r="19259" s="3161" customFormat="1" ht="12.75"/>
    <row r="19260" s="3161" customFormat="1" ht="12.75"/>
    <row r="19261" s="3161" customFormat="1" ht="12.75"/>
    <row r="19262" s="3161" customFormat="1" ht="12.75"/>
    <row r="19263" s="3161" customFormat="1" ht="12.75"/>
    <row r="19264" s="3161" customFormat="1" ht="12.75"/>
    <row r="19265" s="3161" customFormat="1" ht="12.75"/>
    <row r="19266" s="3161" customFormat="1" ht="12.75"/>
    <row r="19267" s="3161" customFormat="1" ht="12.75"/>
    <row r="19268" s="3161" customFormat="1" ht="12.75"/>
    <row r="19269" s="3161" customFormat="1" ht="12.75"/>
    <row r="19270" s="3161" customFormat="1" ht="12.75"/>
    <row r="19271" s="3161" customFormat="1" ht="12.75"/>
    <row r="19272" s="3161" customFormat="1" ht="12.75"/>
    <row r="19273" s="3161" customFormat="1" ht="12.75"/>
    <row r="19274" s="3161" customFormat="1" ht="12.75"/>
    <row r="19275" s="3161" customFormat="1" ht="12.75"/>
    <row r="19276" s="3161" customFormat="1" ht="12.75"/>
    <row r="19277" s="3161" customFormat="1" ht="12.75"/>
    <row r="19278" s="3161" customFormat="1" ht="12.75"/>
    <row r="19279" s="3161" customFormat="1" ht="12.75"/>
    <row r="19280" s="3161" customFormat="1" ht="12.75"/>
    <row r="19281" s="3161" customFormat="1" ht="12.75"/>
    <row r="19282" s="3161" customFormat="1" ht="12.75"/>
    <row r="19283" s="3161" customFormat="1" ht="12.75"/>
    <row r="19284" s="3161" customFormat="1" ht="12.75"/>
    <row r="19285" s="3161" customFormat="1" ht="12.75"/>
    <row r="19286" s="3161" customFormat="1" ht="12.75"/>
    <row r="19287" s="3161" customFormat="1" ht="12.75"/>
    <row r="19288" s="3161" customFormat="1" ht="12.75"/>
    <row r="19289" s="3161" customFormat="1" ht="12.75"/>
    <row r="19290" s="3161" customFormat="1" ht="12.75"/>
    <row r="19291" s="3161" customFormat="1" ht="12.75"/>
    <row r="19292" s="3161" customFormat="1" ht="12.75"/>
    <row r="19293" s="3161" customFormat="1" ht="12.75"/>
    <row r="19294" s="3161" customFormat="1" ht="12.75"/>
    <row r="19295" s="3161" customFormat="1" ht="12.75"/>
    <row r="19296" s="3161" customFormat="1" ht="12.75"/>
    <row r="19297" s="3161" customFormat="1" ht="12.75"/>
    <row r="19298" s="3161" customFormat="1" ht="12.75"/>
    <row r="19299" s="3161" customFormat="1" ht="12.75"/>
    <row r="19300" s="3161" customFormat="1" ht="12.75"/>
    <row r="19301" s="3161" customFormat="1" ht="12.75"/>
    <row r="19302" s="3161" customFormat="1" ht="12.75"/>
    <row r="19303" s="3161" customFormat="1" ht="12.75"/>
    <row r="19304" s="3161" customFormat="1" ht="12.75"/>
    <row r="19305" s="3161" customFormat="1" ht="12.75"/>
    <row r="19306" s="3161" customFormat="1" ht="12.75"/>
    <row r="19307" s="3161" customFormat="1" ht="12.75"/>
    <row r="19308" s="3161" customFormat="1" ht="12.75"/>
    <row r="19309" s="3161" customFormat="1" ht="12.75"/>
    <row r="19310" s="3161" customFormat="1" ht="12.75"/>
    <row r="19311" s="3161" customFormat="1" ht="12.75"/>
    <row r="19312" s="3161" customFormat="1" ht="12.75"/>
    <row r="19313" s="3161" customFormat="1" ht="12.75"/>
    <row r="19314" s="3161" customFormat="1" ht="12.75"/>
    <row r="19315" s="3161" customFormat="1" ht="12.75"/>
    <row r="19316" s="3161" customFormat="1" ht="12.75"/>
    <row r="19317" s="3161" customFormat="1" ht="12.75"/>
    <row r="19318" s="3161" customFormat="1" ht="12.75"/>
    <row r="19319" s="3161" customFormat="1" ht="12.75"/>
    <row r="19320" s="3161" customFormat="1" ht="12.75"/>
    <row r="19321" s="3161" customFormat="1" ht="12.75"/>
    <row r="19322" s="3161" customFormat="1" ht="12.75"/>
    <row r="19323" s="3161" customFormat="1" ht="12.75"/>
    <row r="19324" s="3161" customFormat="1" ht="12.75"/>
    <row r="19325" s="3161" customFormat="1" ht="12.75"/>
    <row r="19326" s="3161" customFormat="1" ht="12.75"/>
    <row r="19327" s="3161" customFormat="1" ht="12.75"/>
    <row r="19328" s="3161" customFormat="1" ht="12.75"/>
    <row r="19329" s="3161" customFormat="1" ht="12.75"/>
    <row r="19330" s="3161" customFormat="1" ht="12.75"/>
    <row r="19331" s="3161" customFormat="1" ht="12.75"/>
    <row r="19332" s="3161" customFormat="1" ht="12.75"/>
    <row r="19333" s="3161" customFormat="1" ht="12.75"/>
    <row r="19334" s="3161" customFormat="1" ht="12.75"/>
    <row r="19335" s="3161" customFormat="1" ht="12.75"/>
    <row r="19336" s="3161" customFormat="1" ht="12.75"/>
    <row r="19337" s="3161" customFormat="1" ht="12.75"/>
    <row r="19338" s="3161" customFormat="1" ht="12.75"/>
    <row r="19339" s="3161" customFormat="1" ht="12.75"/>
    <row r="19340" s="3161" customFormat="1" ht="12.75"/>
    <row r="19341" s="3161" customFormat="1" ht="12.75"/>
    <row r="19342" s="3161" customFormat="1" ht="12.75"/>
    <row r="19343" s="3161" customFormat="1" ht="12.75"/>
    <row r="19344" s="3161" customFormat="1" ht="12.75"/>
    <row r="19345" s="3161" customFormat="1" ht="12.75"/>
    <row r="19346" s="3161" customFormat="1" ht="12.75"/>
    <row r="19347" s="3161" customFormat="1" ht="12.75"/>
    <row r="19348" s="3161" customFormat="1" ht="12.75"/>
    <row r="19349" s="3161" customFormat="1" ht="12.75"/>
    <row r="19350" s="3161" customFormat="1" ht="12.75"/>
    <row r="19351" s="3161" customFormat="1" ht="12.75"/>
    <row r="19352" s="3161" customFormat="1" ht="12.75"/>
    <row r="19353" s="3161" customFormat="1" ht="12.75"/>
    <row r="19354" s="3161" customFormat="1" ht="12.75"/>
    <row r="19355" s="3161" customFormat="1" ht="12.75"/>
    <row r="19356" s="3161" customFormat="1" ht="12.75"/>
    <row r="19357" s="3161" customFormat="1" ht="12.75"/>
    <row r="19358" s="3161" customFormat="1" ht="12.75"/>
    <row r="19359" s="3161" customFormat="1" ht="12.75"/>
    <row r="19360" s="3161" customFormat="1" ht="12.75"/>
    <row r="19361" s="3161" customFormat="1" ht="12.75"/>
    <row r="19362" s="3161" customFormat="1" ht="12.75"/>
    <row r="19363" s="3161" customFormat="1" ht="12.75"/>
    <row r="19364" s="3161" customFormat="1" ht="12.75"/>
    <row r="19365" s="3161" customFormat="1" ht="12.75"/>
    <row r="19366" s="3161" customFormat="1" ht="12.75"/>
    <row r="19367" s="3161" customFormat="1" ht="12.75"/>
    <row r="19368" s="3161" customFormat="1" ht="12.75"/>
    <row r="19369" s="3161" customFormat="1" ht="12.75"/>
    <row r="19370" s="3161" customFormat="1" ht="12.75"/>
    <row r="19371" s="3161" customFormat="1" ht="12.75"/>
    <row r="19372" s="3161" customFormat="1" ht="12.75"/>
    <row r="19373" s="3161" customFormat="1" ht="12.75"/>
    <row r="19374" s="3161" customFormat="1" ht="12.75"/>
    <row r="19375" s="3161" customFormat="1" ht="12.75"/>
    <row r="19376" s="3161" customFormat="1" ht="12.75"/>
    <row r="19377" s="3161" customFormat="1" ht="12.75"/>
    <row r="19378" s="3161" customFormat="1" ht="12.75"/>
    <row r="19379" s="3161" customFormat="1" ht="12.75"/>
    <row r="19380" s="3161" customFormat="1" ht="12.75"/>
    <row r="19381" s="3161" customFormat="1" ht="12.75"/>
    <row r="19382" s="3161" customFormat="1" ht="12.75"/>
    <row r="19383" s="3161" customFormat="1" ht="12.75"/>
    <row r="19384" s="3161" customFormat="1" ht="12.75"/>
    <row r="19385" s="3161" customFormat="1" ht="12.75"/>
    <row r="19386" s="3161" customFormat="1" ht="12.75"/>
    <row r="19387" s="3161" customFormat="1" ht="12.75"/>
    <row r="19388" s="3161" customFormat="1" ht="12.75"/>
    <row r="19389" s="3161" customFormat="1" ht="12.75"/>
    <row r="19390" s="3161" customFormat="1" ht="12.75"/>
    <row r="19391" s="3161" customFormat="1" ht="12.75"/>
    <row r="19392" s="3161" customFormat="1" ht="12.75"/>
    <row r="19393" s="3161" customFormat="1" ht="12.75"/>
    <row r="19394" s="3161" customFormat="1" ht="12.75"/>
    <row r="19395" s="3161" customFormat="1" ht="12.75"/>
    <row r="19396" s="3161" customFormat="1" ht="12.75"/>
    <row r="19397" s="3161" customFormat="1" ht="12.75"/>
    <row r="19398" s="3161" customFormat="1" ht="12.75"/>
    <row r="19399" s="3161" customFormat="1" ht="12.75"/>
    <row r="19400" s="3161" customFormat="1" ht="12.75"/>
    <row r="19401" s="3161" customFormat="1" ht="12.75"/>
    <row r="19402" s="3161" customFormat="1" ht="12.75"/>
    <row r="19403" s="3161" customFormat="1" ht="12.75"/>
    <row r="19404" s="3161" customFormat="1" ht="12.75"/>
    <row r="19405" s="3161" customFormat="1" ht="12.75"/>
    <row r="19406" s="3161" customFormat="1" ht="12.75"/>
    <row r="19407" s="3161" customFormat="1" ht="12.75"/>
    <row r="19408" s="3161" customFormat="1" ht="12.75"/>
    <row r="19409" s="3161" customFormat="1" ht="12.75"/>
    <row r="19410" s="3161" customFormat="1" ht="12.75"/>
    <row r="19411" s="3161" customFormat="1" ht="12.75"/>
    <row r="19412" s="3161" customFormat="1" ht="12.75"/>
    <row r="19413" s="3161" customFormat="1" ht="12.75"/>
    <row r="19414" s="3161" customFormat="1" ht="12.75"/>
    <row r="19415" s="3161" customFormat="1" ht="12.75"/>
    <row r="19416" s="3161" customFormat="1" ht="12.75"/>
    <row r="19417" s="3161" customFormat="1" ht="12.75"/>
    <row r="19418" s="3161" customFormat="1" ht="12.75"/>
    <row r="19419" s="3161" customFormat="1" ht="12.75"/>
    <row r="19420" s="3161" customFormat="1" ht="12.75"/>
    <row r="19421" s="3161" customFormat="1" ht="12.75"/>
    <row r="19422" s="3161" customFormat="1" ht="12.75"/>
    <row r="19423" s="3161" customFormat="1" ht="12.75"/>
    <row r="19424" s="3161" customFormat="1" ht="12.75"/>
    <row r="19425" s="3161" customFormat="1" ht="12.75"/>
    <row r="19426" s="3161" customFormat="1" ht="12.75"/>
    <row r="19427" s="3161" customFormat="1" ht="12.75"/>
    <row r="19428" s="3161" customFormat="1" ht="12.75"/>
    <row r="19429" s="3161" customFormat="1" ht="12.75"/>
    <row r="19430" s="3161" customFormat="1" ht="12.75"/>
    <row r="19431" s="3161" customFormat="1" ht="12.75"/>
    <row r="19432" s="3161" customFormat="1" ht="12.75"/>
    <row r="19433" s="3161" customFormat="1" ht="12.75"/>
    <row r="19434" s="3161" customFormat="1" ht="12.75"/>
    <row r="19435" s="3161" customFormat="1" ht="12.75"/>
    <row r="19436" s="3161" customFormat="1" ht="12.75"/>
    <row r="19437" s="3161" customFormat="1" ht="12.75"/>
    <row r="19438" s="3161" customFormat="1" ht="12.75"/>
    <row r="19439" s="3161" customFormat="1" ht="12.75"/>
    <row r="19440" s="3161" customFormat="1" ht="12.75"/>
    <row r="19441" s="3161" customFormat="1" ht="12.75"/>
    <row r="19442" s="3161" customFormat="1" ht="12.75"/>
    <row r="19443" s="3161" customFormat="1" ht="12.75"/>
    <row r="19444" s="3161" customFormat="1" ht="12.75"/>
    <row r="19445" s="3161" customFormat="1" ht="12.75"/>
    <row r="19446" s="3161" customFormat="1" ht="12.75"/>
    <row r="19447" s="3161" customFormat="1" ht="12.75"/>
    <row r="19448" s="3161" customFormat="1" ht="12.75"/>
    <row r="19449" s="3161" customFormat="1" ht="12.75"/>
    <row r="19450" s="3161" customFormat="1" ht="12.75"/>
    <row r="19451" s="3161" customFormat="1" ht="12.75"/>
    <row r="19452" s="3161" customFormat="1" ht="12.75"/>
    <row r="19453" s="3161" customFormat="1" ht="12.75"/>
    <row r="19454" s="3161" customFormat="1" ht="12.75"/>
    <row r="19455" s="3161" customFormat="1" ht="12.75"/>
    <row r="19456" s="3161" customFormat="1" ht="12.75"/>
    <row r="19457" s="3161" customFormat="1" ht="12.75"/>
    <row r="19458" s="3161" customFormat="1" ht="12.75"/>
    <row r="19459" s="3161" customFormat="1" ht="12.75"/>
    <row r="19460" s="3161" customFormat="1" ht="12.75"/>
    <row r="19461" s="3161" customFormat="1" ht="12.75"/>
    <row r="19462" s="3161" customFormat="1" ht="12.75"/>
    <row r="19463" s="3161" customFormat="1" ht="12.75"/>
    <row r="19464" s="3161" customFormat="1" ht="12.75"/>
    <row r="19465" s="3161" customFormat="1" ht="12.75"/>
    <row r="19466" s="3161" customFormat="1" ht="12.75"/>
    <row r="19467" s="3161" customFormat="1" ht="12.75"/>
    <row r="19468" s="3161" customFormat="1" ht="12.75"/>
    <row r="19469" s="3161" customFormat="1" ht="12.75"/>
    <row r="19470" s="3161" customFormat="1" ht="12.75"/>
    <row r="19471" s="3161" customFormat="1" ht="12.75"/>
    <row r="19472" s="3161" customFormat="1" ht="12.75"/>
    <row r="19473" s="3161" customFormat="1" ht="12.75"/>
    <row r="19474" s="3161" customFormat="1" ht="12.75"/>
    <row r="19475" s="3161" customFormat="1" ht="12.75"/>
    <row r="19476" s="3161" customFormat="1" ht="12.75"/>
    <row r="19477" s="3161" customFormat="1" ht="12.75"/>
    <row r="19478" s="3161" customFormat="1" ht="12.75"/>
    <row r="19479" s="3161" customFormat="1" ht="12.75"/>
    <row r="19480" s="3161" customFormat="1" ht="12.75"/>
    <row r="19481" s="3161" customFormat="1" ht="12.75"/>
    <row r="19482" s="3161" customFormat="1" ht="12.75"/>
    <row r="19483" s="3161" customFormat="1" ht="12.75"/>
    <row r="19484" s="3161" customFormat="1" ht="12.75"/>
    <row r="19485" s="3161" customFormat="1" ht="12.75"/>
    <row r="19486" s="3161" customFormat="1" ht="12.75"/>
    <row r="19487" s="3161" customFormat="1" ht="12.75"/>
    <row r="19488" s="3161" customFormat="1" ht="12.75"/>
    <row r="19489" s="3161" customFormat="1" ht="12.75"/>
    <row r="19490" s="3161" customFormat="1" ht="12.75"/>
    <row r="19491" s="3161" customFormat="1" ht="12.75"/>
    <row r="19492" s="3161" customFormat="1" ht="12.75"/>
    <row r="19493" s="3161" customFormat="1" ht="12.75"/>
    <row r="19494" s="3161" customFormat="1" ht="12.75"/>
    <row r="19495" s="3161" customFormat="1" ht="12.75"/>
    <row r="19496" s="3161" customFormat="1" ht="12.75"/>
    <row r="19497" s="3161" customFormat="1" ht="12.75"/>
    <row r="19498" s="3161" customFormat="1" ht="12.75"/>
    <row r="19499" s="3161" customFormat="1" ht="12.75"/>
    <row r="19500" s="3161" customFormat="1" ht="12.75"/>
    <row r="19501" s="3161" customFormat="1" ht="12.75"/>
    <row r="19502" s="3161" customFormat="1" ht="12.75"/>
    <row r="19503" s="3161" customFormat="1" ht="12.75"/>
    <row r="19504" s="3161" customFormat="1" ht="12.75"/>
    <row r="19505" s="3161" customFormat="1" ht="12.75"/>
    <row r="19506" s="3161" customFormat="1" ht="12.75"/>
    <row r="19507" s="3161" customFormat="1" ht="12.75"/>
    <row r="19508" s="3161" customFormat="1" ht="12.75"/>
    <row r="19509" s="3161" customFormat="1" ht="12.75"/>
    <row r="19510" s="3161" customFormat="1" ht="12.75"/>
    <row r="19511" s="3161" customFormat="1" ht="12.75"/>
    <row r="19512" s="3161" customFormat="1" ht="12.75"/>
    <row r="19513" s="3161" customFormat="1" ht="12.75"/>
    <row r="19514" s="3161" customFormat="1" ht="12.75"/>
    <row r="19515" s="3161" customFormat="1" ht="12.75"/>
    <row r="19516" s="3161" customFormat="1" ht="12.75"/>
    <row r="19517" s="3161" customFormat="1" ht="12.75"/>
    <row r="19518" s="3161" customFormat="1" ht="12.75"/>
    <row r="19519" s="3161" customFormat="1" ht="12.75"/>
    <row r="19520" s="3161" customFormat="1" ht="12.75"/>
    <row r="19521" s="3161" customFormat="1" ht="12.75"/>
    <row r="19522" s="3161" customFormat="1" ht="12.75"/>
    <row r="19523" s="3161" customFormat="1" ht="12.75"/>
    <row r="19524" s="3161" customFormat="1" ht="12.75"/>
    <row r="19525" s="3161" customFormat="1" ht="12.75"/>
    <row r="19526" s="3161" customFormat="1" ht="12.75"/>
    <row r="19527" s="3161" customFormat="1" ht="12.75"/>
    <row r="19528" s="3161" customFormat="1" ht="12.75"/>
    <row r="19529" s="3161" customFormat="1" ht="12.75"/>
    <row r="19530" s="3161" customFormat="1" ht="12.75"/>
    <row r="19531" s="3161" customFormat="1" ht="12.75"/>
    <row r="19532" s="3161" customFormat="1" ht="12.75"/>
    <row r="19533" s="3161" customFormat="1" ht="12.75"/>
    <row r="19534" s="3161" customFormat="1" ht="12.75"/>
    <row r="19535" s="3161" customFormat="1" ht="12.75"/>
    <row r="19536" s="3161" customFormat="1" ht="12.75"/>
    <row r="19537" s="3161" customFormat="1" ht="12.75"/>
    <row r="19538" s="3161" customFormat="1" ht="12.75"/>
    <row r="19539" s="3161" customFormat="1" ht="12.75"/>
    <row r="19540" s="3161" customFormat="1" ht="12.75"/>
    <row r="19541" s="3161" customFormat="1" ht="12.75"/>
    <row r="19542" s="3161" customFormat="1" ht="12.75"/>
    <row r="19543" s="3161" customFormat="1" ht="12.75"/>
    <row r="19544" s="3161" customFormat="1" ht="12.75"/>
    <row r="19545" s="3161" customFormat="1" ht="12.75"/>
    <row r="19546" s="3161" customFormat="1" ht="12.75"/>
    <row r="19547" s="3161" customFormat="1" ht="12.75"/>
    <row r="19548" s="3161" customFormat="1" ht="12.75"/>
    <row r="19549" s="3161" customFormat="1" ht="12.75"/>
    <row r="19550" s="3161" customFormat="1" ht="12.75"/>
    <row r="19551" s="3161" customFormat="1" ht="12.75"/>
    <row r="19552" s="3161" customFormat="1" ht="12.75"/>
    <row r="19553" s="3161" customFormat="1" ht="12.75"/>
    <row r="19554" s="3161" customFormat="1" ht="12.75"/>
    <row r="19555" s="3161" customFormat="1" ht="12.75"/>
    <row r="19556" s="3161" customFormat="1" ht="12.75"/>
    <row r="19557" s="3161" customFormat="1" ht="12.75"/>
    <row r="19558" s="3161" customFormat="1" ht="12.75"/>
    <row r="19559" s="3161" customFormat="1" ht="12.75"/>
    <row r="19560" s="3161" customFormat="1" ht="12.75"/>
    <row r="19561" s="3161" customFormat="1" ht="12.75"/>
    <row r="19562" s="3161" customFormat="1" ht="12.75"/>
    <row r="19563" s="3161" customFormat="1" ht="12.75"/>
    <row r="19564" s="3161" customFormat="1" ht="12.75"/>
    <row r="19565" s="3161" customFormat="1" ht="12.75"/>
    <row r="19566" s="3161" customFormat="1" ht="12.75"/>
    <row r="19567" s="3161" customFormat="1" ht="12.75"/>
    <row r="19568" s="3161" customFormat="1" ht="12.75"/>
    <row r="19569" s="3161" customFormat="1" ht="12.75"/>
    <row r="19570" s="3161" customFormat="1" ht="12.75"/>
    <row r="19571" s="3161" customFormat="1" ht="12.75"/>
    <row r="19572" s="3161" customFormat="1" ht="12.75"/>
    <row r="19573" s="3161" customFormat="1" ht="12.75"/>
    <row r="19574" s="3161" customFormat="1" ht="12.75"/>
    <row r="19575" s="3161" customFormat="1" ht="12.75"/>
    <row r="19576" s="3161" customFormat="1" ht="12.75"/>
    <row r="19577" s="3161" customFormat="1" ht="12.75"/>
    <row r="19578" s="3161" customFormat="1" ht="12.75"/>
    <row r="19579" s="3161" customFormat="1" ht="12.75"/>
    <row r="19580" s="3161" customFormat="1" ht="12.75"/>
    <row r="19581" s="3161" customFormat="1" ht="12.75"/>
    <row r="19582" s="3161" customFormat="1" ht="12.75"/>
    <row r="19583" s="3161" customFormat="1" ht="12.75"/>
    <row r="19584" s="3161" customFormat="1" ht="12.75"/>
    <row r="19585" s="3161" customFormat="1" ht="12.75"/>
    <row r="19586" s="3161" customFormat="1" ht="12.75"/>
    <row r="19587" s="3161" customFormat="1" ht="12.75"/>
    <row r="19588" s="3161" customFormat="1" ht="12.75"/>
    <row r="19589" s="3161" customFormat="1" ht="12.75"/>
    <row r="19590" s="3161" customFormat="1" ht="12.75"/>
    <row r="19591" s="3161" customFormat="1" ht="12.75"/>
    <row r="19592" s="3161" customFormat="1" ht="12.75"/>
    <row r="19593" s="3161" customFormat="1" ht="12.75"/>
    <row r="19594" s="3161" customFormat="1" ht="12.75"/>
    <row r="19595" s="3161" customFormat="1" ht="12.75"/>
    <row r="19596" s="3161" customFormat="1" ht="12.75"/>
    <row r="19597" s="3161" customFormat="1" ht="12.75"/>
    <row r="19598" s="3161" customFormat="1" ht="12.75"/>
    <row r="19599" s="3161" customFormat="1" ht="12.75"/>
    <row r="19600" s="3161" customFormat="1" ht="12.75"/>
    <row r="19601" s="3161" customFormat="1" ht="12.75"/>
    <row r="19602" s="3161" customFormat="1" ht="12.75"/>
    <row r="19603" s="3161" customFormat="1" ht="12.75"/>
    <row r="19604" s="3161" customFormat="1" ht="12.75"/>
    <row r="19605" s="3161" customFormat="1" ht="12.75"/>
    <row r="19606" s="3161" customFormat="1" ht="12.75"/>
    <row r="19607" s="3161" customFormat="1" ht="12.75"/>
    <row r="19608" s="3161" customFormat="1" ht="12.75"/>
    <row r="19609" s="3161" customFormat="1" ht="12.75"/>
    <row r="19610" s="3161" customFormat="1" ht="12.75"/>
    <row r="19611" s="3161" customFormat="1" ht="12.75"/>
    <row r="19612" s="3161" customFormat="1" ht="12.75"/>
    <row r="19613" s="3161" customFormat="1" ht="12.75"/>
    <row r="19614" s="3161" customFormat="1" ht="12.75"/>
    <row r="19615" s="3161" customFormat="1" ht="12.75"/>
    <row r="19616" s="3161" customFormat="1" ht="12.75"/>
    <row r="19617" s="3161" customFormat="1" ht="12.75"/>
    <row r="19618" s="3161" customFormat="1" ht="12.75"/>
    <row r="19619" s="3161" customFormat="1" ht="12.75"/>
    <row r="19620" s="3161" customFormat="1" ht="12.75"/>
    <row r="19621" s="3161" customFormat="1" ht="12.75"/>
    <row r="19622" s="3161" customFormat="1" ht="12.75"/>
    <row r="19623" s="3161" customFormat="1" ht="12.75"/>
    <row r="19624" s="3161" customFormat="1" ht="12.75"/>
    <row r="19625" s="3161" customFormat="1" ht="12.75"/>
    <row r="19626" s="3161" customFormat="1" ht="12.75"/>
    <row r="19627" s="3161" customFormat="1" ht="12.75"/>
    <row r="19628" s="3161" customFormat="1" ht="12.75"/>
    <row r="19629" s="3161" customFormat="1" ht="12.75"/>
    <row r="19630" s="3161" customFormat="1" ht="12.75"/>
    <row r="19631" s="3161" customFormat="1" ht="12.75"/>
    <row r="19632" s="3161" customFormat="1" ht="12.75"/>
    <row r="19633" s="3161" customFormat="1" ht="12.75"/>
    <row r="19634" s="3161" customFormat="1" ht="12.75"/>
    <row r="19635" s="3161" customFormat="1" ht="12.75"/>
    <row r="19636" s="3161" customFormat="1" ht="12.75"/>
    <row r="19637" s="3161" customFormat="1" ht="12.75"/>
    <row r="19638" s="3161" customFormat="1" ht="12.75"/>
    <row r="19639" s="3161" customFormat="1" ht="12.75"/>
    <row r="19640" s="3161" customFormat="1" ht="12.75"/>
    <row r="19641" s="3161" customFormat="1" ht="12.75"/>
    <row r="19642" s="3161" customFormat="1" ht="12.75"/>
    <row r="19643" s="3161" customFormat="1" ht="12.75"/>
    <row r="19644" s="3161" customFormat="1" ht="12.75"/>
    <row r="19645" s="3161" customFormat="1" ht="12.75"/>
    <row r="19646" s="3161" customFormat="1" ht="12.75"/>
    <row r="19647" s="3161" customFormat="1" ht="12.75"/>
    <row r="19648" s="3161" customFormat="1" ht="12.75"/>
    <row r="19649" s="3161" customFormat="1" ht="12.75"/>
    <row r="19650" s="3161" customFormat="1" ht="12.75"/>
    <row r="19651" s="3161" customFormat="1" ht="12.75"/>
    <row r="19652" s="3161" customFormat="1" ht="12.75"/>
    <row r="19653" s="3161" customFormat="1" ht="12.75"/>
    <row r="19654" s="3161" customFormat="1" ht="12.75"/>
    <row r="19655" s="3161" customFormat="1" ht="12.75"/>
    <row r="19656" s="3161" customFormat="1" ht="12.75"/>
    <row r="19657" s="3161" customFormat="1" ht="12.75"/>
    <row r="19658" s="3161" customFormat="1" ht="12.75"/>
    <row r="19659" s="3161" customFormat="1" ht="12.75"/>
    <row r="19660" s="3161" customFormat="1" ht="12.75"/>
    <row r="19661" s="3161" customFormat="1" ht="12.75"/>
    <row r="19662" s="3161" customFormat="1" ht="12.75"/>
    <row r="19663" s="3161" customFormat="1" ht="12.75"/>
    <row r="19664" s="3161" customFormat="1" ht="12.75"/>
    <row r="19665" s="3161" customFormat="1" ht="12.75"/>
    <row r="19666" s="3161" customFormat="1" ht="12.75"/>
    <row r="19667" s="3161" customFormat="1" ht="12.75"/>
    <row r="19668" s="3161" customFormat="1" ht="12.75"/>
    <row r="19669" s="3161" customFormat="1" ht="12.75"/>
    <row r="19670" s="3161" customFormat="1" ht="12.75"/>
    <row r="19671" s="3161" customFormat="1" ht="12.75"/>
    <row r="19672" s="3161" customFormat="1" ht="12.75"/>
    <row r="19673" s="3161" customFormat="1" ht="12.75"/>
    <row r="19674" s="3161" customFormat="1" ht="12.75"/>
    <row r="19675" s="3161" customFormat="1" ht="12.75"/>
    <row r="19676" s="3161" customFormat="1" ht="12.75"/>
    <row r="19677" s="3161" customFormat="1" ht="12.75"/>
    <row r="19678" s="3161" customFormat="1" ht="12.75"/>
    <row r="19679" s="3161" customFormat="1" ht="12.75"/>
    <row r="19680" s="3161" customFormat="1" ht="12.75"/>
    <row r="19681" s="3161" customFormat="1" ht="12.75"/>
    <row r="19682" s="3161" customFormat="1" ht="12.75"/>
    <row r="19683" s="3161" customFormat="1" ht="12.75"/>
    <row r="19684" s="3161" customFormat="1" ht="12.75"/>
    <row r="19685" s="3161" customFormat="1" ht="12.75"/>
    <row r="19686" s="3161" customFormat="1" ht="12.75"/>
    <row r="19687" s="3161" customFormat="1" ht="12.75"/>
    <row r="19688" s="3161" customFormat="1" ht="12.75"/>
    <row r="19689" s="3161" customFormat="1" ht="12.75"/>
    <row r="19690" s="3161" customFormat="1" ht="12.75"/>
    <row r="19691" s="3161" customFormat="1" ht="12.75"/>
    <row r="19692" s="3161" customFormat="1" ht="12.75"/>
    <row r="19693" s="3161" customFormat="1" ht="12.75"/>
    <row r="19694" s="3161" customFormat="1" ht="12.75"/>
    <row r="19695" s="3161" customFormat="1" ht="12.75"/>
    <row r="19696" s="3161" customFormat="1" ht="12.75"/>
    <row r="19697" s="3161" customFormat="1" ht="12.75"/>
    <row r="19698" s="3161" customFormat="1" ht="12.75"/>
    <row r="19699" s="3161" customFormat="1" ht="12.75"/>
    <row r="19700" s="3161" customFormat="1" ht="12.75"/>
    <row r="19701" s="3161" customFormat="1" ht="12.75"/>
    <row r="19702" s="3161" customFormat="1" ht="12.75"/>
    <row r="19703" s="3161" customFormat="1" ht="12.75"/>
    <row r="19704" s="3161" customFormat="1" ht="12.75"/>
    <row r="19705" s="3161" customFormat="1" ht="12.75"/>
    <row r="19706" s="3161" customFormat="1" ht="12.75"/>
    <row r="19707" s="3161" customFormat="1" ht="12.75"/>
    <row r="19708" s="3161" customFormat="1" ht="12.75"/>
    <row r="19709" s="3161" customFormat="1" ht="12.75"/>
    <row r="19710" s="3161" customFormat="1" ht="12.75"/>
    <row r="19711" s="3161" customFormat="1" ht="12.75"/>
    <row r="19712" s="3161" customFormat="1" ht="12.75"/>
    <row r="19713" s="3161" customFormat="1" ht="12.75"/>
    <row r="19714" s="3161" customFormat="1" ht="12.75"/>
    <row r="19715" s="3161" customFormat="1" ht="12.75"/>
    <row r="19716" s="3161" customFormat="1" ht="12.75"/>
    <row r="19717" s="3161" customFormat="1" ht="12.75"/>
    <row r="19718" s="3161" customFormat="1" ht="12.75"/>
    <row r="19719" s="3161" customFormat="1" ht="12.75"/>
    <row r="19720" s="3161" customFormat="1" ht="12.75"/>
    <row r="19721" s="3161" customFormat="1" ht="12.75"/>
    <row r="19722" s="3161" customFormat="1" ht="12.75"/>
    <row r="19723" s="3161" customFormat="1" ht="12.75"/>
    <row r="19724" s="3161" customFormat="1" ht="12.75"/>
    <row r="19725" s="3161" customFormat="1" ht="12.75"/>
    <row r="19726" s="3161" customFormat="1" ht="12.75"/>
    <row r="19727" s="3161" customFormat="1" ht="12.75"/>
    <row r="19728" s="3161" customFormat="1" ht="12.75"/>
    <row r="19729" s="3161" customFormat="1" ht="12.75"/>
    <row r="19730" s="3161" customFormat="1" ht="12.75"/>
    <row r="19731" s="3161" customFormat="1" ht="12.75"/>
    <row r="19732" s="3161" customFormat="1" ht="12.75"/>
    <row r="19733" s="3161" customFormat="1" ht="12.75"/>
    <row r="19734" s="3161" customFormat="1" ht="12.75"/>
    <row r="19735" s="3161" customFormat="1" ht="12.75"/>
    <row r="19736" s="3161" customFormat="1" ht="12.75"/>
    <row r="19737" s="3161" customFormat="1" ht="12.75"/>
    <row r="19738" s="3161" customFormat="1" ht="12.75"/>
    <row r="19739" s="3161" customFormat="1" ht="12.75"/>
    <row r="19740" s="3161" customFormat="1" ht="12.75"/>
    <row r="19741" s="3161" customFormat="1" ht="12.75"/>
    <row r="19742" s="3161" customFormat="1" ht="12.75"/>
    <row r="19743" s="3161" customFormat="1" ht="12.75"/>
    <row r="19744" s="3161" customFormat="1" ht="12.75"/>
    <row r="19745" s="3161" customFormat="1" ht="12.75"/>
    <row r="19746" s="3161" customFormat="1" ht="12.75"/>
    <row r="19747" s="3161" customFormat="1" ht="12.75"/>
    <row r="19748" s="3161" customFormat="1" ht="12.75"/>
    <row r="19749" s="3161" customFormat="1" ht="12.75"/>
    <row r="19750" s="3161" customFormat="1" ht="12.75"/>
    <row r="19751" s="3161" customFormat="1" ht="12.75"/>
    <row r="19752" s="3161" customFormat="1" ht="12.75"/>
    <row r="19753" s="3161" customFormat="1" ht="12.75"/>
    <row r="19754" s="3161" customFormat="1" ht="12.75"/>
    <row r="19755" s="3161" customFormat="1" ht="12.75"/>
    <row r="19756" s="3161" customFormat="1" ht="12.75"/>
    <row r="19757" s="3161" customFormat="1" ht="12.75"/>
    <row r="19758" s="3161" customFormat="1" ht="12.75"/>
    <row r="19759" s="3161" customFormat="1" ht="12.75"/>
    <row r="19760" s="3161" customFormat="1" ht="12.75"/>
    <row r="19761" s="3161" customFormat="1" ht="12.75"/>
    <row r="19762" s="3161" customFormat="1" ht="12.75"/>
    <row r="19763" s="3161" customFormat="1" ht="12.75"/>
    <row r="19764" s="3161" customFormat="1" ht="12.75"/>
    <row r="19765" s="3161" customFormat="1" ht="12.75"/>
    <row r="19766" s="3161" customFormat="1" ht="12.75"/>
    <row r="19767" s="3161" customFormat="1" ht="12.75"/>
    <row r="19768" s="3161" customFormat="1" ht="12.75"/>
    <row r="19769" s="3161" customFormat="1" ht="12.75"/>
    <row r="19770" s="3161" customFormat="1" ht="12.75"/>
    <row r="19771" s="3161" customFormat="1" ht="12.75"/>
    <row r="19772" s="3161" customFormat="1" ht="12.75"/>
    <row r="19773" s="3161" customFormat="1" ht="12.75"/>
    <row r="19774" s="3161" customFormat="1" ht="12.75"/>
    <row r="19775" s="3161" customFormat="1" ht="12.75"/>
    <row r="19776" s="3161" customFormat="1" ht="12.75"/>
    <row r="19777" s="3161" customFormat="1" ht="12.75"/>
    <row r="19778" s="3161" customFormat="1" ht="12.75"/>
    <row r="19779" s="3161" customFormat="1" ht="12.75"/>
    <row r="19780" s="3161" customFormat="1" ht="12.75"/>
    <row r="19781" s="3161" customFormat="1" ht="12.75"/>
    <row r="19782" s="3161" customFormat="1" ht="12.75"/>
    <row r="19783" s="3161" customFormat="1" ht="12.75"/>
    <row r="19784" s="3161" customFormat="1" ht="12.75"/>
    <row r="19785" s="3161" customFormat="1" ht="12.75"/>
    <row r="19786" s="3161" customFormat="1" ht="12.75"/>
    <row r="19787" s="3161" customFormat="1" ht="12.75"/>
    <row r="19788" s="3161" customFormat="1" ht="12.75"/>
    <row r="19789" s="3161" customFormat="1" ht="12.75"/>
    <row r="19790" s="3161" customFormat="1" ht="12.75"/>
    <row r="19791" s="3161" customFormat="1" ht="12.75"/>
    <row r="19792" s="3161" customFormat="1" ht="12.75"/>
    <row r="19793" s="3161" customFormat="1" ht="12.75"/>
    <row r="19794" s="3161" customFormat="1" ht="12.75"/>
    <row r="19795" s="3161" customFormat="1" ht="12.75"/>
    <row r="19796" s="3161" customFormat="1" ht="12.75"/>
    <row r="19797" s="3161" customFormat="1" ht="12.75"/>
    <row r="19798" s="3161" customFormat="1" ht="12.75"/>
    <row r="19799" s="3161" customFormat="1" ht="12.75"/>
    <row r="19800" s="3161" customFormat="1" ht="12.75"/>
    <row r="19801" s="3161" customFormat="1" ht="12.75"/>
    <row r="19802" s="3161" customFormat="1" ht="12.75"/>
    <row r="19803" s="3161" customFormat="1" ht="12.75"/>
    <row r="19804" s="3161" customFormat="1" ht="12.75"/>
    <row r="19805" s="3161" customFormat="1" ht="12.75"/>
    <row r="19806" s="3161" customFormat="1" ht="12.75"/>
    <row r="19807" s="3161" customFormat="1" ht="12.75"/>
    <row r="19808" s="3161" customFormat="1" ht="12.75"/>
    <row r="19809" s="3161" customFormat="1" ht="12.75"/>
    <row r="19810" s="3161" customFormat="1" ht="12.75"/>
    <row r="19811" s="3161" customFormat="1" ht="12.75"/>
    <row r="19812" s="3161" customFormat="1" ht="12.75"/>
    <row r="19813" s="3161" customFormat="1" ht="12.75"/>
    <row r="19814" s="3161" customFormat="1" ht="12.75"/>
    <row r="19815" s="3161" customFormat="1" ht="12.75"/>
    <row r="19816" s="3161" customFormat="1" ht="12.75"/>
    <row r="19817" s="3161" customFormat="1" ht="12.75"/>
    <row r="19818" s="3161" customFormat="1" ht="12.75"/>
    <row r="19819" s="3161" customFormat="1" ht="12.75"/>
    <row r="19820" s="3161" customFormat="1" ht="12.75"/>
    <row r="19821" s="3161" customFormat="1" ht="12.75"/>
    <row r="19822" s="3161" customFormat="1" ht="12.75"/>
    <row r="19823" s="3161" customFormat="1" ht="12.75"/>
    <row r="19824" s="3161" customFormat="1" ht="12.75"/>
    <row r="19825" s="3161" customFormat="1" ht="12.75"/>
    <row r="19826" s="3161" customFormat="1" ht="12.75"/>
    <row r="19827" s="3161" customFormat="1" ht="12.75"/>
    <row r="19828" s="3161" customFormat="1" ht="12.75"/>
    <row r="19829" s="3161" customFormat="1" ht="12.75"/>
    <row r="19830" s="3161" customFormat="1" ht="12.75"/>
    <row r="19831" s="3161" customFormat="1" ht="12.75"/>
    <row r="19832" s="3161" customFormat="1" ht="12.75"/>
    <row r="19833" s="3161" customFormat="1" ht="12.75"/>
    <row r="19834" s="3161" customFormat="1" ht="12.75"/>
    <row r="19835" s="3161" customFormat="1" ht="12.75"/>
    <row r="19836" s="3161" customFormat="1" ht="12.75"/>
    <row r="19837" s="3161" customFormat="1" ht="12.75"/>
    <row r="19838" s="3161" customFormat="1" ht="12.75"/>
    <row r="19839" s="3161" customFormat="1" ht="12.75"/>
    <row r="19840" s="3161" customFormat="1" ht="12.75"/>
    <row r="19841" s="3161" customFormat="1" ht="12.75"/>
    <row r="19842" s="3161" customFormat="1" ht="12.75"/>
    <row r="19843" s="3161" customFormat="1" ht="12.75"/>
    <row r="19844" s="3161" customFormat="1" ht="12.75"/>
    <row r="19845" s="3161" customFormat="1" ht="12.75"/>
    <row r="19846" s="3161" customFormat="1" ht="12.75"/>
    <row r="19847" s="3161" customFormat="1" ht="12.75"/>
    <row r="19848" s="3161" customFormat="1" ht="12.75"/>
    <row r="19849" s="3161" customFormat="1" ht="12.75"/>
    <row r="19850" s="3161" customFormat="1" ht="12.75"/>
    <row r="19851" s="3161" customFormat="1" ht="12.75"/>
    <row r="19852" s="3161" customFormat="1" ht="12.75"/>
    <row r="19853" s="3161" customFormat="1" ht="12.75"/>
    <row r="19854" s="3161" customFormat="1" ht="12.75"/>
    <row r="19855" s="3161" customFormat="1" ht="12.75"/>
    <row r="19856" s="3161" customFormat="1" ht="12.75"/>
    <row r="19857" s="3161" customFormat="1" ht="12.75"/>
    <row r="19858" s="3161" customFormat="1" ht="12.75"/>
    <row r="19859" s="3161" customFormat="1" ht="12.75"/>
    <row r="19860" s="3161" customFormat="1" ht="12.75"/>
    <row r="19861" s="3161" customFormat="1" ht="12.75"/>
    <row r="19862" s="3161" customFormat="1" ht="12.75"/>
    <row r="19863" s="3161" customFormat="1" ht="12.75"/>
    <row r="19864" s="3161" customFormat="1" ht="12.75"/>
    <row r="19865" s="3161" customFormat="1" ht="12.75"/>
    <row r="19866" s="3161" customFormat="1" ht="12.75"/>
    <row r="19867" s="3161" customFormat="1" ht="12.75"/>
    <row r="19868" s="3161" customFormat="1" ht="12.75"/>
    <row r="19869" s="3161" customFormat="1" ht="12.75"/>
    <row r="19870" s="3161" customFormat="1" ht="12.75"/>
    <row r="19871" s="3161" customFormat="1" ht="12.75"/>
    <row r="19872" s="3161" customFormat="1" ht="12.75"/>
    <row r="19873" s="3161" customFormat="1" ht="12.75"/>
    <row r="19874" s="3161" customFormat="1" ht="12.75"/>
    <row r="19875" s="3161" customFormat="1" ht="12.75"/>
    <row r="19876" s="3161" customFormat="1" ht="12.75"/>
    <row r="19877" s="3161" customFormat="1" ht="12.75"/>
    <row r="19878" s="3161" customFormat="1" ht="12.75"/>
    <row r="19879" s="3161" customFormat="1" ht="12.75"/>
    <row r="19880" s="3161" customFormat="1" ht="12.75"/>
    <row r="19881" s="3161" customFormat="1" ht="12.75"/>
    <row r="19882" s="3161" customFormat="1" ht="12.75"/>
    <row r="19883" s="3161" customFormat="1" ht="12.75"/>
    <row r="19884" s="3161" customFormat="1" ht="12.75"/>
    <row r="19885" s="3161" customFormat="1" ht="12.75"/>
    <row r="19886" s="3161" customFormat="1" ht="12.75"/>
    <row r="19887" s="3161" customFormat="1" ht="12.75"/>
    <row r="19888" s="3161" customFormat="1" ht="12.75"/>
    <row r="19889" s="3161" customFormat="1" ht="12.75"/>
    <row r="19890" s="3161" customFormat="1" ht="12.75"/>
    <row r="19891" s="3161" customFormat="1" ht="12.75"/>
    <row r="19892" s="3161" customFormat="1" ht="12.75"/>
    <row r="19893" s="3161" customFormat="1" ht="12.75"/>
    <row r="19894" s="3161" customFormat="1" ht="12.75"/>
    <row r="19895" s="3161" customFormat="1" ht="12.75"/>
    <row r="19896" s="3161" customFormat="1" ht="12.75"/>
    <row r="19897" s="3161" customFormat="1" ht="12.75"/>
    <row r="19898" s="3161" customFormat="1" ht="12.75"/>
    <row r="19899" s="3161" customFormat="1" ht="12.75"/>
    <row r="19900" s="3161" customFormat="1" ht="12.75"/>
    <row r="19901" s="3161" customFormat="1" ht="12.75"/>
    <row r="19902" s="3161" customFormat="1" ht="12.75"/>
    <row r="19903" s="3161" customFormat="1" ht="12.75"/>
    <row r="19904" s="3161" customFormat="1" ht="12.75"/>
    <row r="19905" s="3161" customFormat="1" ht="12.75"/>
    <row r="19906" s="3161" customFormat="1" ht="12.75"/>
    <row r="19907" s="3161" customFormat="1" ht="12.75"/>
    <row r="19908" s="3161" customFormat="1" ht="12.75"/>
    <row r="19909" s="3161" customFormat="1" ht="12.75"/>
    <row r="19910" s="3161" customFormat="1" ht="12.75"/>
    <row r="19911" s="3161" customFormat="1" ht="12.75"/>
    <row r="19912" s="3161" customFormat="1" ht="12.75"/>
    <row r="19913" s="3161" customFormat="1" ht="12.75"/>
    <row r="19914" s="3161" customFormat="1" ht="12.75"/>
    <row r="19915" s="3161" customFormat="1" ht="12.75"/>
    <row r="19916" s="3161" customFormat="1" ht="12.75"/>
    <row r="19917" s="3161" customFormat="1" ht="12.75"/>
    <row r="19918" s="3161" customFormat="1" ht="12.75"/>
    <row r="19919" s="3161" customFormat="1" ht="12.75"/>
    <row r="19920" s="3161" customFormat="1" ht="12.75"/>
    <row r="19921" s="3161" customFormat="1" ht="12.75"/>
    <row r="19922" s="3161" customFormat="1" ht="12.75"/>
    <row r="19923" s="3161" customFormat="1" ht="12.75"/>
    <row r="19924" s="3161" customFormat="1" ht="12.75"/>
    <row r="19925" s="3161" customFormat="1" ht="12.75"/>
    <row r="19926" s="3161" customFormat="1" ht="12.75"/>
    <row r="19927" s="3161" customFormat="1" ht="12.75"/>
    <row r="19928" s="3161" customFormat="1" ht="12.75"/>
    <row r="19929" s="3161" customFormat="1" ht="12.75"/>
    <row r="19930" s="3161" customFormat="1" ht="12.75"/>
    <row r="19931" s="3161" customFormat="1" ht="12.75"/>
    <row r="19932" s="3161" customFormat="1" ht="12.75"/>
    <row r="19933" s="3161" customFormat="1" ht="12.75"/>
    <row r="19934" s="3161" customFormat="1" ht="12.75"/>
    <row r="19935" s="3161" customFormat="1" ht="12.75"/>
    <row r="19936" s="3161" customFormat="1" ht="12.75"/>
    <row r="19937" s="3161" customFormat="1" ht="12.75"/>
    <row r="19938" s="3161" customFormat="1" ht="12.75"/>
    <row r="19939" s="3161" customFormat="1" ht="12.75"/>
    <row r="19940" s="3161" customFormat="1" ht="12.75"/>
    <row r="19941" s="3161" customFormat="1" ht="12.75"/>
    <row r="19942" s="3161" customFormat="1" ht="12.75"/>
    <row r="19943" s="3161" customFormat="1" ht="12.75"/>
    <row r="19944" s="3161" customFormat="1" ht="12.75"/>
    <row r="19945" s="3161" customFormat="1" ht="12.75"/>
    <row r="19946" s="3161" customFormat="1" ht="12.75"/>
    <row r="19947" s="3161" customFormat="1" ht="12.75"/>
    <row r="19948" s="3161" customFormat="1" ht="12.75"/>
    <row r="19949" s="3161" customFormat="1" ht="12.75"/>
    <row r="19950" s="3161" customFormat="1" ht="12.75"/>
    <row r="19951" s="3161" customFormat="1" ht="12.75"/>
    <row r="19952" s="3161" customFormat="1" ht="12.75"/>
    <row r="19953" s="3161" customFormat="1" ht="12.75"/>
    <row r="19954" s="3161" customFormat="1" ht="12.75"/>
    <row r="19955" s="3161" customFormat="1" ht="12.75"/>
    <row r="19956" s="3161" customFormat="1" ht="12.75"/>
    <row r="19957" s="3161" customFormat="1" ht="12.75"/>
    <row r="19958" s="3161" customFormat="1" ht="12.75"/>
    <row r="19959" s="3161" customFormat="1" ht="12.75"/>
    <row r="19960" s="3161" customFormat="1" ht="12.75"/>
    <row r="19961" s="3161" customFormat="1" ht="12.75"/>
    <row r="19962" s="3161" customFormat="1" ht="12.75"/>
    <row r="19963" s="3161" customFormat="1" ht="12.75"/>
    <row r="19964" s="3161" customFormat="1" ht="12.75"/>
    <row r="19965" s="3161" customFormat="1" ht="12.75"/>
    <row r="19966" s="3161" customFormat="1" ht="12.75"/>
    <row r="19967" s="3161" customFormat="1" ht="12.75"/>
    <row r="19968" s="3161" customFormat="1" ht="12.75"/>
    <row r="19969" s="3161" customFormat="1" ht="12.75"/>
    <row r="19970" s="3161" customFormat="1" ht="12.75"/>
    <row r="19971" s="3161" customFormat="1" ht="12.75"/>
    <row r="19972" s="3161" customFormat="1" ht="12.75"/>
    <row r="19973" s="3161" customFormat="1" ht="12.75"/>
    <row r="19974" s="3161" customFormat="1" ht="12.75"/>
    <row r="19975" s="3161" customFormat="1" ht="12.75"/>
    <row r="19976" s="3161" customFormat="1" ht="12.75"/>
    <row r="19977" s="3161" customFormat="1" ht="12.75"/>
    <row r="19978" s="3161" customFormat="1" ht="12.75"/>
    <row r="19979" s="3161" customFormat="1" ht="12.75"/>
    <row r="19980" s="3161" customFormat="1" ht="12.75"/>
    <row r="19981" s="3161" customFormat="1" ht="12.75"/>
    <row r="19982" s="3161" customFormat="1" ht="12.75"/>
    <row r="19983" s="3161" customFormat="1" ht="12.75"/>
    <row r="19984" s="3161" customFormat="1" ht="12.75"/>
    <row r="19985" s="3161" customFormat="1" ht="12.75"/>
    <row r="19986" s="3161" customFormat="1" ht="12.75"/>
    <row r="19987" s="3161" customFormat="1" ht="12.75"/>
    <row r="19988" s="3161" customFormat="1" ht="12.75"/>
    <row r="19989" s="3161" customFormat="1" ht="12.75"/>
    <row r="19990" s="3161" customFormat="1" ht="12.75"/>
    <row r="19991" s="3161" customFormat="1" ht="12.75"/>
    <row r="19992" s="3161" customFormat="1" ht="12.75"/>
    <row r="19993" s="3161" customFormat="1" ht="12.75"/>
    <row r="19994" s="3161" customFormat="1" ht="12.75"/>
    <row r="19995" s="3161" customFormat="1" ht="12.75"/>
    <row r="19996" s="3161" customFormat="1" ht="12.75"/>
    <row r="19997" s="3161" customFormat="1" ht="12.75"/>
    <row r="19998" s="3161" customFormat="1" ht="12.75"/>
    <row r="19999" s="3161" customFormat="1" ht="12.75"/>
    <row r="20000" s="3161" customFormat="1" ht="12.75"/>
    <row r="20001" s="3161" customFormat="1" ht="12.75"/>
    <row r="20002" s="3161" customFormat="1" ht="12.75"/>
    <row r="20003" s="3161" customFormat="1" ht="12.75"/>
    <row r="20004" s="3161" customFormat="1" ht="12.75"/>
    <row r="20005" s="3161" customFormat="1" ht="12.75"/>
    <row r="20006" s="3161" customFormat="1" ht="12.75"/>
    <row r="20007" s="3161" customFormat="1" ht="12.75"/>
    <row r="20008" s="3161" customFormat="1" ht="12.75"/>
    <row r="20009" s="3161" customFormat="1" ht="12.75"/>
    <row r="20010" s="3161" customFormat="1" ht="12.75"/>
    <row r="20011" s="3161" customFormat="1" ht="12.75"/>
    <row r="20012" s="3161" customFormat="1" ht="12.75"/>
    <row r="20013" s="3161" customFormat="1" ht="12.75"/>
    <row r="20014" s="3161" customFormat="1" ht="12.75"/>
    <row r="20015" s="3161" customFormat="1" ht="12.75"/>
    <row r="20016" s="3161" customFormat="1" ht="12.75"/>
    <row r="20017" s="3161" customFormat="1" ht="12.75"/>
    <row r="20018" s="3161" customFormat="1" ht="12.75"/>
    <row r="20019" s="3161" customFormat="1" ht="12.75"/>
    <row r="20020" s="3161" customFormat="1" ht="12.75"/>
    <row r="20021" s="3161" customFormat="1" ht="12.75"/>
    <row r="20022" s="3161" customFormat="1" ht="12.75"/>
    <row r="20023" s="3161" customFormat="1" ht="12.75"/>
    <row r="20024" s="3161" customFormat="1" ht="12.75"/>
    <row r="20025" s="3161" customFormat="1" ht="12.75"/>
    <row r="20026" s="3161" customFormat="1" ht="12.75"/>
    <row r="20027" s="3161" customFormat="1" ht="12.75"/>
    <row r="20028" s="3161" customFormat="1" ht="12.75"/>
    <row r="20029" s="3161" customFormat="1" ht="12.75"/>
    <row r="20030" s="3161" customFormat="1" ht="12.75"/>
    <row r="20031" s="3161" customFormat="1" ht="12.75"/>
    <row r="20032" s="3161" customFormat="1" ht="12.75"/>
    <row r="20033" s="3161" customFormat="1" ht="12.75"/>
    <row r="20034" s="3161" customFormat="1" ht="12.75"/>
    <row r="20035" s="3161" customFormat="1" ht="12.75"/>
    <row r="20036" s="3161" customFormat="1" ht="12.75"/>
    <row r="20037" s="3161" customFormat="1" ht="12.75"/>
    <row r="20038" s="3161" customFormat="1" ht="12.75"/>
    <row r="20039" s="3161" customFormat="1" ht="12.75"/>
    <row r="20040" s="3161" customFormat="1" ht="12.75"/>
    <row r="20041" s="3161" customFormat="1" ht="12.75"/>
    <row r="20042" s="3161" customFormat="1" ht="12.75"/>
    <row r="20043" s="3161" customFormat="1" ht="12.75"/>
    <row r="20044" s="3161" customFormat="1" ht="12.75"/>
    <row r="20045" s="3161" customFormat="1" ht="12.75"/>
    <row r="20046" s="3161" customFormat="1" ht="12.75"/>
    <row r="20047" s="3161" customFormat="1" ht="12.75"/>
    <row r="20048" s="3161" customFormat="1" ht="12.75"/>
    <row r="20049" s="3161" customFormat="1" ht="12.75"/>
    <row r="20050" s="3161" customFormat="1" ht="12.75"/>
    <row r="20051" s="3161" customFormat="1" ht="12.75"/>
    <row r="20052" s="3161" customFormat="1" ht="12.75"/>
    <row r="20053" s="3161" customFormat="1" ht="12.75"/>
    <row r="20054" s="3161" customFormat="1" ht="12.75"/>
    <row r="20055" s="3161" customFormat="1" ht="12.75"/>
    <row r="20056" s="3161" customFormat="1" ht="12.75"/>
    <row r="20057" s="3161" customFormat="1" ht="12.75"/>
    <row r="20058" s="3161" customFormat="1" ht="12.75"/>
    <row r="20059" s="3161" customFormat="1" ht="12.75"/>
    <row r="20060" s="3161" customFormat="1" ht="12.75"/>
    <row r="20061" s="3161" customFormat="1" ht="12.75"/>
    <row r="20062" s="3161" customFormat="1" ht="12.75"/>
    <row r="20063" s="3161" customFormat="1" ht="12.75"/>
    <row r="20064" s="3161" customFormat="1" ht="12.75"/>
    <row r="20065" s="3161" customFormat="1" ht="12.75"/>
    <row r="20066" s="3161" customFormat="1" ht="12.75"/>
    <row r="20067" s="3161" customFormat="1" ht="12.75"/>
    <row r="20068" s="3161" customFormat="1" ht="12.75"/>
    <row r="20069" s="3161" customFormat="1" ht="12.75"/>
    <row r="20070" s="3161" customFormat="1" ht="12.75"/>
    <row r="20071" s="3161" customFormat="1" ht="12.75"/>
    <row r="20072" s="3161" customFormat="1" ht="12.75"/>
    <row r="20073" s="3161" customFormat="1" ht="12.75"/>
    <row r="20074" s="3161" customFormat="1" ht="12.75"/>
    <row r="20075" s="3161" customFormat="1" ht="12.75"/>
    <row r="20076" s="3161" customFormat="1" ht="12.75"/>
    <row r="20077" s="3161" customFormat="1" ht="12.75"/>
    <row r="20078" s="3161" customFormat="1" ht="12.75"/>
    <row r="20079" s="3161" customFormat="1" ht="12.75"/>
    <row r="20080" s="3161" customFormat="1" ht="12.75"/>
    <row r="20081" s="3161" customFormat="1" ht="12.75"/>
    <row r="20082" s="3161" customFormat="1" ht="12.75"/>
    <row r="20083" s="3161" customFormat="1" ht="12.75"/>
    <row r="20084" s="3161" customFormat="1" ht="12.75"/>
    <row r="20085" s="3161" customFormat="1" ht="12.75"/>
    <row r="20086" s="3161" customFormat="1" ht="12.75"/>
    <row r="20087" s="3161" customFormat="1" ht="12.75"/>
    <row r="20088" s="3161" customFormat="1" ht="12.75"/>
    <row r="20089" s="3161" customFormat="1" ht="12.75"/>
    <row r="20090" s="3161" customFormat="1" ht="12.75"/>
    <row r="20091" s="3161" customFormat="1" ht="12.75"/>
    <row r="20092" s="3161" customFormat="1" ht="12.75"/>
    <row r="20093" s="3161" customFormat="1" ht="12.75"/>
    <row r="20094" s="3161" customFormat="1" ht="12.75"/>
    <row r="20095" s="3161" customFormat="1" ht="12.75"/>
    <row r="20096" s="3161" customFormat="1" ht="12.75"/>
    <row r="20097" s="3161" customFormat="1" ht="12.75"/>
    <row r="20098" s="3161" customFormat="1" ht="12.75"/>
    <row r="20099" s="3161" customFormat="1" ht="12.75"/>
    <row r="20100" s="3161" customFormat="1" ht="12.75"/>
    <row r="20101" s="3161" customFormat="1" ht="12.75"/>
    <row r="20102" s="3161" customFormat="1" ht="12.75"/>
    <row r="20103" s="3161" customFormat="1" ht="12.75"/>
    <row r="20104" s="3161" customFormat="1" ht="12.75"/>
    <row r="20105" s="3161" customFormat="1" ht="12.75"/>
    <row r="20106" s="3161" customFormat="1" ht="12.75"/>
    <row r="20107" s="3161" customFormat="1" ht="12.75"/>
    <row r="20108" s="3161" customFormat="1" ht="12.75"/>
    <row r="20109" s="3161" customFormat="1" ht="12.75"/>
    <row r="20110" s="3161" customFormat="1" ht="12.75"/>
    <row r="20111" s="3161" customFormat="1" ht="12.75"/>
    <row r="20112" s="3161" customFormat="1" ht="12.75"/>
    <row r="20113" s="3161" customFormat="1" ht="12.75"/>
    <row r="20114" s="3161" customFormat="1" ht="12.75"/>
    <row r="20115" s="3161" customFormat="1" ht="12.75"/>
    <row r="20116" s="3161" customFormat="1" ht="12.75"/>
    <row r="20117" s="3161" customFormat="1" ht="12.75"/>
    <row r="20118" s="3161" customFormat="1" ht="12.75"/>
    <row r="20119" s="3161" customFormat="1" ht="12.75"/>
    <row r="20120" s="3161" customFormat="1" ht="12.75"/>
    <row r="20121" s="3161" customFormat="1" ht="12.75"/>
    <row r="20122" s="3161" customFormat="1" ht="12.75"/>
    <row r="20123" s="3161" customFormat="1" ht="12.75"/>
    <row r="20124" s="3161" customFormat="1" ht="12.75"/>
    <row r="20125" s="3161" customFormat="1" ht="12.75"/>
    <row r="20126" s="3161" customFormat="1" ht="12.75"/>
    <row r="20127" s="3161" customFormat="1" ht="12.75"/>
    <row r="20128" s="3161" customFormat="1" ht="12.75"/>
    <row r="20129" s="3161" customFormat="1" ht="12.75"/>
    <row r="20130" s="3161" customFormat="1" ht="12.75"/>
    <row r="20131" s="3161" customFormat="1" ht="12.75"/>
    <row r="20132" s="3161" customFormat="1" ht="12.75"/>
    <row r="20133" s="3161" customFormat="1" ht="12.75"/>
    <row r="20134" s="3161" customFormat="1" ht="12.75"/>
    <row r="20135" s="3161" customFormat="1" ht="12.75"/>
    <row r="20136" s="3161" customFormat="1" ht="12.75"/>
    <row r="20137" s="3161" customFormat="1" ht="12.75"/>
    <row r="20138" s="3161" customFormat="1" ht="12.75"/>
    <row r="20139" s="3161" customFormat="1" ht="12.75"/>
    <row r="20140" s="3161" customFormat="1" ht="12.75"/>
    <row r="20141" s="3161" customFormat="1" ht="12.75"/>
    <row r="20142" s="3161" customFormat="1" ht="12.75"/>
    <row r="20143" s="3161" customFormat="1" ht="12.75"/>
    <row r="20144" s="3161" customFormat="1" ht="12.75"/>
    <row r="20145" s="3161" customFormat="1" ht="12.75"/>
    <row r="20146" s="3161" customFormat="1" ht="12.75"/>
    <row r="20147" s="3161" customFormat="1" ht="12.75"/>
    <row r="20148" s="3161" customFormat="1" ht="12.75"/>
    <row r="20149" s="3161" customFormat="1" ht="12.75"/>
    <row r="20150" s="3161" customFormat="1" ht="12.75"/>
    <row r="20151" s="3161" customFormat="1" ht="12.75"/>
    <row r="20152" s="3161" customFormat="1" ht="12.75"/>
    <row r="20153" s="3161" customFormat="1" ht="12.75"/>
    <row r="20154" s="3161" customFormat="1" ht="12.75"/>
    <row r="20155" s="3161" customFormat="1" ht="12.75"/>
    <row r="20156" s="3161" customFormat="1" ht="12.75"/>
    <row r="20157" s="3161" customFormat="1" ht="12.75"/>
    <row r="20158" s="3161" customFormat="1" ht="12.75"/>
    <row r="20159" s="3161" customFormat="1" ht="12.75"/>
    <row r="20160" s="3161" customFormat="1" ht="12.75"/>
    <row r="20161" s="3161" customFormat="1" ht="12.75"/>
    <row r="20162" s="3161" customFormat="1" ht="12.75"/>
    <row r="20163" s="3161" customFormat="1" ht="12.75"/>
    <row r="20164" s="3161" customFormat="1" ht="12.75"/>
    <row r="20165" s="3161" customFormat="1" ht="12.75"/>
    <row r="20166" s="3161" customFormat="1" ht="12.75"/>
    <row r="20167" s="3161" customFormat="1" ht="12.75"/>
    <row r="20168" s="3161" customFormat="1" ht="12.75"/>
    <row r="20169" s="3161" customFormat="1" ht="12.75"/>
    <row r="20170" s="3161" customFormat="1" ht="12.75"/>
    <row r="20171" s="3161" customFormat="1" ht="12.75"/>
    <row r="20172" s="3161" customFormat="1" ht="12.75"/>
    <row r="20173" s="3161" customFormat="1" ht="12.75"/>
    <row r="20174" s="3161" customFormat="1" ht="12.75"/>
    <row r="20175" s="3161" customFormat="1" ht="12.75"/>
    <row r="20176" s="3161" customFormat="1" ht="12.75"/>
    <row r="20177" s="3161" customFormat="1" ht="12.75"/>
    <row r="20178" s="3161" customFormat="1" ht="12.75"/>
    <row r="20179" s="3161" customFormat="1" ht="12.75"/>
    <row r="20180" s="3161" customFormat="1" ht="12.75"/>
    <row r="20181" s="3161" customFormat="1" ht="12.75"/>
    <row r="20182" s="3161" customFormat="1" ht="12.75"/>
    <row r="20183" s="3161" customFormat="1" ht="12.75"/>
    <row r="20184" s="3161" customFormat="1" ht="12.75"/>
    <row r="20185" s="3161" customFormat="1" ht="12.75"/>
    <row r="20186" s="3161" customFormat="1" ht="12.75"/>
    <row r="20187" s="3161" customFormat="1" ht="12.75"/>
    <row r="20188" s="3161" customFormat="1" ht="12.75"/>
    <row r="20189" s="3161" customFormat="1" ht="12.75"/>
    <row r="20190" s="3161" customFormat="1" ht="12.75"/>
    <row r="20191" s="3161" customFormat="1" ht="12.75"/>
    <row r="20192" s="3161" customFormat="1" ht="12.75"/>
    <row r="20193" s="3161" customFormat="1" ht="12.75"/>
    <row r="20194" s="3161" customFormat="1" ht="12.75"/>
    <row r="20195" s="3161" customFormat="1" ht="12.75"/>
    <row r="20196" s="3161" customFormat="1" ht="12.75"/>
    <row r="20197" s="3161" customFormat="1" ht="12.75"/>
    <row r="20198" s="3161" customFormat="1" ht="12.75"/>
    <row r="20199" s="3161" customFormat="1" ht="12.75"/>
    <row r="20200" s="3161" customFormat="1" ht="12.75"/>
    <row r="20201" s="3161" customFormat="1" ht="12.75"/>
    <row r="20202" s="3161" customFormat="1" ht="12.75"/>
    <row r="20203" s="3161" customFormat="1" ht="12.75"/>
    <row r="20204" s="3161" customFormat="1" ht="12.75"/>
    <row r="20205" s="3161" customFormat="1" ht="12.75"/>
    <row r="20206" s="3161" customFormat="1" ht="12.75"/>
    <row r="20207" s="3161" customFormat="1" ht="12.75"/>
    <row r="20208" s="3161" customFormat="1" ht="12.75"/>
    <row r="20209" s="3161" customFormat="1" ht="12.75"/>
    <row r="20210" s="3161" customFormat="1" ht="12.75"/>
    <row r="20211" s="3161" customFormat="1" ht="12.75"/>
    <row r="20212" s="3161" customFormat="1" ht="12.75"/>
    <row r="20213" s="3161" customFormat="1" ht="12.75"/>
    <row r="20214" s="3161" customFormat="1" ht="12.75"/>
    <row r="20215" s="3161" customFormat="1" ht="12.75"/>
    <row r="20216" s="3161" customFormat="1" ht="12.75"/>
    <row r="20217" s="3161" customFormat="1" ht="12.75"/>
    <row r="20218" s="3161" customFormat="1" ht="12.75"/>
    <row r="20219" s="3161" customFormat="1" ht="12.75"/>
    <row r="20220" s="3161" customFormat="1" ht="12.75"/>
    <row r="20221" s="3161" customFormat="1" ht="12.75"/>
    <row r="20222" s="3161" customFormat="1" ht="12.75"/>
    <row r="20223" s="3161" customFormat="1" ht="12.75"/>
    <row r="20224" s="3161" customFormat="1" ht="12.75"/>
    <row r="20225" s="3161" customFormat="1" ht="12.75"/>
    <row r="20226" s="3161" customFormat="1" ht="12.75"/>
    <row r="20227" s="3161" customFormat="1" ht="12.75"/>
    <row r="20228" s="3161" customFormat="1" ht="12.75"/>
    <row r="20229" s="3161" customFormat="1" ht="12.75"/>
    <row r="20230" s="3161" customFormat="1" ht="12.75"/>
    <row r="20231" s="3161" customFormat="1" ht="12.75"/>
    <row r="20232" s="3161" customFormat="1" ht="12.75"/>
    <row r="20233" s="3161" customFormat="1" ht="12.75"/>
    <row r="20234" s="3161" customFormat="1" ht="12.75"/>
    <row r="20235" s="3161" customFormat="1" ht="12.75"/>
    <row r="20236" s="3161" customFormat="1" ht="12.75"/>
    <row r="20237" s="3161" customFormat="1" ht="12.75"/>
    <row r="20238" s="3161" customFormat="1" ht="12.75"/>
    <row r="20239" s="3161" customFormat="1" ht="12.75"/>
    <row r="20240" s="3161" customFormat="1" ht="12.75"/>
    <row r="20241" s="3161" customFormat="1" ht="12.75"/>
    <row r="20242" s="3161" customFormat="1" ht="12.75"/>
    <row r="20243" s="3161" customFormat="1" ht="12.75"/>
    <row r="20244" s="3161" customFormat="1" ht="12.75"/>
    <row r="20245" s="3161" customFormat="1" ht="12.75"/>
    <row r="20246" s="3161" customFormat="1" ht="12.75"/>
    <row r="20247" s="3161" customFormat="1" ht="12.75"/>
    <row r="20248" s="3161" customFormat="1" ht="12.75"/>
    <row r="20249" s="3161" customFormat="1" ht="12.75"/>
    <row r="20250" s="3161" customFormat="1" ht="12.75"/>
    <row r="20251" s="3161" customFormat="1" ht="12.75"/>
    <row r="20252" s="3161" customFormat="1" ht="12.75"/>
    <row r="20253" s="3161" customFormat="1" ht="12.75"/>
    <row r="20254" s="3161" customFormat="1" ht="12.75"/>
    <row r="20255" s="3161" customFormat="1" ht="12.75"/>
    <row r="20256" s="3161" customFormat="1" ht="12.75"/>
    <row r="20257" s="3161" customFormat="1" ht="12.75"/>
    <row r="20258" s="3161" customFormat="1" ht="12.75"/>
    <row r="20259" s="3161" customFormat="1" ht="12.75"/>
    <row r="20260" s="3161" customFormat="1" ht="12.75"/>
    <row r="20261" s="3161" customFormat="1" ht="12.75"/>
    <row r="20262" s="3161" customFormat="1" ht="12.75"/>
    <row r="20263" s="3161" customFormat="1" ht="12.75"/>
    <row r="20264" s="3161" customFormat="1" ht="12.75"/>
    <row r="20265" s="3161" customFormat="1" ht="12.75"/>
    <row r="20266" s="3161" customFormat="1" ht="12.75"/>
    <row r="20267" s="3161" customFormat="1" ht="12.75"/>
    <row r="20268" s="3161" customFormat="1" ht="12.75"/>
    <row r="20269" s="3161" customFormat="1" ht="12.75"/>
    <row r="20270" s="3161" customFormat="1" ht="12.75"/>
    <row r="20271" s="3161" customFormat="1" ht="12.75"/>
    <row r="20272" s="3161" customFormat="1" ht="12.75"/>
    <row r="20273" s="3161" customFormat="1" ht="12.75"/>
    <row r="20274" s="3161" customFormat="1" ht="12.75"/>
    <row r="20275" s="3161" customFormat="1" ht="12.75"/>
    <row r="20276" s="3161" customFormat="1" ht="12.75"/>
    <row r="20277" s="3161" customFormat="1" ht="12.75"/>
    <row r="20278" s="3161" customFormat="1" ht="12.75"/>
    <row r="20279" s="3161" customFormat="1" ht="12.75"/>
    <row r="20280" s="3161" customFormat="1" ht="12.75"/>
    <row r="20281" s="3161" customFormat="1" ht="12.75"/>
    <row r="20282" s="3161" customFormat="1" ht="12.75"/>
    <row r="20283" s="3161" customFormat="1" ht="12.75"/>
    <row r="20284" s="3161" customFormat="1" ht="12.75"/>
    <row r="20285" s="3161" customFormat="1" ht="12.75"/>
    <row r="20286" s="3161" customFormat="1" ht="12.75"/>
    <row r="20287" s="3161" customFormat="1" ht="12.75"/>
    <row r="20288" s="3161" customFormat="1" ht="12.75"/>
    <row r="20289" s="3161" customFormat="1" ht="12.75"/>
    <row r="20290" s="3161" customFormat="1" ht="12.75"/>
    <row r="20291" s="3161" customFormat="1" ht="12.75"/>
    <row r="20292" s="3161" customFormat="1" ht="12.75"/>
    <row r="20293" s="3161" customFormat="1" ht="12.75"/>
    <row r="20294" s="3161" customFormat="1" ht="12.75"/>
    <row r="20295" s="3161" customFormat="1" ht="12.75"/>
    <row r="20296" s="3161" customFormat="1" ht="12.75"/>
    <row r="20297" s="3161" customFormat="1" ht="12.75"/>
    <row r="20298" s="3161" customFormat="1" ht="12.75"/>
    <row r="20299" s="3161" customFormat="1" ht="12.75"/>
    <row r="20300" s="3161" customFormat="1" ht="12.75"/>
    <row r="20301" s="3161" customFormat="1" ht="12.75"/>
    <row r="20302" s="3161" customFormat="1" ht="12.75"/>
    <row r="20303" s="3161" customFormat="1" ht="12.75"/>
    <row r="20304" s="3161" customFormat="1" ht="12.75"/>
    <row r="20305" s="3161" customFormat="1" ht="12.75"/>
    <row r="20306" s="3161" customFormat="1" ht="12.75"/>
    <row r="20307" s="3161" customFormat="1" ht="12.75"/>
    <row r="20308" s="3161" customFormat="1" ht="12.75"/>
    <row r="20309" s="3161" customFormat="1" ht="12.75"/>
    <row r="20310" s="3161" customFormat="1" ht="12.75"/>
    <row r="20311" s="3161" customFormat="1" ht="12.75"/>
    <row r="20312" s="3161" customFormat="1" ht="12.75"/>
    <row r="20313" s="3161" customFormat="1" ht="12.75"/>
    <row r="20314" s="3161" customFormat="1" ht="12.75"/>
    <row r="20315" s="3161" customFormat="1" ht="12.75"/>
    <row r="20316" s="3161" customFormat="1" ht="12.75"/>
    <row r="20317" s="3161" customFormat="1" ht="12.75"/>
    <row r="20318" s="3161" customFormat="1" ht="12.75"/>
    <row r="20319" s="3161" customFormat="1" ht="12.75"/>
    <row r="20320" s="3161" customFormat="1" ht="12.75"/>
    <row r="20321" s="3161" customFormat="1" ht="12.75"/>
    <row r="20322" s="3161" customFormat="1" ht="12.75"/>
    <row r="20323" s="3161" customFormat="1" ht="12.75"/>
    <row r="20324" s="3161" customFormat="1" ht="12.75"/>
    <row r="20325" s="3161" customFormat="1" ht="12.75"/>
    <row r="20326" s="3161" customFormat="1" ht="12.75"/>
    <row r="20327" s="3161" customFormat="1" ht="12.75"/>
    <row r="20328" s="3161" customFormat="1" ht="12.75"/>
    <row r="20329" s="3161" customFormat="1" ht="12.75"/>
    <row r="20330" s="3161" customFormat="1" ht="12.75"/>
    <row r="20331" s="3161" customFormat="1" ht="12.75"/>
    <row r="20332" s="3161" customFormat="1" ht="12.75"/>
    <row r="20333" s="3161" customFormat="1" ht="12.75"/>
    <row r="20334" s="3161" customFormat="1" ht="12.75"/>
    <row r="20335" s="3161" customFormat="1" ht="12.75"/>
    <row r="20336" s="3161" customFormat="1" ht="12.75"/>
    <row r="20337" s="3161" customFormat="1" ht="12.75"/>
    <row r="20338" s="3161" customFormat="1" ht="12.75"/>
    <row r="20339" s="3161" customFormat="1" ht="12.75"/>
    <row r="20340" s="3161" customFormat="1" ht="12.75"/>
    <row r="20341" s="3161" customFormat="1" ht="12.75"/>
    <row r="20342" s="3161" customFormat="1" ht="12.75"/>
    <row r="20343" s="3161" customFormat="1" ht="12.75"/>
    <row r="20344" s="3161" customFormat="1" ht="12.75"/>
    <row r="20345" s="3161" customFormat="1" ht="12.75"/>
    <row r="20346" s="3161" customFormat="1" ht="12.75"/>
    <row r="20347" s="3161" customFormat="1" ht="12.75"/>
    <row r="20348" s="3161" customFormat="1" ht="12.75"/>
    <row r="20349" s="3161" customFormat="1" ht="12.75"/>
    <row r="20350" s="3161" customFormat="1" ht="12.75"/>
    <row r="20351" s="3161" customFormat="1" ht="12.75"/>
    <row r="20352" s="3161" customFormat="1" ht="12.75"/>
    <row r="20353" s="3161" customFormat="1" ht="12.75"/>
    <row r="20354" s="3161" customFormat="1" ht="12.75"/>
    <row r="20355" s="3161" customFormat="1" ht="12.75"/>
    <row r="20356" s="3161" customFormat="1" ht="12.75"/>
    <row r="20357" s="3161" customFormat="1" ht="12.75"/>
    <row r="20358" s="3161" customFormat="1" ht="12.75"/>
    <row r="20359" s="3161" customFormat="1" ht="12.75"/>
    <row r="20360" s="3161" customFormat="1" ht="12.75"/>
    <row r="20361" s="3161" customFormat="1" ht="12.75"/>
    <row r="20362" s="3161" customFormat="1" ht="12.75"/>
    <row r="20363" s="3161" customFormat="1" ht="12.75"/>
    <row r="20364" s="3161" customFormat="1" ht="12.75"/>
    <row r="20365" s="3161" customFormat="1" ht="12.75"/>
    <row r="20366" s="3161" customFormat="1" ht="12.75"/>
    <row r="20367" s="3161" customFormat="1" ht="12.75"/>
    <row r="20368" s="3161" customFormat="1" ht="12.75"/>
    <row r="20369" s="3161" customFormat="1" ht="12.75"/>
    <row r="20370" s="3161" customFormat="1" ht="12.75"/>
    <row r="20371" s="3161" customFormat="1" ht="12.75"/>
    <row r="20372" s="3161" customFormat="1" ht="12.75"/>
    <row r="20373" s="3161" customFormat="1" ht="12.75"/>
    <row r="20374" s="3161" customFormat="1" ht="12.75"/>
    <row r="20375" s="3161" customFormat="1" ht="12.75"/>
    <row r="20376" s="3161" customFormat="1" ht="12.75"/>
    <row r="20377" s="3161" customFormat="1" ht="12.75"/>
    <row r="20378" s="3161" customFormat="1" ht="12.75"/>
    <row r="20379" s="3161" customFormat="1" ht="12.75"/>
    <row r="20380" s="3161" customFormat="1" ht="12.75"/>
    <row r="20381" s="3161" customFormat="1" ht="12.75"/>
    <row r="20382" s="3161" customFormat="1" ht="12.75"/>
    <row r="20383" s="3161" customFormat="1" ht="12.75"/>
    <row r="20384" s="3161" customFormat="1" ht="12.75"/>
    <row r="20385" s="3161" customFormat="1" ht="12.75"/>
    <row r="20386" s="3161" customFormat="1" ht="12.75"/>
    <row r="20387" s="3161" customFormat="1" ht="12.75"/>
    <row r="20388" s="3161" customFormat="1" ht="12.75"/>
    <row r="20389" s="3161" customFormat="1" ht="12.75"/>
    <row r="20390" s="3161" customFormat="1" ht="12.75"/>
    <row r="20391" s="3161" customFormat="1" ht="12.75"/>
    <row r="20392" s="3161" customFormat="1" ht="12.75"/>
    <row r="20393" s="3161" customFormat="1" ht="12.75"/>
    <row r="20394" s="3161" customFormat="1" ht="12.75"/>
    <row r="20395" s="3161" customFormat="1" ht="12.75"/>
    <row r="20396" s="3161" customFormat="1" ht="12.75"/>
    <row r="20397" s="3161" customFormat="1" ht="12.75"/>
    <row r="20398" s="3161" customFormat="1" ht="12.75"/>
    <row r="20399" s="3161" customFormat="1" ht="12.75"/>
    <row r="20400" s="3161" customFormat="1" ht="12.75"/>
    <row r="20401" s="3161" customFormat="1" ht="12.75"/>
    <row r="20402" s="3161" customFormat="1" ht="12.75"/>
    <row r="20403" s="3161" customFormat="1" ht="12.75"/>
    <row r="20404" s="3161" customFormat="1" ht="12.75"/>
    <row r="20405" s="3161" customFormat="1" ht="12.75"/>
    <row r="20406" s="3161" customFormat="1" ht="12.75"/>
    <row r="20407" s="3161" customFormat="1" ht="12.75"/>
    <row r="20408" s="3161" customFormat="1" ht="12.75"/>
    <row r="20409" s="3161" customFormat="1" ht="12.75"/>
    <row r="20410" s="3161" customFormat="1" ht="12.75"/>
    <row r="20411" s="3161" customFormat="1" ht="12.75"/>
    <row r="20412" s="3161" customFormat="1" ht="12.75"/>
    <row r="20413" s="3161" customFormat="1" ht="12.75"/>
    <row r="20414" s="3161" customFormat="1" ht="12.75"/>
    <row r="20415" s="3161" customFormat="1" ht="12.75"/>
    <row r="20416" s="3161" customFormat="1" ht="12.75"/>
    <row r="20417" s="3161" customFormat="1" ht="12.75"/>
    <row r="20418" s="3161" customFormat="1" ht="12.75"/>
    <row r="20419" s="3161" customFormat="1" ht="12.75"/>
    <row r="20420" s="3161" customFormat="1" ht="12.75"/>
    <row r="20421" s="3161" customFormat="1" ht="12.75"/>
    <row r="20422" s="3161" customFormat="1" ht="12.75"/>
    <row r="20423" s="3161" customFormat="1" ht="12.75"/>
    <row r="20424" s="3161" customFormat="1" ht="12.75"/>
    <row r="20425" s="3161" customFormat="1" ht="12.75"/>
    <row r="20426" s="3161" customFormat="1" ht="12.75"/>
    <row r="20427" s="3161" customFormat="1" ht="12.75"/>
    <row r="20428" s="3161" customFormat="1" ht="12.75"/>
    <row r="20429" s="3161" customFormat="1" ht="12.75"/>
    <row r="20430" s="3161" customFormat="1" ht="12.75"/>
    <row r="20431" s="3161" customFormat="1" ht="12.75"/>
    <row r="20432" s="3161" customFormat="1" ht="12.75"/>
    <row r="20433" s="3161" customFormat="1" ht="12.75"/>
    <row r="20434" s="3161" customFormat="1" ht="12.75"/>
    <row r="20435" s="3161" customFormat="1" ht="12.75"/>
    <row r="20436" s="3161" customFormat="1" ht="12.75"/>
    <row r="20437" s="3161" customFormat="1" ht="12.75"/>
    <row r="20438" s="3161" customFormat="1" ht="12.75"/>
    <row r="20439" s="3161" customFormat="1" ht="12.75"/>
    <row r="20440" s="3161" customFormat="1" ht="12.75"/>
    <row r="20441" s="3161" customFormat="1" ht="12.75"/>
    <row r="20442" s="3161" customFormat="1" ht="12.75"/>
    <row r="20443" s="3161" customFormat="1" ht="12.75"/>
    <row r="20444" s="3161" customFormat="1" ht="12.75"/>
    <row r="20445" s="3161" customFormat="1" ht="12.75"/>
    <row r="20446" s="3161" customFormat="1" ht="12.75"/>
    <row r="20447" s="3161" customFormat="1" ht="12.75"/>
    <row r="20448" s="3161" customFormat="1" ht="12.75"/>
    <row r="20449" s="3161" customFormat="1" ht="12.75"/>
    <row r="20450" s="3161" customFormat="1" ht="12.75"/>
    <row r="20451" s="3161" customFormat="1" ht="12.75"/>
    <row r="20452" s="3161" customFormat="1" ht="12.75"/>
    <row r="20453" s="3161" customFormat="1" ht="12.75"/>
    <row r="20454" s="3161" customFormat="1" ht="12.75"/>
    <row r="20455" s="3161" customFormat="1" ht="12.75"/>
    <row r="20456" s="3161" customFormat="1" ht="12.75"/>
    <row r="20457" s="3161" customFormat="1" ht="12.75"/>
    <row r="20458" s="3161" customFormat="1" ht="12.75"/>
    <row r="20459" s="3161" customFormat="1" ht="12.75"/>
    <row r="20460" s="3161" customFormat="1" ht="12.75"/>
    <row r="20461" s="3161" customFormat="1" ht="12.75"/>
    <row r="20462" s="3161" customFormat="1" ht="12.75"/>
    <row r="20463" s="3161" customFormat="1" ht="12.75"/>
    <row r="20464" s="3161" customFormat="1" ht="12.75"/>
    <row r="20465" s="3161" customFormat="1" ht="12.75"/>
    <row r="20466" s="3161" customFormat="1" ht="12.75"/>
    <row r="20467" s="3161" customFormat="1" ht="12.75"/>
    <row r="20468" s="3161" customFormat="1" ht="12.75"/>
    <row r="20469" s="3161" customFormat="1" ht="12.75"/>
    <row r="20470" s="3161" customFormat="1" ht="12.75"/>
    <row r="20471" s="3161" customFormat="1" ht="12.75"/>
    <row r="20472" s="3161" customFormat="1" ht="12.75"/>
    <row r="20473" s="3161" customFormat="1" ht="12.75"/>
    <row r="20474" s="3161" customFormat="1" ht="12.75"/>
    <row r="20475" s="3161" customFormat="1" ht="12.75"/>
    <row r="20476" s="3161" customFormat="1" ht="12.75"/>
    <row r="20477" s="3161" customFormat="1" ht="12.75"/>
    <row r="20478" s="3161" customFormat="1" ht="12.75"/>
    <row r="20479" s="3161" customFormat="1" ht="12.75"/>
    <row r="20480" s="3161" customFormat="1" ht="12.75"/>
    <row r="20481" s="3161" customFormat="1" ht="12.75"/>
    <row r="20482" s="3161" customFormat="1" ht="12.75"/>
    <row r="20483" s="3161" customFormat="1" ht="12.75"/>
    <row r="20484" s="3161" customFormat="1" ht="12.75"/>
    <row r="20485" s="3161" customFormat="1" ht="12.75"/>
    <row r="20486" s="3161" customFormat="1" ht="12.75"/>
    <row r="20487" s="3161" customFormat="1" ht="12.75"/>
    <row r="20488" s="3161" customFormat="1" ht="12.75"/>
    <row r="20489" s="3161" customFormat="1" ht="12.75"/>
    <row r="20490" s="3161" customFormat="1" ht="12.75"/>
    <row r="20491" s="3161" customFormat="1" ht="12.75"/>
    <row r="20492" s="3161" customFormat="1" ht="12.75"/>
    <row r="20493" s="3161" customFormat="1" ht="12.75"/>
    <row r="20494" s="3161" customFormat="1" ht="12.75"/>
    <row r="20495" s="3161" customFormat="1" ht="12.75"/>
    <row r="20496" s="3161" customFormat="1" ht="12.75"/>
    <row r="20497" s="3161" customFormat="1" ht="12.75"/>
    <row r="20498" s="3161" customFormat="1" ht="12.75"/>
    <row r="20499" s="3161" customFormat="1" ht="12.75"/>
    <row r="20500" s="3161" customFormat="1" ht="12.75"/>
    <row r="20501" s="3161" customFormat="1" ht="12.75"/>
    <row r="20502" s="3161" customFormat="1" ht="12.75"/>
    <row r="20503" s="3161" customFormat="1" ht="12.75"/>
    <row r="20504" s="3161" customFormat="1" ht="12.75"/>
    <row r="20505" s="3161" customFormat="1" ht="12.75"/>
    <row r="20506" s="3161" customFormat="1" ht="12.75"/>
    <row r="20507" s="3161" customFormat="1" ht="12.75"/>
    <row r="20508" s="3161" customFormat="1" ht="12.75"/>
    <row r="20509" s="3161" customFormat="1" ht="12.75"/>
    <row r="20510" s="3161" customFormat="1" ht="12.75"/>
    <row r="20511" s="3161" customFormat="1" ht="12.75"/>
    <row r="20512" s="3161" customFormat="1" ht="12.75"/>
    <row r="20513" s="3161" customFormat="1" ht="12.75"/>
    <row r="20514" s="3161" customFormat="1" ht="12.75"/>
    <row r="20515" s="3161" customFormat="1" ht="12.75"/>
    <row r="20516" s="3161" customFormat="1" ht="12.75"/>
    <row r="20517" s="3161" customFormat="1" ht="12.75"/>
    <row r="20518" s="3161" customFormat="1" ht="12.75"/>
    <row r="20519" s="3161" customFormat="1" ht="12.75"/>
    <row r="20520" s="3161" customFormat="1" ht="12.75"/>
    <row r="20521" s="3161" customFormat="1" ht="12.75"/>
    <row r="20522" s="3161" customFormat="1" ht="12.75"/>
    <row r="20523" s="3161" customFormat="1" ht="12.75"/>
    <row r="20524" s="3161" customFormat="1" ht="12.75"/>
    <row r="20525" s="3161" customFormat="1" ht="12.75"/>
    <row r="20526" s="3161" customFormat="1" ht="12.75"/>
    <row r="20527" s="3161" customFormat="1" ht="12.75"/>
    <row r="20528" s="3161" customFormat="1" ht="12.75"/>
    <row r="20529" s="3161" customFormat="1" ht="12.75"/>
    <row r="20530" s="3161" customFormat="1" ht="12.75"/>
    <row r="20531" s="3161" customFormat="1" ht="12.75"/>
    <row r="20532" s="3161" customFormat="1" ht="12.75"/>
    <row r="20533" s="3161" customFormat="1" ht="12.75"/>
    <row r="20534" s="3161" customFormat="1" ht="12.75"/>
    <row r="20535" s="3161" customFormat="1" ht="12.75"/>
    <row r="20536" s="3161" customFormat="1" ht="12.75"/>
    <row r="20537" s="3161" customFormat="1" ht="12.75"/>
    <row r="20538" s="3161" customFormat="1" ht="12.75"/>
    <row r="20539" s="3161" customFormat="1" ht="12.75"/>
    <row r="20540" s="3161" customFormat="1" ht="12.75"/>
    <row r="20541" s="3161" customFormat="1" ht="12.75"/>
    <row r="20542" s="3161" customFormat="1" ht="12.75"/>
    <row r="20543" s="3161" customFormat="1" ht="12.75"/>
    <row r="20544" s="3161" customFormat="1" ht="12.75"/>
    <row r="20545" s="3161" customFormat="1" ht="12.75"/>
    <row r="20546" s="3161" customFormat="1" ht="12.75"/>
    <row r="20547" s="3161" customFormat="1" ht="12.75"/>
    <row r="20548" s="3161" customFormat="1" ht="12.75"/>
    <row r="20549" s="3161" customFormat="1" ht="12.75"/>
    <row r="20550" s="3161" customFormat="1" ht="12.75"/>
    <row r="20551" s="3161" customFormat="1" ht="12.75"/>
    <row r="20552" s="3161" customFormat="1" ht="12.75"/>
    <row r="20553" s="3161" customFormat="1" ht="12.75"/>
    <row r="20554" s="3161" customFormat="1" ht="12.75"/>
    <row r="20555" s="3161" customFormat="1" ht="12.75"/>
    <row r="20556" s="3161" customFormat="1" ht="12.75"/>
    <row r="20557" s="3161" customFormat="1" ht="12.75"/>
    <row r="20558" s="3161" customFormat="1" ht="12.75"/>
    <row r="20559" s="3161" customFormat="1" ht="12.75"/>
    <row r="20560" s="3161" customFormat="1" ht="12.75"/>
    <row r="20561" s="3161" customFormat="1" ht="12.75"/>
    <row r="20562" s="3161" customFormat="1" ht="12.75"/>
    <row r="20563" s="3161" customFormat="1" ht="12.75"/>
    <row r="20564" s="3161" customFormat="1" ht="12.75"/>
    <row r="20565" s="3161" customFormat="1" ht="12.75"/>
    <row r="20566" s="3161" customFormat="1" ht="12.75"/>
    <row r="20567" s="3161" customFormat="1" ht="12.75"/>
    <row r="20568" s="3161" customFormat="1" ht="12.75"/>
    <row r="20569" s="3161" customFormat="1" ht="12.75"/>
    <row r="20570" s="3161" customFormat="1" ht="12.75"/>
    <row r="20571" s="3161" customFormat="1" ht="12.75"/>
    <row r="20572" s="3161" customFormat="1" ht="12.75"/>
    <row r="20573" s="3161" customFormat="1" ht="12.75"/>
    <row r="20574" s="3161" customFormat="1" ht="12.75"/>
    <row r="20575" s="3161" customFormat="1" ht="12.75"/>
    <row r="20576" s="3161" customFormat="1" ht="12.75"/>
    <row r="20577" s="3161" customFormat="1" ht="12.75"/>
    <row r="20578" s="3161" customFormat="1" ht="12.75"/>
    <row r="20579" s="3161" customFormat="1" ht="12.75"/>
    <row r="20580" s="3161" customFormat="1" ht="12.75"/>
    <row r="20581" s="3161" customFormat="1" ht="12.75"/>
    <row r="20582" s="3161" customFormat="1" ht="12.75"/>
    <row r="20583" s="3161" customFormat="1" ht="12.75"/>
    <row r="20584" s="3161" customFormat="1" ht="12.75"/>
    <row r="20585" s="3161" customFormat="1" ht="12.75"/>
    <row r="20586" s="3161" customFormat="1" ht="12.75"/>
    <row r="20587" s="3161" customFormat="1" ht="12.75"/>
    <row r="20588" s="3161" customFormat="1" ht="12.75"/>
    <row r="20589" s="3161" customFormat="1" ht="12.75"/>
    <row r="20590" s="3161" customFormat="1" ht="12.75"/>
    <row r="20591" s="3161" customFormat="1" ht="12.75"/>
    <row r="20592" s="3161" customFormat="1" ht="12.75"/>
    <row r="20593" s="3161" customFormat="1" ht="12.75"/>
    <row r="20594" s="3161" customFormat="1" ht="12.75"/>
    <row r="20595" s="3161" customFormat="1" ht="12.75"/>
    <row r="20596" s="3161" customFormat="1" ht="12.75"/>
    <row r="20597" s="3161" customFormat="1" ht="12.75"/>
    <row r="20598" s="3161" customFormat="1" ht="12.75"/>
    <row r="20599" s="3161" customFormat="1" ht="12.75"/>
    <row r="20600" s="3161" customFormat="1" ht="12.75"/>
    <row r="20601" s="3161" customFormat="1" ht="12.75"/>
    <row r="20602" s="3161" customFormat="1" ht="12.75"/>
    <row r="20603" s="3161" customFormat="1" ht="12.75"/>
    <row r="20604" s="3161" customFormat="1" ht="12.75"/>
    <row r="20605" s="3161" customFormat="1" ht="12.75"/>
    <row r="20606" s="3161" customFormat="1" ht="12.75"/>
    <row r="20607" s="3161" customFormat="1" ht="12.75"/>
    <row r="20608" s="3161" customFormat="1" ht="12.75"/>
    <row r="20609" s="3161" customFormat="1" ht="12.75"/>
    <row r="20610" s="3161" customFormat="1" ht="12.75"/>
    <row r="20611" s="3161" customFormat="1" ht="12.75"/>
    <row r="20612" s="3161" customFormat="1" ht="12.75"/>
    <row r="20613" s="3161" customFormat="1" ht="12.75"/>
    <row r="20614" s="3161" customFormat="1" ht="12.75"/>
    <row r="20615" s="3161" customFormat="1" ht="12.75"/>
    <row r="20616" s="3161" customFormat="1" ht="12.75"/>
    <row r="20617" s="3161" customFormat="1" ht="12.75"/>
    <row r="20618" s="3161" customFormat="1" ht="12.75"/>
    <row r="20619" s="3161" customFormat="1" ht="12.75"/>
    <row r="20620" s="3161" customFormat="1" ht="12.75"/>
    <row r="20621" s="3161" customFormat="1" ht="12.75"/>
    <row r="20622" s="3161" customFormat="1" ht="12.75"/>
    <row r="20623" s="3161" customFormat="1" ht="12.75"/>
    <row r="20624" s="3161" customFormat="1" ht="12.75"/>
    <row r="20625" s="3161" customFormat="1" ht="12.75"/>
    <row r="20626" s="3161" customFormat="1" ht="12.75"/>
    <row r="20627" s="3161" customFormat="1" ht="12.75"/>
    <row r="20628" s="3161" customFormat="1" ht="12.75"/>
    <row r="20629" s="3161" customFormat="1" ht="12.75"/>
    <row r="20630" s="3161" customFormat="1" ht="12.75"/>
    <row r="20631" s="3161" customFormat="1" ht="12.75"/>
    <row r="20632" s="3161" customFormat="1" ht="12.75"/>
    <row r="20633" s="3161" customFormat="1" ht="12.75"/>
    <row r="20634" s="3161" customFormat="1" ht="12.75"/>
    <row r="20635" s="3161" customFormat="1" ht="12.75"/>
    <row r="20636" s="3161" customFormat="1" ht="12.75"/>
    <row r="20637" s="3161" customFormat="1" ht="12.75"/>
    <row r="20638" s="3161" customFormat="1" ht="12.75"/>
    <row r="20639" s="3161" customFormat="1" ht="12.75"/>
    <row r="20640" s="3161" customFormat="1" ht="12.75"/>
    <row r="20641" s="3161" customFormat="1" ht="12.75"/>
    <row r="20642" s="3161" customFormat="1" ht="12.75"/>
    <row r="20643" s="3161" customFormat="1" ht="12.75"/>
    <row r="20644" s="3161" customFormat="1" ht="12.75"/>
    <row r="20645" s="3161" customFormat="1" ht="12.75"/>
    <row r="20646" s="3161" customFormat="1" ht="12.75"/>
    <row r="20647" s="3161" customFormat="1" ht="12.75"/>
    <row r="20648" s="3161" customFormat="1" ht="12.75"/>
    <row r="20649" s="3161" customFormat="1" ht="12.75"/>
    <row r="20650" s="3161" customFormat="1" ht="12.75"/>
    <row r="20651" s="3161" customFormat="1" ht="12.75"/>
    <row r="20652" s="3161" customFormat="1" ht="12.75"/>
    <row r="20653" s="3161" customFormat="1" ht="12.75"/>
    <row r="20654" s="3161" customFormat="1" ht="12.75"/>
    <row r="20655" s="3161" customFormat="1" ht="12.75"/>
    <row r="20656" s="3161" customFormat="1" ht="12.75"/>
    <row r="20657" s="3161" customFormat="1" ht="12.75"/>
    <row r="20658" s="3161" customFormat="1" ht="12.75"/>
    <row r="20659" s="3161" customFormat="1" ht="12.75"/>
    <row r="20660" s="3161" customFormat="1" ht="12.75"/>
    <row r="20661" s="3161" customFormat="1" ht="12.75"/>
    <row r="20662" s="3161" customFormat="1" ht="12.75"/>
    <row r="20663" s="3161" customFormat="1" ht="12.75"/>
    <row r="20664" s="3161" customFormat="1" ht="12.75"/>
    <row r="20665" s="3161" customFormat="1" ht="12.75"/>
    <row r="20666" s="3161" customFormat="1" ht="12.75"/>
    <row r="20667" s="3161" customFormat="1" ht="12.75"/>
    <row r="20668" s="3161" customFormat="1" ht="12.75"/>
    <row r="20669" s="3161" customFormat="1" ht="12.75"/>
    <row r="20670" s="3161" customFormat="1" ht="12.75"/>
    <row r="20671" s="3161" customFormat="1" ht="12.75"/>
    <row r="20672" s="3161" customFormat="1" ht="12.75"/>
    <row r="20673" s="3161" customFormat="1" ht="12.75"/>
    <row r="20674" s="3161" customFormat="1" ht="12.75"/>
    <row r="20675" s="3161" customFormat="1" ht="12.75"/>
    <row r="20676" s="3161" customFormat="1" ht="12.75"/>
    <row r="20677" s="3161" customFormat="1" ht="12.75"/>
    <row r="20678" s="3161" customFormat="1" ht="12.75"/>
    <row r="20679" s="3161" customFormat="1" ht="12.75"/>
    <row r="20680" s="3161" customFormat="1" ht="12.75"/>
    <row r="20681" s="3161" customFormat="1" ht="12.75"/>
    <row r="20682" s="3161" customFormat="1" ht="12.75"/>
    <row r="20683" s="3161" customFormat="1" ht="12.75"/>
    <row r="20684" s="3161" customFormat="1" ht="12.75"/>
    <row r="20685" s="3161" customFormat="1" ht="12.75"/>
    <row r="20686" s="3161" customFormat="1" ht="12.75"/>
    <row r="20687" s="3161" customFormat="1" ht="12.75"/>
    <row r="20688" s="3161" customFormat="1" ht="12.75"/>
    <row r="20689" s="3161" customFormat="1" ht="12.75"/>
    <row r="20690" s="3161" customFormat="1" ht="12.75"/>
    <row r="20691" s="3161" customFormat="1" ht="12.75"/>
    <row r="20692" s="3161" customFormat="1" ht="12.75"/>
    <row r="20693" s="3161" customFormat="1" ht="12.75"/>
    <row r="20694" s="3161" customFormat="1" ht="12.75"/>
    <row r="20695" s="3161" customFormat="1" ht="12.75"/>
    <row r="20696" s="3161" customFormat="1" ht="12.75"/>
    <row r="20697" s="3161" customFormat="1" ht="12.75"/>
    <row r="20698" s="3161" customFormat="1" ht="12.75"/>
    <row r="20699" s="3161" customFormat="1" ht="12.75"/>
    <row r="20700" s="3161" customFormat="1" ht="12.75"/>
    <row r="20701" s="3161" customFormat="1" ht="12.75"/>
    <row r="20702" s="3161" customFormat="1" ht="12.75"/>
    <row r="20703" s="3161" customFormat="1" ht="12.75"/>
    <row r="20704" s="3161" customFormat="1" ht="12.75"/>
    <row r="20705" s="3161" customFormat="1" ht="12.75"/>
    <row r="20706" s="3161" customFormat="1" ht="12.75"/>
    <row r="20707" s="3161" customFormat="1" ht="12.75"/>
    <row r="20708" s="3161" customFormat="1" ht="12.75"/>
    <row r="20709" s="3161" customFormat="1" ht="12.75"/>
    <row r="20710" s="3161" customFormat="1" ht="12.75"/>
    <row r="20711" s="3161" customFormat="1" ht="12.75"/>
    <row r="20712" s="3161" customFormat="1" ht="12.75"/>
    <row r="20713" s="3161" customFormat="1" ht="12.75"/>
    <row r="20714" s="3161" customFormat="1" ht="12.75"/>
    <row r="20715" s="3161" customFormat="1" ht="12.75"/>
    <row r="20716" s="3161" customFormat="1" ht="12.75"/>
    <row r="20717" s="3161" customFormat="1" ht="12.75"/>
    <row r="20718" s="3161" customFormat="1" ht="12.75"/>
    <row r="20719" s="3161" customFormat="1" ht="12.75"/>
    <row r="20720" s="3161" customFormat="1" ht="12.75"/>
    <row r="20721" s="3161" customFormat="1" ht="12.75"/>
    <row r="20722" s="3161" customFormat="1" ht="12.75"/>
    <row r="20723" s="3161" customFormat="1" ht="12.75"/>
    <row r="20724" s="3161" customFormat="1" ht="12.75"/>
    <row r="20725" s="3161" customFormat="1" ht="12.75"/>
    <row r="20726" s="3161" customFormat="1" ht="12.75"/>
    <row r="20727" s="3161" customFormat="1" ht="12.75"/>
    <row r="20728" s="3161" customFormat="1" ht="12.75"/>
    <row r="20729" s="3161" customFormat="1" ht="12.75"/>
    <row r="20730" s="3161" customFormat="1" ht="12.75"/>
    <row r="20731" s="3161" customFormat="1" ht="12.75"/>
    <row r="20732" s="3161" customFormat="1" ht="12.75"/>
    <row r="20733" s="3161" customFormat="1" ht="12.75"/>
    <row r="20734" s="3161" customFormat="1" ht="12.75"/>
    <row r="20735" s="3161" customFormat="1" ht="12.75"/>
    <row r="20736" s="3161" customFormat="1" ht="12.75"/>
    <row r="20737" s="3161" customFormat="1" ht="12.75"/>
    <row r="20738" s="3161" customFormat="1" ht="12.75"/>
    <row r="20739" s="3161" customFormat="1" ht="12.75"/>
    <row r="20740" s="3161" customFormat="1" ht="12.75"/>
    <row r="20741" s="3161" customFormat="1" ht="12.75"/>
    <row r="20742" s="3161" customFormat="1" ht="12.75"/>
    <row r="20743" s="3161" customFormat="1" ht="12.75"/>
    <row r="20744" s="3161" customFormat="1" ht="12.75"/>
    <row r="20745" s="3161" customFormat="1" ht="12.75"/>
    <row r="20746" s="3161" customFormat="1" ht="12.75"/>
    <row r="20747" s="3161" customFormat="1" ht="12.75"/>
    <row r="20748" s="3161" customFormat="1" ht="12.75"/>
    <row r="20749" s="3161" customFormat="1" ht="12.75"/>
    <row r="20750" s="3161" customFormat="1" ht="12.75"/>
    <row r="20751" s="3161" customFormat="1" ht="12.75"/>
    <row r="20752" s="3161" customFormat="1" ht="12.75"/>
    <row r="20753" s="3161" customFormat="1" ht="12.75"/>
    <row r="20754" s="3161" customFormat="1" ht="12.75"/>
    <row r="20755" s="3161" customFormat="1" ht="12.75"/>
    <row r="20756" s="3161" customFormat="1" ht="12.75"/>
    <row r="20757" s="3161" customFormat="1" ht="12.75"/>
    <row r="20758" s="3161" customFormat="1" ht="12.75"/>
    <row r="20759" s="3161" customFormat="1" ht="12.75"/>
    <row r="20760" s="3161" customFormat="1" ht="12.75"/>
    <row r="20761" s="3161" customFormat="1" ht="12.75"/>
    <row r="20762" s="3161" customFormat="1" ht="12.75"/>
    <row r="20763" s="3161" customFormat="1" ht="12.75"/>
    <row r="20764" s="3161" customFormat="1" ht="12.75"/>
    <row r="20765" s="3161" customFormat="1" ht="12.75"/>
    <row r="20766" s="3161" customFormat="1" ht="12.75"/>
    <row r="20767" s="3161" customFormat="1" ht="12.75"/>
    <row r="20768" s="3161" customFormat="1" ht="12.75"/>
    <row r="20769" s="3161" customFormat="1" ht="12.75"/>
    <row r="20770" s="3161" customFormat="1" ht="12.75"/>
    <row r="20771" s="3161" customFormat="1" ht="12.75"/>
    <row r="20772" s="3161" customFormat="1" ht="12.75"/>
    <row r="20773" s="3161" customFormat="1" ht="12.75"/>
    <row r="20774" s="3161" customFormat="1" ht="12.75"/>
    <row r="20775" s="3161" customFormat="1" ht="12.75"/>
    <row r="20776" s="3161" customFormat="1" ht="12.75"/>
    <row r="20777" s="3161" customFormat="1" ht="12.75"/>
    <row r="20778" s="3161" customFormat="1" ht="12.75"/>
    <row r="20779" s="3161" customFormat="1" ht="12.75"/>
    <row r="20780" s="3161" customFormat="1" ht="12.75"/>
    <row r="20781" s="3161" customFormat="1" ht="12.75"/>
    <row r="20782" s="3161" customFormat="1" ht="12.75"/>
    <row r="20783" s="3161" customFormat="1" ht="12.75"/>
    <row r="20784" s="3161" customFormat="1" ht="12.75"/>
    <row r="20785" s="3161" customFormat="1" ht="12.75"/>
    <row r="20786" s="3161" customFormat="1" ht="12.75"/>
    <row r="20787" s="3161" customFormat="1" ht="12.75"/>
    <row r="20788" s="3161" customFormat="1" ht="12.75"/>
    <row r="20789" s="3161" customFormat="1" ht="12.75"/>
    <row r="20790" s="3161" customFormat="1" ht="12.75"/>
    <row r="20791" s="3161" customFormat="1" ht="12.75"/>
    <row r="20792" s="3161" customFormat="1" ht="12.75"/>
    <row r="20793" s="3161" customFormat="1" ht="12.75"/>
    <row r="20794" s="3161" customFormat="1" ht="12.75"/>
    <row r="20795" s="3161" customFormat="1" ht="12.75"/>
    <row r="20796" s="3161" customFormat="1" ht="12.75"/>
    <row r="20797" s="3161" customFormat="1" ht="12.75"/>
    <row r="20798" s="3161" customFormat="1" ht="12.75"/>
    <row r="20799" s="3161" customFormat="1" ht="12.75"/>
    <row r="20800" s="3161" customFormat="1" ht="12.75"/>
    <row r="20801" s="3161" customFormat="1" ht="12.75"/>
    <row r="20802" s="3161" customFormat="1" ht="12.75"/>
    <row r="20803" s="3161" customFormat="1" ht="12.75"/>
    <row r="20804" s="3161" customFormat="1" ht="12.75"/>
    <row r="20805" s="3161" customFormat="1" ht="12.75"/>
    <row r="20806" s="3161" customFormat="1" ht="12.75"/>
    <row r="20807" s="3161" customFormat="1" ht="12.75"/>
    <row r="20808" s="3161" customFormat="1" ht="12.75"/>
    <row r="20809" s="3161" customFormat="1" ht="12.75"/>
    <row r="20810" s="3161" customFormat="1" ht="12.75"/>
    <row r="20811" s="3161" customFormat="1" ht="12.75"/>
    <row r="20812" s="3161" customFormat="1" ht="12.75"/>
    <row r="20813" s="3161" customFormat="1" ht="12.75"/>
    <row r="20814" s="3161" customFormat="1" ht="12.75"/>
    <row r="20815" s="3161" customFormat="1" ht="12.75"/>
    <row r="20816" s="3161" customFormat="1" ht="12.75"/>
    <row r="20817" s="3161" customFormat="1" ht="12.75"/>
    <row r="20818" s="3161" customFormat="1" ht="12.75"/>
    <row r="20819" s="3161" customFormat="1" ht="12.75"/>
    <row r="20820" s="3161" customFormat="1" ht="12.75"/>
    <row r="20821" s="3161" customFormat="1" ht="12.75"/>
    <row r="20822" s="3161" customFormat="1" ht="12.75"/>
    <row r="20823" s="3161" customFormat="1" ht="12.75"/>
    <row r="20824" s="3161" customFormat="1" ht="12.75"/>
    <row r="20825" s="3161" customFormat="1" ht="12.75"/>
    <row r="20826" s="3161" customFormat="1" ht="12.75"/>
    <row r="20827" s="3161" customFormat="1" ht="12.75"/>
    <row r="20828" s="3161" customFormat="1" ht="12.75"/>
    <row r="20829" s="3161" customFormat="1" ht="12.75"/>
    <row r="20830" s="3161" customFormat="1" ht="12.75"/>
    <row r="20831" s="3161" customFormat="1" ht="12.75"/>
    <row r="20832" s="3161" customFormat="1" ht="12.75"/>
    <row r="20833" s="3161" customFormat="1" ht="12.75"/>
    <row r="20834" s="3161" customFormat="1" ht="12.75"/>
    <row r="20835" s="3161" customFormat="1" ht="12.75"/>
    <row r="20836" s="3161" customFormat="1" ht="12.75"/>
    <row r="20837" s="3161" customFormat="1" ht="12.75"/>
    <row r="20838" s="3161" customFormat="1" ht="12.75"/>
    <row r="20839" s="3161" customFormat="1" ht="12.75"/>
    <row r="20840" s="3161" customFormat="1" ht="12.75"/>
    <row r="20841" s="3161" customFormat="1" ht="12.75"/>
    <row r="20842" s="3161" customFormat="1" ht="12.75"/>
    <row r="20843" s="3161" customFormat="1" ht="12.75"/>
    <row r="20844" s="3161" customFormat="1" ht="12.75"/>
    <row r="20845" s="3161" customFormat="1" ht="12.75"/>
    <row r="20846" s="3161" customFormat="1" ht="12.75"/>
    <row r="20847" s="3161" customFormat="1" ht="12.75"/>
    <row r="20848" s="3161" customFormat="1" ht="12.75"/>
    <row r="20849" s="3161" customFormat="1" ht="12.75"/>
    <row r="20850" s="3161" customFormat="1" ht="12.75"/>
    <row r="20851" s="3161" customFormat="1" ht="12.75"/>
    <row r="20852" s="3161" customFormat="1" ht="12.75"/>
    <row r="20853" s="3161" customFormat="1" ht="12.75"/>
    <row r="20854" s="3161" customFormat="1" ht="12.75"/>
    <row r="20855" s="3161" customFormat="1" ht="12.75"/>
    <row r="20856" s="3161" customFormat="1" ht="12.75"/>
    <row r="20857" s="3161" customFormat="1" ht="12.75"/>
    <row r="20858" s="3161" customFormat="1" ht="12.75"/>
    <row r="20859" s="3161" customFormat="1" ht="12.75"/>
    <row r="20860" s="3161" customFormat="1" ht="12.75"/>
    <row r="20861" s="3161" customFormat="1" ht="12.75"/>
    <row r="20862" s="3161" customFormat="1" ht="12.75"/>
    <row r="20863" s="3161" customFormat="1" ht="12.75"/>
    <row r="20864" s="3161" customFormat="1" ht="12.75"/>
    <row r="20865" s="3161" customFormat="1" ht="12.75"/>
    <row r="20866" s="3161" customFormat="1" ht="12.75"/>
    <row r="20867" s="3161" customFormat="1" ht="12.75"/>
    <row r="20868" s="3161" customFormat="1" ht="12.75"/>
    <row r="20869" s="3161" customFormat="1" ht="12.75"/>
    <row r="20870" s="3161" customFormat="1" ht="12.75"/>
    <row r="20871" s="3161" customFormat="1" ht="12.75"/>
    <row r="20872" s="3161" customFormat="1" ht="12.75"/>
    <row r="20873" s="3161" customFormat="1" ht="12.75"/>
    <row r="20874" s="3161" customFormat="1" ht="12.75"/>
    <row r="20875" s="3161" customFormat="1" ht="12.75"/>
    <row r="20876" s="3161" customFormat="1" ht="12.75"/>
    <row r="20877" s="3161" customFormat="1" ht="12.75"/>
    <row r="20878" s="3161" customFormat="1" ht="12.75"/>
    <row r="20879" s="3161" customFormat="1" ht="12.75"/>
    <row r="20880" s="3161" customFormat="1" ht="12.75"/>
    <row r="20881" s="3161" customFormat="1" ht="12.75"/>
    <row r="20882" s="3161" customFormat="1" ht="12.75"/>
    <row r="20883" s="3161" customFormat="1" ht="12.75"/>
    <row r="20884" s="3161" customFormat="1" ht="12.75"/>
    <row r="20885" s="3161" customFormat="1" ht="12.75"/>
    <row r="20886" s="3161" customFormat="1" ht="12.75"/>
    <row r="20887" s="3161" customFormat="1" ht="12.75"/>
    <row r="20888" s="3161" customFormat="1" ht="12.75"/>
    <row r="20889" s="3161" customFormat="1" ht="12.75"/>
    <row r="20890" s="3161" customFormat="1" ht="12.75"/>
    <row r="20891" s="3161" customFormat="1" ht="12.75"/>
    <row r="20892" s="3161" customFormat="1" ht="12.75"/>
    <row r="20893" s="3161" customFormat="1" ht="12.75"/>
    <row r="20894" s="3161" customFormat="1" ht="12.75"/>
    <row r="20895" s="3161" customFormat="1" ht="12.75"/>
    <row r="20896" s="3161" customFormat="1" ht="12.75"/>
    <row r="20897" s="3161" customFormat="1" ht="12.75"/>
    <row r="20898" s="3161" customFormat="1" ht="12.75"/>
    <row r="20899" s="3161" customFormat="1" ht="12.75"/>
    <row r="20900" s="3161" customFormat="1" ht="12.75"/>
    <row r="20901" s="3161" customFormat="1" ht="12.75"/>
    <row r="20902" s="3161" customFormat="1" ht="12.75"/>
    <row r="20903" s="3161" customFormat="1" ht="12.75"/>
    <row r="20904" s="3161" customFormat="1" ht="12.75"/>
    <row r="20905" s="3161" customFormat="1" ht="12.75"/>
    <row r="20906" s="3161" customFormat="1" ht="12.75"/>
    <row r="20907" s="3161" customFormat="1" ht="12.75"/>
    <row r="20908" s="3161" customFormat="1" ht="12.75"/>
    <row r="20909" s="3161" customFormat="1" ht="12.75"/>
    <row r="20910" s="3161" customFormat="1" ht="12.75"/>
    <row r="20911" s="3161" customFormat="1" ht="12.75"/>
    <row r="20912" s="3161" customFormat="1" ht="12.75"/>
    <row r="20913" s="3161" customFormat="1" ht="12.75"/>
    <row r="20914" s="3161" customFormat="1" ht="12.75"/>
    <row r="20915" s="3161" customFormat="1" ht="12.75"/>
    <row r="20916" s="3161" customFormat="1" ht="12.75"/>
    <row r="20917" s="3161" customFormat="1" ht="12.75"/>
    <row r="20918" s="3161" customFormat="1" ht="12.75"/>
    <row r="20919" s="3161" customFormat="1" ht="12.75"/>
    <row r="20920" s="3161" customFormat="1" ht="12.75"/>
    <row r="20921" s="3161" customFormat="1" ht="12.75"/>
    <row r="20922" s="3161" customFormat="1" ht="12.75"/>
    <row r="20923" s="3161" customFormat="1" ht="12.75"/>
    <row r="20924" s="3161" customFormat="1" ht="12.75"/>
    <row r="20925" s="3161" customFormat="1" ht="12.75"/>
    <row r="20926" s="3161" customFormat="1" ht="12.75"/>
    <row r="20927" s="3161" customFormat="1" ht="12.75"/>
    <row r="20928" s="3161" customFormat="1" ht="12.75"/>
    <row r="20929" s="3161" customFormat="1" ht="12.75"/>
    <row r="20930" s="3161" customFormat="1" ht="12.75"/>
    <row r="20931" s="3161" customFormat="1" ht="12.75"/>
    <row r="20932" s="3161" customFormat="1" ht="12.75"/>
    <row r="20933" s="3161" customFormat="1" ht="12.75"/>
    <row r="20934" s="3161" customFormat="1" ht="12.75"/>
    <row r="20935" s="3161" customFormat="1" ht="12.75"/>
    <row r="20936" s="3161" customFormat="1" ht="12.75"/>
    <row r="20937" s="3161" customFormat="1" ht="12.75"/>
    <row r="20938" s="3161" customFormat="1" ht="12.75"/>
    <row r="20939" s="3161" customFormat="1" ht="12.75"/>
    <row r="20940" s="3161" customFormat="1" ht="12.75"/>
    <row r="20941" s="3161" customFormat="1" ht="12.75"/>
    <row r="20942" s="3161" customFormat="1" ht="12.75"/>
    <row r="20943" s="3161" customFormat="1" ht="12.75"/>
    <row r="20944" s="3161" customFormat="1" ht="12.75"/>
    <row r="20945" s="3161" customFormat="1" ht="12.75"/>
    <row r="20946" s="3161" customFormat="1" ht="12.75"/>
    <row r="20947" s="3161" customFormat="1" ht="12.75"/>
    <row r="20948" s="3161" customFormat="1" ht="12.75"/>
    <row r="20949" s="3161" customFormat="1" ht="12.75"/>
    <row r="20950" s="3161" customFormat="1" ht="12.75"/>
    <row r="20951" s="3161" customFormat="1" ht="12.75"/>
    <row r="20952" s="3161" customFormat="1" ht="12.75"/>
    <row r="20953" s="3161" customFormat="1" ht="12.75"/>
    <row r="20954" s="3161" customFormat="1" ht="12.75"/>
    <row r="20955" s="3161" customFormat="1" ht="12.75"/>
    <row r="20956" s="3161" customFormat="1" ht="12.75"/>
    <row r="20957" s="3161" customFormat="1" ht="12.75"/>
    <row r="20958" s="3161" customFormat="1" ht="12.75"/>
    <row r="20959" s="3161" customFormat="1" ht="12.75"/>
    <row r="20960" s="3161" customFormat="1" ht="12.75"/>
    <row r="20961" s="3161" customFormat="1" ht="12.75"/>
    <row r="20962" s="3161" customFormat="1" ht="12.75"/>
    <row r="20963" s="3161" customFormat="1" ht="12.75"/>
    <row r="20964" s="3161" customFormat="1" ht="12.75"/>
    <row r="20965" s="3161" customFormat="1" ht="12.75"/>
    <row r="20966" s="3161" customFormat="1" ht="12.75"/>
    <row r="20967" s="3161" customFormat="1" ht="12.75"/>
    <row r="20968" s="3161" customFormat="1" ht="12.75"/>
    <row r="20969" s="3161" customFormat="1" ht="12.75"/>
    <row r="20970" s="3161" customFormat="1" ht="12.75"/>
    <row r="20971" s="3161" customFormat="1" ht="12.75"/>
    <row r="20972" s="3161" customFormat="1" ht="12.75"/>
    <row r="20973" s="3161" customFormat="1" ht="12.75"/>
    <row r="20974" s="3161" customFormat="1" ht="12.75"/>
    <row r="20975" s="3161" customFormat="1" ht="12.75"/>
    <row r="20976" s="3161" customFormat="1" ht="12.75"/>
    <row r="20977" s="3161" customFormat="1" ht="12.75"/>
    <row r="20978" s="3161" customFormat="1" ht="12.75"/>
    <row r="20979" s="3161" customFormat="1" ht="12.75"/>
    <row r="20980" s="3161" customFormat="1" ht="12.75"/>
    <row r="20981" s="3161" customFormat="1" ht="12.75"/>
    <row r="20982" s="3161" customFormat="1" ht="12.75"/>
    <row r="20983" s="3161" customFormat="1" ht="12.75"/>
    <row r="20984" s="3161" customFormat="1" ht="12.75"/>
    <row r="20985" s="3161" customFormat="1" ht="12.75"/>
    <row r="20986" s="3161" customFormat="1" ht="12.75"/>
    <row r="20987" s="3161" customFormat="1" ht="12.75"/>
    <row r="20988" s="3161" customFormat="1" ht="12.75"/>
    <row r="20989" s="3161" customFormat="1" ht="12.75"/>
    <row r="20990" s="3161" customFormat="1" ht="12.75"/>
    <row r="20991" s="3161" customFormat="1" ht="12.75"/>
    <row r="20992" s="3161" customFormat="1" ht="12.75"/>
    <row r="20993" s="3161" customFormat="1" ht="12.75"/>
    <row r="20994" s="3161" customFormat="1" ht="12.75"/>
    <row r="20995" s="3161" customFormat="1" ht="12.75"/>
    <row r="20996" s="3161" customFormat="1" ht="12.75"/>
    <row r="20997" s="3161" customFormat="1" ht="12.75"/>
    <row r="20998" s="3161" customFormat="1" ht="12.75"/>
    <row r="20999" s="3161" customFormat="1" ht="12.75"/>
    <row r="21000" s="3161" customFormat="1" ht="12.75"/>
    <row r="21001" s="3161" customFormat="1" ht="12.75"/>
    <row r="21002" s="3161" customFormat="1" ht="12.75"/>
    <row r="21003" s="3161" customFormat="1" ht="12.75"/>
    <row r="21004" s="3161" customFormat="1" ht="12.75"/>
    <row r="21005" s="3161" customFormat="1" ht="12.75"/>
    <row r="21006" s="3161" customFormat="1" ht="12.75"/>
    <row r="21007" s="3161" customFormat="1" ht="12.75"/>
    <row r="21008" s="3161" customFormat="1" ht="12.75"/>
    <row r="21009" s="3161" customFormat="1" ht="12.75"/>
    <row r="21010" s="3161" customFormat="1" ht="12.75"/>
    <row r="21011" s="3161" customFormat="1" ht="12.75"/>
    <row r="21012" s="3161" customFormat="1" ht="12.75"/>
    <row r="21013" s="3161" customFormat="1" ht="12.75"/>
    <row r="21014" s="3161" customFormat="1" ht="12.75"/>
    <row r="21015" s="3161" customFormat="1" ht="12.75"/>
    <row r="21016" s="3161" customFormat="1" ht="12.75"/>
    <row r="21017" s="3161" customFormat="1" ht="12.75"/>
    <row r="21018" s="3161" customFormat="1" ht="12.75"/>
    <row r="21019" s="3161" customFormat="1" ht="12.75"/>
    <row r="21020" s="3161" customFormat="1" ht="12.75"/>
    <row r="21021" s="3161" customFormat="1" ht="12.75"/>
    <row r="21022" s="3161" customFormat="1" ht="12.75"/>
    <row r="21023" s="3161" customFormat="1" ht="12.75"/>
    <row r="21024" s="3161" customFormat="1" ht="12.75"/>
    <row r="21025" s="3161" customFormat="1" ht="12.75"/>
    <row r="21026" s="3161" customFormat="1" ht="12.75"/>
    <row r="21027" s="3161" customFormat="1" ht="12.75"/>
    <row r="21028" s="3161" customFormat="1" ht="12.75"/>
    <row r="21029" s="3161" customFormat="1" ht="12.75"/>
    <row r="21030" s="3161" customFormat="1" ht="12.75"/>
    <row r="21031" s="3161" customFormat="1" ht="12.75"/>
    <row r="21032" s="3161" customFormat="1" ht="12.75"/>
    <row r="21033" s="3161" customFormat="1" ht="12.75"/>
    <row r="21034" s="3161" customFormat="1" ht="12.75"/>
    <row r="21035" s="3161" customFormat="1" ht="12.75"/>
    <row r="21036" s="3161" customFormat="1" ht="12.75"/>
    <row r="21037" s="3161" customFormat="1" ht="12.75"/>
    <row r="21038" s="3161" customFormat="1" ht="12.75"/>
    <row r="21039" s="3161" customFormat="1" ht="12.75"/>
    <row r="21040" s="3161" customFormat="1" ht="12.75"/>
    <row r="21041" s="3161" customFormat="1" ht="12.75"/>
    <row r="21042" s="3161" customFormat="1" ht="12.75"/>
    <row r="21043" s="3161" customFormat="1" ht="12.75"/>
    <row r="21044" s="3161" customFormat="1" ht="12.75"/>
    <row r="21045" s="3161" customFormat="1" ht="12.75"/>
    <row r="21046" s="3161" customFormat="1" ht="12.75"/>
    <row r="21047" s="3161" customFormat="1" ht="12.75"/>
    <row r="21048" s="3161" customFormat="1" ht="12.75"/>
    <row r="21049" s="3161" customFormat="1" ht="12.75"/>
    <row r="21050" s="3161" customFormat="1" ht="12.75"/>
    <row r="21051" s="3161" customFormat="1" ht="12.75"/>
    <row r="21052" s="3161" customFormat="1" ht="12.75"/>
    <row r="21053" s="3161" customFormat="1" ht="12.75"/>
    <row r="21054" s="3161" customFormat="1" ht="12.75"/>
    <row r="21055" s="3161" customFormat="1" ht="12.75"/>
    <row r="21056" s="3161" customFormat="1" ht="12.75"/>
    <row r="21057" s="3161" customFormat="1" ht="12.75"/>
    <row r="21058" s="3161" customFormat="1" ht="12.75"/>
    <row r="21059" s="3161" customFormat="1" ht="12.75"/>
    <row r="21060" s="3161" customFormat="1" ht="12.75"/>
    <row r="21061" s="3161" customFormat="1" ht="12.75"/>
    <row r="21062" s="3161" customFormat="1" ht="12.75"/>
    <row r="21063" s="3161" customFormat="1" ht="12.75"/>
    <row r="21064" s="3161" customFormat="1" ht="12.75"/>
    <row r="21065" s="3161" customFormat="1" ht="12.75"/>
    <row r="21066" s="3161" customFormat="1" ht="12.75"/>
    <row r="21067" s="3161" customFormat="1" ht="12.75"/>
    <row r="21068" s="3161" customFormat="1" ht="12.75"/>
    <row r="21069" s="3161" customFormat="1" ht="12.75"/>
    <row r="21070" s="3161" customFormat="1" ht="12.75"/>
    <row r="21071" s="3161" customFormat="1" ht="12.75"/>
    <row r="21072" s="3161" customFormat="1" ht="12.75"/>
    <row r="21073" s="3161" customFormat="1" ht="12.75"/>
    <row r="21074" s="3161" customFormat="1" ht="12.75"/>
    <row r="21075" s="3161" customFormat="1" ht="12.75"/>
    <row r="21076" s="3161" customFormat="1" ht="12.75"/>
    <row r="21077" s="3161" customFormat="1" ht="12.75"/>
    <row r="21078" s="3161" customFormat="1" ht="12.75"/>
    <row r="21079" s="3161" customFormat="1" ht="12.75"/>
    <row r="21080" s="3161" customFormat="1" ht="12.75"/>
    <row r="21081" s="3161" customFormat="1" ht="12.75"/>
    <row r="21082" s="3161" customFormat="1" ht="12.75"/>
    <row r="21083" s="3161" customFormat="1" ht="12.75"/>
    <row r="21084" s="3161" customFormat="1" ht="12.75"/>
    <row r="21085" s="3161" customFormat="1" ht="12.75"/>
    <row r="21086" s="3161" customFormat="1" ht="12.75"/>
    <row r="21087" s="3161" customFormat="1" ht="12.75"/>
    <row r="21088" s="3161" customFormat="1" ht="12.75"/>
    <row r="21089" s="3161" customFormat="1" ht="12.75"/>
    <row r="21090" s="3161" customFormat="1" ht="12.75"/>
    <row r="21091" s="3161" customFormat="1" ht="12.75"/>
    <row r="21092" s="3161" customFormat="1" ht="12.75"/>
    <row r="21093" s="3161" customFormat="1" ht="12.75"/>
    <row r="21094" s="3161" customFormat="1" ht="12.75"/>
    <row r="21095" s="3161" customFormat="1" ht="12.75"/>
    <row r="21096" s="3161" customFormat="1" ht="12.75"/>
    <row r="21097" s="3161" customFormat="1" ht="12.75"/>
    <row r="21098" s="3161" customFormat="1" ht="12.75"/>
    <row r="21099" s="3161" customFormat="1" ht="12.75"/>
    <row r="21100" s="3161" customFormat="1" ht="12.75"/>
    <row r="21101" s="3161" customFormat="1" ht="12.75"/>
    <row r="21102" s="3161" customFormat="1" ht="12.75"/>
    <row r="21103" s="3161" customFormat="1" ht="12.75"/>
    <row r="21104" s="3161" customFormat="1" ht="12.75"/>
    <row r="21105" s="3161" customFormat="1" ht="12.75"/>
    <row r="21106" s="3161" customFormat="1" ht="12.75"/>
    <row r="21107" s="3161" customFormat="1" ht="12.75"/>
    <row r="21108" s="3161" customFormat="1" ht="12.75"/>
    <row r="21109" s="3161" customFormat="1" ht="12.75"/>
    <row r="21110" s="3161" customFormat="1" ht="12.75"/>
    <row r="21111" s="3161" customFormat="1" ht="12.75"/>
    <row r="21112" s="3161" customFormat="1" ht="12.75"/>
    <row r="21113" s="3161" customFormat="1" ht="12.75"/>
    <row r="21114" s="3161" customFormat="1" ht="12.75"/>
    <row r="21115" s="3161" customFormat="1" ht="12.75"/>
    <row r="21116" s="3161" customFormat="1" ht="12.75"/>
    <row r="21117" s="3161" customFormat="1" ht="12.75"/>
    <row r="21118" s="3161" customFormat="1" ht="12.75"/>
    <row r="21119" s="3161" customFormat="1" ht="12.75"/>
    <row r="21120" s="3161" customFormat="1" ht="12.75"/>
    <row r="21121" s="3161" customFormat="1" ht="12.75"/>
    <row r="21122" s="3161" customFormat="1" ht="12.75"/>
    <row r="21123" s="3161" customFormat="1" ht="12.75"/>
    <row r="21124" s="3161" customFormat="1" ht="12.75"/>
    <row r="21125" s="3161" customFormat="1" ht="12.75"/>
    <row r="21126" s="3161" customFormat="1" ht="12.75"/>
    <row r="21127" s="3161" customFormat="1" ht="12.75"/>
    <row r="21128" s="3161" customFormat="1" ht="12.75"/>
    <row r="21129" s="3161" customFormat="1" ht="12.75"/>
    <row r="21130" s="3161" customFormat="1" ht="12.75"/>
    <row r="21131" s="3161" customFormat="1" ht="12.75"/>
    <row r="21132" s="3161" customFormat="1" ht="12.75"/>
    <row r="21133" s="3161" customFormat="1" ht="12.75"/>
    <row r="21134" s="3161" customFormat="1" ht="12.75"/>
    <row r="21135" s="3161" customFormat="1" ht="12.75"/>
    <row r="21136" s="3161" customFormat="1" ht="12.75"/>
    <row r="21137" s="3161" customFormat="1" ht="12.75"/>
    <row r="21138" s="3161" customFormat="1" ht="12.75"/>
    <row r="21139" s="3161" customFormat="1" ht="12.75"/>
    <row r="21140" s="3161" customFormat="1" ht="12.75"/>
    <row r="21141" s="3161" customFormat="1" ht="12.75"/>
    <row r="21142" s="3161" customFormat="1" ht="12.75"/>
    <row r="21143" s="3161" customFormat="1" ht="12.75"/>
    <row r="21144" s="3161" customFormat="1" ht="12.75"/>
    <row r="21145" s="3161" customFormat="1" ht="12.75"/>
    <row r="21146" s="3161" customFormat="1" ht="12.75"/>
    <row r="21147" s="3161" customFormat="1" ht="12.75"/>
    <row r="21148" s="3161" customFormat="1" ht="12.75"/>
    <row r="21149" s="3161" customFormat="1" ht="12.75"/>
    <row r="21150" s="3161" customFormat="1" ht="12.75"/>
    <row r="21151" s="3161" customFormat="1" ht="12.75"/>
    <row r="21152" s="3161" customFormat="1" ht="12.75"/>
    <row r="21153" s="3161" customFormat="1" ht="12.75"/>
    <row r="21154" s="3161" customFormat="1" ht="12.75"/>
    <row r="21155" s="3161" customFormat="1" ht="12.75"/>
    <row r="21156" s="3161" customFormat="1" ht="12.75"/>
    <row r="21157" s="3161" customFormat="1" ht="12.75"/>
    <row r="21158" s="3161" customFormat="1" ht="12.75"/>
    <row r="21159" s="3161" customFormat="1" ht="12.75"/>
    <row r="21160" s="3161" customFormat="1" ht="12.75"/>
    <row r="21161" s="3161" customFormat="1" ht="12.75"/>
    <row r="21162" s="3161" customFormat="1" ht="12.75"/>
    <row r="21163" s="3161" customFormat="1" ht="12.75"/>
    <row r="21164" s="3161" customFormat="1" ht="12.75"/>
    <row r="21165" s="3161" customFormat="1" ht="12.75"/>
    <row r="21166" s="3161" customFormat="1" ht="12.75"/>
    <row r="21167" s="3161" customFormat="1" ht="12.75"/>
    <row r="21168" s="3161" customFormat="1" ht="12.75"/>
    <row r="21169" s="3161" customFormat="1" ht="12.75"/>
    <row r="21170" s="3161" customFormat="1" ht="12.75"/>
    <row r="21171" s="3161" customFormat="1" ht="12.75"/>
    <row r="21172" s="3161" customFormat="1" ht="12.75"/>
    <row r="21173" s="3161" customFormat="1" ht="12.75"/>
    <row r="21174" s="3161" customFormat="1" ht="12.75"/>
    <row r="21175" s="3161" customFormat="1" ht="12.75"/>
    <row r="21176" s="3161" customFormat="1" ht="12.75"/>
    <row r="21177" s="3161" customFormat="1" ht="12.75"/>
    <row r="21178" s="3161" customFormat="1" ht="12.75"/>
    <row r="21179" s="3161" customFormat="1" ht="12.75"/>
    <row r="21180" s="3161" customFormat="1" ht="12.75"/>
    <row r="21181" s="3161" customFormat="1" ht="12.75"/>
    <row r="21182" s="3161" customFormat="1" ht="12.75"/>
    <row r="21183" s="3161" customFormat="1" ht="12.75"/>
    <row r="21184" s="3161" customFormat="1" ht="12.75"/>
    <row r="21185" s="3161" customFormat="1" ht="12.75"/>
    <row r="21186" s="3161" customFormat="1" ht="12.75"/>
    <row r="21187" s="3161" customFormat="1" ht="12.75"/>
    <row r="21188" s="3161" customFormat="1" ht="12.75"/>
    <row r="21189" s="3161" customFormat="1" ht="12.75"/>
    <row r="21190" s="3161" customFormat="1" ht="12.75"/>
    <row r="21191" s="3161" customFormat="1" ht="12.75"/>
    <row r="21192" s="3161" customFormat="1" ht="12.75"/>
    <row r="21193" s="3161" customFormat="1" ht="12.75"/>
    <row r="21194" s="3161" customFormat="1" ht="12.75"/>
    <row r="21195" s="3161" customFormat="1" ht="12.75"/>
    <row r="21196" s="3161" customFormat="1" ht="12.75"/>
    <row r="21197" s="3161" customFormat="1" ht="12.75"/>
    <row r="21198" s="3161" customFormat="1" ht="12.75"/>
    <row r="21199" s="3161" customFormat="1" ht="12.75"/>
    <row r="21200" s="3161" customFormat="1" ht="12.75"/>
    <row r="21201" s="3161" customFormat="1" ht="12.75"/>
    <row r="21202" s="3161" customFormat="1" ht="12.75"/>
    <row r="21203" s="3161" customFormat="1" ht="12.75"/>
    <row r="21204" s="3161" customFormat="1" ht="12.75"/>
    <row r="21205" s="3161" customFormat="1" ht="12.75"/>
    <row r="21206" s="3161" customFormat="1" ht="12.75"/>
    <row r="21207" s="3161" customFormat="1" ht="12.75"/>
    <row r="21208" s="3161" customFormat="1" ht="12.75"/>
    <row r="21209" s="3161" customFormat="1" ht="12.75"/>
    <row r="21210" s="3161" customFormat="1" ht="12.75"/>
    <row r="21211" s="3161" customFormat="1" ht="12.75"/>
    <row r="21212" s="3161" customFormat="1" ht="12.75"/>
    <row r="21213" s="3161" customFormat="1" ht="12.75"/>
    <row r="21214" s="3161" customFormat="1" ht="12.75"/>
    <row r="21215" s="3161" customFormat="1" ht="12.75"/>
    <row r="21216" s="3161" customFormat="1" ht="12.75"/>
    <row r="21217" s="3161" customFormat="1" ht="12.75"/>
    <row r="21218" s="3161" customFormat="1" ht="12.75"/>
    <row r="21219" s="3161" customFormat="1" ht="12.75"/>
    <row r="21220" s="3161" customFormat="1" ht="12.75"/>
    <row r="21221" s="3161" customFormat="1" ht="12.75"/>
    <row r="21222" s="3161" customFormat="1" ht="12.75"/>
    <row r="21223" s="3161" customFormat="1" ht="12.75"/>
    <row r="21224" s="3161" customFormat="1" ht="12.75"/>
    <row r="21225" s="3161" customFormat="1" ht="12.75"/>
    <row r="21226" s="3161" customFormat="1" ht="12.75"/>
    <row r="21227" s="3161" customFormat="1" ht="12.75"/>
    <row r="21228" s="3161" customFormat="1" ht="12.75"/>
    <row r="21229" s="3161" customFormat="1" ht="12.75"/>
    <row r="21230" s="3161" customFormat="1" ht="12.75"/>
    <row r="21231" s="3161" customFormat="1" ht="12.75"/>
    <row r="21232" s="3161" customFormat="1" ht="12.75"/>
    <row r="21233" s="3161" customFormat="1" ht="12.75"/>
    <row r="21234" s="3161" customFormat="1" ht="12.75"/>
    <row r="21235" s="3161" customFormat="1" ht="12.75"/>
    <row r="21236" s="3161" customFormat="1" ht="12.75"/>
    <row r="21237" s="3161" customFormat="1" ht="12.75"/>
    <row r="21238" s="3161" customFormat="1" ht="12.75"/>
    <row r="21239" s="3161" customFormat="1" ht="12.75"/>
    <row r="21240" s="3161" customFormat="1" ht="12.75"/>
    <row r="21241" s="3161" customFormat="1" ht="12.75"/>
    <row r="21242" s="3161" customFormat="1" ht="12.75"/>
    <row r="21243" s="3161" customFormat="1" ht="12.75"/>
    <row r="21244" s="3161" customFormat="1" ht="12.75"/>
    <row r="21245" s="3161" customFormat="1" ht="12.75"/>
    <row r="21246" s="3161" customFormat="1" ht="12.75"/>
    <row r="21247" s="3161" customFormat="1" ht="12.75"/>
    <row r="21248" s="3161" customFormat="1" ht="12.75"/>
    <row r="21249" s="3161" customFormat="1" ht="12.75"/>
    <row r="21250" s="3161" customFormat="1" ht="12.75"/>
    <row r="21251" s="3161" customFormat="1" ht="12.75"/>
    <row r="21252" s="3161" customFormat="1" ht="12.75"/>
    <row r="21253" s="3161" customFormat="1" ht="12.75"/>
    <row r="21254" s="3161" customFormat="1" ht="12.75"/>
    <row r="21255" s="3161" customFormat="1" ht="12.75"/>
    <row r="21256" s="3161" customFormat="1" ht="12.75"/>
    <row r="21257" s="3161" customFormat="1" ht="12.75"/>
    <row r="21258" s="3161" customFormat="1" ht="12.75"/>
    <row r="21259" s="3161" customFormat="1" ht="12.75"/>
    <row r="21260" s="3161" customFormat="1" ht="12.75"/>
    <row r="21261" s="3161" customFormat="1" ht="12.75"/>
    <row r="21262" s="3161" customFormat="1" ht="12.75"/>
    <row r="21263" s="3161" customFormat="1" ht="12.75"/>
    <row r="21264" s="3161" customFormat="1" ht="12.75"/>
    <row r="21265" s="3161" customFormat="1" ht="12.75"/>
    <row r="21266" s="3161" customFormat="1" ht="12.75"/>
    <row r="21267" s="3161" customFormat="1" ht="12.75"/>
    <row r="21268" s="3161" customFormat="1" ht="12.75"/>
    <row r="21269" s="3161" customFormat="1" ht="12.75"/>
    <row r="21270" s="3161" customFormat="1" ht="12.75"/>
    <row r="21271" s="3161" customFormat="1" ht="12.75"/>
    <row r="21272" s="3161" customFormat="1" ht="12.75"/>
    <row r="21273" s="3161" customFormat="1" ht="12.75"/>
    <row r="21274" s="3161" customFormat="1" ht="12.75"/>
    <row r="21275" s="3161" customFormat="1" ht="12.75"/>
    <row r="21276" s="3161" customFormat="1" ht="12.75"/>
    <row r="21277" s="3161" customFormat="1" ht="12.75"/>
    <row r="21278" s="3161" customFormat="1" ht="12.75"/>
    <row r="21279" s="3161" customFormat="1" ht="12.75"/>
    <row r="21280" s="3161" customFormat="1" ht="12.75"/>
    <row r="21281" s="3161" customFormat="1" ht="12.75"/>
    <row r="21282" s="3161" customFormat="1" ht="12.75"/>
    <row r="21283" s="3161" customFormat="1" ht="12.75"/>
    <row r="21284" s="3161" customFormat="1" ht="12.75"/>
    <row r="21285" s="3161" customFormat="1" ht="12.75"/>
    <row r="21286" s="3161" customFormat="1" ht="12.75"/>
    <row r="21287" s="3161" customFormat="1" ht="12.75"/>
    <row r="21288" s="3161" customFormat="1" ht="12.75"/>
    <row r="21289" s="3161" customFormat="1" ht="12.75"/>
    <row r="21290" s="3161" customFormat="1" ht="12.75"/>
    <row r="21291" s="3161" customFormat="1" ht="12.75"/>
    <row r="21292" s="3161" customFormat="1" ht="12.75"/>
    <row r="21293" s="3161" customFormat="1" ht="12.75"/>
    <row r="21294" s="3161" customFormat="1" ht="12.75"/>
    <row r="21295" s="3161" customFormat="1" ht="12.75"/>
    <row r="21296" s="3161" customFormat="1" ht="12.75"/>
    <row r="21297" s="3161" customFormat="1" ht="12.75"/>
    <row r="21298" s="3161" customFormat="1" ht="12.75"/>
    <row r="21299" s="3161" customFormat="1" ht="12.75"/>
    <row r="21300" s="3161" customFormat="1" ht="12.75"/>
    <row r="21301" s="3161" customFormat="1" ht="12.75"/>
    <row r="21302" s="3161" customFormat="1" ht="12.75"/>
    <row r="21303" s="3161" customFormat="1" ht="12.75"/>
    <row r="21304" s="3161" customFormat="1" ht="12.75"/>
    <row r="21305" s="3161" customFormat="1" ht="12.75"/>
    <row r="21306" s="3161" customFormat="1" ht="12.75"/>
    <row r="21307" s="3161" customFormat="1" ht="12.75"/>
    <row r="21308" s="3161" customFormat="1" ht="12.75"/>
    <row r="21309" s="3161" customFormat="1" ht="12.75"/>
    <row r="21310" s="3161" customFormat="1" ht="12.75"/>
    <row r="21311" s="3161" customFormat="1" ht="12.75"/>
    <row r="21312" s="3161" customFormat="1" ht="12.75"/>
    <row r="21313" s="3161" customFormat="1" ht="12.75"/>
    <row r="21314" s="3161" customFormat="1" ht="12.75"/>
    <row r="21315" s="3161" customFormat="1" ht="12.75"/>
    <row r="21316" s="3161" customFormat="1" ht="12.75"/>
    <row r="21317" s="3161" customFormat="1" ht="12.75"/>
    <row r="21318" s="3161" customFormat="1" ht="12.75"/>
    <row r="21319" s="3161" customFormat="1" ht="12.75"/>
    <row r="21320" s="3161" customFormat="1" ht="12.75"/>
    <row r="21321" s="3161" customFormat="1" ht="12.75"/>
    <row r="21322" s="3161" customFormat="1" ht="12.75"/>
    <row r="21323" s="3161" customFormat="1" ht="12.75"/>
    <row r="21324" s="3161" customFormat="1" ht="12.75"/>
    <row r="21325" s="3161" customFormat="1" ht="12.75"/>
    <row r="21326" s="3161" customFormat="1" ht="12.75"/>
    <row r="21327" s="3161" customFormat="1" ht="12.75"/>
    <row r="21328" s="3161" customFormat="1" ht="12.75"/>
    <row r="21329" s="3161" customFormat="1" ht="12.75"/>
    <row r="21330" s="3161" customFormat="1" ht="12.75"/>
    <row r="21331" s="3161" customFormat="1" ht="12.75"/>
    <row r="21332" s="3161" customFormat="1" ht="12.75"/>
    <row r="21333" s="3161" customFormat="1" ht="12.75"/>
    <row r="21334" s="3161" customFormat="1" ht="12.75"/>
    <row r="21335" s="3161" customFormat="1" ht="12.75"/>
    <row r="21336" s="3161" customFormat="1" ht="12.75"/>
    <row r="21337" s="3161" customFormat="1" ht="12.75"/>
    <row r="21338" s="3161" customFormat="1" ht="12.75"/>
    <row r="21339" s="3161" customFormat="1" ht="12.75"/>
    <row r="21340" s="3161" customFormat="1" ht="12.75"/>
    <row r="21341" s="3161" customFormat="1" ht="12.75"/>
    <row r="21342" s="3161" customFormat="1" ht="12.75"/>
    <row r="21343" s="3161" customFormat="1" ht="12.75"/>
    <row r="21344" s="3161" customFormat="1" ht="12.75"/>
    <row r="21345" s="3161" customFormat="1" ht="12.75"/>
    <row r="21346" s="3161" customFormat="1" ht="12.75"/>
    <row r="21347" s="3161" customFormat="1" ht="12.75"/>
    <row r="21348" s="3161" customFormat="1" ht="12.75"/>
    <row r="21349" s="3161" customFormat="1" ht="12.75"/>
    <row r="21350" s="3161" customFormat="1" ht="12.75"/>
    <row r="21351" s="3161" customFormat="1" ht="12.75"/>
    <row r="21352" s="3161" customFormat="1" ht="12.75"/>
    <row r="21353" s="3161" customFormat="1" ht="12.75"/>
    <row r="21354" s="3161" customFormat="1" ht="12.75"/>
    <row r="21355" s="3161" customFormat="1" ht="12.75"/>
    <row r="21356" s="3161" customFormat="1" ht="12.75"/>
    <row r="21357" s="3161" customFormat="1" ht="12.75"/>
    <row r="21358" s="3161" customFormat="1" ht="12.75"/>
    <row r="21359" s="3161" customFormat="1" ht="12.75"/>
    <row r="21360" s="3161" customFormat="1" ht="12.75"/>
    <row r="21361" s="3161" customFormat="1" ht="12.75"/>
    <row r="21362" s="3161" customFormat="1" ht="12.75"/>
    <row r="21363" s="3161" customFormat="1" ht="12.75"/>
    <row r="21364" s="3161" customFormat="1" ht="12.75"/>
    <row r="21365" s="3161" customFormat="1" ht="12.75"/>
    <row r="21366" s="3161" customFormat="1" ht="12.75"/>
    <row r="21367" s="3161" customFormat="1" ht="12.75"/>
    <row r="21368" s="3161" customFormat="1" ht="12.75"/>
    <row r="21369" s="3161" customFormat="1" ht="12.75"/>
    <row r="21370" s="3161" customFormat="1" ht="12.75"/>
    <row r="21371" s="3161" customFormat="1" ht="12.75"/>
    <row r="21372" s="3161" customFormat="1" ht="12.75"/>
    <row r="21373" s="3161" customFormat="1" ht="12.75"/>
    <row r="21374" s="3161" customFormat="1" ht="12.75"/>
    <row r="21375" s="3161" customFormat="1" ht="12.75"/>
    <row r="21376" s="3161" customFormat="1" ht="12.75"/>
    <row r="21377" s="3161" customFormat="1" ht="12.75"/>
    <row r="21378" s="3161" customFormat="1" ht="12.75"/>
    <row r="21379" s="3161" customFormat="1" ht="12.75"/>
    <row r="21380" s="3161" customFormat="1" ht="12.75"/>
    <row r="21381" s="3161" customFormat="1" ht="12.75"/>
    <row r="21382" s="3161" customFormat="1" ht="12.75"/>
    <row r="21383" s="3161" customFormat="1" ht="12.75"/>
    <row r="21384" s="3161" customFormat="1" ht="12.75"/>
    <row r="21385" s="3161" customFormat="1" ht="12.75"/>
    <row r="21386" s="3161" customFormat="1" ht="12.75"/>
    <row r="21387" s="3161" customFormat="1" ht="12.75"/>
    <row r="21388" s="3161" customFormat="1" ht="12.75"/>
    <row r="21389" s="3161" customFormat="1" ht="12.75"/>
    <row r="21390" s="3161" customFormat="1" ht="12.75"/>
    <row r="21391" s="3161" customFormat="1" ht="12.75"/>
    <row r="21392" s="3161" customFormat="1" ht="12.75"/>
    <row r="21393" s="3161" customFormat="1" ht="12.75"/>
    <row r="21394" s="3161" customFormat="1" ht="12.75"/>
    <row r="21395" s="3161" customFormat="1" ht="12.75"/>
    <row r="21396" s="3161" customFormat="1" ht="12.75"/>
    <row r="21397" s="3161" customFormat="1" ht="12.75"/>
    <row r="21398" s="3161" customFormat="1" ht="12.75"/>
    <row r="21399" s="3161" customFormat="1" ht="12.75"/>
    <row r="21400" s="3161" customFormat="1" ht="12.75"/>
    <row r="21401" s="3161" customFormat="1" ht="12.75"/>
    <row r="21402" s="3161" customFormat="1" ht="12.75"/>
    <row r="21403" s="3161" customFormat="1" ht="12.75"/>
    <row r="21404" s="3161" customFormat="1" ht="12.75"/>
    <row r="21405" s="3161" customFormat="1" ht="12.75"/>
    <row r="21406" s="3161" customFormat="1" ht="12.75"/>
    <row r="21407" s="3161" customFormat="1" ht="12.75"/>
    <row r="21408" s="3161" customFormat="1" ht="12.75"/>
    <row r="21409" s="3161" customFormat="1" ht="12.75"/>
    <row r="21410" s="3161" customFormat="1" ht="12.75"/>
    <row r="21411" s="3161" customFormat="1" ht="12.75"/>
    <row r="21412" s="3161" customFormat="1" ht="12.75"/>
    <row r="21413" s="3161" customFormat="1" ht="12.75"/>
    <row r="21414" s="3161" customFormat="1" ht="12.75"/>
    <row r="21415" s="3161" customFormat="1" ht="12.75"/>
    <row r="21416" s="3161" customFormat="1" ht="12.75"/>
    <row r="21417" s="3161" customFormat="1" ht="12.75"/>
    <row r="21418" s="3161" customFormat="1" ht="12.75"/>
    <row r="21419" s="3161" customFormat="1" ht="12.75"/>
    <row r="21420" s="3161" customFormat="1" ht="12.75"/>
    <row r="21421" s="3161" customFormat="1" ht="12.75"/>
    <row r="21422" s="3161" customFormat="1" ht="12.75"/>
    <row r="21423" s="3161" customFormat="1" ht="12.75"/>
    <row r="21424" s="3161" customFormat="1" ht="12.75"/>
    <row r="21425" s="3161" customFormat="1" ht="12.75"/>
    <row r="21426" s="3161" customFormat="1" ht="12.75"/>
    <row r="21427" s="3161" customFormat="1" ht="12.75"/>
    <row r="21428" s="3161" customFormat="1" ht="12.75"/>
    <row r="21429" s="3161" customFormat="1" ht="12.75"/>
    <row r="21430" s="3161" customFormat="1" ht="12.75"/>
    <row r="21431" s="3161" customFormat="1" ht="12.75"/>
    <row r="21432" s="3161" customFormat="1" ht="12.75"/>
    <row r="21433" s="3161" customFormat="1" ht="12.75"/>
    <row r="21434" s="3161" customFormat="1" ht="12.75"/>
    <row r="21435" s="3161" customFormat="1" ht="12.75"/>
    <row r="21436" s="3161" customFormat="1" ht="12.75"/>
    <row r="21437" s="3161" customFormat="1" ht="12.75"/>
    <row r="21438" s="3161" customFormat="1" ht="12.75"/>
    <row r="21439" s="3161" customFormat="1" ht="12.75"/>
    <row r="21440" s="3161" customFormat="1" ht="12.75"/>
    <row r="21441" s="3161" customFormat="1" ht="12.75"/>
    <row r="21442" s="3161" customFormat="1" ht="12.75"/>
    <row r="21443" s="3161" customFormat="1" ht="12.75"/>
    <row r="21444" s="3161" customFormat="1" ht="12.75"/>
    <row r="21445" s="3161" customFormat="1" ht="12.75"/>
    <row r="21446" s="3161" customFormat="1" ht="12.75"/>
    <row r="21447" s="3161" customFormat="1" ht="12.75"/>
    <row r="21448" s="3161" customFormat="1" ht="12.75"/>
    <row r="21449" s="3161" customFormat="1" ht="12.75"/>
    <row r="21450" s="3161" customFormat="1" ht="12.75"/>
    <row r="21451" s="3161" customFormat="1" ht="12.75"/>
    <row r="21452" s="3161" customFormat="1" ht="12.75"/>
    <row r="21453" s="3161" customFormat="1" ht="12.75"/>
    <row r="21454" s="3161" customFormat="1" ht="12.75"/>
    <row r="21455" s="3161" customFormat="1" ht="12.75"/>
    <row r="21456" s="3161" customFormat="1" ht="12.75"/>
    <row r="21457" s="3161" customFormat="1" ht="12.75"/>
    <row r="21458" s="3161" customFormat="1" ht="12.75"/>
    <row r="21459" s="3161" customFormat="1" ht="12.75"/>
    <row r="21460" s="3161" customFormat="1" ht="12.75"/>
    <row r="21461" s="3161" customFormat="1" ht="12.75"/>
    <row r="21462" s="3161" customFormat="1" ht="12.75"/>
    <row r="21463" s="3161" customFormat="1" ht="12.75"/>
    <row r="21464" s="3161" customFormat="1" ht="12.75"/>
    <row r="21465" s="3161" customFormat="1" ht="12.75"/>
    <row r="21466" s="3161" customFormat="1" ht="12.75"/>
    <row r="21467" s="3161" customFormat="1" ht="12.75"/>
    <row r="21468" s="3161" customFormat="1" ht="12.75"/>
    <row r="21469" s="3161" customFormat="1" ht="12.75"/>
    <row r="21470" s="3161" customFormat="1" ht="12.75"/>
    <row r="21471" s="3161" customFormat="1" ht="12.75"/>
    <row r="21472" s="3161" customFormat="1" ht="12.75"/>
    <row r="21473" s="3161" customFormat="1" ht="12.75"/>
    <row r="21474" s="3161" customFormat="1" ht="12.75"/>
    <row r="21475" s="3161" customFormat="1" ht="12.75"/>
    <row r="21476" s="3161" customFormat="1" ht="12.75"/>
    <row r="21477" s="3161" customFormat="1" ht="12.75"/>
    <row r="21478" s="3161" customFormat="1" ht="12.75"/>
    <row r="21479" s="3161" customFormat="1" ht="12.75"/>
    <row r="21480" s="3161" customFormat="1" ht="12.75"/>
    <row r="21481" s="3161" customFormat="1" ht="12.75"/>
    <row r="21482" s="3161" customFormat="1" ht="12.75"/>
    <row r="21483" s="3161" customFormat="1" ht="12.75"/>
    <row r="21484" s="3161" customFormat="1" ht="12.75"/>
    <row r="21485" s="3161" customFormat="1" ht="12.75"/>
    <row r="21486" s="3161" customFormat="1" ht="12.75"/>
    <row r="21487" s="3161" customFormat="1" ht="12.75"/>
    <row r="21488" s="3161" customFormat="1" ht="12.75"/>
    <row r="21489" s="3161" customFormat="1" ht="12.75"/>
    <row r="21490" s="3161" customFormat="1" ht="12.75"/>
    <row r="21491" s="3161" customFormat="1" ht="12.75"/>
    <row r="21492" s="3161" customFormat="1" ht="12.75"/>
    <row r="21493" s="3161" customFormat="1" ht="12.75"/>
    <row r="21494" s="3161" customFormat="1" ht="12.75"/>
    <row r="21495" s="3161" customFormat="1" ht="12.75"/>
    <row r="21496" s="3161" customFormat="1" ht="12.75"/>
    <row r="21497" s="3161" customFormat="1" ht="12.75"/>
    <row r="21498" s="3161" customFormat="1" ht="12.75"/>
    <row r="21499" s="3161" customFormat="1" ht="12.75"/>
    <row r="21500" s="3161" customFormat="1" ht="12.75"/>
    <row r="21501" s="3161" customFormat="1" ht="12.75"/>
    <row r="21502" s="3161" customFormat="1" ht="12.75"/>
    <row r="21503" s="3161" customFormat="1" ht="12.75"/>
    <row r="21504" s="3161" customFormat="1" ht="12.75"/>
    <row r="21505" s="3161" customFormat="1" ht="12.75"/>
    <row r="21506" s="3161" customFormat="1" ht="12.75"/>
    <row r="21507" s="3161" customFormat="1" ht="12.75"/>
    <row r="21508" s="3161" customFormat="1" ht="12.75"/>
    <row r="21509" s="3161" customFormat="1" ht="12.75"/>
    <row r="21510" s="3161" customFormat="1" ht="12.75"/>
    <row r="21511" s="3161" customFormat="1" ht="12.75"/>
    <row r="21512" s="3161" customFormat="1" ht="12.75"/>
    <row r="21513" s="3161" customFormat="1" ht="12.75"/>
    <row r="21514" s="3161" customFormat="1" ht="12.75"/>
    <row r="21515" s="3161" customFormat="1" ht="12.75"/>
    <row r="21516" s="3161" customFormat="1" ht="12.75"/>
    <row r="21517" s="3161" customFormat="1" ht="12.75"/>
    <row r="21518" s="3161" customFormat="1" ht="12.75"/>
    <row r="21519" s="3161" customFormat="1" ht="12.75"/>
    <row r="21520" s="3161" customFormat="1" ht="12.75"/>
    <row r="21521" s="3161" customFormat="1" ht="12.75"/>
    <row r="21522" s="3161" customFormat="1" ht="12.75"/>
    <row r="21523" s="3161" customFormat="1" ht="12.75"/>
    <row r="21524" s="3161" customFormat="1" ht="12.75"/>
    <row r="21525" s="3161" customFormat="1" ht="12.75"/>
    <row r="21526" s="3161" customFormat="1" ht="12.75"/>
    <row r="21527" s="3161" customFormat="1" ht="12.75"/>
    <row r="21528" s="3161" customFormat="1" ht="12.75"/>
    <row r="21529" s="3161" customFormat="1" ht="12.75"/>
    <row r="21530" s="3161" customFormat="1" ht="12.75"/>
    <row r="21531" s="3161" customFormat="1" ht="12.75"/>
    <row r="21532" s="3161" customFormat="1" ht="12.75"/>
    <row r="21533" s="3161" customFormat="1" ht="12.75"/>
    <row r="21534" s="3161" customFormat="1" ht="12.75"/>
    <row r="21535" s="3161" customFormat="1" ht="12.75"/>
    <row r="21536" s="3161" customFormat="1" ht="12.75"/>
    <row r="21537" s="3161" customFormat="1" ht="12.75"/>
    <row r="21538" s="3161" customFormat="1" ht="12.75"/>
    <row r="21539" s="3161" customFormat="1" ht="12.75"/>
    <row r="21540" s="3161" customFormat="1" ht="12.75"/>
    <row r="21541" s="3161" customFormat="1" ht="12.75"/>
    <row r="21542" s="3161" customFormat="1" ht="12.75"/>
    <row r="21543" s="3161" customFormat="1" ht="12.75"/>
    <row r="21544" s="3161" customFormat="1" ht="12.75"/>
    <row r="21545" s="3161" customFormat="1" ht="12.75"/>
    <row r="21546" s="3161" customFormat="1" ht="12.75"/>
    <row r="21547" s="3161" customFormat="1" ht="12.75"/>
    <row r="21548" s="3161" customFormat="1" ht="12.75"/>
    <row r="21549" s="3161" customFormat="1" ht="12.75"/>
    <row r="21550" s="3161" customFormat="1" ht="12.75"/>
    <row r="21551" s="3161" customFormat="1" ht="12.75"/>
    <row r="21552" s="3161" customFormat="1" ht="12.75"/>
    <row r="21553" s="3161" customFormat="1" ht="12.75"/>
    <row r="21554" s="3161" customFormat="1" ht="12.75"/>
    <row r="21555" s="3161" customFormat="1" ht="12.75"/>
    <row r="21556" s="3161" customFormat="1" ht="12.75"/>
    <row r="21557" s="3161" customFormat="1" ht="12.75"/>
    <row r="21558" s="3161" customFormat="1" ht="12.75"/>
    <row r="21559" s="3161" customFormat="1" ht="12.75"/>
    <row r="21560" s="3161" customFormat="1" ht="12.75"/>
    <row r="21561" s="3161" customFormat="1" ht="12.75"/>
    <row r="21562" s="3161" customFormat="1" ht="12.75"/>
    <row r="21563" s="3161" customFormat="1" ht="12.75"/>
    <row r="21564" s="3161" customFormat="1" ht="12.75"/>
    <row r="21565" s="3161" customFormat="1" ht="12.75"/>
    <row r="21566" s="3161" customFormat="1" ht="12.75"/>
    <row r="21567" s="3161" customFormat="1" ht="12.75"/>
    <row r="21568" s="3161" customFormat="1" ht="12.75"/>
    <row r="21569" s="3161" customFormat="1" ht="12.75"/>
    <row r="21570" s="3161" customFormat="1" ht="12.75"/>
    <row r="21571" s="3161" customFormat="1" ht="12.75"/>
    <row r="21572" s="3161" customFormat="1" ht="12.75"/>
    <row r="21573" s="3161" customFormat="1" ht="12.75"/>
    <row r="21574" s="3161" customFormat="1" ht="12.75"/>
    <row r="21575" s="3161" customFormat="1" ht="12.75"/>
    <row r="21576" s="3161" customFormat="1" ht="12.75"/>
    <row r="21577" s="3161" customFormat="1" ht="12.75"/>
    <row r="21578" s="3161" customFormat="1" ht="12.75"/>
    <row r="21579" s="3161" customFormat="1" ht="12.75"/>
    <row r="21580" s="3161" customFormat="1" ht="12.75"/>
    <row r="21581" s="3161" customFormat="1" ht="12.75"/>
    <row r="21582" s="3161" customFormat="1" ht="12.75"/>
    <row r="21583" s="3161" customFormat="1" ht="12.75"/>
    <row r="21584" s="3161" customFormat="1" ht="12.75"/>
    <row r="21585" s="3161" customFormat="1" ht="12.75"/>
    <row r="21586" s="3161" customFormat="1" ht="12.75"/>
    <row r="21587" s="3161" customFormat="1" ht="12.75"/>
    <row r="21588" s="3161" customFormat="1" ht="12.75"/>
    <row r="21589" s="3161" customFormat="1" ht="12.75"/>
    <row r="21590" s="3161" customFormat="1" ht="12.75"/>
    <row r="21591" s="3161" customFormat="1" ht="12.75"/>
    <row r="21592" s="3161" customFormat="1" ht="12.75"/>
    <row r="21593" s="3161" customFormat="1" ht="12.75"/>
    <row r="21594" s="3161" customFormat="1" ht="12.75"/>
    <row r="21595" s="3161" customFormat="1" ht="12.75"/>
    <row r="21596" s="3161" customFormat="1" ht="12.75"/>
    <row r="21597" s="3161" customFormat="1" ht="12.75"/>
    <row r="21598" s="3161" customFormat="1" ht="12.75"/>
    <row r="21599" s="3161" customFormat="1" ht="12.75"/>
    <row r="21600" s="3161" customFormat="1" ht="12.75"/>
    <row r="21601" s="3161" customFormat="1" ht="12.75"/>
    <row r="21602" s="3161" customFormat="1" ht="12.75"/>
    <row r="21603" s="3161" customFormat="1" ht="12.75"/>
    <row r="21604" s="3161" customFormat="1" ht="12.75"/>
    <row r="21605" s="3161" customFormat="1" ht="12.75"/>
    <row r="21606" s="3161" customFormat="1" ht="12.75"/>
    <row r="21607" s="3161" customFormat="1" ht="12.75"/>
    <row r="21608" s="3161" customFormat="1" ht="12.75"/>
    <row r="21609" s="3161" customFormat="1" ht="12.75"/>
    <row r="21610" s="3161" customFormat="1" ht="12.75"/>
    <row r="21611" s="3161" customFormat="1" ht="12.75"/>
    <row r="21612" s="3161" customFormat="1" ht="12.75"/>
    <row r="21613" s="3161" customFormat="1" ht="12.75"/>
    <row r="21614" s="3161" customFormat="1" ht="12.75"/>
    <row r="21615" s="3161" customFormat="1" ht="12.75"/>
    <row r="21616" s="3161" customFormat="1" ht="12.75"/>
    <row r="21617" s="3161" customFormat="1" ht="12.75"/>
    <row r="21618" s="3161" customFormat="1" ht="12.75"/>
    <row r="21619" s="3161" customFormat="1" ht="12.75"/>
    <row r="21620" s="3161" customFormat="1" ht="12.75"/>
    <row r="21621" s="3161" customFormat="1" ht="12.75"/>
    <row r="21622" s="3161" customFormat="1" ht="12.75"/>
    <row r="21623" s="3161" customFormat="1" ht="12.75"/>
    <row r="21624" s="3161" customFormat="1" ht="12.75"/>
    <row r="21625" s="3161" customFormat="1" ht="12.75"/>
    <row r="21626" s="3161" customFormat="1" ht="12.75"/>
    <row r="21627" s="3161" customFormat="1" ht="12.75"/>
    <row r="21628" s="3161" customFormat="1" ht="12.75"/>
    <row r="21629" s="3161" customFormat="1" ht="12.75"/>
    <row r="21630" s="3161" customFormat="1" ht="12.75"/>
    <row r="21631" s="3161" customFormat="1" ht="12.75"/>
    <row r="21632" s="3161" customFormat="1" ht="12.75"/>
    <row r="21633" s="3161" customFormat="1" ht="12.75"/>
    <row r="21634" s="3161" customFormat="1" ht="12.75"/>
    <row r="21635" s="3161" customFormat="1" ht="12.75"/>
    <row r="21636" s="3161" customFormat="1" ht="12.75"/>
    <row r="21637" s="3161" customFormat="1" ht="12.75"/>
    <row r="21638" s="3161" customFormat="1" ht="12.75"/>
    <row r="21639" s="3161" customFormat="1" ht="12.75"/>
    <row r="21640" s="3161" customFormat="1" ht="12.75"/>
    <row r="21641" s="3161" customFormat="1" ht="12.75"/>
    <row r="21642" s="3161" customFormat="1" ht="12.75"/>
    <row r="21643" s="3161" customFormat="1" ht="12.75"/>
    <row r="21644" s="3161" customFormat="1" ht="12.75"/>
    <row r="21645" s="3161" customFormat="1" ht="12.75"/>
    <row r="21646" s="3161" customFormat="1" ht="12.75"/>
    <row r="21647" s="3161" customFormat="1" ht="12.75"/>
    <row r="21648" s="3161" customFormat="1" ht="12.75"/>
    <row r="21649" s="3161" customFormat="1" ht="12.75"/>
    <row r="21650" s="3161" customFormat="1" ht="12.75"/>
    <row r="21651" s="3161" customFormat="1" ht="12.75"/>
    <row r="21652" s="3161" customFormat="1" ht="12.75"/>
    <row r="21653" s="3161" customFormat="1" ht="12.75"/>
    <row r="21654" s="3161" customFormat="1" ht="12.75"/>
    <row r="21655" s="3161" customFormat="1" ht="12.75"/>
    <row r="21656" s="3161" customFormat="1" ht="12.75"/>
    <row r="21657" s="3161" customFormat="1" ht="12.75"/>
    <row r="21658" s="3161" customFormat="1" ht="12.75"/>
    <row r="21659" s="3161" customFormat="1" ht="12.75"/>
    <row r="21660" s="3161" customFormat="1" ht="12.75"/>
    <row r="21661" s="3161" customFormat="1" ht="12.75"/>
    <row r="21662" s="3161" customFormat="1" ht="12.75"/>
    <row r="21663" s="3161" customFormat="1" ht="12.75"/>
    <row r="21664" s="3161" customFormat="1" ht="12.75"/>
    <row r="21665" s="3161" customFormat="1" ht="12.75"/>
    <row r="21666" s="3161" customFormat="1" ht="12.75"/>
    <row r="21667" s="3161" customFormat="1" ht="12.75"/>
    <row r="21668" s="3161" customFormat="1" ht="12.75"/>
    <row r="21669" s="3161" customFormat="1" ht="12.75"/>
    <row r="21670" s="3161" customFormat="1" ht="12.75"/>
    <row r="21671" s="3161" customFormat="1" ht="12.75"/>
    <row r="21672" s="3161" customFormat="1" ht="12.75"/>
    <row r="21673" s="3161" customFormat="1" ht="12.75"/>
    <row r="21674" s="3161" customFormat="1" ht="12.75"/>
    <row r="21675" s="3161" customFormat="1" ht="12.75"/>
    <row r="21676" s="3161" customFormat="1" ht="12.75"/>
    <row r="21677" s="3161" customFormat="1" ht="12.75"/>
    <row r="21678" s="3161" customFormat="1" ht="12.75"/>
    <row r="21679" s="3161" customFormat="1" ht="12.75"/>
    <row r="21680" s="3161" customFormat="1" ht="12.75"/>
    <row r="21681" s="3161" customFormat="1" ht="12.75"/>
    <row r="21682" s="3161" customFormat="1" ht="12.75"/>
    <row r="21683" s="3161" customFormat="1" ht="12.75"/>
    <row r="21684" s="3161" customFormat="1" ht="12.75"/>
    <row r="21685" s="3161" customFormat="1" ht="12.75"/>
    <row r="21686" s="3161" customFormat="1" ht="12.75"/>
    <row r="21687" s="3161" customFormat="1" ht="12.75"/>
    <row r="21688" s="3161" customFormat="1" ht="12.75"/>
    <row r="21689" s="3161" customFormat="1" ht="12.75"/>
    <row r="21690" s="3161" customFormat="1" ht="12.75"/>
    <row r="21691" s="3161" customFormat="1" ht="12.75"/>
    <row r="21692" s="3161" customFormat="1" ht="12.75"/>
    <row r="21693" s="3161" customFormat="1" ht="12.75"/>
    <row r="21694" s="3161" customFormat="1" ht="12.75"/>
    <row r="21695" s="3161" customFormat="1" ht="12.75"/>
    <row r="21696" s="3161" customFormat="1" ht="12.75"/>
    <row r="21697" s="3161" customFormat="1" ht="12.75"/>
    <row r="21698" s="3161" customFormat="1" ht="12.75"/>
    <row r="21699" s="3161" customFormat="1" ht="12.75"/>
    <row r="21700" s="3161" customFormat="1" ht="12.75"/>
    <row r="21701" s="3161" customFormat="1" ht="12.75"/>
    <row r="21702" s="3161" customFormat="1" ht="12.75"/>
    <row r="21703" s="3161" customFormat="1" ht="12.75"/>
    <row r="21704" s="3161" customFormat="1" ht="12.75"/>
    <row r="21705" s="3161" customFormat="1" ht="12.75"/>
    <row r="21706" s="3161" customFormat="1" ht="12.75"/>
    <row r="21707" s="3161" customFormat="1" ht="12.75"/>
    <row r="21708" s="3161" customFormat="1" ht="12.75"/>
    <row r="21709" s="3161" customFormat="1" ht="12.75"/>
    <row r="21710" s="3161" customFormat="1" ht="12.75"/>
    <row r="21711" s="3161" customFormat="1" ht="12.75"/>
    <row r="21712" s="3161" customFormat="1" ht="12.75"/>
    <row r="21713" s="3161" customFormat="1" ht="12.75"/>
    <row r="21714" s="3161" customFormat="1" ht="12.75"/>
    <row r="21715" s="3161" customFormat="1" ht="12.75"/>
    <row r="21716" s="3161" customFormat="1" ht="12.75"/>
    <row r="21717" s="3161" customFormat="1" ht="12.75"/>
    <row r="21718" s="3161" customFormat="1" ht="12.75"/>
    <row r="21719" s="3161" customFormat="1" ht="12.75"/>
    <row r="21720" s="3161" customFormat="1" ht="12.75"/>
    <row r="21721" s="3161" customFormat="1" ht="12.75"/>
    <row r="21722" s="3161" customFormat="1" ht="12.75"/>
    <row r="21723" s="3161" customFormat="1" ht="12.75"/>
    <row r="21724" s="3161" customFormat="1" ht="12.75"/>
    <row r="21725" s="3161" customFormat="1" ht="12.75"/>
    <row r="21726" s="3161" customFormat="1" ht="12.75"/>
    <row r="21727" s="3161" customFormat="1" ht="12.75"/>
    <row r="21728" s="3161" customFormat="1" ht="12.75"/>
    <row r="21729" s="3161" customFormat="1" ht="12.75"/>
    <row r="21730" s="3161" customFormat="1" ht="12.75"/>
    <row r="21731" s="3161" customFormat="1" ht="12.75"/>
    <row r="21732" s="3161" customFormat="1" ht="12.75"/>
    <row r="21733" s="3161" customFormat="1" ht="12.75"/>
    <row r="21734" s="3161" customFormat="1" ht="12.75"/>
    <row r="21735" s="3161" customFormat="1" ht="12.75"/>
    <row r="21736" s="3161" customFormat="1" ht="12.75"/>
    <row r="21737" s="3161" customFormat="1" ht="12.75"/>
    <row r="21738" s="3161" customFormat="1" ht="12.75"/>
    <row r="21739" s="3161" customFormat="1" ht="12.75"/>
    <row r="21740" s="3161" customFormat="1" ht="12.75"/>
    <row r="21741" s="3161" customFormat="1" ht="12.75"/>
    <row r="21742" s="3161" customFormat="1" ht="12.75"/>
    <row r="21743" s="3161" customFormat="1" ht="12.75"/>
    <row r="21744" s="3161" customFormat="1" ht="12.75"/>
    <row r="21745" s="3161" customFormat="1" ht="12.75"/>
    <row r="21746" s="3161" customFormat="1" ht="12.75"/>
    <row r="21747" s="3161" customFormat="1" ht="12.75"/>
    <row r="21748" s="3161" customFormat="1" ht="12.75"/>
    <row r="21749" s="3161" customFormat="1" ht="12.75"/>
    <row r="21750" s="3161" customFormat="1" ht="12.75"/>
    <row r="21751" s="3161" customFormat="1" ht="12.75"/>
    <row r="21752" s="3161" customFormat="1" ht="12.75"/>
    <row r="21753" s="3161" customFormat="1" ht="12.75"/>
    <row r="21754" s="3161" customFormat="1" ht="12.75"/>
    <row r="21755" s="3161" customFormat="1" ht="12.75"/>
    <row r="21756" s="3161" customFormat="1" ht="12.75"/>
    <row r="21757" s="3161" customFormat="1" ht="12.75"/>
    <row r="21758" s="3161" customFormat="1" ht="12.75"/>
    <row r="21759" s="3161" customFormat="1" ht="12.75"/>
    <row r="21760" s="3161" customFormat="1" ht="12.75"/>
    <row r="21761" s="3161" customFormat="1" ht="12.75"/>
    <row r="21762" s="3161" customFormat="1" ht="12.75"/>
    <row r="21763" s="3161" customFormat="1" ht="12.75"/>
    <row r="21764" s="3161" customFormat="1" ht="12.75"/>
    <row r="21765" s="3161" customFormat="1" ht="12.75"/>
    <row r="21766" s="3161" customFormat="1" ht="12.75"/>
    <row r="21767" s="3161" customFormat="1" ht="12.75"/>
    <row r="21768" s="3161" customFormat="1" ht="12.75"/>
    <row r="21769" s="3161" customFormat="1" ht="12.75"/>
    <row r="21770" s="3161" customFormat="1" ht="12.75"/>
    <row r="21771" s="3161" customFormat="1" ht="12.75"/>
    <row r="21772" s="3161" customFormat="1" ht="12.75"/>
    <row r="21773" s="3161" customFormat="1" ht="12.75"/>
    <row r="21774" s="3161" customFormat="1" ht="12.75"/>
    <row r="21775" s="3161" customFormat="1" ht="12.75"/>
    <row r="21776" s="3161" customFormat="1" ht="12.75"/>
    <row r="21777" s="3161" customFormat="1" ht="12.75"/>
    <row r="21778" s="3161" customFormat="1" ht="12.75"/>
    <row r="21779" s="3161" customFormat="1" ht="12.75"/>
    <row r="21780" s="3161" customFormat="1" ht="12.75"/>
    <row r="21781" s="3161" customFormat="1" ht="12.75"/>
    <row r="21782" s="3161" customFormat="1" ht="12.75"/>
    <row r="21783" s="3161" customFormat="1" ht="12.75"/>
    <row r="21784" s="3161" customFormat="1" ht="12.75"/>
    <row r="21785" s="3161" customFormat="1" ht="12.75"/>
    <row r="21786" s="3161" customFormat="1" ht="12.75"/>
    <row r="21787" s="3161" customFormat="1" ht="12.75"/>
    <row r="21788" s="3161" customFormat="1" ht="12.75"/>
    <row r="21789" s="3161" customFormat="1" ht="12.75"/>
    <row r="21790" s="3161" customFormat="1" ht="12.75"/>
    <row r="21791" s="3161" customFormat="1" ht="12.75"/>
    <row r="21792" s="3161" customFormat="1" ht="12.75"/>
    <row r="21793" s="3161" customFormat="1" ht="12.75"/>
    <row r="21794" s="3161" customFormat="1" ht="12.75"/>
    <row r="21795" s="3161" customFormat="1" ht="12.75"/>
    <row r="21796" s="3161" customFormat="1" ht="12.75"/>
    <row r="21797" s="3161" customFormat="1" ht="12.75"/>
    <row r="21798" s="3161" customFormat="1" ht="12.75"/>
    <row r="21799" s="3161" customFormat="1" ht="12.75"/>
    <row r="21800" s="3161" customFormat="1" ht="12.75"/>
    <row r="21801" s="3161" customFormat="1" ht="12.75"/>
    <row r="21802" s="3161" customFormat="1" ht="12.75"/>
    <row r="21803" s="3161" customFormat="1" ht="12.75"/>
    <row r="21804" s="3161" customFormat="1" ht="12.75"/>
    <row r="21805" s="3161" customFormat="1" ht="12.75"/>
    <row r="21806" s="3161" customFormat="1" ht="12.75"/>
    <row r="21807" s="3161" customFormat="1" ht="12.75"/>
    <row r="21808" s="3161" customFormat="1" ht="12.75"/>
    <row r="21809" s="3161" customFormat="1" ht="12.75"/>
    <row r="21810" s="3161" customFormat="1" ht="12.75"/>
    <row r="21811" s="3161" customFormat="1" ht="12.75"/>
    <row r="21812" s="3161" customFormat="1" ht="12.75"/>
    <row r="21813" s="3161" customFormat="1" ht="12.75"/>
    <row r="21814" s="3161" customFormat="1" ht="12.75"/>
    <row r="21815" s="3161" customFormat="1" ht="12.75"/>
    <row r="21816" s="3161" customFormat="1" ht="12.75"/>
    <row r="21817" s="3161" customFormat="1" ht="12.75"/>
    <row r="21818" s="3161" customFormat="1" ht="12.75"/>
    <row r="21819" s="3161" customFormat="1" ht="12.75"/>
    <row r="21820" s="3161" customFormat="1" ht="12.75"/>
    <row r="21821" s="3161" customFormat="1" ht="12.75"/>
    <row r="21822" s="3161" customFormat="1" ht="12.75"/>
    <row r="21823" s="3161" customFormat="1" ht="12.75"/>
    <row r="21824" s="3161" customFormat="1" ht="12.75"/>
    <row r="21825" s="3161" customFormat="1" ht="12.75"/>
    <row r="21826" s="3161" customFormat="1" ht="12.75"/>
    <row r="21827" s="3161" customFormat="1" ht="12.75"/>
    <row r="21828" s="3161" customFormat="1" ht="12.75"/>
    <row r="21829" s="3161" customFormat="1" ht="12.75"/>
    <row r="21830" s="3161" customFormat="1" ht="12.75"/>
    <row r="21831" s="3161" customFormat="1" ht="12.75"/>
    <row r="21832" s="3161" customFormat="1" ht="12.75"/>
    <row r="21833" s="3161" customFormat="1" ht="12.75"/>
    <row r="21834" s="3161" customFormat="1" ht="12.75"/>
    <row r="21835" s="3161" customFormat="1" ht="12.75"/>
    <row r="21836" s="3161" customFormat="1" ht="12.75"/>
    <row r="21837" s="3161" customFormat="1" ht="12.75"/>
    <row r="21838" s="3161" customFormat="1" ht="12.75"/>
    <row r="21839" s="3161" customFormat="1" ht="12.75"/>
    <row r="21840" s="3161" customFormat="1" ht="12.75"/>
    <row r="21841" s="3161" customFormat="1" ht="12.75"/>
    <row r="21842" s="3161" customFormat="1" ht="12.75"/>
    <row r="21843" s="3161" customFormat="1" ht="12.75"/>
    <row r="21844" s="3161" customFormat="1" ht="12.75"/>
    <row r="21845" s="3161" customFormat="1" ht="12.75"/>
    <row r="21846" s="3161" customFormat="1" ht="12.75"/>
    <row r="21847" s="3161" customFormat="1" ht="12.75"/>
    <row r="21848" s="3161" customFormat="1" ht="12.75"/>
    <row r="21849" s="3161" customFormat="1" ht="12.75"/>
    <row r="21850" s="3161" customFormat="1" ht="12.75"/>
    <row r="21851" s="3161" customFormat="1" ht="12.75"/>
    <row r="21852" s="3161" customFormat="1" ht="12.75"/>
    <row r="21853" s="3161" customFormat="1" ht="12.75"/>
    <row r="21854" s="3161" customFormat="1" ht="12.75"/>
    <row r="21855" s="3161" customFormat="1" ht="12.75"/>
    <row r="21856" s="3161" customFormat="1" ht="12.75"/>
    <row r="21857" s="3161" customFormat="1" ht="12.75"/>
    <row r="21858" s="3161" customFormat="1" ht="12.75"/>
    <row r="21859" s="3161" customFormat="1" ht="12.75"/>
    <row r="21860" s="3161" customFormat="1" ht="12.75"/>
    <row r="21861" s="3161" customFormat="1" ht="12.75"/>
    <row r="21862" s="3161" customFormat="1" ht="12.75"/>
    <row r="21863" s="3161" customFormat="1" ht="12.75"/>
    <row r="21864" s="3161" customFormat="1" ht="12.75"/>
    <row r="21865" s="3161" customFormat="1" ht="12.75"/>
    <row r="21866" s="3161" customFormat="1" ht="12.75"/>
    <row r="21867" s="3161" customFormat="1" ht="12.75"/>
    <row r="21868" s="3161" customFormat="1" ht="12.75"/>
    <row r="21869" s="3161" customFormat="1" ht="12.75"/>
    <row r="21870" s="3161" customFormat="1" ht="12.75"/>
    <row r="21871" s="3161" customFormat="1" ht="12.75"/>
    <row r="21872" s="3161" customFormat="1" ht="12.75"/>
    <row r="21873" s="3161" customFormat="1" ht="12.75"/>
    <row r="21874" s="3161" customFormat="1" ht="12.75"/>
    <row r="21875" s="3161" customFormat="1" ht="12.75"/>
    <row r="21876" s="3161" customFormat="1" ht="12.75"/>
    <row r="21877" s="3161" customFormat="1" ht="12.75"/>
    <row r="21878" s="3161" customFormat="1" ht="12.75"/>
    <row r="21879" s="3161" customFormat="1" ht="12.75"/>
    <row r="21880" s="3161" customFormat="1" ht="12.75"/>
    <row r="21881" s="3161" customFormat="1" ht="12.75"/>
    <row r="21882" s="3161" customFormat="1" ht="12.75"/>
    <row r="21883" s="3161" customFormat="1" ht="12.75"/>
    <row r="21884" s="3161" customFormat="1" ht="12.75"/>
    <row r="21885" s="3161" customFormat="1" ht="12.75"/>
    <row r="21886" s="3161" customFormat="1" ht="12.75"/>
    <row r="21887" s="3161" customFormat="1" ht="12.75"/>
    <row r="21888" s="3161" customFormat="1" ht="12.75"/>
    <row r="21889" s="3161" customFormat="1" ht="12.75"/>
    <row r="21890" s="3161" customFormat="1" ht="12.75"/>
    <row r="21891" s="3161" customFormat="1" ht="12.75"/>
    <row r="21892" s="3161" customFormat="1" ht="12.75"/>
    <row r="21893" s="3161" customFormat="1" ht="12.75"/>
    <row r="21894" s="3161" customFormat="1" ht="12.75"/>
    <row r="21895" s="3161" customFormat="1" ht="12.75"/>
    <row r="21896" s="3161" customFormat="1" ht="12.75"/>
    <row r="21897" s="3161" customFormat="1" ht="12.75"/>
    <row r="21898" s="3161" customFormat="1" ht="12.75"/>
    <row r="21899" s="3161" customFormat="1" ht="12.75"/>
    <row r="21900" s="3161" customFormat="1" ht="12.75"/>
    <row r="21901" s="3161" customFormat="1" ht="12.75"/>
    <row r="21902" s="3161" customFormat="1" ht="12.75"/>
    <row r="21903" s="3161" customFormat="1" ht="12.75"/>
    <row r="21904" s="3161" customFormat="1" ht="12.75"/>
    <row r="21905" s="3161" customFormat="1" ht="12.75"/>
    <row r="21906" s="3161" customFormat="1" ht="12.75"/>
    <row r="21907" s="3161" customFormat="1" ht="12.75"/>
    <row r="21908" s="3161" customFormat="1" ht="12.75"/>
    <row r="21909" s="3161" customFormat="1" ht="12.75"/>
    <row r="21910" s="3161" customFormat="1" ht="12.75"/>
    <row r="21911" s="3161" customFormat="1" ht="12.75"/>
    <row r="21912" s="3161" customFormat="1" ht="12.75"/>
    <row r="21913" s="3161" customFormat="1" ht="12.75"/>
    <row r="21914" s="3161" customFormat="1" ht="12.75"/>
    <row r="21915" s="3161" customFormat="1" ht="12.75"/>
    <row r="21916" s="3161" customFormat="1" ht="12.75"/>
    <row r="21917" s="3161" customFormat="1" ht="12.75"/>
    <row r="21918" s="3161" customFormat="1" ht="12.75"/>
    <row r="21919" s="3161" customFormat="1" ht="12.75"/>
    <row r="21920" s="3161" customFormat="1" ht="12.75"/>
    <row r="21921" s="3161" customFormat="1" ht="12.75"/>
    <row r="21922" s="3161" customFormat="1" ht="12.75"/>
    <row r="21923" s="3161" customFormat="1" ht="12.75"/>
    <row r="21924" s="3161" customFormat="1" ht="12.75"/>
    <row r="21925" s="3161" customFormat="1" ht="12.75"/>
    <row r="21926" s="3161" customFormat="1" ht="12.75"/>
    <row r="21927" s="3161" customFormat="1" ht="12.75"/>
    <row r="21928" s="3161" customFormat="1" ht="12.75"/>
    <row r="21929" s="3161" customFormat="1" ht="12.75"/>
    <row r="21930" s="3161" customFormat="1" ht="12.75"/>
    <row r="21931" s="3161" customFormat="1" ht="12.75"/>
    <row r="21932" s="3161" customFormat="1" ht="12.75"/>
    <row r="21933" s="3161" customFormat="1" ht="12.75"/>
    <row r="21934" s="3161" customFormat="1" ht="12.75"/>
    <row r="21935" s="3161" customFormat="1" ht="12.75"/>
    <row r="21936" s="3161" customFormat="1" ht="12.75"/>
    <row r="21937" s="3161" customFormat="1" ht="12.75"/>
    <row r="21938" s="3161" customFormat="1" ht="12.75"/>
    <row r="21939" s="3161" customFormat="1" ht="12.75"/>
    <row r="21940" s="3161" customFormat="1" ht="12.75"/>
    <row r="21941" s="3161" customFormat="1" ht="12.75"/>
    <row r="21942" s="3161" customFormat="1" ht="12.75"/>
    <row r="21943" s="3161" customFormat="1" ht="12.75"/>
    <row r="21944" s="3161" customFormat="1" ht="12.75"/>
    <row r="21945" s="3161" customFormat="1" ht="12.75"/>
    <row r="21946" s="3161" customFormat="1" ht="12.75"/>
    <row r="21947" s="3161" customFormat="1" ht="12.75"/>
    <row r="21948" s="3161" customFormat="1" ht="12.75"/>
    <row r="21949" s="3161" customFormat="1" ht="12.75"/>
    <row r="21950" s="3161" customFormat="1" ht="12.75"/>
    <row r="21951" s="3161" customFormat="1" ht="12.75"/>
    <row r="21952" s="3161" customFormat="1" ht="12.75"/>
    <row r="21953" s="3161" customFormat="1" ht="12.75"/>
    <row r="21954" s="3161" customFormat="1" ht="12.75"/>
    <row r="21955" s="3161" customFormat="1" ht="12.75"/>
    <row r="21956" s="3161" customFormat="1" ht="12.75"/>
    <row r="21957" s="3161" customFormat="1" ht="12.75"/>
    <row r="21958" s="3161" customFormat="1" ht="12.75"/>
    <row r="21959" s="3161" customFormat="1" ht="12.75"/>
    <row r="21960" s="3161" customFormat="1" ht="12.75"/>
    <row r="21961" s="3161" customFormat="1" ht="12.75"/>
    <row r="21962" s="3161" customFormat="1" ht="12.75"/>
    <row r="21963" s="3161" customFormat="1" ht="12.75"/>
    <row r="21964" s="3161" customFormat="1" ht="12.75"/>
    <row r="21965" s="3161" customFormat="1" ht="12.75"/>
    <row r="21966" s="3161" customFormat="1" ht="12.75"/>
    <row r="21967" s="3161" customFormat="1" ht="12.75"/>
    <row r="21968" s="3161" customFormat="1" ht="12.75"/>
    <row r="21969" s="3161" customFormat="1" ht="12.75"/>
    <row r="21970" s="3161" customFormat="1" ht="12.75"/>
    <row r="21971" s="3161" customFormat="1" ht="12.75"/>
    <row r="21972" s="3161" customFormat="1" ht="12.75"/>
    <row r="21973" s="3161" customFormat="1" ht="12.75"/>
    <row r="21974" s="3161" customFormat="1" ht="12.75"/>
    <row r="21975" s="3161" customFormat="1" ht="12.75"/>
    <row r="21976" s="3161" customFormat="1" ht="12.75"/>
    <row r="21977" s="3161" customFormat="1" ht="12.75"/>
    <row r="21978" s="3161" customFormat="1" ht="12.75"/>
    <row r="21979" s="3161" customFormat="1" ht="12.75"/>
    <row r="21980" s="3161" customFormat="1" ht="12.75"/>
    <row r="21981" s="3161" customFormat="1" ht="12.75"/>
    <row r="21982" s="3161" customFormat="1" ht="12.75"/>
    <row r="21983" s="3161" customFormat="1" ht="12.75"/>
    <row r="21984" s="3161" customFormat="1" ht="12.75"/>
    <row r="21985" s="3161" customFormat="1" ht="12.75"/>
    <row r="21986" s="3161" customFormat="1" ht="12.75"/>
    <row r="21987" s="3161" customFormat="1" ht="12.75"/>
    <row r="21988" s="3161" customFormat="1" ht="12.75"/>
    <row r="21989" s="3161" customFormat="1" ht="12.75"/>
    <row r="21990" s="3161" customFormat="1" ht="12.75"/>
    <row r="21991" s="3161" customFormat="1" ht="12.75"/>
    <row r="21992" s="3161" customFormat="1" ht="12.75"/>
    <row r="21993" s="3161" customFormat="1" ht="12.75"/>
    <row r="21994" s="3161" customFormat="1" ht="12.75"/>
    <row r="21995" s="3161" customFormat="1" ht="12.75"/>
    <row r="21996" s="3161" customFormat="1" ht="12.75"/>
    <row r="21997" s="3161" customFormat="1" ht="12.75"/>
    <row r="21998" s="3161" customFormat="1" ht="12.75"/>
    <row r="21999" s="3161" customFormat="1" ht="12.75"/>
    <row r="22000" s="3161" customFormat="1" ht="12.75"/>
    <row r="22001" s="3161" customFormat="1" ht="12.75"/>
    <row r="22002" s="3161" customFormat="1" ht="12.75"/>
    <row r="22003" s="3161" customFormat="1" ht="12.75"/>
    <row r="22004" s="3161" customFormat="1" ht="12.75"/>
    <row r="22005" s="3161" customFormat="1" ht="12.75"/>
    <row r="22006" s="3161" customFormat="1" ht="12.75"/>
    <row r="22007" s="3161" customFormat="1" ht="12.75"/>
    <row r="22008" s="3161" customFormat="1" ht="12.75"/>
    <row r="22009" s="3161" customFormat="1" ht="12.75"/>
    <row r="22010" s="3161" customFormat="1" ht="12.75"/>
    <row r="22011" s="3161" customFormat="1" ht="12.75"/>
    <row r="22012" s="3161" customFormat="1" ht="12.75"/>
    <row r="22013" s="3161" customFormat="1" ht="12.75"/>
    <row r="22014" s="3161" customFormat="1" ht="12.75"/>
    <row r="22015" s="3161" customFormat="1" ht="12.75"/>
    <row r="22016" s="3161" customFormat="1" ht="12.75"/>
    <row r="22017" s="3161" customFormat="1" ht="12.75"/>
    <row r="22018" s="3161" customFormat="1" ht="12.75"/>
    <row r="22019" s="3161" customFormat="1" ht="12.75"/>
    <row r="22020" s="3161" customFormat="1" ht="12.75"/>
    <row r="22021" s="3161" customFormat="1" ht="12.75"/>
    <row r="22022" s="3161" customFormat="1" ht="12.75"/>
    <row r="22023" s="3161" customFormat="1" ht="12.75"/>
    <row r="22024" s="3161" customFormat="1" ht="12.75"/>
    <row r="22025" s="3161" customFormat="1" ht="12.75"/>
    <row r="22026" s="3161" customFormat="1" ht="12.75"/>
    <row r="22027" s="3161" customFormat="1" ht="12.75"/>
    <row r="22028" s="3161" customFormat="1" ht="12.75"/>
    <row r="22029" s="3161" customFormat="1" ht="12.75"/>
    <row r="22030" s="3161" customFormat="1" ht="12.75"/>
    <row r="22031" s="3161" customFormat="1" ht="12.75"/>
    <row r="22032" s="3161" customFormat="1" ht="12.75"/>
    <row r="22033" s="3161" customFormat="1" ht="12.75"/>
    <row r="22034" s="3161" customFormat="1" ht="12.75"/>
    <row r="22035" s="3161" customFormat="1" ht="12.75"/>
    <row r="22036" s="3161" customFormat="1" ht="12.75"/>
    <row r="22037" s="3161" customFormat="1" ht="12.75"/>
    <row r="22038" s="3161" customFormat="1" ht="12.75"/>
    <row r="22039" s="3161" customFormat="1" ht="12.75"/>
    <row r="22040" s="3161" customFormat="1" ht="12.75"/>
    <row r="22041" s="3161" customFormat="1" ht="12.75"/>
    <row r="22042" s="3161" customFormat="1" ht="12.75"/>
    <row r="22043" s="3161" customFormat="1" ht="12.75"/>
    <row r="22044" s="3161" customFormat="1" ht="12.75"/>
    <row r="22045" s="3161" customFormat="1" ht="12.75"/>
    <row r="22046" s="3161" customFormat="1" ht="12.75"/>
    <row r="22047" s="3161" customFormat="1" ht="12.75"/>
    <row r="22048" s="3161" customFormat="1" ht="12.75"/>
    <row r="22049" s="3161" customFormat="1" ht="12.75"/>
    <row r="22050" s="3161" customFormat="1" ht="12.75"/>
    <row r="22051" s="3161" customFormat="1" ht="12.75"/>
    <row r="22052" s="3161" customFormat="1" ht="12.75"/>
    <row r="22053" s="3161" customFormat="1" ht="12.75"/>
    <row r="22054" s="3161" customFormat="1" ht="12.75"/>
    <row r="22055" s="3161" customFormat="1" ht="12.75"/>
    <row r="22056" s="3161" customFormat="1" ht="12.75"/>
    <row r="22057" s="3161" customFormat="1" ht="12.75"/>
    <row r="22058" s="3161" customFormat="1" ht="12.75"/>
    <row r="22059" s="3161" customFormat="1" ht="12.75"/>
    <row r="22060" s="3161" customFormat="1" ht="12.75"/>
    <row r="22061" s="3161" customFormat="1" ht="12.75"/>
    <row r="22062" s="3161" customFormat="1" ht="12.75"/>
    <row r="22063" s="3161" customFormat="1" ht="12.75"/>
    <row r="22064" s="3161" customFormat="1" ht="12.75"/>
    <row r="22065" s="3161" customFormat="1" ht="12.75"/>
    <row r="22066" s="3161" customFormat="1" ht="12.75"/>
    <row r="22067" s="3161" customFormat="1" ht="12.75"/>
    <row r="22068" s="3161" customFormat="1" ht="12.75"/>
    <row r="22069" s="3161" customFormat="1" ht="12.75"/>
    <row r="22070" s="3161" customFormat="1" ht="12.75"/>
    <row r="22071" s="3161" customFormat="1" ht="12.75"/>
    <row r="22072" s="3161" customFormat="1" ht="12.75"/>
    <row r="22073" s="3161" customFormat="1" ht="12.75"/>
    <row r="22074" s="3161" customFormat="1" ht="12.75"/>
    <row r="22075" s="3161" customFormat="1" ht="12.75"/>
    <row r="22076" s="3161" customFormat="1" ht="12.75"/>
    <row r="22077" s="3161" customFormat="1" ht="12.75"/>
    <row r="22078" s="3161" customFormat="1" ht="12.75"/>
    <row r="22079" s="3161" customFormat="1" ht="12.75"/>
    <row r="22080" s="3161" customFormat="1" ht="12.75"/>
    <row r="22081" s="3161" customFormat="1" ht="12.75"/>
    <row r="22082" s="3161" customFormat="1" ht="12.75"/>
    <row r="22083" s="3161" customFormat="1" ht="12.75"/>
    <row r="22084" s="3161" customFormat="1" ht="12.75"/>
    <row r="22085" s="3161" customFormat="1" ht="12.75"/>
    <row r="22086" s="3161" customFormat="1" ht="12.75"/>
    <row r="22087" s="3161" customFormat="1" ht="12.75"/>
    <row r="22088" s="3161" customFormat="1" ht="12.75"/>
    <row r="22089" s="3161" customFormat="1" ht="12.75"/>
    <row r="22090" s="3161" customFormat="1" ht="12.75"/>
    <row r="22091" s="3161" customFormat="1" ht="12.75"/>
    <row r="22092" s="3161" customFormat="1" ht="12.75"/>
    <row r="22093" s="3161" customFormat="1" ht="12.75"/>
    <row r="22094" s="3161" customFormat="1" ht="12.75"/>
    <row r="22095" s="3161" customFormat="1" ht="12.75"/>
    <row r="22096" s="3161" customFormat="1" ht="12.75"/>
    <row r="22097" s="3161" customFormat="1" ht="12.75"/>
    <row r="22098" s="3161" customFormat="1" ht="12.75"/>
    <row r="22099" s="3161" customFormat="1" ht="12.75"/>
    <row r="22100" s="3161" customFormat="1" ht="12.75"/>
    <row r="22101" s="3161" customFormat="1" ht="12.75"/>
    <row r="22102" s="3161" customFormat="1" ht="12.75"/>
    <row r="22103" s="3161" customFormat="1" ht="12.75"/>
    <row r="22104" s="3161" customFormat="1" ht="12.75"/>
    <row r="22105" s="3161" customFormat="1" ht="12.75"/>
    <row r="22106" s="3161" customFormat="1" ht="12.75"/>
    <row r="22107" s="3161" customFormat="1" ht="12.75"/>
    <row r="22108" s="3161" customFormat="1" ht="12.75"/>
    <row r="22109" s="3161" customFormat="1" ht="12.75"/>
    <row r="22110" s="3161" customFormat="1" ht="12.75"/>
    <row r="22111" s="3161" customFormat="1" ht="12.75"/>
    <row r="22112" s="3161" customFormat="1" ht="12.75"/>
    <row r="22113" s="3161" customFormat="1" ht="12.75"/>
    <row r="22114" s="3161" customFormat="1" ht="12.75"/>
    <row r="22115" s="3161" customFormat="1" ht="12.75"/>
    <row r="22116" s="3161" customFormat="1" ht="12.75"/>
    <row r="22117" s="3161" customFormat="1" ht="12.75"/>
    <row r="22118" s="3161" customFormat="1" ht="12.75"/>
    <row r="22119" s="3161" customFormat="1" ht="12.75"/>
    <row r="22120" s="3161" customFormat="1" ht="12.75"/>
    <row r="22121" s="3161" customFormat="1" ht="12.75"/>
    <row r="22122" s="3161" customFormat="1" ht="12.75"/>
    <row r="22123" s="3161" customFormat="1" ht="12.75"/>
    <row r="22124" s="3161" customFormat="1" ht="12.75"/>
    <row r="22125" s="3161" customFormat="1" ht="12.75"/>
    <row r="22126" s="3161" customFormat="1" ht="12.75"/>
    <row r="22127" s="3161" customFormat="1" ht="12.75"/>
    <row r="22128" s="3161" customFormat="1" ht="12.75"/>
    <row r="22129" s="3161" customFormat="1" ht="12.75"/>
    <row r="22130" s="3161" customFormat="1" ht="12.75"/>
    <row r="22131" s="3161" customFormat="1" ht="12.75"/>
    <row r="22132" s="3161" customFormat="1" ht="12.75"/>
    <row r="22133" s="3161" customFormat="1" ht="12.75"/>
    <row r="22134" s="3161" customFormat="1" ht="12.75"/>
    <row r="22135" s="3161" customFormat="1" ht="12.75"/>
    <row r="22136" s="3161" customFormat="1" ht="12.75"/>
    <row r="22137" s="3161" customFormat="1" ht="12.75"/>
    <row r="22138" s="3161" customFormat="1" ht="12.75"/>
    <row r="22139" s="3161" customFormat="1" ht="12.75"/>
    <row r="22140" s="3161" customFormat="1" ht="12.75"/>
    <row r="22141" s="3161" customFormat="1" ht="12.75"/>
    <row r="22142" s="3161" customFormat="1" ht="12.75"/>
    <row r="22143" s="3161" customFormat="1" ht="12.75"/>
    <row r="22144" s="3161" customFormat="1" ht="12.75"/>
    <row r="22145" s="3161" customFormat="1" ht="12.75"/>
    <row r="22146" s="3161" customFormat="1" ht="12.75"/>
    <row r="22147" s="3161" customFormat="1" ht="12.75"/>
    <row r="22148" s="3161" customFormat="1" ht="12.75"/>
    <row r="22149" s="3161" customFormat="1" ht="12.75"/>
    <row r="22150" s="3161" customFormat="1" ht="12.75"/>
    <row r="22151" s="3161" customFormat="1" ht="12.75"/>
    <row r="22152" s="3161" customFormat="1" ht="12.75"/>
    <row r="22153" s="3161" customFormat="1" ht="12.75"/>
    <row r="22154" s="3161" customFormat="1" ht="12.75"/>
    <row r="22155" s="3161" customFormat="1" ht="12.75"/>
    <row r="22156" s="3161" customFormat="1" ht="12.75"/>
    <row r="22157" s="3161" customFormat="1" ht="12.75"/>
    <row r="22158" s="3161" customFormat="1" ht="12.75"/>
    <row r="22159" s="3161" customFormat="1" ht="12.75"/>
    <row r="22160" s="3161" customFormat="1" ht="12.75"/>
    <row r="22161" s="3161" customFormat="1" ht="12.75"/>
    <row r="22162" s="3161" customFormat="1" ht="12.75"/>
    <row r="22163" s="3161" customFormat="1" ht="12.75"/>
    <row r="22164" s="3161" customFormat="1" ht="12.75"/>
    <row r="22165" s="3161" customFormat="1" ht="12.75"/>
    <row r="22166" s="3161" customFormat="1" ht="12.75"/>
    <row r="22167" s="3161" customFormat="1" ht="12.75"/>
    <row r="22168" s="3161" customFormat="1" ht="12.75"/>
    <row r="22169" s="3161" customFormat="1" ht="12.75"/>
    <row r="22170" s="3161" customFormat="1" ht="12.75"/>
    <row r="22171" s="3161" customFormat="1" ht="12.75"/>
    <row r="22172" s="3161" customFormat="1" ht="12.75"/>
    <row r="22173" s="3161" customFormat="1" ht="12.75"/>
    <row r="22174" s="3161" customFormat="1" ht="12.75"/>
    <row r="22175" s="3161" customFormat="1" ht="12.75"/>
    <row r="22176" s="3161" customFormat="1" ht="12.75"/>
    <row r="22177" s="3161" customFormat="1" ht="12.75"/>
    <row r="22178" s="3161" customFormat="1" ht="12.75"/>
    <row r="22179" s="3161" customFormat="1" ht="12.75"/>
    <row r="22180" s="3161" customFormat="1" ht="12.75"/>
    <row r="22181" s="3161" customFormat="1" ht="12.75"/>
    <row r="22182" s="3161" customFormat="1" ht="12.75"/>
    <row r="22183" s="3161" customFormat="1" ht="12.75"/>
    <row r="22184" s="3161" customFormat="1" ht="12.75"/>
    <row r="22185" s="3161" customFormat="1" ht="12.75"/>
    <row r="22186" s="3161" customFormat="1" ht="12.75"/>
    <row r="22187" s="3161" customFormat="1" ht="12.75"/>
    <row r="22188" s="3161" customFormat="1" ht="12.75"/>
    <row r="22189" s="3161" customFormat="1" ht="12.75"/>
    <row r="22190" s="3161" customFormat="1" ht="12.75"/>
    <row r="22191" s="3161" customFormat="1" ht="12.75"/>
    <row r="22192" s="3161" customFormat="1" ht="12.75"/>
    <row r="22193" s="3161" customFormat="1" ht="12.75"/>
    <row r="22194" s="3161" customFormat="1" ht="12.75"/>
    <row r="22195" s="3161" customFormat="1" ht="12.75"/>
    <row r="22196" s="3161" customFormat="1" ht="12.75"/>
    <row r="22197" s="3161" customFormat="1" ht="12.75"/>
    <row r="22198" s="3161" customFormat="1" ht="12.75"/>
    <row r="22199" s="3161" customFormat="1" ht="12.75"/>
    <row r="22200" s="3161" customFormat="1" ht="12.75"/>
    <row r="22201" s="3161" customFormat="1" ht="12.75"/>
    <row r="22202" s="3161" customFormat="1" ht="12.75"/>
    <row r="22203" s="3161" customFormat="1" ht="12.75"/>
    <row r="22204" s="3161" customFormat="1" ht="12.75"/>
    <row r="22205" s="3161" customFormat="1" ht="12.75"/>
    <row r="22206" s="3161" customFormat="1" ht="12.75"/>
    <row r="22207" s="3161" customFormat="1" ht="12.75"/>
    <row r="22208" s="3161" customFormat="1" ht="12.75"/>
    <row r="22209" s="3161" customFormat="1" ht="12.75"/>
    <row r="22210" s="3161" customFormat="1" ht="12.75"/>
    <row r="22211" s="3161" customFormat="1" ht="12.75"/>
    <row r="22212" s="3161" customFormat="1" ht="12.75"/>
    <row r="22213" s="3161" customFormat="1" ht="12.75"/>
    <row r="22214" s="3161" customFormat="1" ht="12.75"/>
    <row r="22215" s="3161" customFormat="1" ht="12.75"/>
    <row r="22216" s="3161" customFormat="1" ht="12.75"/>
    <row r="22217" s="3161" customFormat="1" ht="12.75"/>
    <row r="22218" s="3161" customFormat="1" ht="12.75"/>
    <row r="22219" s="3161" customFormat="1" ht="12.75"/>
    <row r="22220" s="3161" customFormat="1" ht="12.75"/>
    <row r="22221" s="3161" customFormat="1" ht="12.75"/>
    <row r="22222" s="3161" customFormat="1" ht="12.75"/>
    <row r="22223" s="3161" customFormat="1" ht="12.75"/>
    <row r="22224" s="3161" customFormat="1" ht="12.75"/>
    <row r="22225" s="3161" customFormat="1" ht="12.75"/>
    <row r="22226" s="3161" customFormat="1" ht="12.75"/>
    <row r="22227" s="3161" customFormat="1" ht="12.75"/>
    <row r="22228" s="3161" customFormat="1" ht="12.75"/>
    <row r="22229" s="3161" customFormat="1" ht="12.75"/>
    <row r="22230" s="3161" customFormat="1" ht="12.75"/>
    <row r="22231" s="3161" customFormat="1" ht="12.75"/>
    <row r="22232" s="3161" customFormat="1" ht="12.75"/>
    <row r="22233" s="3161" customFormat="1" ht="12.75"/>
    <row r="22234" s="3161" customFormat="1" ht="12.75"/>
    <row r="22235" s="3161" customFormat="1" ht="12.75"/>
    <row r="22236" s="3161" customFormat="1" ht="12.75"/>
    <row r="22237" s="3161" customFormat="1" ht="12.75"/>
    <row r="22238" s="3161" customFormat="1" ht="12.75"/>
    <row r="22239" s="3161" customFormat="1" ht="12.75"/>
    <row r="22240" s="3161" customFormat="1" ht="12.75"/>
    <row r="22241" s="3161" customFormat="1" ht="12.75"/>
    <row r="22242" s="3161" customFormat="1" ht="12.75"/>
    <row r="22243" s="3161" customFormat="1" ht="12.75"/>
    <row r="22244" s="3161" customFormat="1" ht="12.75"/>
    <row r="22245" s="3161" customFormat="1" ht="12.75"/>
    <row r="22246" s="3161" customFormat="1" ht="12.75"/>
    <row r="22247" s="3161" customFormat="1" ht="12.75"/>
    <row r="22248" s="3161" customFormat="1" ht="12.75"/>
    <row r="22249" s="3161" customFormat="1" ht="12.75"/>
    <row r="22250" s="3161" customFormat="1" ht="12.75"/>
    <row r="22251" s="3161" customFormat="1" ht="12.75"/>
    <row r="22252" s="3161" customFormat="1" ht="12.75"/>
    <row r="22253" s="3161" customFormat="1" ht="12.75"/>
    <row r="22254" s="3161" customFormat="1" ht="12.75"/>
    <row r="22255" s="3161" customFormat="1" ht="12.75"/>
    <row r="22256" s="3161" customFormat="1" ht="12.75"/>
    <row r="22257" s="3161" customFormat="1" ht="12.75"/>
    <row r="22258" s="3161" customFormat="1" ht="12.75"/>
    <row r="22259" s="3161" customFormat="1" ht="12.75"/>
    <row r="22260" s="3161" customFormat="1" ht="12.75"/>
    <row r="22261" s="3161" customFormat="1" ht="12.75"/>
    <row r="22262" s="3161" customFormat="1" ht="12.75"/>
    <row r="22263" s="3161" customFormat="1" ht="12.75"/>
    <row r="22264" s="3161" customFormat="1" ht="12.75"/>
    <row r="22265" s="3161" customFormat="1" ht="12.75"/>
    <row r="22266" s="3161" customFormat="1" ht="12.75"/>
    <row r="22267" s="3161" customFormat="1" ht="12.75"/>
    <row r="22268" s="3161" customFormat="1" ht="12.75"/>
    <row r="22269" s="3161" customFormat="1" ht="12.75"/>
    <row r="22270" s="3161" customFormat="1" ht="12.75"/>
    <row r="22271" s="3161" customFormat="1" ht="12.75"/>
    <row r="22272" s="3161" customFormat="1" ht="12.75"/>
    <row r="22273" s="3161" customFormat="1" ht="12.75"/>
    <row r="22274" s="3161" customFormat="1" ht="12.75"/>
    <row r="22275" s="3161" customFormat="1" ht="12.75"/>
    <row r="22276" s="3161" customFormat="1" ht="12.75"/>
    <row r="22277" s="3161" customFormat="1" ht="12.75"/>
    <row r="22278" s="3161" customFormat="1" ht="12.75"/>
    <row r="22279" s="3161" customFormat="1" ht="12.75"/>
    <row r="22280" s="3161" customFormat="1" ht="12.75"/>
    <row r="22281" s="3161" customFormat="1" ht="12.75"/>
    <row r="22282" s="3161" customFormat="1" ht="12.75"/>
    <row r="22283" s="3161" customFormat="1" ht="12.75"/>
    <row r="22284" s="3161" customFormat="1" ht="12.75"/>
    <row r="22285" s="3161" customFormat="1" ht="12.75"/>
    <row r="22286" s="3161" customFormat="1" ht="12.75"/>
    <row r="22287" s="3161" customFormat="1" ht="12.75"/>
    <row r="22288" s="3161" customFormat="1" ht="12.75"/>
    <row r="22289" s="3161" customFormat="1" ht="12.75"/>
    <row r="22290" s="3161" customFormat="1" ht="12.75"/>
    <row r="22291" s="3161" customFormat="1" ht="12.75"/>
    <row r="22292" s="3161" customFormat="1" ht="12.75"/>
    <row r="22293" s="3161" customFormat="1" ht="12.75"/>
    <row r="22294" s="3161" customFormat="1" ht="12.75"/>
    <row r="22295" s="3161" customFormat="1" ht="12.75"/>
    <row r="22296" s="3161" customFormat="1" ht="12.75"/>
    <row r="22297" s="3161" customFormat="1" ht="12.75"/>
    <row r="22298" s="3161" customFormat="1" ht="12.75"/>
    <row r="22299" s="3161" customFormat="1" ht="12.75"/>
    <row r="22300" s="3161" customFormat="1" ht="12.75"/>
    <row r="22301" s="3161" customFormat="1" ht="12.75"/>
    <row r="22302" s="3161" customFormat="1" ht="12.75"/>
    <row r="22303" s="3161" customFormat="1" ht="12.75"/>
    <row r="22304" s="3161" customFormat="1" ht="12.75"/>
    <row r="22305" s="3161" customFormat="1" ht="12.75"/>
    <row r="22306" s="3161" customFormat="1" ht="12.75"/>
    <row r="22307" s="3161" customFormat="1" ht="12.75"/>
    <row r="22308" s="3161" customFormat="1" ht="12.75"/>
    <row r="22309" s="3161" customFormat="1" ht="12.75"/>
    <row r="22310" s="3161" customFormat="1" ht="12.75"/>
    <row r="22311" s="3161" customFormat="1" ht="12.75"/>
    <row r="22312" s="3161" customFormat="1" ht="12.75"/>
    <row r="22313" s="3161" customFormat="1" ht="12.75"/>
    <row r="22314" s="3161" customFormat="1" ht="12.75"/>
    <row r="22315" s="3161" customFormat="1" ht="12.75"/>
    <row r="22316" s="3161" customFormat="1" ht="12.75"/>
    <row r="22317" s="3161" customFormat="1" ht="12.75"/>
    <row r="22318" s="3161" customFormat="1" ht="12.75"/>
    <row r="22319" s="3161" customFormat="1" ht="12.75"/>
    <row r="22320" s="3161" customFormat="1" ht="12.75"/>
    <row r="22321" s="3161" customFormat="1" ht="12.75"/>
    <row r="22322" s="3161" customFormat="1" ht="12.75"/>
    <row r="22323" s="3161" customFormat="1" ht="12.75"/>
    <row r="22324" s="3161" customFormat="1" ht="12.75"/>
    <row r="22325" s="3161" customFormat="1" ht="12.75"/>
    <row r="22326" s="3161" customFormat="1" ht="12.75"/>
    <row r="22327" s="3161" customFormat="1" ht="12.75"/>
    <row r="22328" s="3161" customFormat="1" ht="12.75"/>
    <row r="22329" s="3161" customFormat="1" ht="12.75"/>
    <row r="22330" s="3161" customFormat="1" ht="12.75"/>
    <row r="22331" s="3161" customFormat="1" ht="12.75"/>
    <row r="22332" s="3161" customFormat="1" ht="12.75"/>
    <row r="22333" s="3161" customFormat="1" ht="12.75"/>
    <row r="22334" s="3161" customFormat="1" ht="12.75"/>
    <row r="22335" s="3161" customFormat="1" ht="12.75"/>
    <row r="22336" s="3161" customFormat="1" ht="12.75"/>
    <row r="22337" s="3161" customFormat="1" ht="12.75"/>
    <row r="22338" s="3161" customFormat="1" ht="12.75"/>
    <row r="22339" s="3161" customFormat="1" ht="12.75"/>
    <row r="22340" s="3161" customFormat="1" ht="12.75"/>
    <row r="22341" s="3161" customFormat="1" ht="12.75"/>
    <row r="22342" s="3161" customFormat="1" ht="12.75"/>
    <row r="22343" s="3161" customFormat="1" ht="12.75"/>
    <row r="22344" s="3161" customFormat="1" ht="12.75"/>
    <row r="22345" s="3161" customFormat="1" ht="12.75"/>
    <row r="22346" s="3161" customFormat="1" ht="12.75"/>
    <row r="22347" s="3161" customFormat="1" ht="12.75"/>
    <row r="22348" s="3161" customFormat="1" ht="12.75"/>
    <row r="22349" s="3161" customFormat="1" ht="12.75"/>
    <row r="22350" s="3161" customFormat="1" ht="12.75"/>
    <row r="22351" s="3161" customFormat="1" ht="12.75"/>
    <row r="22352" s="3161" customFormat="1" ht="12.75"/>
    <row r="22353" s="3161" customFormat="1" ht="12.75"/>
    <row r="22354" s="3161" customFormat="1" ht="12.75"/>
    <row r="22355" s="3161" customFormat="1" ht="12.75"/>
    <row r="22356" s="3161" customFormat="1" ht="12.75"/>
    <row r="22357" s="3161" customFormat="1" ht="12.75"/>
    <row r="22358" s="3161" customFormat="1" ht="12.75"/>
    <row r="22359" s="3161" customFormat="1" ht="12.75"/>
    <row r="22360" s="3161" customFormat="1" ht="12.75"/>
    <row r="22361" s="3161" customFormat="1" ht="12.75"/>
    <row r="22362" s="3161" customFormat="1" ht="12.75"/>
    <row r="22363" s="3161" customFormat="1" ht="12.75"/>
    <row r="22364" s="3161" customFormat="1" ht="12.75"/>
    <row r="22365" s="3161" customFormat="1" ht="12.75"/>
    <row r="22366" s="3161" customFormat="1" ht="12.75"/>
    <row r="22367" s="3161" customFormat="1" ht="12.75"/>
    <row r="22368" s="3161" customFormat="1" ht="12.75"/>
    <row r="22369" s="3161" customFormat="1" ht="12.75"/>
    <row r="22370" s="3161" customFormat="1" ht="12.75"/>
    <row r="22371" s="3161" customFormat="1" ht="12.75"/>
    <row r="22372" s="3161" customFormat="1" ht="12.75"/>
    <row r="22373" s="3161" customFormat="1" ht="12.75"/>
    <row r="22374" s="3161" customFormat="1" ht="12.75"/>
    <row r="22375" s="3161" customFormat="1" ht="12.75"/>
    <row r="22376" s="3161" customFormat="1" ht="12.75"/>
    <row r="22377" s="3161" customFormat="1" ht="12.75"/>
    <row r="22378" s="3161" customFormat="1" ht="12.75"/>
    <row r="22379" s="3161" customFormat="1" ht="12.75"/>
    <row r="22380" s="3161" customFormat="1" ht="12.75"/>
    <row r="22381" s="3161" customFormat="1" ht="12.75"/>
    <row r="22382" s="3161" customFormat="1" ht="12.75"/>
    <row r="22383" s="3161" customFormat="1" ht="12.75"/>
    <row r="22384" s="3161" customFormat="1" ht="12.75"/>
    <row r="22385" s="3161" customFormat="1" ht="12.75"/>
    <row r="22386" s="3161" customFormat="1" ht="12.75"/>
    <row r="22387" s="3161" customFormat="1" ht="12.75"/>
    <row r="22388" s="3161" customFormat="1" ht="12.75"/>
    <row r="22389" s="3161" customFormat="1" ht="12.75"/>
    <row r="22390" s="3161" customFormat="1" ht="12.75"/>
    <row r="22391" s="3161" customFormat="1" ht="12.75"/>
    <row r="22392" s="3161" customFormat="1" ht="12.75"/>
    <row r="22393" s="3161" customFormat="1" ht="12.75"/>
    <row r="22394" s="3161" customFormat="1" ht="12.75"/>
    <row r="22395" s="3161" customFormat="1" ht="12.75"/>
    <row r="22396" s="3161" customFormat="1" ht="12.75"/>
    <row r="22397" s="3161" customFormat="1" ht="12.75"/>
    <row r="22398" s="3161" customFormat="1" ht="12.75"/>
    <row r="22399" s="3161" customFormat="1" ht="12.75"/>
    <row r="22400" s="3161" customFormat="1" ht="12.75"/>
    <row r="22401" s="3161" customFormat="1" ht="12.75"/>
    <row r="22402" s="3161" customFormat="1" ht="12.75"/>
    <row r="22403" s="3161" customFormat="1" ht="12.75"/>
    <row r="22404" s="3161" customFormat="1" ht="12.75"/>
    <row r="22405" s="3161" customFormat="1" ht="12.75"/>
    <row r="22406" s="3161" customFormat="1" ht="12.75"/>
    <row r="22407" s="3161" customFormat="1" ht="12.75"/>
    <row r="22408" s="3161" customFormat="1" ht="12.75"/>
    <row r="22409" s="3161" customFormat="1" ht="12.75"/>
    <row r="22410" s="3161" customFormat="1" ht="12.75"/>
    <row r="22411" s="3161" customFormat="1" ht="12.75"/>
    <row r="22412" s="3161" customFormat="1" ht="12.75"/>
    <row r="22413" s="3161" customFormat="1" ht="12.75"/>
    <row r="22414" s="3161" customFormat="1" ht="12.75"/>
    <row r="22415" s="3161" customFormat="1" ht="12.75"/>
    <row r="22416" s="3161" customFormat="1" ht="12.75"/>
    <row r="22417" s="3161" customFormat="1" ht="12.75"/>
    <row r="22418" s="3161" customFormat="1" ht="12.75"/>
    <row r="22419" s="3161" customFormat="1" ht="12.75"/>
    <row r="22420" s="3161" customFormat="1" ht="12.75"/>
    <row r="22421" s="3161" customFormat="1" ht="12.75"/>
    <row r="22422" s="3161" customFormat="1" ht="12.75"/>
    <row r="22423" s="3161" customFormat="1" ht="12.75"/>
    <row r="22424" s="3161" customFormat="1" ht="12.75"/>
    <row r="22425" s="3161" customFormat="1" ht="12.75"/>
    <row r="22426" s="3161" customFormat="1" ht="12.75"/>
    <row r="22427" s="3161" customFormat="1" ht="12.75"/>
    <row r="22428" s="3161" customFormat="1" ht="12.75"/>
    <row r="22429" s="3161" customFormat="1" ht="12.75"/>
    <row r="22430" s="3161" customFormat="1" ht="12.75"/>
    <row r="22431" s="3161" customFormat="1" ht="12.75"/>
    <row r="22432" s="3161" customFormat="1" ht="12.75"/>
    <row r="22433" s="3161" customFormat="1" ht="12.75"/>
    <row r="22434" s="3161" customFormat="1" ht="12.75"/>
    <row r="22435" s="3161" customFormat="1" ht="12.75"/>
    <row r="22436" s="3161" customFormat="1" ht="12.75"/>
    <row r="22437" s="3161" customFormat="1" ht="12.75"/>
    <row r="22438" s="3161" customFormat="1" ht="12.75"/>
    <row r="22439" s="3161" customFormat="1" ht="12.75"/>
    <row r="22440" s="3161" customFormat="1" ht="12.75"/>
    <row r="22441" s="3161" customFormat="1" ht="12.75"/>
    <row r="22442" s="3161" customFormat="1" ht="12.75"/>
    <row r="22443" s="3161" customFormat="1" ht="12.75"/>
    <row r="22444" s="3161" customFormat="1" ht="12.75"/>
    <row r="22445" s="3161" customFormat="1" ht="12.75"/>
    <row r="22446" s="3161" customFormat="1" ht="12.75"/>
    <row r="22447" s="3161" customFormat="1" ht="12.75"/>
    <row r="22448" s="3161" customFormat="1" ht="12.75"/>
    <row r="22449" s="3161" customFormat="1" ht="12.75"/>
    <row r="22450" s="3161" customFormat="1" ht="12.75"/>
    <row r="22451" s="3161" customFormat="1" ht="12.75"/>
    <row r="22452" s="3161" customFormat="1" ht="12.75"/>
    <row r="22453" s="3161" customFormat="1" ht="12.75"/>
    <row r="22454" s="3161" customFormat="1" ht="12.75"/>
    <row r="22455" s="3161" customFormat="1" ht="12.75"/>
    <row r="22456" s="3161" customFormat="1" ht="12.75"/>
    <row r="22457" s="3161" customFormat="1" ht="12.75"/>
    <row r="22458" s="3161" customFormat="1" ht="12.75"/>
    <row r="22459" s="3161" customFormat="1" ht="12.75"/>
    <row r="22460" s="3161" customFormat="1" ht="12.75"/>
    <row r="22461" s="3161" customFormat="1" ht="12.75"/>
    <row r="22462" s="3161" customFormat="1" ht="12.75"/>
    <row r="22463" s="3161" customFormat="1" ht="12.75"/>
    <row r="22464" s="3161" customFormat="1" ht="12.75"/>
    <row r="22465" s="3161" customFormat="1" ht="12.75"/>
    <row r="22466" s="3161" customFormat="1" ht="12.75"/>
    <row r="22467" s="3161" customFormat="1" ht="12.75"/>
    <row r="22468" s="3161" customFormat="1" ht="12.75"/>
    <row r="22469" s="3161" customFormat="1" ht="12.75"/>
    <row r="22470" s="3161" customFormat="1" ht="12.75"/>
    <row r="22471" s="3161" customFormat="1" ht="12.75"/>
    <row r="22472" s="3161" customFormat="1" ht="12.75"/>
    <row r="22473" s="3161" customFormat="1" ht="12.75"/>
    <row r="22474" s="3161" customFormat="1" ht="12.75"/>
    <row r="22475" s="3161" customFormat="1" ht="12.75"/>
    <row r="22476" s="3161" customFormat="1" ht="12.75"/>
    <row r="22477" s="3161" customFormat="1" ht="12.75"/>
    <row r="22478" s="3161" customFormat="1" ht="12.75"/>
    <row r="22479" s="3161" customFormat="1" ht="12.75"/>
    <row r="22480" s="3161" customFormat="1" ht="12.75"/>
    <row r="22481" s="3161" customFormat="1" ht="12.75"/>
    <row r="22482" s="3161" customFormat="1" ht="12.75"/>
    <row r="22483" s="3161" customFormat="1" ht="12.75"/>
    <row r="22484" s="3161" customFormat="1" ht="12.75"/>
    <row r="22485" s="3161" customFormat="1" ht="12.75"/>
    <row r="22486" s="3161" customFormat="1" ht="12.75"/>
    <row r="22487" s="3161" customFormat="1" ht="12.75"/>
    <row r="22488" s="3161" customFormat="1" ht="12.75"/>
    <row r="22489" s="3161" customFormat="1" ht="12.75"/>
    <row r="22490" s="3161" customFormat="1" ht="12.75"/>
    <row r="22491" s="3161" customFormat="1" ht="12.75"/>
    <row r="22492" s="3161" customFormat="1" ht="12.75"/>
    <row r="22493" s="3161" customFormat="1" ht="12.75"/>
    <row r="22494" s="3161" customFormat="1" ht="12.75"/>
    <row r="22495" s="3161" customFormat="1" ht="12.75"/>
    <row r="22496" s="3161" customFormat="1" ht="12.75"/>
    <row r="22497" s="3161" customFormat="1" ht="12.75"/>
    <row r="22498" s="3161" customFormat="1" ht="12.75"/>
    <row r="22499" s="3161" customFormat="1" ht="12.75"/>
    <row r="22500" s="3161" customFormat="1" ht="12.75"/>
    <row r="22501" s="3161" customFormat="1" ht="12.75"/>
    <row r="22502" s="3161" customFormat="1" ht="12.75"/>
    <row r="22503" s="3161" customFormat="1" ht="12.75"/>
    <row r="22504" s="3161" customFormat="1" ht="12.75"/>
    <row r="22505" s="3161" customFormat="1" ht="12.75"/>
    <row r="22506" s="3161" customFormat="1" ht="12.75"/>
    <row r="22507" s="3161" customFormat="1" ht="12.75"/>
    <row r="22508" s="3161" customFormat="1" ht="12.75"/>
    <row r="22509" s="3161" customFormat="1" ht="12.75"/>
    <row r="22510" s="3161" customFormat="1" ht="12.75"/>
    <row r="22511" s="3161" customFormat="1" ht="12.75"/>
    <row r="22512" s="3161" customFormat="1" ht="12.75"/>
    <row r="22513" s="3161" customFormat="1" ht="12.75"/>
    <row r="22514" s="3161" customFormat="1" ht="12.75"/>
    <row r="22515" s="3161" customFormat="1" ht="12.75"/>
    <row r="22516" s="3161" customFormat="1" ht="12.75"/>
    <row r="22517" s="3161" customFormat="1" ht="12.75"/>
    <row r="22518" s="3161" customFormat="1" ht="12.75"/>
    <row r="22519" s="3161" customFormat="1" ht="12.75"/>
    <row r="22520" s="3161" customFormat="1" ht="12.75"/>
    <row r="22521" s="3161" customFormat="1" ht="12.75"/>
    <row r="22522" s="3161" customFormat="1" ht="12.75"/>
    <row r="22523" s="3161" customFormat="1" ht="12.75"/>
    <row r="22524" s="3161" customFormat="1" ht="12.75"/>
    <row r="22525" s="3161" customFormat="1" ht="12.75"/>
    <row r="22526" s="3161" customFormat="1" ht="12.75"/>
    <row r="22527" s="3161" customFormat="1" ht="12.75"/>
    <row r="22528" s="3161" customFormat="1" ht="12.75"/>
    <row r="22529" s="3161" customFormat="1" ht="12.75"/>
    <row r="22530" s="3161" customFormat="1" ht="12.75"/>
    <row r="22531" s="3161" customFormat="1" ht="12.75"/>
    <row r="22532" s="3161" customFormat="1" ht="12.75"/>
    <row r="22533" s="3161" customFormat="1" ht="12.75"/>
    <row r="22534" s="3161" customFormat="1" ht="12.75"/>
    <row r="22535" s="3161" customFormat="1" ht="12.75"/>
    <row r="22536" s="3161" customFormat="1" ht="12.75"/>
    <row r="22537" s="3161" customFormat="1" ht="12.75"/>
    <row r="22538" s="3161" customFormat="1" ht="12.75"/>
    <row r="22539" s="3161" customFormat="1" ht="12.75"/>
    <row r="22540" s="3161" customFormat="1" ht="12.75"/>
    <row r="22541" s="3161" customFormat="1" ht="12.75"/>
    <row r="22542" s="3161" customFormat="1" ht="12.75"/>
    <row r="22543" s="3161" customFormat="1" ht="12.75"/>
    <row r="22544" s="3161" customFormat="1" ht="12.75"/>
    <row r="22545" s="3161" customFormat="1" ht="12.75"/>
    <row r="22546" s="3161" customFormat="1" ht="12.75"/>
    <row r="22547" s="3161" customFormat="1" ht="12.75"/>
    <row r="22548" s="3161" customFormat="1" ht="12.75"/>
    <row r="22549" s="3161" customFormat="1" ht="12.75"/>
    <row r="22550" s="3161" customFormat="1" ht="12.75"/>
    <row r="22551" s="3161" customFormat="1" ht="12.75"/>
    <row r="22552" s="3161" customFormat="1" ht="12.75"/>
    <row r="22553" s="3161" customFormat="1" ht="12.75"/>
    <row r="22554" s="3161" customFormat="1" ht="12.75"/>
    <row r="22555" s="3161" customFormat="1" ht="12.75"/>
    <row r="22556" s="3161" customFormat="1" ht="12.75"/>
    <row r="22557" s="3161" customFormat="1" ht="12.75"/>
    <row r="22558" s="3161" customFormat="1" ht="12.75"/>
    <row r="22559" s="3161" customFormat="1" ht="12.75"/>
    <row r="22560" s="3161" customFormat="1" ht="12.75"/>
    <row r="22561" s="3161" customFormat="1" ht="12.75"/>
    <row r="22562" s="3161" customFormat="1" ht="12.75"/>
    <row r="22563" s="3161" customFormat="1" ht="12.75"/>
    <row r="22564" s="3161" customFormat="1" ht="12.75"/>
    <row r="22565" s="3161" customFormat="1" ht="12.75"/>
    <row r="22566" s="3161" customFormat="1" ht="12.75"/>
    <row r="22567" s="3161" customFormat="1" ht="12.75"/>
    <row r="22568" s="3161" customFormat="1" ht="12.75"/>
    <row r="22569" s="3161" customFormat="1" ht="12.75"/>
    <row r="22570" s="3161" customFormat="1" ht="12.75"/>
    <row r="22571" s="3161" customFormat="1" ht="12.75"/>
    <row r="22572" s="3161" customFormat="1" ht="12.75"/>
    <row r="22573" s="3161" customFormat="1" ht="12.75"/>
    <row r="22574" s="3161" customFormat="1" ht="12.75"/>
    <row r="22575" s="3161" customFormat="1" ht="12.75"/>
    <row r="22576" s="3161" customFormat="1" ht="12.75"/>
    <row r="22577" s="3161" customFormat="1" ht="12.75"/>
    <row r="22578" s="3161" customFormat="1" ht="12.75"/>
    <row r="22579" s="3161" customFormat="1" ht="12.75"/>
    <row r="22580" s="3161" customFormat="1" ht="12.75"/>
    <row r="22581" s="3161" customFormat="1" ht="12.75"/>
    <row r="22582" s="3161" customFormat="1" ht="12.75"/>
    <row r="22583" s="3161" customFormat="1" ht="12.75"/>
    <row r="22584" s="3161" customFormat="1" ht="12.75"/>
    <row r="22585" s="3161" customFormat="1" ht="12.75"/>
    <row r="22586" s="3161" customFormat="1" ht="12.75"/>
    <row r="22587" s="3161" customFormat="1" ht="12.75"/>
    <row r="22588" s="3161" customFormat="1" ht="12.75"/>
    <row r="22589" s="3161" customFormat="1" ht="12.75"/>
    <row r="22590" s="3161" customFormat="1" ht="12.75"/>
    <row r="22591" s="3161" customFormat="1" ht="12.75"/>
    <row r="22592" s="3161" customFormat="1" ht="12.75"/>
    <row r="22593" s="3161" customFormat="1" ht="12.75"/>
    <row r="22594" s="3161" customFormat="1" ht="12.75"/>
    <row r="22595" s="3161" customFormat="1" ht="12.75"/>
    <row r="22596" s="3161" customFormat="1" ht="12.75"/>
    <row r="22597" s="3161" customFormat="1" ht="12.75"/>
    <row r="22598" s="3161" customFormat="1" ht="12.75"/>
    <row r="22599" s="3161" customFormat="1" ht="12.75"/>
    <row r="22600" s="3161" customFormat="1" ht="12.75"/>
    <row r="22601" s="3161" customFormat="1" ht="12.75"/>
    <row r="22602" s="3161" customFormat="1" ht="12.75"/>
    <row r="22603" s="3161" customFormat="1" ht="12.75"/>
    <row r="22604" s="3161" customFormat="1" ht="12.75"/>
    <row r="22605" s="3161" customFormat="1" ht="12.75"/>
    <row r="22606" s="3161" customFormat="1" ht="12.75"/>
    <row r="22607" s="3161" customFormat="1" ht="12.75"/>
    <row r="22608" s="3161" customFormat="1" ht="12.75"/>
    <row r="22609" s="3161" customFormat="1" ht="12.75"/>
    <row r="22610" s="3161" customFormat="1" ht="12.75"/>
    <row r="22611" s="3161" customFormat="1" ht="12.75"/>
    <row r="22612" s="3161" customFormat="1" ht="12.75"/>
    <row r="22613" s="3161" customFormat="1" ht="12.75"/>
    <row r="22614" s="3161" customFormat="1" ht="12.75"/>
    <row r="22615" s="3161" customFormat="1" ht="12.75"/>
    <row r="22616" s="3161" customFormat="1" ht="12.75"/>
    <row r="22617" s="3161" customFormat="1" ht="12.75"/>
    <row r="22618" s="3161" customFormat="1" ht="12.75"/>
    <row r="22619" s="3161" customFormat="1" ht="12.75"/>
    <row r="22620" s="3161" customFormat="1" ht="12.75"/>
    <row r="22621" s="3161" customFormat="1" ht="12.75"/>
    <row r="22622" s="3161" customFormat="1" ht="12.75"/>
    <row r="22623" s="3161" customFormat="1" ht="12.75"/>
    <row r="22624" s="3161" customFormat="1" ht="12.75"/>
    <row r="22625" s="3161" customFormat="1" ht="12.75"/>
    <row r="22626" s="3161" customFormat="1" ht="12.75"/>
    <row r="22627" s="3161" customFormat="1" ht="12.75"/>
    <row r="22628" s="3161" customFormat="1" ht="12.75"/>
    <row r="22629" s="3161" customFormat="1" ht="12.75"/>
    <row r="22630" s="3161" customFormat="1" ht="12.75"/>
    <row r="22631" s="3161" customFormat="1" ht="12.75"/>
    <row r="22632" s="3161" customFormat="1" ht="12.75"/>
    <row r="22633" s="3161" customFormat="1" ht="12.75"/>
    <row r="22634" s="3161" customFormat="1" ht="12.75"/>
    <row r="22635" s="3161" customFormat="1" ht="12.75"/>
    <row r="22636" s="3161" customFormat="1" ht="12.75"/>
    <row r="22637" s="3161" customFormat="1" ht="12.75"/>
    <row r="22638" s="3161" customFormat="1" ht="12.75"/>
    <row r="22639" s="3161" customFormat="1" ht="12.75"/>
    <row r="22640" s="3161" customFormat="1" ht="12.75"/>
    <row r="22641" s="3161" customFormat="1" ht="12.75"/>
    <row r="22642" s="3161" customFormat="1" ht="12.75"/>
    <row r="22643" s="3161" customFormat="1" ht="12.75"/>
    <row r="22644" s="3161" customFormat="1" ht="12.75"/>
    <row r="22645" s="3161" customFormat="1" ht="12.75"/>
    <row r="22646" s="3161" customFormat="1" ht="12.75"/>
    <row r="22647" s="3161" customFormat="1" ht="12.75"/>
    <row r="22648" s="3161" customFormat="1" ht="12.75"/>
    <row r="22649" s="3161" customFormat="1" ht="12.75"/>
    <row r="22650" s="3161" customFormat="1" ht="12.75"/>
    <row r="22651" s="3161" customFormat="1" ht="12.75"/>
    <row r="22652" s="3161" customFormat="1" ht="12.75"/>
    <row r="22653" s="3161" customFormat="1" ht="12.75"/>
    <row r="22654" s="3161" customFormat="1" ht="12.75"/>
    <row r="22655" s="3161" customFormat="1" ht="12.75"/>
    <row r="22656" s="3161" customFormat="1" ht="12.75"/>
    <row r="22657" s="3161" customFormat="1" ht="12.75"/>
    <row r="22658" s="3161" customFormat="1" ht="12.75"/>
    <row r="22659" s="3161" customFormat="1" ht="12.75"/>
    <row r="22660" s="3161" customFormat="1" ht="12.75"/>
    <row r="22661" s="3161" customFormat="1" ht="12.75"/>
    <row r="22662" s="3161" customFormat="1" ht="12.75"/>
    <row r="22663" s="3161" customFormat="1" ht="12.75"/>
    <row r="22664" s="3161" customFormat="1" ht="12.75"/>
    <row r="22665" s="3161" customFormat="1" ht="12.75"/>
    <row r="22666" s="3161" customFormat="1" ht="12.75"/>
    <row r="22667" s="3161" customFormat="1" ht="12.75"/>
    <row r="22668" s="3161" customFormat="1" ht="12.75"/>
    <row r="22669" s="3161" customFormat="1" ht="12.75"/>
    <row r="22670" s="3161" customFormat="1" ht="12.75"/>
    <row r="22671" s="3161" customFormat="1" ht="12.75"/>
    <row r="22672" s="3161" customFormat="1" ht="12.75"/>
    <row r="22673" s="3161" customFormat="1" ht="12.75"/>
    <row r="22674" s="3161" customFormat="1" ht="12.75"/>
    <row r="22675" s="3161" customFormat="1" ht="12.75"/>
    <row r="22676" s="3161" customFormat="1" ht="12.75"/>
    <row r="22677" s="3161" customFormat="1" ht="12.75"/>
    <row r="22678" s="3161" customFormat="1" ht="12.75"/>
    <row r="22679" s="3161" customFormat="1" ht="12.75"/>
    <row r="22680" s="3161" customFormat="1" ht="12.75"/>
    <row r="22681" s="3161" customFormat="1" ht="12.75"/>
    <row r="22682" s="3161" customFormat="1" ht="12.75"/>
    <row r="22683" s="3161" customFormat="1" ht="12.75"/>
    <row r="22684" s="3161" customFormat="1" ht="12.75"/>
    <row r="22685" s="3161" customFormat="1" ht="12.75"/>
    <row r="22686" s="3161" customFormat="1" ht="12.75"/>
    <row r="22687" s="3161" customFormat="1" ht="12.75"/>
    <row r="22688" s="3161" customFormat="1" ht="12.75"/>
    <row r="22689" s="3161" customFormat="1" ht="12.75"/>
    <row r="22690" s="3161" customFormat="1" ht="12.75"/>
    <row r="22691" s="3161" customFormat="1" ht="12.75"/>
    <row r="22692" s="3161" customFormat="1" ht="12.75"/>
    <row r="22693" s="3161" customFormat="1" ht="12.75"/>
    <row r="22694" s="3161" customFormat="1" ht="12.75"/>
    <row r="22695" s="3161" customFormat="1" ht="12.75"/>
    <row r="22696" s="3161" customFormat="1" ht="12.75"/>
    <row r="22697" s="3161" customFormat="1" ht="12.75"/>
    <row r="22698" s="3161" customFormat="1" ht="12.75"/>
    <row r="22699" s="3161" customFormat="1" ht="12.75"/>
    <row r="22700" s="3161" customFormat="1" ht="12.75"/>
    <row r="22701" s="3161" customFormat="1" ht="12.75"/>
    <row r="22702" s="3161" customFormat="1" ht="12.75"/>
    <row r="22703" s="3161" customFormat="1" ht="12.75"/>
    <row r="22704" s="3161" customFormat="1" ht="12.75"/>
    <row r="22705" s="3161" customFormat="1" ht="12.75"/>
    <row r="22706" s="3161" customFormat="1" ht="12.75"/>
    <row r="22707" s="3161" customFormat="1" ht="12.75"/>
    <row r="22708" s="3161" customFormat="1" ht="12.75"/>
    <row r="22709" s="3161" customFormat="1" ht="12.75"/>
    <row r="22710" s="3161" customFormat="1" ht="12.75"/>
    <row r="22711" s="3161" customFormat="1" ht="12.75"/>
    <row r="22712" s="3161" customFormat="1" ht="12.75"/>
    <row r="22713" s="3161" customFormat="1" ht="12.75"/>
    <row r="22714" s="3161" customFormat="1" ht="12.75"/>
    <row r="22715" s="3161" customFormat="1" ht="12.75"/>
    <row r="22716" s="3161" customFormat="1" ht="12.75"/>
    <row r="22717" s="3161" customFormat="1" ht="12.75"/>
    <row r="22718" s="3161" customFormat="1" ht="12.75"/>
    <row r="22719" s="3161" customFormat="1" ht="12.75"/>
    <row r="22720" s="3161" customFormat="1" ht="12.75"/>
    <row r="22721" s="3161" customFormat="1" ht="12.75"/>
    <row r="22722" s="3161" customFormat="1" ht="12.75"/>
    <row r="22723" s="3161" customFormat="1" ht="12.75"/>
    <row r="22724" s="3161" customFormat="1" ht="12.75"/>
    <row r="22725" s="3161" customFormat="1" ht="12.75"/>
    <row r="22726" s="3161" customFormat="1" ht="12.75"/>
    <row r="22727" s="3161" customFormat="1" ht="12.75"/>
    <row r="22728" s="3161" customFormat="1" ht="12.75"/>
    <row r="22729" s="3161" customFormat="1" ht="12.75"/>
    <row r="22730" s="3161" customFormat="1" ht="12.75"/>
    <row r="22731" s="3161" customFormat="1" ht="12.75"/>
    <row r="22732" s="3161" customFormat="1" ht="12.75"/>
    <row r="22733" s="3161" customFormat="1" ht="12.75"/>
    <row r="22734" s="3161" customFormat="1" ht="12.75"/>
    <row r="22735" s="3161" customFormat="1" ht="12.75"/>
    <row r="22736" s="3161" customFormat="1" ht="12.75"/>
    <row r="22737" s="3161" customFormat="1" ht="12.75"/>
    <row r="22738" s="3161" customFormat="1" ht="12.75"/>
    <row r="22739" s="3161" customFormat="1" ht="12.75"/>
    <row r="22740" s="3161" customFormat="1" ht="12.75"/>
    <row r="22741" s="3161" customFormat="1" ht="12.75"/>
    <row r="22742" s="3161" customFormat="1" ht="12.75"/>
    <row r="22743" s="3161" customFormat="1" ht="12.75"/>
    <row r="22744" s="3161" customFormat="1" ht="12.75"/>
    <row r="22745" s="3161" customFormat="1" ht="12.75"/>
    <row r="22746" s="3161" customFormat="1" ht="12.75"/>
    <row r="22747" s="3161" customFormat="1" ht="12.75"/>
    <row r="22748" s="3161" customFormat="1" ht="12.75"/>
    <row r="22749" s="3161" customFormat="1" ht="12.75"/>
    <row r="22750" s="3161" customFormat="1" ht="12.75"/>
    <row r="22751" s="3161" customFormat="1" ht="12.75"/>
    <row r="22752" s="3161" customFormat="1" ht="12.75"/>
    <row r="22753" s="3161" customFormat="1" ht="12.75"/>
    <row r="22754" s="3161" customFormat="1" ht="12.75"/>
    <row r="22755" s="3161" customFormat="1" ht="12.75"/>
    <row r="22756" s="3161" customFormat="1" ht="12.75"/>
    <row r="22757" s="3161" customFormat="1" ht="12.75"/>
    <row r="22758" s="3161" customFormat="1" ht="12.75"/>
    <row r="22759" s="3161" customFormat="1" ht="12.75"/>
    <row r="22760" s="3161" customFormat="1" ht="12.75"/>
    <row r="22761" s="3161" customFormat="1" ht="12.75"/>
    <row r="22762" s="3161" customFormat="1" ht="12.75"/>
    <row r="22763" s="3161" customFormat="1" ht="12.75"/>
    <row r="22764" s="3161" customFormat="1" ht="12.75"/>
    <row r="22765" s="3161" customFormat="1" ht="12.75"/>
    <row r="22766" s="3161" customFormat="1" ht="12.75"/>
    <row r="22767" s="3161" customFormat="1" ht="12.75"/>
    <row r="22768" s="3161" customFormat="1" ht="12.75"/>
    <row r="22769" s="3161" customFormat="1" ht="12.75"/>
    <row r="22770" s="3161" customFormat="1" ht="12.75"/>
    <row r="22771" s="3161" customFormat="1" ht="12.75"/>
    <row r="22772" s="3161" customFormat="1" ht="12.75"/>
    <row r="22773" s="3161" customFormat="1" ht="12.75"/>
    <row r="22774" s="3161" customFormat="1" ht="12.75"/>
    <row r="22775" s="3161" customFormat="1" ht="12.75"/>
    <row r="22776" s="3161" customFormat="1" ht="12.75"/>
    <row r="22777" s="3161" customFormat="1" ht="12.75"/>
    <row r="22778" s="3161" customFormat="1" ht="12.75"/>
    <row r="22779" s="3161" customFormat="1" ht="12.75"/>
    <row r="22780" s="3161" customFormat="1" ht="12.75"/>
    <row r="22781" s="3161" customFormat="1" ht="12.75"/>
    <row r="22782" s="3161" customFormat="1" ht="12.75"/>
    <row r="22783" s="3161" customFormat="1" ht="12.75"/>
    <row r="22784" s="3161" customFormat="1" ht="12.75"/>
    <row r="22785" s="3161" customFormat="1" ht="12.75"/>
    <row r="22786" s="3161" customFormat="1" ht="12.75"/>
    <row r="22787" s="3161" customFormat="1" ht="12.75"/>
    <row r="22788" s="3161" customFormat="1" ht="12.75"/>
    <row r="22789" s="3161" customFormat="1" ht="12.75"/>
    <row r="22790" s="3161" customFormat="1" ht="12.75"/>
    <row r="22791" s="3161" customFormat="1" ht="12.75"/>
    <row r="22792" s="3161" customFormat="1" ht="12.75"/>
    <row r="22793" s="3161" customFormat="1" ht="12.75"/>
    <row r="22794" s="3161" customFormat="1" ht="12.75"/>
    <row r="22795" s="3161" customFormat="1" ht="12.75"/>
    <row r="22796" s="3161" customFormat="1" ht="12.75"/>
    <row r="22797" s="3161" customFormat="1" ht="12.75"/>
    <row r="22798" s="3161" customFormat="1" ht="12.75"/>
    <row r="22799" s="3161" customFormat="1" ht="12.75"/>
    <row r="22800" s="3161" customFormat="1" ht="12.75"/>
    <row r="22801" s="3161" customFormat="1" ht="12.75"/>
    <row r="22802" s="3161" customFormat="1" ht="12.75"/>
    <row r="22803" s="3161" customFormat="1" ht="12.75"/>
    <row r="22804" s="3161" customFormat="1" ht="12.75"/>
    <row r="22805" s="3161" customFormat="1" ht="12.75"/>
    <row r="22806" s="3161" customFormat="1" ht="12.75"/>
    <row r="22807" s="3161" customFormat="1" ht="12.75"/>
    <row r="22808" s="3161" customFormat="1" ht="12.75"/>
    <row r="22809" s="3161" customFormat="1" ht="12.75"/>
    <row r="22810" s="3161" customFormat="1" ht="12.75"/>
    <row r="22811" s="3161" customFormat="1" ht="12.75"/>
    <row r="22812" s="3161" customFormat="1" ht="12.75"/>
    <row r="22813" s="3161" customFormat="1" ht="12.75"/>
    <row r="22814" s="3161" customFormat="1" ht="12.75"/>
    <row r="22815" s="3161" customFormat="1" ht="12.75"/>
    <row r="22816" s="3161" customFormat="1" ht="12.75"/>
    <row r="22817" s="3161" customFormat="1" ht="12.75"/>
    <row r="22818" s="3161" customFormat="1" ht="12.75"/>
    <row r="22819" s="3161" customFormat="1" ht="12.75"/>
    <row r="22820" s="3161" customFormat="1" ht="12.75"/>
    <row r="22821" s="3161" customFormat="1" ht="12.75"/>
    <row r="22822" s="3161" customFormat="1" ht="12.75"/>
    <row r="22823" s="3161" customFormat="1" ht="12.75"/>
    <row r="22824" s="3161" customFormat="1" ht="12.75"/>
    <row r="22825" s="3161" customFormat="1" ht="12.75"/>
    <row r="22826" s="3161" customFormat="1" ht="12.75"/>
    <row r="22827" s="3161" customFormat="1" ht="12.75"/>
    <row r="22828" s="3161" customFormat="1" ht="12.75"/>
    <row r="22829" s="3161" customFormat="1" ht="12.75"/>
    <row r="22830" s="3161" customFormat="1" ht="12.75"/>
    <row r="22831" s="3161" customFormat="1" ht="12.75"/>
    <row r="22832" s="3161" customFormat="1" ht="12.75"/>
    <row r="22833" s="3161" customFormat="1" ht="12.75"/>
    <row r="22834" s="3161" customFormat="1" ht="12.75"/>
    <row r="22835" s="3161" customFormat="1" ht="12.75"/>
    <row r="22836" s="3161" customFormat="1" ht="12.75"/>
    <row r="22837" s="3161" customFormat="1" ht="12.75"/>
    <row r="22838" s="3161" customFormat="1" ht="12.75"/>
    <row r="22839" s="3161" customFormat="1" ht="12.75"/>
    <row r="22840" s="3161" customFormat="1" ht="12.75"/>
    <row r="22841" s="3161" customFormat="1" ht="12.75"/>
    <row r="22842" s="3161" customFormat="1" ht="12.75"/>
    <row r="22843" s="3161" customFormat="1" ht="12.75"/>
    <row r="22844" s="3161" customFormat="1" ht="12.75"/>
    <row r="22845" s="3161" customFormat="1" ht="12.75"/>
    <row r="22846" s="3161" customFormat="1" ht="12.75"/>
    <row r="22847" s="3161" customFormat="1" ht="12.75"/>
    <row r="22848" s="3161" customFormat="1" ht="12.75"/>
    <row r="22849" s="3161" customFormat="1" ht="12.75"/>
    <row r="22850" s="3161" customFormat="1" ht="12.75"/>
    <row r="22851" s="3161" customFormat="1" ht="12.75"/>
    <row r="22852" s="3161" customFormat="1" ht="12.75"/>
    <row r="22853" s="3161" customFormat="1" ht="12.75"/>
    <row r="22854" s="3161" customFormat="1" ht="12.75"/>
    <row r="22855" s="3161" customFormat="1" ht="12.75"/>
    <row r="22856" s="3161" customFormat="1" ht="12.75"/>
    <row r="22857" s="3161" customFormat="1" ht="12.75"/>
    <row r="22858" s="3161" customFormat="1" ht="12.75"/>
    <row r="22859" s="3161" customFormat="1" ht="12.75"/>
    <row r="22860" s="3161" customFormat="1" ht="12.75"/>
    <row r="22861" s="3161" customFormat="1" ht="12.75"/>
    <row r="22862" s="3161" customFormat="1" ht="12.75"/>
    <row r="22863" s="3161" customFormat="1" ht="12.75"/>
    <row r="22864" s="3161" customFormat="1" ht="12.75"/>
    <row r="22865" s="3161" customFormat="1" ht="12.75"/>
    <row r="22866" s="3161" customFormat="1" ht="12.75"/>
    <row r="22867" s="3161" customFormat="1" ht="12.75"/>
    <row r="22868" s="3161" customFormat="1" ht="12.75"/>
    <row r="22869" s="3161" customFormat="1" ht="12.75"/>
    <row r="22870" s="3161" customFormat="1" ht="12.75"/>
    <row r="22871" s="3161" customFormat="1" ht="12.75"/>
    <row r="22872" s="3161" customFormat="1" ht="12.75"/>
    <row r="22873" s="3161" customFormat="1" ht="12.75"/>
    <row r="22874" s="3161" customFormat="1" ht="12.75"/>
    <row r="22875" s="3161" customFormat="1" ht="12.75"/>
    <row r="22876" s="3161" customFormat="1" ht="12.75"/>
    <row r="22877" s="3161" customFormat="1" ht="12.75"/>
    <row r="22878" s="3161" customFormat="1" ht="12.75"/>
    <row r="22879" s="3161" customFormat="1" ht="12.75"/>
    <row r="22880" s="3161" customFormat="1" ht="12.75"/>
    <row r="22881" s="3161" customFormat="1" ht="12.75"/>
    <row r="22882" s="3161" customFormat="1" ht="12.75"/>
    <row r="22883" s="3161" customFormat="1" ht="12.75"/>
    <row r="22884" s="3161" customFormat="1" ht="12.75"/>
    <row r="22885" s="3161" customFormat="1" ht="12.75"/>
    <row r="22886" s="3161" customFormat="1" ht="12.75"/>
    <row r="22887" s="3161" customFormat="1" ht="12.75"/>
    <row r="22888" s="3161" customFormat="1" ht="12.75"/>
    <row r="22889" s="3161" customFormat="1" ht="12.75"/>
    <row r="22890" s="3161" customFormat="1" ht="12.75"/>
    <row r="22891" s="3161" customFormat="1" ht="12.75"/>
    <row r="22892" s="3161" customFormat="1" ht="12.75"/>
    <row r="22893" s="3161" customFormat="1" ht="12.75"/>
    <row r="22894" s="3161" customFormat="1" ht="12.75"/>
    <row r="22895" s="3161" customFormat="1" ht="12.75"/>
    <row r="22896" s="3161" customFormat="1" ht="12.75"/>
    <row r="22897" s="3161" customFormat="1" ht="12.75"/>
    <row r="22898" s="3161" customFormat="1" ht="12.75"/>
    <row r="22899" s="3161" customFormat="1" ht="12.75"/>
    <row r="22900" s="3161" customFormat="1" ht="12.75"/>
    <row r="22901" s="3161" customFormat="1" ht="12.75"/>
    <row r="22902" s="3161" customFormat="1" ht="12.75"/>
    <row r="22903" s="3161" customFormat="1" ht="12.75"/>
    <row r="22904" s="3161" customFormat="1" ht="12.75"/>
    <row r="22905" s="3161" customFormat="1" ht="12.75"/>
    <row r="22906" s="3161" customFormat="1" ht="12.75"/>
    <row r="22907" s="3161" customFormat="1" ht="12.75"/>
    <row r="22908" s="3161" customFormat="1" ht="12.75"/>
    <row r="22909" s="3161" customFormat="1" ht="12.75"/>
    <row r="22910" s="3161" customFormat="1" ht="12.75"/>
    <row r="22911" s="3161" customFormat="1" ht="12.75"/>
    <row r="22912" s="3161" customFormat="1" ht="12.75"/>
    <row r="22913" s="3161" customFormat="1" ht="12.75"/>
    <row r="22914" s="3161" customFormat="1" ht="12.75"/>
    <row r="22915" s="3161" customFormat="1" ht="12.75"/>
    <row r="22916" s="3161" customFormat="1" ht="12.75"/>
    <row r="22917" s="3161" customFormat="1" ht="12.75"/>
    <row r="22918" s="3161" customFormat="1" ht="12.75"/>
    <row r="22919" s="3161" customFormat="1" ht="12.75"/>
    <row r="22920" s="3161" customFormat="1" ht="12.75"/>
    <row r="22921" s="3161" customFormat="1" ht="12.75"/>
    <row r="22922" s="3161" customFormat="1" ht="12.75"/>
    <row r="22923" s="3161" customFormat="1" ht="12.75"/>
    <row r="22924" s="3161" customFormat="1" ht="12.75"/>
    <row r="22925" s="3161" customFormat="1" ht="12.75"/>
    <row r="22926" s="3161" customFormat="1" ht="12.75"/>
    <row r="22927" s="3161" customFormat="1" ht="12.75"/>
    <row r="22928" s="3161" customFormat="1" ht="12.75"/>
    <row r="22929" s="3161" customFormat="1" ht="12.75"/>
    <row r="22930" s="3161" customFormat="1" ht="12.75"/>
    <row r="22931" s="3161" customFormat="1" ht="12.75"/>
    <row r="22932" s="3161" customFormat="1" ht="12.75"/>
    <row r="22933" s="3161" customFormat="1" ht="12.75"/>
    <row r="22934" s="3161" customFormat="1" ht="12.75"/>
    <row r="22935" s="3161" customFormat="1" ht="12.75"/>
    <row r="22936" s="3161" customFormat="1" ht="12.75"/>
    <row r="22937" s="3161" customFormat="1" ht="12.75"/>
    <row r="22938" s="3161" customFormat="1" ht="12.75"/>
    <row r="22939" s="3161" customFormat="1" ht="12.75"/>
    <row r="22940" s="3161" customFormat="1" ht="12.75"/>
    <row r="22941" s="3161" customFormat="1" ht="12.75"/>
    <row r="22942" s="3161" customFormat="1" ht="12.75"/>
    <row r="22943" s="3161" customFormat="1" ht="12.75"/>
    <row r="22944" s="3161" customFormat="1" ht="12.75"/>
    <row r="22945" s="3161" customFormat="1" ht="12.75"/>
    <row r="22946" s="3161" customFormat="1" ht="12.75"/>
    <row r="22947" s="3161" customFormat="1" ht="12.75"/>
    <row r="22948" s="3161" customFormat="1" ht="12.75"/>
    <row r="22949" s="3161" customFormat="1" ht="12.75"/>
    <row r="22950" s="3161" customFormat="1" ht="12.75"/>
    <row r="22951" s="3161" customFormat="1" ht="12.75"/>
    <row r="22952" s="3161" customFormat="1" ht="12.75"/>
    <row r="22953" s="3161" customFormat="1" ht="12.75"/>
    <row r="22954" s="3161" customFormat="1" ht="12.75"/>
    <row r="22955" s="3161" customFormat="1" ht="12.75"/>
    <row r="22956" s="3161" customFormat="1" ht="12.75"/>
    <row r="22957" s="3161" customFormat="1" ht="12.75"/>
    <row r="22958" s="3161" customFormat="1" ht="12.75"/>
    <row r="22959" s="3161" customFormat="1" ht="12.75"/>
    <row r="22960" s="3161" customFormat="1" ht="12.75"/>
    <row r="22961" s="3161" customFormat="1" ht="12.75"/>
    <row r="22962" s="3161" customFormat="1" ht="12.75"/>
    <row r="22963" s="3161" customFormat="1" ht="12.75"/>
    <row r="22964" s="3161" customFormat="1" ht="12.75"/>
    <row r="22965" s="3161" customFormat="1" ht="12.75"/>
    <row r="22966" s="3161" customFormat="1" ht="12.75"/>
    <row r="22967" s="3161" customFormat="1" ht="12.75"/>
    <row r="22968" s="3161" customFormat="1" ht="12.75"/>
    <row r="22969" s="3161" customFormat="1" ht="12.75"/>
    <row r="22970" s="3161" customFormat="1" ht="12.75"/>
    <row r="22971" s="3161" customFormat="1" ht="12.75"/>
    <row r="22972" s="3161" customFormat="1" ht="12.75"/>
    <row r="22973" s="3161" customFormat="1" ht="12.75"/>
    <row r="22974" s="3161" customFormat="1" ht="12.75"/>
    <row r="22975" s="3161" customFormat="1" ht="12.75"/>
    <row r="22976" s="3161" customFormat="1" ht="12.75"/>
    <row r="22977" s="3161" customFormat="1" ht="12.75"/>
    <row r="22978" s="3161" customFormat="1" ht="12.75"/>
    <row r="22979" s="3161" customFormat="1" ht="12.75"/>
    <row r="22980" s="3161" customFormat="1" ht="12.75"/>
    <row r="22981" s="3161" customFormat="1" ht="12.75"/>
    <row r="22982" s="3161" customFormat="1" ht="12.75"/>
    <row r="22983" s="3161" customFormat="1" ht="12.75"/>
    <row r="22984" s="3161" customFormat="1" ht="12.75"/>
    <row r="22985" s="3161" customFormat="1" ht="12.75"/>
    <row r="22986" s="3161" customFormat="1" ht="12.75"/>
    <row r="22987" s="3161" customFormat="1" ht="12.75"/>
    <row r="22988" s="3161" customFormat="1" ht="12.75"/>
    <row r="22989" s="3161" customFormat="1" ht="12.75"/>
    <row r="22990" s="3161" customFormat="1" ht="12.75"/>
    <row r="22991" s="3161" customFormat="1" ht="12.75"/>
    <row r="22992" s="3161" customFormat="1" ht="12.75"/>
    <row r="22993" s="3161" customFormat="1" ht="12.75"/>
    <row r="22994" s="3161" customFormat="1" ht="12.75"/>
    <row r="22995" s="3161" customFormat="1" ht="12.75"/>
    <row r="22996" s="3161" customFormat="1" ht="12.75"/>
    <row r="22997" s="3161" customFormat="1" ht="12.75"/>
    <row r="22998" s="3161" customFormat="1" ht="12.75"/>
    <row r="22999" s="3161" customFormat="1" ht="12.75"/>
    <row r="23000" s="3161" customFormat="1" ht="12.75"/>
    <row r="23001" s="3161" customFormat="1" ht="12.75"/>
    <row r="23002" s="3161" customFormat="1" ht="12.75"/>
    <row r="23003" s="3161" customFormat="1" ht="12.75"/>
    <row r="23004" s="3161" customFormat="1" ht="12.75"/>
    <row r="23005" s="3161" customFormat="1" ht="12.75"/>
    <row r="23006" s="3161" customFormat="1" ht="12.75"/>
    <row r="23007" s="3161" customFormat="1" ht="12.75"/>
    <row r="23008" s="3161" customFormat="1" ht="12.75"/>
    <row r="23009" s="3161" customFormat="1" ht="12.75"/>
    <row r="23010" s="3161" customFormat="1" ht="12.75"/>
    <row r="23011" s="3161" customFormat="1" ht="12.75"/>
    <row r="23012" s="3161" customFormat="1" ht="12.75"/>
    <row r="23013" s="3161" customFormat="1" ht="12.75"/>
    <row r="23014" s="3161" customFormat="1" ht="12.75"/>
    <row r="23015" s="3161" customFormat="1" ht="12.75"/>
    <row r="23016" s="3161" customFormat="1" ht="12.75"/>
    <row r="23017" s="3161" customFormat="1" ht="12.75"/>
    <row r="23018" s="3161" customFormat="1" ht="12.75"/>
    <row r="23019" s="3161" customFormat="1" ht="12.75"/>
    <row r="23020" s="3161" customFormat="1" ht="12.75"/>
    <row r="23021" s="3161" customFormat="1" ht="12.75"/>
    <row r="23022" s="3161" customFormat="1" ht="12.75"/>
    <row r="23023" s="3161" customFormat="1" ht="12.75"/>
    <row r="23024" s="3161" customFormat="1" ht="12.75"/>
    <row r="23025" s="3161" customFormat="1" ht="12.75"/>
    <row r="23026" s="3161" customFormat="1" ht="12.75"/>
    <row r="23027" s="3161" customFormat="1" ht="12.75"/>
    <row r="23028" s="3161" customFormat="1" ht="12.75"/>
    <row r="23029" s="3161" customFormat="1" ht="12.75"/>
    <row r="23030" s="3161" customFormat="1" ht="12.75"/>
    <row r="23031" s="3161" customFormat="1" ht="12.75"/>
    <row r="23032" s="3161" customFormat="1" ht="12.75"/>
    <row r="23033" s="3161" customFormat="1" ht="12.75"/>
    <row r="23034" s="3161" customFormat="1" ht="12.75"/>
    <row r="23035" s="3161" customFormat="1" ht="12.75"/>
    <row r="23036" s="3161" customFormat="1" ht="12.75"/>
    <row r="23037" s="3161" customFormat="1" ht="12.75"/>
    <row r="23038" s="3161" customFormat="1" ht="12.75"/>
    <row r="23039" s="3161" customFormat="1" ht="12.75"/>
    <row r="23040" s="3161" customFormat="1" ht="12.75"/>
    <row r="23041" s="3161" customFormat="1" ht="12.75"/>
    <row r="23042" s="3161" customFormat="1" ht="12.75"/>
    <row r="23043" s="3161" customFormat="1" ht="12.75"/>
    <row r="23044" s="3161" customFormat="1" ht="12.75"/>
    <row r="23045" s="3161" customFormat="1" ht="12.75"/>
    <row r="23046" s="3161" customFormat="1" ht="12.75"/>
    <row r="23047" s="3161" customFormat="1" ht="12.75"/>
    <row r="23048" s="3161" customFormat="1" ht="12.75"/>
    <row r="23049" s="3161" customFormat="1" ht="12.75"/>
    <row r="23050" s="3161" customFormat="1" ht="12.75"/>
    <row r="23051" s="3161" customFormat="1" ht="12.75"/>
    <row r="23052" s="3161" customFormat="1" ht="12.75"/>
    <row r="23053" s="3161" customFormat="1" ht="12.75"/>
    <row r="23054" s="3161" customFormat="1" ht="12.75"/>
    <row r="23055" s="3161" customFormat="1" ht="12.75"/>
    <row r="23056" s="3161" customFormat="1" ht="12.75"/>
    <row r="23057" s="3161" customFormat="1" ht="12.75"/>
    <row r="23058" s="3161" customFormat="1" ht="12.75"/>
    <row r="23059" s="3161" customFormat="1" ht="12.75"/>
    <row r="23060" s="3161" customFormat="1" ht="12.75"/>
    <row r="23061" s="3161" customFormat="1" ht="12.75"/>
    <row r="23062" s="3161" customFormat="1" ht="12.75"/>
    <row r="23063" s="3161" customFormat="1" ht="12.75"/>
    <row r="23064" s="3161" customFormat="1" ht="12.75"/>
    <row r="23065" s="3161" customFormat="1" ht="12.75"/>
    <row r="23066" s="3161" customFormat="1" ht="12.75"/>
    <row r="23067" s="3161" customFormat="1" ht="12.75"/>
    <row r="23068" s="3161" customFormat="1" ht="12.75"/>
    <row r="23069" s="3161" customFormat="1" ht="12.75"/>
    <row r="23070" s="3161" customFormat="1" ht="12.75"/>
    <row r="23071" s="3161" customFormat="1" ht="12.75"/>
    <row r="23072" s="3161" customFormat="1" ht="12.75"/>
    <row r="23073" s="3161" customFormat="1" ht="12.75"/>
    <row r="23074" s="3161" customFormat="1" ht="12.75"/>
    <row r="23075" s="3161" customFormat="1" ht="12.75"/>
    <row r="23076" s="3161" customFormat="1" ht="12.75"/>
    <row r="23077" s="3161" customFormat="1" ht="12.75"/>
    <row r="23078" s="3161" customFormat="1" ht="12.75"/>
    <row r="23079" s="3161" customFormat="1" ht="12.75"/>
    <row r="23080" s="3161" customFormat="1" ht="12.75"/>
    <row r="23081" s="3161" customFormat="1" ht="12.75"/>
    <row r="23082" s="3161" customFormat="1" ht="12.75"/>
    <row r="23083" s="3161" customFormat="1" ht="12.75"/>
    <row r="23084" s="3161" customFormat="1" ht="12.75"/>
    <row r="23085" s="3161" customFormat="1" ht="12.75"/>
    <row r="23086" s="3161" customFormat="1" ht="12.75"/>
    <row r="23087" s="3161" customFormat="1" ht="12.75"/>
    <row r="23088" s="3161" customFormat="1" ht="12.75"/>
    <row r="23089" s="3161" customFormat="1" ht="12.75"/>
    <row r="23090" s="3161" customFormat="1" ht="12.75"/>
    <row r="23091" s="3161" customFormat="1" ht="12.75"/>
    <row r="23092" s="3161" customFormat="1" ht="12.75"/>
    <row r="23093" s="3161" customFormat="1" ht="12.75"/>
    <row r="23094" s="3161" customFormat="1" ht="12.75"/>
    <row r="23095" s="3161" customFormat="1" ht="12.75"/>
    <row r="23096" s="3161" customFormat="1" ht="12.75"/>
    <row r="23097" s="3161" customFormat="1" ht="12.75"/>
    <row r="23098" s="3161" customFormat="1" ht="12.75"/>
    <row r="23099" s="3161" customFormat="1" ht="12.75"/>
    <row r="23100" s="3161" customFormat="1" ht="12.75"/>
    <row r="23101" s="3161" customFormat="1" ht="12.75"/>
    <row r="23102" s="3161" customFormat="1" ht="12.75"/>
    <row r="23103" s="3161" customFormat="1" ht="12.75"/>
    <row r="23104" s="3161" customFormat="1" ht="12.75"/>
    <row r="23105" s="3161" customFormat="1" ht="12.75"/>
    <row r="23106" s="3161" customFormat="1" ht="12.75"/>
    <row r="23107" s="3161" customFormat="1" ht="12.75"/>
    <row r="23108" s="3161" customFormat="1" ht="12.75"/>
    <row r="23109" s="3161" customFormat="1" ht="12.75"/>
    <row r="23110" s="3161" customFormat="1" ht="12.75"/>
    <row r="23111" s="3161" customFormat="1" ht="12.75"/>
    <row r="23112" s="3161" customFormat="1" ht="12.75"/>
    <row r="23113" s="3161" customFormat="1" ht="12.75"/>
    <row r="23114" s="3161" customFormat="1" ht="12.75"/>
    <row r="23115" s="3161" customFormat="1" ht="12.75"/>
    <row r="23116" s="3161" customFormat="1" ht="12.75"/>
    <row r="23117" s="3161" customFormat="1" ht="12.75"/>
    <row r="23118" s="3161" customFormat="1" ht="12.75"/>
    <row r="23119" s="3161" customFormat="1" ht="12.75"/>
    <row r="23120" s="3161" customFormat="1" ht="12.75"/>
    <row r="23121" s="3161" customFormat="1" ht="12.75"/>
    <row r="23122" s="3161" customFormat="1" ht="12.75"/>
    <row r="23123" s="3161" customFormat="1" ht="12.75"/>
    <row r="23124" s="3161" customFormat="1" ht="12.75"/>
    <row r="23125" s="3161" customFormat="1" ht="12.75"/>
    <row r="23126" s="3161" customFormat="1" ht="12.75"/>
    <row r="23127" s="3161" customFormat="1" ht="12.75"/>
    <row r="23128" s="3161" customFormat="1" ht="12.75"/>
    <row r="23129" s="3161" customFormat="1" ht="12.75"/>
    <row r="23130" s="3161" customFormat="1" ht="12.75"/>
    <row r="23131" s="3161" customFormat="1" ht="12.75"/>
    <row r="23132" s="3161" customFormat="1" ht="12.75"/>
    <row r="23133" s="3161" customFormat="1" ht="12.75"/>
    <row r="23134" s="3161" customFormat="1" ht="12.75"/>
    <row r="23135" s="3161" customFormat="1" ht="12.75"/>
    <row r="23136" s="3161" customFormat="1" ht="12.75"/>
    <row r="23137" s="3161" customFormat="1" ht="12.75"/>
    <row r="23138" s="3161" customFormat="1" ht="12.75"/>
    <row r="23139" s="3161" customFormat="1" ht="12.75"/>
    <row r="23140" s="3161" customFormat="1" ht="12.75"/>
    <row r="23141" s="3161" customFormat="1" ht="12.75"/>
    <row r="23142" s="3161" customFormat="1" ht="12.75"/>
    <row r="23143" s="3161" customFormat="1" ht="12.75"/>
    <row r="23144" s="3161" customFormat="1" ht="12.75"/>
    <row r="23145" s="3161" customFormat="1" ht="12.75"/>
    <row r="23146" s="3161" customFormat="1" ht="12.75"/>
    <row r="23147" s="3161" customFormat="1" ht="12.75"/>
    <row r="23148" s="3161" customFormat="1" ht="12.75"/>
    <row r="23149" s="3161" customFormat="1" ht="12.75"/>
    <row r="23150" s="3161" customFormat="1" ht="12.75"/>
    <row r="23151" s="3161" customFormat="1" ht="12.75"/>
    <row r="23152" s="3161" customFormat="1" ht="12.75"/>
    <row r="23153" s="3161" customFormat="1" ht="12.75"/>
    <row r="23154" s="3161" customFormat="1" ht="12.75"/>
    <row r="23155" s="3161" customFormat="1" ht="12.75"/>
    <row r="23156" s="3161" customFormat="1" ht="12.75"/>
    <row r="23157" s="3161" customFormat="1" ht="12.75"/>
    <row r="23158" s="3161" customFormat="1" ht="12.75"/>
    <row r="23159" s="3161" customFormat="1" ht="12.75"/>
    <row r="23160" s="3161" customFormat="1" ht="12.75"/>
    <row r="23161" s="3161" customFormat="1" ht="12.75"/>
    <row r="23162" s="3161" customFormat="1" ht="12.75"/>
    <row r="23163" s="3161" customFormat="1" ht="12.75"/>
    <row r="23164" s="3161" customFormat="1" ht="12.75"/>
    <row r="23165" s="3161" customFormat="1" ht="12.75"/>
    <row r="23166" s="3161" customFormat="1" ht="12.75"/>
    <row r="23167" s="3161" customFormat="1" ht="12.75"/>
    <row r="23168" s="3161" customFormat="1" ht="12.75"/>
    <row r="23169" s="3161" customFormat="1" ht="12.75"/>
    <row r="23170" s="3161" customFormat="1" ht="12.75"/>
    <row r="23171" s="3161" customFormat="1" ht="12.75"/>
    <row r="23172" s="3161" customFormat="1" ht="12.75"/>
    <row r="23173" s="3161" customFormat="1" ht="12.75"/>
    <row r="23174" s="3161" customFormat="1" ht="12.75"/>
    <row r="23175" s="3161" customFormat="1" ht="12.75"/>
    <row r="23176" s="3161" customFormat="1" ht="12.75"/>
    <row r="23177" s="3161" customFormat="1" ht="12.75"/>
    <row r="23178" s="3161" customFormat="1" ht="12.75"/>
    <row r="23179" s="3161" customFormat="1" ht="12.75"/>
    <row r="23180" s="3161" customFormat="1" ht="12.75"/>
    <row r="23181" s="3161" customFormat="1" ht="12.75"/>
    <row r="23182" s="3161" customFormat="1" ht="12.75"/>
    <row r="23183" s="3161" customFormat="1" ht="12.75"/>
    <row r="23184" s="3161" customFormat="1" ht="12.75"/>
    <row r="23185" s="3161" customFormat="1" ht="12.75"/>
    <row r="23186" s="3161" customFormat="1" ht="12.75"/>
    <row r="23187" s="3161" customFormat="1" ht="12.75"/>
    <row r="23188" s="3161" customFormat="1" ht="12.75"/>
    <row r="23189" s="3161" customFormat="1" ht="12.75"/>
    <row r="23190" s="3161" customFormat="1" ht="12.75"/>
    <row r="23191" s="3161" customFormat="1" ht="12.75"/>
    <row r="23192" s="3161" customFormat="1" ht="12.75"/>
    <row r="23193" s="3161" customFormat="1" ht="12.75"/>
    <row r="23194" s="3161" customFormat="1" ht="12.75"/>
    <row r="23195" s="3161" customFormat="1" ht="12.75"/>
    <row r="23196" s="3161" customFormat="1" ht="12.75"/>
    <row r="23197" s="3161" customFormat="1" ht="12.75"/>
    <row r="23198" s="3161" customFormat="1" ht="12.75"/>
    <row r="23199" s="3161" customFormat="1" ht="12.75"/>
    <row r="23200" s="3161" customFormat="1" ht="12.75"/>
    <row r="23201" s="3161" customFormat="1" ht="12.75"/>
    <row r="23202" s="3161" customFormat="1" ht="12.75"/>
    <row r="23203" s="3161" customFormat="1" ht="12.75"/>
    <row r="23204" s="3161" customFormat="1" ht="12.75"/>
    <row r="23205" s="3161" customFormat="1" ht="12.75"/>
    <row r="23206" s="3161" customFormat="1" ht="12.75"/>
    <row r="23207" s="3161" customFormat="1" ht="12.75"/>
    <row r="23208" s="3161" customFormat="1" ht="12.75"/>
    <row r="23209" s="3161" customFormat="1" ht="12.75"/>
    <row r="23210" s="3161" customFormat="1" ht="12.75"/>
    <row r="23211" s="3161" customFormat="1" ht="12.75"/>
    <row r="23212" s="3161" customFormat="1" ht="12.75"/>
    <row r="23213" s="3161" customFormat="1" ht="12.75"/>
    <row r="23214" s="3161" customFormat="1" ht="12.75"/>
    <row r="23215" s="3161" customFormat="1" ht="12.75"/>
    <row r="23216" s="3161" customFormat="1" ht="12.75"/>
    <row r="23217" s="3161" customFormat="1" ht="12.75"/>
    <row r="23218" s="3161" customFormat="1" ht="12.75"/>
    <row r="23219" s="3161" customFormat="1" ht="12.75"/>
    <row r="23220" s="3161" customFormat="1" ht="12.75"/>
    <row r="23221" s="3161" customFormat="1" ht="12.75"/>
    <row r="23222" s="3161" customFormat="1" ht="12.75"/>
    <row r="23223" s="3161" customFormat="1" ht="12.75"/>
    <row r="23224" s="3161" customFormat="1" ht="12.75"/>
    <row r="23225" s="3161" customFormat="1" ht="12.75"/>
    <row r="23226" s="3161" customFormat="1" ht="12.75"/>
    <row r="23227" s="3161" customFormat="1" ht="12.75"/>
    <row r="23228" s="3161" customFormat="1" ht="12.75"/>
    <row r="23229" s="3161" customFormat="1" ht="12.75"/>
    <row r="23230" s="3161" customFormat="1" ht="12.75"/>
    <row r="23231" s="3161" customFormat="1" ht="12.75"/>
    <row r="23232" s="3161" customFormat="1" ht="12.75"/>
    <row r="23233" s="3161" customFormat="1" ht="12.75"/>
    <row r="23234" s="3161" customFormat="1" ht="12.75"/>
    <row r="23235" s="3161" customFormat="1" ht="12.75"/>
    <row r="23236" s="3161" customFormat="1" ht="12.75"/>
    <row r="23237" s="3161" customFormat="1" ht="12.75"/>
    <row r="23238" s="3161" customFormat="1" ht="12.75"/>
    <row r="23239" s="3161" customFormat="1" ht="12.75"/>
    <row r="23240" s="3161" customFormat="1" ht="12.75"/>
    <row r="23241" s="3161" customFormat="1" ht="12.75"/>
    <row r="23242" s="3161" customFormat="1" ht="12.75"/>
    <row r="23243" s="3161" customFormat="1" ht="12.75"/>
    <row r="23244" s="3161" customFormat="1" ht="12.75"/>
    <row r="23245" s="3161" customFormat="1" ht="12.75"/>
    <row r="23246" s="3161" customFormat="1" ht="12.75"/>
    <row r="23247" s="3161" customFormat="1" ht="12.75"/>
    <row r="23248" s="3161" customFormat="1" ht="12.75"/>
    <row r="23249" s="3161" customFormat="1" ht="12.75"/>
    <row r="23250" s="3161" customFormat="1" ht="12.75"/>
    <row r="23251" s="3161" customFormat="1" ht="12.75"/>
    <row r="23252" s="3161" customFormat="1" ht="12.75"/>
    <row r="23253" s="3161" customFormat="1" ht="12.75"/>
    <row r="23254" s="3161" customFormat="1" ht="12.75"/>
    <row r="23255" s="3161" customFormat="1" ht="12.75"/>
    <row r="23256" s="3161" customFormat="1" ht="12.75"/>
    <row r="23257" s="3161" customFormat="1" ht="12.75"/>
    <row r="23258" s="3161" customFormat="1" ht="12.75"/>
    <row r="23259" s="3161" customFormat="1" ht="12.75"/>
    <row r="23260" s="3161" customFormat="1" ht="12.75"/>
    <row r="23261" s="3161" customFormat="1" ht="12.75"/>
    <row r="23262" s="3161" customFormat="1" ht="12.75"/>
    <row r="23263" s="3161" customFormat="1" ht="12.75"/>
    <row r="23264" s="3161" customFormat="1" ht="12.75"/>
    <row r="23265" s="3161" customFormat="1" ht="12.75"/>
    <row r="23266" s="3161" customFormat="1" ht="12.75"/>
    <row r="23267" s="3161" customFormat="1" ht="12.75"/>
    <row r="23268" s="3161" customFormat="1" ht="12.75"/>
    <row r="23269" s="3161" customFormat="1" ht="12.75"/>
    <row r="23270" s="3161" customFormat="1" ht="12.75"/>
    <row r="23271" s="3161" customFormat="1" ht="12.75"/>
    <row r="23272" s="3161" customFormat="1" ht="12.75"/>
    <row r="23273" s="3161" customFormat="1" ht="12.75"/>
    <row r="23274" s="3161" customFormat="1" ht="12.75"/>
    <row r="23275" s="3161" customFormat="1" ht="12.75"/>
    <row r="23276" s="3161" customFormat="1" ht="12.75"/>
    <row r="23277" s="3161" customFormat="1" ht="12.75"/>
    <row r="23278" s="3161" customFormat="1" ht="12.75"/>
    <row r="23279" s="3161" customFormat="1" ht="12.75"/>
    <row r="23280" s="3161" customFormat="1" ht="12.75"/>
    <row r="23281" s="3161" customFormat="1" ht="12.75"/>
    <row r="23282" s="3161" customFormat="1" ht="12.75"/>
    <row r="23283" s="3161" customFormat="1" ht="12.75"/>
    <row r="23284" s="3161" customFormat="1" ht="12.75"/>
    <row r="23285" s="3161" customFormat="1" ht="12.75"/>
    <row r="23286" s="3161" customFormat="1" ht="12.75"/>
    <row r="23287" s="3161" customFormat="1" ht="12.75"/>
    <row r="23288" s="3161" customFormat="1" ht="12.75"/>
    <row r="23289" s="3161" customFormat="1" ht="12.75"/>
    <row r="23290" s="3161" customFormat="1" ht="12.75"/>
    <row r="23291" s="3161" customFormat="1" ht="12.75"/>
    <row r="23292" s="3161" customFormat="1" ht="12.75"/>
    <row r="23293" s="3161" customFormat="1" ht="12.75"/>
    <row r="23294" s="3161" customFormat="1" ht="12.75"/>
    <row r="23295" s="3161" customFormat="1" ht="12.75"/>
    <row r="23296" s="3161" customFormat="1" ht="12.75"/>
    <row r="23297" s="3161" customFormat="1" ht="12.75"/>
    <row r="23298" s="3161" customFormat="1" ht="12.75"/>
    <row r="23299" s="3161" customFormat="1" ht="12.75"/>
    <row r="23300" s="3161" customFormat="1" ht="12.75"/>
    <row r="23301" s="3161" customFormat="1" ht="12.75"/>
    <row r="23302" s="3161" customFormat="1" ht="12.75"/>
    <row r="23303" s="3161" customFormat="1" ht="12.75"/>
    <row r="23304" s="3161" customFormat="1" ht="12.75"/>
    <row r="23305" s="3161" customFormat="1" ht="12.75"/>
    <row r="23306" s="3161" customFormat="1" ht="12.75"/>
    <row r="23307" s="3161" customFormat="1" ht="12.75"/>
    <row r="23308" s="3161" customFormat="1" ht="12.75"/>
    <row r="23309" s="3161" customFormat="1" ht="12.75"/>
    <row r="23310" s="3161" customFormat="1" ht="12.75"/>
    <row r="23311" s="3161" customFormat="1" ht="12.75"/>
    <row r="23312" s="3161" customFormat="1" ht="12.75"/>
    <row r="23313" s="3161" customFormat="1" ht="12.75"/>
    <row r="23314" s="3161" customFormat="1" ht="12.75"/>
    <row r="23315" s="3161" customFormat="1" ht="12.75"/>
    <row r="23316" s="3161" customFormat="1" ht="12.75"/>
    <row r="23317" s="3161" customFormat="1" ht="12.75"/>
    <row r="23318" s="3161" customFormat="1" ht="12.75"/>
    <row r="23319" s="3161" customFormat="1" ht="12.75"/>
    <row r="23320" s="3161" customFormat="1" ht="12.75"/>
    <row r="23321" s="3161" customFormat="1" ht="12.75"/>
    <row r="23322" s="3161" customFormat="1" ht="12.75"/>
    <row r="23323" s="3161" customFormat="1" ht="12.75"/>
    <row r="23324" s="3161" customFormat="1" ht="12.75"/>
    <row r="23325" s="3161" customFormat="1" ht="12.75"/>
    <row r="23326" s="3161" customFormat="1" ht="12.75"/>
    <row r="23327" s="3161" customFormat="1" ht="12.75"/>
    <row r="23328" s="3161" customFormat="1" ht="12.75"/>
    <row r="23329" s="3161" customFormat="1" ht="12.75"/>
    <row r="23330" s="3161" customFormat="1" ht="12.75"/>
    <row r="23331" s="3161" customFormat="1" ht="12.75"/>
    <row r="23332" s="3161" customFormat="1" ht="12.75"/>
    <row r="23333" s="3161" customFormat="1" ht="12.75"/>
    <row r="23334" s="3161" customFormat="1" ht="12.75"/>
    <row r="23335" s="3161" customFormat="1" ht="12.75"/>
    <row r="23336" s="3161" customFormat="1" ht="12.75"/>
    <row r="23337" s="3161" customFormat="1" ht="12.75"/>
    <row r="23338" s="3161" customFormat="1" ht="12.75"/>
    <row r="23339" s="3161" customFormat="1" ht="12.75"/>
    <row r="23340" s="3161" customFormat="1" ht="12.75"/>
    <row r="23341" s="3161" customFormat="1" ht="12.75"/>
    <row r="23342" s="3161" customFormat="1" ht="12.75"/>
    <row r="23343" s="3161" customFormat="1" ht="12.75"/>
    <row r="23344" s="3161" customFormat="1" ht="12.75"/>
    <row r="23345" s="3161" customFormat="1" ht="12.75"/>
    <row r="23346" s="3161" customFormat="1" ht="12.75"/>
    <row r="23347" s="3161" customFormat="1" ht="12.75"/>
    <row r="23348" s="3161" customFormat="1" ht="12.75"/>
    <row r="23349" s="3161" customFormat="1" ht="12.75"/>
    <row r="23350" s="3161" customFormat="1" ht="12.75"/>
    <row r="23351" s="3161" customFormat="1" ht="12.75"/>
    <row r="23352" s="3161" customFormat="1" ht="12.75"/>
    <row r="23353" s="3161" customFormat="1" ht="12.75"/>
    <row r="23354" s="3161" customFormat="1" ht="12.75"/>
    <row r="23355" s="3161" customFormat="1" ht="12.75"/>
    <row r="23356" s="3161" customFormat="1" ht="12.75"/>
    <row r="23357" s="3161" customFormat="1" ht="12.75"/>
    <row r="23358" s="3161" customFormat="1" ht="12.75"/>
    <row r="23359" s="3161" customFormat="1" ht="12.75"/>
    <row r="23360" s="3161" customFormat="1" ht="12.75"/>
    <row r="23361" s="3161" customFormat="1" ht="12.75"/>
    <row r="23362" s="3161" customFormat="1" ht="12.75"/>
    <row r="23363" s="3161" customFormat="1" ht="12.75"/>
    <row r="23364" s="3161" customFormat="1" ht="12.75"/>
    <row r="23365" s="3161" customFormat="1" ht="12.75"/>
    <row r="23366" s="3161" customFormat="1" ht="12.75"/>
    <row r="23367" s="3161" customFormat="1" ht="12.75"/>
    <row r="23368" s="3161" customFormat="1" ht="12.75"/>
    <row r="23369" s="3161" customFormat="1" ht="12.75"/>
    <row r="23370" s="3161" customFormat="1" ht="12.75"/>
    <row r="23371" s="3161" customFormat="1" ht="12.75"/>
    <row r="23372" s="3161" customFormat="1" ht="12.75"/>
    <row r="23373" s="3161" customFormat="1" ht="12.75"/>
    <row r="23374" s="3161" customFormat="1" ht="12.75"/>
    <row r="23375" s="3161" customFormat="1" ht="12.75"/>
    <row r="23376" s="3161" customFormat="1" ht="12.75"/>
    <row r="23377" s="3161" customFormat="1" ht="12.75"/>
    <row r="23378" s="3161" customFormat="1" ht="12.75"/>
    <row r="23379" s="3161" customFormat="1" ht="12.75"/>
    <row r="23380" s="3161" customFormat="1" ht="12.75"/>
    <row r="23381" s="3161" customFormat="1" ht="12.75"/>
    <row r="23382" s="3161" customFormat="1" ht="12.75"/>
    <row r="23383" s="3161" customFormat="1" ht="12.75"/>
    <row r="23384" s="3161" customFormat="1" ht="12.75"/>
    <row r="23385" s="3161" customFormat="1" ht="12.75"/>
    <row r="23386" s="3161" customFormat="1" ht="12.75"/>
    <row r="23387" s="3161" customFormat="1" ht="12.75"/>
    <row r="23388" s="3161" customFormat="1" ht="12.75"/>
    <row r="23389" s="3161" customFormat="1" ht="12.75"/>
    <row r="23390" s="3161" customFormat="1" ht="12.75"/>
    <row r="23391" s="3161" customFormat="1" ht="12.75"/>
    <row r="23392" s="3161" customFormat="1" ht="12.75"/>
    <row r="23393" s="3161" customFormat="1" ht="12.75"/>
    <row r="23394" s="3161" customFormat="1" ht="12.75"/>
    <row r="23395" s="3161" customFormat="1" ht="12.75"/>
    <row r="23396" s="3161" customFormat="1" ht="12.75"/>
    <row r="23397" s="3161" customFormat="1" ht="12.75"/>
    <row r="23398" s="3161" customFormat="1" ht="12.75"/>
    <row r="23399" s="3161" customFormat="1" ht="12.75"/>
    <row r="23400" s="3161" customFormat="1" ht="12.75"/>
    <row r="23401" s="3161" customFormat="1" ht="12.75"/>
    <row r="23402" s="3161" customFormat="1" ht="12.75"/>
    <row r="23403" s="3161" customFormat="1" ht="12.75"/>
    <row r="23404" s="3161" customFormat="1" ht="12.75"/>
    <row r="23405" s="3161" customFormat="1" ht="12.75"/>
    <row r="23406" s="3161" customFormat="1" ht="12.75"/>
    <row r="23407" s="3161" customFormat="1" ht="12.75"/>
    <row r="23408" s="3161" customFormat="1" ht="12.75"/>
    <row r="23409" s="3161" customFormat="1" ht="12.75"/>
    <row r="23410" s="3161" customFormat="1" ht="12.75"/>
    <row r="23411" s="3161" customFormat="1" ht="12.75"/>
    <row r="23412" s="3161" customFormat="1" ht="12.75"/>
    <row r="23413" s="3161" customFormat="1" ht="12.75"/>
    <row r="23414" s="3161" customFormat="1" ht="12.75"/>
    <row r="23415" s="3161" customFormat="1" ht="12.75"/>
    <row r="23416" s="3161" customFormat="1" ht="12.75"/>
    <row r="23417" s="3161" customFormat="1" ht="12.75"/>
    <row r="23418" s="3161" customFormat="1" ht="12.75"/>
    <row r="23419" s="3161" customFormat="1" ht="12.75"/>
    <row r="23420" s="3161" customFormat="1" ht="12.75"/>
    <row r="23421" s="3161" customFormat="1" ht="12.75"/>
    <row r="23422" s="3161" customFormat="1" ht="12.75"/>
    <row r="23423" s="3161" customFormat="1" ht="12.75"/>
    <row r="23424" s="3161" customFormat="1" ht="12.75"/>
    <row r="23425" s="3161" customFormat="1" ht="12.75"/>
    <row r="23426" s="3161" customFormat="1" ht="12.75"/>
    <row r="23427" s="3161" customFormat="1" ht="12.75"/>
    <row r="23428" s="3161" customFormat="1" ht="12.75"/>
    <row r="23429" s="3161" customFormat="1" ht="12.75"/>
    <row r="23430" s="3161" customFormat="1" ht="12.75"/>
    <row r="23431" s="3161" customFormat="1" ht="12.75"/>
    <row r="23432" s="3161" customFormat="1" ht="12.75"/>
    <row r="23433" s="3161" customFormat="1" ht="12.75"/>
    <row r="23434" s="3161" customFormat="1" ht="12.75"/>
    <row r="23435" s="3161" customFormat="1" ht="12.75"/>
    <row r="23436" s="3161" customFormat="1" ht="12.75"/>
    <row r="23437" s="3161" customFormat="1" ht="12.75"/>
    <row r="23438" s="3161" customFormat="1" ht="12.75"/>
    <row r="23439" s="3161" customFormat="1" ht="12.75"/>
    <row r="23440" s="3161" customFormat="1" ht="12.75"/>
    <row r="23441" s="3161" customFormat="1" ht="12.75"/>
    <row r="23442" s="3161" customFormat="1" ht="12.75"/>
    <row r="23443" s="3161" customFormat="1" ht="12.75"/>
    <row r="23444" s="3161" customFormat="1" ht="12.75"/>
    <row r="23445" s="3161" customFormat="1" ht="12.75"/>
    <row r="23446" s="3161" customFormat="1" ht="12.75"/>
    <row r="23447" s="3161" customFormat="1" ht="12.75"/>
    <row r="23448" s="3161" customFormat="1" ht="12.75"/>
    <row r="23449" s="3161" customFormat="1" ht="12.75"/>
    <row r="23450" s="3161" customFormat="1" ht="12.75"/>
    <row r="23451" s="3161" customFormat="1" ht="12.75"/>
    <row r="23452" s="3161" customFormat="1" ht="12.75"/>
    <row r="23453" s="3161" customFormat="1" ht="12.75"/>
    <row r="23454" s="3161" customFormat="1" ht="12.75"/>
    <row r="23455" s="3161" customFormat="1" ht="12.75"/>
    <row r="23456" s="3161" customFormat="1" ht="12.75"/>
    <row r="23457" s="3161" customFormat="1" ht="12.75"/>
    <row r="23458" s="3161" customFormat="1" ht="12.75"/>
    <row r="23459" s="3161" customFormat="1" ht="12.75"/>
    <row r="23460" s="3161" customFormat="1" ht="12.75"/>
    <row r="23461" s="3161" customFormat="1" ht="12.75"/>
    <row r="23462" s="3161" customFormat="1" ht="12.75"/>
    <row r="23463" s="3161" customFormat="1" ht="12.75"/>
    <row r="23464" s="3161" customFormat="1" ht="12.75"/>
    <row r="23465" s="3161" customFormat="1" ht="12.75"/>
    <row r="23466" s="3161" customFormat="1" ht="12.75"/>
    <row r="23467" s="3161" customFormat="1" ht="12.75"/>
    <row r="23468" s="3161" customFormat="1" ht="12.75"/>
    <row r="23469" s="3161" customFormat="1" ht="12.75"/>
    <row r="23470" s="3161" customFormat="1" ht="12.75"/>
    <row r="23471" s="3161" customFormat="1" ht="12.75"/>
    <row r="23472" s="3161" customFormat="1" ht="12.75"/>
    <row r="23473" s="3161" customFormat="1" ht="12.75"/>
    <row r="23474" s="3161" customFormat="1" ht="12.75"/>
    <row r="23475" s="3161" customFormat="1" ht="12.75"/>
    <row r="23476" s="3161" customFormat="1" ht="12.75"/>
    <row r="23477" s="3161" customFormat="1" ht="12.75"/>
    <row r="23478" s="3161" customFormat="1" ht="12.75"/>
    <row r="23479" s="3161" customFormat="1" ht="12.75"/>
    <row r="23480" s="3161" customFormat="1" ht="12.75"/>
    <row r="23481" s="3161" customFormat="1" ht="12.75"/>
    <row r="23482" s="3161" customFormat="1" ht="12.75"/>
    <row r="23483" s="3161" customFormat="1" ht="12.75"/>
    <row r="23484" s="3161" customFormat="1" ht="12.75"/>
    <row r="23485" s="3161" customFormat="1" ht="12.75"/>
    <row r="23486" s="3161" customFormat="1" ht="12.75"/>
    <row r="23487" s="3161" customFormat="1" ht="12.75"/>
    <row r="23488" s="3161" customFormat="1" ht="12.75"/>
    <row r="23489" s="3161" customFormat="1" ht="12.75"/>
    <row r="23490" s="3161" customFormat="1" ht="12.75"/>
    <row r="23491" s="3161" customFormat="1" ht="12.75"/>
    <row r="23492" s="3161" customFormat="1" ht="12.75"/>
    <row r="23493" s="3161" customFormat="1" ht="12.75"/>
    <row r="23494" s="3161" customFormat="1" ht="12.75"/>
    <row r="23495" s="3161" customFormat="1" ht="12.75"/>
    <row r="23496" s="3161" customFormat="1" ht="12.75"/>
    <row r="23497" s="3161" customFormat="1" ht="12.75"/>
    <row r="23498" s="3161" customFormat="1" ht="12.75"/>
    <row r="23499" s="3161" customFormat="1" ht="12.75"/>
    <row r="23500" s="3161" customFormat="1" ht="12.75"/>
    <row r="23501" s="3161" customFormat="1" ht="12.75"/>
    <row r="23502" s="3161" customFormat="1" ht="12.75"/>
    <row r="23503" s="3161" customFormat="1" ht="12.75"/>
    <row r="23504" s="3161" customFormat="1" ht="12.75"/>
    <row r="23505" s="3161" customFormat="1" ht="12.75"/>
    <row r="23506" s="3161" customFormat="1" ht="12.75"/>
    <row r="23507" s="3161" customFormat="1" ht="12.75"/>
    <row r="23508" s="3161" customFormat="1" ht="12.75"/>
    <row r="23509" s="3161" customFormat="1" ht="12.75"/>
    <row r="23510" s="3161" customFormat="1" ht="12.75"/>
    <row r="23511" s="3161" customFormat="1" ht="12.75"/>
    <row r="23512" s="3161" customFormat="1" ht="12.75"/>
    <row r="23513" s="3161" customFormat="1" ht="12.75"/>
    <row r="23514" s="3161" customFormat="1" ht="12.75"/>
    <row r="23515" s="3161" customFormat="1" ht="12.75"/>
    <row r="23516" s="3161" customFormat="1" ht="12.75"/>
    <row r="23517" s="3161" customFormat="1" ht="12.75"/>
    <row r="23518" s="3161" customFormat="1" ht="12.75"/>
    <row r="23519" s="3161" customFormat="1" ht="12.75"/>
    <row r="23520" s="3161" customFormat="1" ht="12.75"/>
    <row r="23521" s="3161" customFormat="1" ht="12.75"/>
    <row r="23522" s="3161" customFormat="1" ht="12.75"/>
    <row r="23523" s="3161" customFormat="1" ht="12.75"/>
    <row r="23524" s="3161" customFormat="1" ht="12.75"/>
    <row r="23525" s="3161" customFormat="1" ht="12.75"/>
    <row r="23526" s="3161" customFormat="1" ht="12.75"/>
    <row r="23527" s="3161" customFormat="1" ht="12.75"/>
    <row r="23528" s="3161" customFormat="1" ht="12.75"/>
    <row r="23529" s="3161" customFormat="1" ht="12.75"/>
    <row r="23530" s="3161" customFormat="1" ht="12.75"/>
    <row r="23531" s="3161" customFormat="1" ht="12.75"/>
    <row r="23532" s="3161" customFormat="1" ht="12.75"/>
    <row r="23533" s="3161" customFormat="1" ht="12.75"/>
    <row r="23534" s="3161" customFormat="1" ht="12.75"/>
    <row r="23535" s="3161" customFormat="1" ht="12.75"/>
    <row r="23536" s="3161" customFormat="1" ht="12.75"/>
    <row r="23537" s="3161" customFormat="1" ht="12.75"/>
    <row r="23538" s="3161" customFormat="1" ht="12.75"/>
    <row r="23539" s="3161" customFormat="1" ht="12.75"/>
    <row r="23540" s="3161" customFormat="1" ht="12.75"/>
    <row r="23541" s="3161" customFormat="1" ht="12.75"/>
    <row r="23542" s="3161" customFormat="1" ht="12.75"/>
    <row r="23543" s="3161" customFormat="1" ht="12.75"/>
    <row r="23544" s="3161" customFormat="1" ht="12.75"/>
    <row r="23545" s="3161" customFormat="1" ht="12.75"/>
    <row r="23546" s="3161" customFormat="1" ht="12.75"/>
    <row r="23547" s="3161" customFormat="1" ht="12.75"/>
    <row r="23548" s="3161" customFormat="1" ht="12.75"/>
    <row r="23549" s="3161" customFormat="1" ht="12.75"/>
    <row r="23550" s="3161" customFormat="1" ht="12.75"/>
    <row r="23551" s="3161" customFormat="1" ht="12.75"/>
    <row r="23552" s="3161" customFormat="1" ht="12.75"/>
    <row r="23553" s="3161" customFormat="1" ht="12.75"/>
    <row r="23554" s="3161" customFormat="1" ht="12.75"/>
    <row r="23555" s="3161" customFormat="1" ht="12.75"/>
    <row r="23556" s="3161" customFormat="1" ht="12.75"/>
    <row r="23557" s="3161" customFormat="1" ht="12.75"/>
    <row r="23558" s="3161" customFormat="1" ht="12.75"/>
    <row r="23559" s="3161" customFormat="1" ht="12.75"/>
    <row r="23560" s="3161" customFormat="1" ht="12.75"/>
    <row r="23561" s="3161" customFormat="1" ht="12.75"/>
    <row r="23562" s="3161" customFormat="1" ht="12.75"/>
    <row r="23563" s="3161" customFormat="1" ht="12.75"/>
    <row r="23564" s="3161" customFormat="1" ht="12.75"/>
    <row r="23565" s="3161" customFormat="1" ht="12.75"/>
    <row r="23566" s="3161" customFormat="1" ht="12.75"/>
    <row r="23567" s="3161" customFormat="1" ht="12.75"/>
    <row r="23568" s="3161" customFormat="1" ht="12.75"/>
    <row r="23569" s="3161" customFormat="1" ht="12.75"/>
    <row r="23570" s="3161" customFormat="1" ht="12.75"/>
    <row r="23571" s="3161" customFormat="1" ht="12.75"/>
    <row r="23572" s="3161" customFormat="1" ht="12.75"/>
    <row r="23573" s="3161" customFormat="1" ht="12.75"/>
    <row r="23574" s="3161" customFormat="1" ht="12.75"/>
    <row r="23575" s="3161" customFormat="1" ht="12.75"/>
    <row r="23576" s="3161" customFormat="1" ht="12.75"/>
    <row r="23577" s="3161" customFormat="1" ht="12.75"/>
    <row r="23578" s="3161" customFormat="1" ht="12.75"/>
    <row r="23579" s="3161" customFormat="1" ht="12.75"/>
    <row r="23580" s="3161" customFormat="1" ht="12.75"/>
    <row r="23581" s="3161" customFormat="1" ht="12.75"/>
    <row r="23582" s="3161" customFormat="1" ht="12.75"/>
    <row r="23583" s="3161" customFormat="1" ht="12.75"/>
    <row r="23584" s="3161" customFormat="1" ht="12.75"/>
    <row r="23585" s="3161" customFormat="1" ht="12.75"/>
    <row r="23586" s="3161" customFormat="1" ht="12.75"/>
    <row r="23587" s="3161" customFormat="1" ht="12.75"/>
    <row r="23588" s="3161" customFormat="1" ht="12.75"/>
    <row r="23589" s="3161" customFormat="1" ht="12.75"/>
    <row r="23590" s="3161" customFormat="1" ht="12.75"/>
    <row r="23591" s="3161" customFormat="1" ht="12.75"/>
    <row r="23592" s="3161" customFormat="1" ht="12.75"/>
    <row r="23593" s="3161" customFormat="1" ht="12.75"/>
    <row r="23594" s="3161" customFormat="1" ht="12.75"/>
    <row r="23595" s="3161" customFormat="1" ht="12.75"/>
    <row r="23596" s="3161" customFormat="1" ht="12.75"/>
    <row r="23597" s="3161" customFormat="1" ht="12.75"/>
    <row r="23598" s="3161" customFormat="1" ht="12.75"/>
    <row r="23599" s="3161" customFormat="1" ht="12.75"/>
    <row r="23600" s="3161" customFormat="1" ht="12.75"/>
    <row r="23601" s="3161" customFormat="1" ht="12.75"/>
    <row r="23602" s="3161" customFormat="1" ht="12.75"/>
    <row r="23603" s="3161" customFormat="1" ht="12.75"/>
    <row r="23604" s="3161" customFormat="1" ht="12.75"/>
    <row r="23605" s="3161" customFormat="1" ht="12.75"/>
    <row r="23606" s="3161" customFormat="1" ht="12.75"/>
    <row r="23607" s="3161" customFormat="1" ht="12.75"/>
    <row r="23608" s="3161" customFormat="1" ht="12.75"/>
    <row r="23609" s="3161" customFormat="1" ht="12.75"/>
    <row r="23610" s="3161" customFormat="1" ht="12.75"/>
    <row r="23611" s="3161" customFormat="1" ht="12.75"/>
    <row r="23612" s="3161" customFormat="1" ht="12.75"/>
    <row r="23613" s="3161" customFormat="1" ht="12.75"/>
    <row r="23614" s="3161" customFormat="1" ht="12.75"/>
    <row r="23615" s="3161" customFormat="1" ht="12.75"/>
    <row r="23616" s="3161" customFormat="1" ht="12.75"/>
    <row r="23617" s="3161" customFormat="1" ht="12.75"/>
    <row r="23618" s="3161" customFormat="1" ht="12.75"/>
    <row r="23619" s="3161" customFormat="1" ht="12.75"/>
    <row r="23620" s="3161" customFormat="1" ht="12.75"/>
    <row r="23621" s="3161" customFormat="1" ht="12.75"/>
    <row r="23622" s="3161" customFormat="1" ht="12.75"/>
    <row r="23623" s="3161" customFormat="1" ht="12.75"/>
    <row r="23624" s="3161" customFormat="1" ht="12.75"/>
    <row r="23625" s="3161" customFormat="1" ht="12.75"/>
    <row r="23626" s="3161" customFormat="1" ht="12.75"/>
    <row r="23627" s="3161" customFormat="1" ht="12.75"/>
    <row r="23628" s="3161" customFormat="1" ht="12.75"/>
    <row r="23629" s="3161" customFormat="1" ht="12.75"/>
    <row r="23630" s="3161" customFormat="1" ht="12.75"/>
    <row r="23631" s="3161" customFormat="1" ht="12.75"/>
    <row r="23632" s="3161" customFormat="1" ht="12.75"/>
    <row r="23633" s="3161" customFormat="1" ht="12.75"/>
    <row r="23634" s="3161" customFormat="1" ht="12.75"/>
    <row r="23635" s="3161" customFormat="1" ht="12.75"/>
    <row r="23636" s="3161" customFormat="1" ht="12.75"/>
    <row r="23637" s="3161" customFormat="1" ht="12.75"/>
    <row r="23638" s="3161" customFormat="1" ht="12.75"/>
    <row r="23639" s="3161" customFormat="1" ht="12.75"/>
    <row r="23640" s="3161" customFormat="1" ht="12.75"/>
    <row r="23641" s="3161" customFormat="1" ht="12.75"/>
    <row r="23642" s="3161" customFormat="1" ht="12.75"/>
    <row r="23643" s="3161" customFormat="1" ht="12.75"/>
    <row r="23644" s="3161" customFormat="1" ht="12.75"/>
    <row r="23645" s="3161" customFormat="1" ht="12.75"/>
    <row r="23646" s="3161" customFormat="1" ht="12.75"/>
    <row r="23647" s="3161" customFormat="1" ht="12.75"/>
    <row r="23648" s="3161" customFormat="1" ht="12.75"/>
    <row r="23649" s="3161" customFormat="1" ht="12.75"/>
    <row r="23650" s="3161" customFormat="1" ht="12.75"/>
    <row r="23651" s="3161" customFormat="1" ht="12.75"/>
    <row r="23652" s="3161" customFormat="1" ht="12.75"/>
    <row r="23653" s="3161" customFormat="1" ht="12.75"/>
    <row r="23654" s="3161" customFormat="1" ht="12.75"/>
    <row r="23655" s="3161" customFormat="1" ht="12.75"/>
    <row r="23656" s="3161" customFormat="1" ht="12.75"/>
    <row r="23657" s="3161" customFormat="1" ht="12.75"/>
    <row r="23658" s="3161" customFormat="1" ht="12.75"/>
    <row r="23659" s="3161" customFormat="1" ht="12.75"/>
    <row r="23660" s="3161" customFormat="1" ht="12.75"/>
    <row r="23661" s="3161" customFormat="1" ht="12.75"/>
    <row r="23662" s="3161" customFormat="1" ht="12.75"/>
    <row r="23663" s="3161" customFormat="1" ht="12.75"/>
    <row r="23664" s="3161" customFormat="1" ht="12.75"/>
    <row r="23665" s="3161" customFormat="1" ht="12.75"/>
    <row r="23666" s="3161" customFormat="1" ht="12.75"/>
    <row r="23667" s="3161" customFormat="1" ht="12.75"/>
    <row r="23668" s="3161" customFormat="1" ht="12.75"/>
    <row r="23669" s="3161" customFormat="1" ht="12.75"/>
    <row r="23670" s="3161" customFormat="1" ht="12.75"/>
    <row r="23671" s="3161" customFormat="1" ht="12.75"/>
    <row r="23672" s="3161" customFormat="1" ht="12.75"/>
    <row r="23673" s="3161" customFormat="1" ht="12.75"/>
    <row r="23674" s="3161" customFormat="1" ht="12.75"/>
    <row r="23675" s="3161" customFormat="1" ht="12.75"/>
    <row r="23676" s="3161" customFormat="1" ht="12.75"/>
    <row r="23677" s="3161" customFormat="1" ht="12.75"/>
    <row r="23678" s="3161" customFormat="1" ht="12.75"/>
    <row r="23679" s="3161" customFormat="1" ht="12.75"/>
    <row r="23680" s="3161" customFormat="1" ht="12.75"/>
    <row r="23681" s="3161" customFormat="1" ht="12.75"/>
    <row r="23682" s="3161" customFormat="1" ht="12.75"/>
    <row r="23683" s="3161" customFormat="1" ht="12.75"/>
    <row r="23684" s="3161" customFormat="1" ht="12.75"/>
    <row r="23685" s="3161" customFormat="1" ht="12.75"/>
    <row r="23686" s="3161" customFormat="1" ht="12.75"/>
    <row r="23687" s="3161" customFormat="1" ht="12.75"/>
    <row r="23688" s="3161" customFormat="1" ht="12.75"/>
    <row r="23689" s="3161" customFormat="1" ht="12.75"/>
    <row r="23690" s="3161" customFormat="1" ht="12.75"/>
    <row r="23691" s="3161" customFormat="1" ht="12.75"/>
    <row r="23692" s="3161" customFormat="1" ht="12.75"/>
    <row r="23693" s="3161" customFormat="1" ht="12.75"/>
    <row r="23694" s="3161" customFormat="1" ht="12.75"/>
    <row r="23695" s="3161" customFormat="1" ht="12.75"/>
    <row r="23696" s="3161" customFormat="1" ht="12.75"/>
    <row r="23697" s="3161" customFormat="1" ht="12.75"/>
    <row r="23698" s="3161" customFormat="1" ht="12.75"/>
    <row r="23699" s="3161" customFormat="1" ht="12.75"/>
    <row r="23700" s="3161" customFormat="1" ht="12.75"/>
    <row r="23701" s="3161" customFormat="1" ht="12.75"/>
    <row r="23702" s="3161" customFormat="1" ht="12.75"/>
    <row r="23703" s="3161" customFormat="1" ht="12.75"/>
    <row r="23704" s="3161" customFormat="1" ht="12.75"/>
    <row r="23705" s="3161" customFormat="1" ht="12.75"/>
    <row r="23706" s="3161" customFormat="1" ht="12.75"/>
    <row r="23707" s="3161" customFormat="1" ht="12.75"/>
    <row r="23708" s="3161" customFormat="1" ht="12.75"/>
    <row r="23709" s="3161" customFormat="1" ht="12.75"/>
    <row r="23710" s="3161" customFormat="1" ht="12.75"/>
    <row r="23711" s="3161" customFormat="1" ht="12.75"/>
    <row r="23712" s="3161" customFormat="1" ht="12.75"/>
    <row r="23713" s="3161" customFormat="1" ht="12.75"/>
    <row r="23714" s="3161" customFormat="1" ht="12.75"/>
    <row r="23715" s="3161" customFormat="1" ht="12.75"/>
    <row r="23716" s="3161" customFormat="1" ht="12.75"/>
    <row r="23717" s="3161" customFormat="1" ht="12.75"/>
    <row r="23718" s="3161" customFormat="1" ht="12.75"/>
    <row r="23719" s="3161" customFormat="1" ht="12.75"/>
    <row r="23720" s="3161" customFormat="1" ht="12.75"/>
    <row r="23721" s="3161" customFormat="1" ht="12.75"/>
    <row r="23722" s="3161" customFormat="1" ht="12.75"/>
    <row r="23723" s="3161" customFormat="1" ht="12.75"/>
    <row r="23724" s="3161" customFormat="1" ht="12.75"/>
    <row r="23725" s="3161" customFormat="1" ht="12.75"/>
    <row r="23726" s="3161" customFormat="1" ht="12.75"/>
    <row r="23727" s="3161" customFormat="1" ht="12.75"/>
    <row r="23728" s="3161" customFormat="1" ht="12.75"/>
    <row r="23729" s="3161" customFormat="1" ht="12.75"/>
    <row r="23730" s="3161" customFormat="1" ht="12.75"/>
    <row r="23731" s="3161" customFormat="1" ht="12.75"/>
    <row r="23732" s="3161" customFormat="1" ht="12.75"/>
    <row r="23733" s="3161" customFormat="1" ht="12.75"/>
    <row r="23734" s="3161" customFormat="1" ht="12.75"/>
    <row r="23735" s="3161" customFormat="1" ht="12.75"/>
    <row r="23736" s="3161" customFormat="1" ht="12.75"/>
    <row r="23737" s="3161" customFormat="1" ht="12.75"/>
    <row r="23738" s="3161" customFormat="1" ht="12.75"/>
    <row r="23739" s="3161" customFormat="1" ht="12.75"/>
    <row r="23740" s="3161" customFormat="1" ht="12.75"/>
    <row r="23741" s="3161" customFormat="1" ht="12.75"/>
    <row r="23742" s="3161" customFormat="1" ht="12.75"/>
    <row r="23743" s="3161" customFormat="1" ht="12.75"/>
    <row r="23744" s="3161" customFormat="1" ht="12.75"/>
    <row r="23745" s="3161" customFormat="1" ht="12.75"/>
    <row r="23746" s="3161" customFormat="1" ht="12.75"/>
    <row r="23747" s="3161" customFormat="1" ht="12.75"/>
    <row r="23748" s="3161" customFormat="1" ht="12.75"/>
    <row r="23749" s="3161" customFormat="1" ht="12.75"/>
    <row r="23750" s="3161" customFormat="1" ht="12.75"/>
    <row r="23751" s="3161" customFormat="1" ht="12.75"/>
    <row r="23752" s="3161" customFormat="1" ht="12.75"/>
    <row r="23753" s="3161" customFormat="1" ht="12.75"/>
    <row r="23754" s="3161" customFormat="1" ht="12.75"/>
    <row r="23755" s="3161" customFormat="1" ht="12.75"/>
    <row r="23756" s="3161" customFormat="1" ht="12.75"/>
    <row r="23757" s="3161" customFormat="1" ht="12.75"/>
    <row r="23758" s="3161" customFormat="1" ht="12.75"/>
    <row r="23759" s="3161" customFormat="1" ht="12.75"/>
    <row r="23760" s="3161" customFormat="1" ht="12.75"/>
    <row r="23761" s="3161" customFormat="1" ht="12.75"/>
    <row r="23762" s="3161" customFormat="1" ht="12.75"/>
    <row r="23763" s="3161" customFormat="1" ht="12.75"/>
    <row r="23764" s="3161" customFormat="1" ht="12.75"/>
    <row r="23765" s="3161" customFormat="1" ht="12.75"/>
    <row r="23766" s="3161" customFormat="1" ht="12.75"/>
    <row r="23767" s="3161" customFormat="1" ht="12.75"/>
    <row r="23768" s="3161" customFormat="1" ht="12.75"/>
    <row r="23769" s="3161" customFormat="1" ht="12.75"/>
    <row r="23770" s="3161" customFormat="1" ht="12.75"/>
    <row r="23771" s="3161" customFormat="1" ht="12.75"/>
    <row r="23772" s="3161" customFormat="1" ht="12.75"/>
    <row r="23773" s="3161" customFormat="1" ht="12.75"/>
    <row r="23774" s="3161" customFormat="1" ht="12.75"/>
    <row r="23775" s="3161" customFormat="1" ht="12.75"/>
    <row r="23776" s="3161" customFormat="1" ht="12.75"/>
    <row r="23777" s="3161" customFormat="1" ht="12.75"/>
    <row r="23778" s="3161" customFormat="1" ht="12.75"/>
    <row r="23779" s="3161" customFormat="1" ht="12.75"/>
    <row r="23780" s="3161" customFormat="1" ht="12.75"/>
    <row r="23781" s="3161" customFormat="1" ht="12.75"/>
    <row r="23782" s="3161" customFormat="1" ht="12.75"/>
    <row r="23783" s="3161" customFormat="1" ht="12.75"/>
    <row r="23784" s="3161" customFormat="1" ht="12.75"/>
    <row r="23785" s="3161" customFormat="1" ht="12.75"/>
    <row r="23786" s="3161" customFormat="1" ht="12.75"/>
    <row r="23787" s="3161" customFormat="1" ht="12.75"/>
    <row r="23788" s="3161" customFormat="1" ht="12.75"/>
    <row r="23789" s="3161" customFormat="1" ht="12.75"/>
    <row r="23790" s="3161" customFormat="1" ht="12.75"/>
    <row r="23791" s="3161" customFormat="1" ht="12.75"/>
    <row r="23792" s="3161" customFormat="1" ht="12.75"/>
    <row r="23793" s="3161" customFormat="1" ht="12.75"/>
    <row r="23794" s="3161" customFormat="1" ht="12.75"/>
    <row r="23795" s="3161" customFormat="1" ht="12.75"/>
    <row r="23796" s="3161" customFormat="1" ht="12.75"/>
    <row r="23797" s="3161" customFormat="1" ht="12.75"/>
    <row r="23798" s="3161" customFormat="1" ht="12.75"/>
    <row r="23799" s="3161" customFormat="1" ht="12.75"/>
    <row r="23800" s="3161" customFormat="1" ht="12.75"/>
    <row r="23801" s="3161" customFormat="1" ht="12.75"/>
    <row r="23802" s="3161" customFormat="1" ht="12.75"/>
    <row r="23803" s="3161" customFormat="1" ht="12.75"/>
    <row r="23804" s="3161" customFormat="1" ht="12.75"/>
    <row r="23805" s="3161" customFormat="1" ht="12.75"/>
    <row r="23806" s="3161" customFormat="1" ht="12.75"/>
    <row r="23807" s="3161" customFormat="1" ht="12.75"/>
    <row r="23808" s="3161" customFormat="1" ht="12.75"/>
    <row r="23809" s="3161" customFormat="1" ht="12.75"/>
    <row r="23810" s="3161" customFormat="1" ht="12.75"/>
    <row r="23811" s="3161" customFormat="1" ht="12.75"/>
    <row r="23812" s="3161" customFormat="1" ht="12.75"/>
    <row r="23813" s="3161" customFormat="1" ht="12.75"/>
    <row r="23814" s="3161" customFormat="1" ht="12.75"/>
    <row r="23815" s="3161" customFormat="1" ht="12.75"/>
    <row r="23816" s="3161" customFormat="1" ht="12.75"/>
    <row r="23817" s="3161" customFormat="1" ht="12.75"/>
    <row r="23818" s="3161" customFormat="1" ht="12.75"/>
    <row r="23819" s="3161" customFormat="1" ht="12.75"/>
    <row r="23820" s="3161" customFormat="1" ht="12.75"/>
    <row r="23821" s="3161" customFormat="1" ht="12.75"/>
    <row r="23822" s="3161" customFormat="1" ht="12.75"/>
    <row r="23823" s="3161" customFormat="1" ht="12.75"/>
    <row r="23824" s="3161" customFormat="1" ht="12.75"/>
    <row r="23825" s="3161" customFormat="1" ht="12.75"/>
    <row r="23826" s="3161" customFormat="1" ht="12.75"/>
    <row r="23827" s="3161" customFormat="1" ht="12.75"/>
    <row r="23828" s="3161" customFormat="1" ht="12.75"/>
    <row r="23829" s="3161" customFormat="1" ht="12.75"/>
    <row r="23830" s="3161" customFormat="1" ht="12.75"/>
    <row r="23831" s="3161" customFormat="1" ht="12.75"/>
    <row r="23832" s="3161" customFormat="1" ht="12.75"/>
    <row r="23833" s="3161" customFormat="1" ht="12.75"/>
    <row r="23834" s="3161" customFormat="1" ht="12.75"/>
    <row r="23835" s="3161" customFormat="1" ht="12.75"/>
    <row r="23836" s="3161" customFormat="1" ht="12.75"/>
    <row r="23837" s="3161" customFormat="1" ht="12.75"/>
    <row r="23838" s="3161" customFormat="1" ht="12.75"/>
    <row r="23839" s="3161" customFormat="1" ht="12.75"/>
    <row r="23840" s="3161" customFormat="1" ht="12.75"/>
    <row r="23841" s="3161" customFormat="1" ht="12.75"/>
    <row r="23842" s="3161" customFormat="1" ht="12.75"/>
    <row r="23843" s="3161" customFormat="1" ht="12.75"/>
    <row r="23844" s="3161" customFormat="1" ht="12.75"/>
    <row r="23845" s="3161" customFormat="1" ht="12.75"/>
    <row r="23846" s="3161" customFormat="1" ht="12.75"/>
    <row r="23847" s="3161" customFormat="1" ht="12.75"/>
    <row r="23848" s="3161" customFormat="1" ht="12.75"/>
    <row r="23849" s="3161" customFormat="1" ht="12.75"/>
    <row r="23850" s="3161" customFormat="1" ht="12.75"/>
    <row r="23851" s="3161" customFormat="1" ht="12.75"/>
    <row r="23852" s="3161" customFormat="1" ht="12.75"/>
    <row r="23853" s="3161" customFormat="1" ht="12.75"/>
    <row r="23854" s="3161" customFormat="1" ht="12.75"/>
    <row r="23855" s="3161" customFormat="1" ht="12.75"/>
    <row r="23856" s="3161" customFormat="1" ht="12.75"/>
    <row r="23857" s="3161" customFormat="1" ht="12.75"/>
    <row r="23858" s="3161" customFormat="1" ht="12.75"/>
    <row r="23859" s="3161" customFormat="1" ht="12.75"/>
    <row r="23860" s="3161" customFormat="1" ht="12.75"/>
    <row r="23861" s="3161" customFormat="1" ht="12.75"/>
    <row r="23862" s="3161" customFormat="1" ht="12.75"/>
    <row r="23863" s="3161" customFormat="1" ht="12.75"/>
    <row r="23864" s="3161" customFormat="1" ht="12.75"/>
    <row r="23865" s="3161" customFormat="1" ht="12.75"/>
    <row r="23866" s="3161" customFormat="1" ht="12.75"/>
    <row r="23867" s="3161" customFormat="1" ht="12.75"/>
    <row r="23868" s="3161" customFormat="1" ht="12.75"/>
    <row r="23869" s="3161" customFormat="1" ht="12.75"/>
    <row r="23870" s="3161" customFormat="1" ht="12.75"/>
    <row r="23871" s="3161" customFormat="1" ht="12.75"/>
    <row r="23872" s="3161" customFormat="1" ht="12.75"/>
    <row r="23873" s="3161" customFormat="1" ht="12.75"/>
    <row r="23874" s="3161" customFormat="1" ht="12.75"/>
    <row r="23875" s="3161" customFormat="1" ht="12.75"/>
    <row r="23876" s="3161" customFormat="1" ht="12.75"/>
    <row r="23877" s="3161" customFormat="1" ht="12.75"/>
    <row r="23878" s="3161" customFormat="1" ht="12.75"/>
    <row r="23879" s="3161" customFormat="1" ht="12.75"/>
    <row r="23880" s="3161" customFormat="1" ht="12.75"/>
    <row r="23881" s="3161" customFormat="1" ht="12.75"/>
    <row r="23882" s="3161" customFormat="1" ht="12.75"/>
    <row r="23883" s="3161" customFormat="1" ht="12.75"/>
    <row r="23884" s="3161" customFormat="1" ht="12.75"/>
    <row r="23885" s="3161" customFormat="1" ht="12.75"/>
    <row r="23886" s="3161" customFormat="1" ht="12.75"/>
    <row r="23887" s="3161" customFormat="1" ht="12.75"/>
    <row r="23888" s="3161" customFormat="1" ht="12.75"/>
    <row r="23889" s="3161" customFormat="1" ht="12.75"/>
    <row r="23890" s="3161" customFormat="1" ht="12.75"/>
    <row r="23891" s="3161" customFormat="1" ht="12.75"/>
    <row r="23892" s="3161" customFormat="1" ht="12.75"/>
    <row r="23893" s="3161" customFormat="1" ht="12.75"/>
    <row r="23894" s="3161" customFormat="1" ht="12.75"/>
    <row r="23895" s="3161" customFormat="1" ht="12.75"/>
    <row r="23896" s="3161" customFormat="1" ht="12.75"/>
    <row r="23897" s="3161" customFormat="1" ht="12.75"/>
    <row r="23898" s="3161" customFormat="1" ht="12.75"/>
    <row r="23899" s="3161" customFormat="1" ht="12.75"/>
    <row r="23900" s="3161" customFormat="1" ht="12.75"/>
    <row r="23901" s="3161" customFormat="1" ht="12.75"/>
    <row r="23902" s="3161" customFormat="1" ht="12.75"/>
    <row r="23903" s="3161" customFormat="1" ht="12.75"/>
    <row r="23904" s="3161" customFormat="1" ht="12.75"/>
    <row r="23905" s="3161" customFormat="1" ht="12.75"/>
    <row r="23906" s="3161" customFormat="1" ht="12.75"/>
    <row r="23907" s="3161" customFormat="1" ht="12.75"/>
    <row r="23908" s="3161" customFormat="1" ht="12.75"/>
    <row r="23909" s="3161" customFormat="1" ht="12.75"/>
    <row r="23910" s="3161" customFormat="1" ht="12.75"/>
    <row r="23911" s="3161" customFormat="1" ht="12.75"/>
    <row r="23912" s="3161" customFormat="1" ht="12.75"/>
    <row r="23913" s="3161" customFormat="1" ht="12.75"/>
    <row r="23914" s="3161" customFormat="1" ht="12.75"/>
    <row r="23915" s="3161" customFormat="1" ht="12.75"/>
    <row r="23916" s="3161" customFormat="1" ht="12.75"/>
    <row r="23917" s="3161" customFormat="1" ht="12.75"/>
    <row r="23918" s="3161" customFormat="1" ht="12.75"/>
    <row r="23919" s="3161" customFormat="1" ht="12.75"/>
    <row r="23920" s="3161" customFormat="1" ht="12.75"/>
    <row r="23921" s="3161" customFormat="1" ht="12.75"/>
    <row r="23922" s="3161" customFormat="1" ht="12.75"/>
    <row r="23923" s="3161" customFormat="1" ht="12.75"/>
    <row r="23924" s="3161" customFormat="1" ht="12.75"/>
    <row r="23925" s="3161" customFormat="1" ht="12.75"/>
    <row r="23926" s="3161" customFormat="1" ht="12.75"/>
    <row r="23927" s="3161" customFormat="1" ht="12.75"/>
    <row r="23928" s="3161" customFormat="1" ht="12.75"/>
    <row r="23929" s="3161" customFormat="1" ht="12.75"/>
    <row r="23930" s="3161" customFormat="1" ht="12.75"/>
    <row r="23931" s="3161" customFormat="1" ht="12.75"/>
    <row r="23932" s="3161" customFormat="1" ht="12.75"/>
    <row r="23933" s="3161" customFormat="1" ht="12.75"/>
    <row r="23934" s="3161" customFormat="1" ht="12.75"/>
    <row r="23935" s="3161" customFormat="1" ht="12.75"/>
    <row r="23936" s="3161" customFormat="1" ht="12.75"/>
    <row r="23937" s="3161" customFormat="1" ht="12.75"/>
    <row r="23938" s="3161" customFormat="1" ht="12.75"/>
    <row r="23939" s="3161" customFormat="1" ht="12.75"/>
    <row r="23940" s="3161" customFormat="1" ht="12.75"/>
    <row r="23941" s="3161" customFormat="1" ht="12.75"/>
    <row r="23942" s="3161" customFormat="1" ht="12.75"/>
    <row r="23943" s="3161" customFormat="1" ht="12.75"/>
    <row r="23944" s="3161" customFormat="1" ht="12.75"/>
    <row r="23945" s="3161" customFormat="1" ht="12.75"/>
    <row r="23946" s="3161" customFormat="1" ht="12.75"/>
    <row r="23947" s="3161" customFormat="1" ht="12.75"/>
    <row r="23948" s="3161" customFormat="1" ht="12.75"/>
    <row r="23949" s="3161" customFormat="1" ht="12.75"/>
    <row r="23950" s="3161" customFormat="1" ht="12.75"/>
    <row r="23951" s="3161" customFormat="1" ht="12.75"/>
    <row r="23952" s="3161" customFormat="1" ht="12.75"/>
    <row r="23953" s="3161" customFormat="1" ht="12.75"/>
    <row r="23954" s="3161" customFormat="1" ht="12.75"/>
    <row r="23955" s="3161" customFormat="1" ht="12.75"/>
    <row r="23956" s="3161" customFormat="1" ht="12.75"/>
    <row r="23957" s="3161" customFormat="1" ht="12.75"/>
    <row r="23958" s="3161" customFormat="1" ht="12.75"/>
    <row r="23959" s="3161" customFormat="1" ht="12.75"/>
    <row r="23960" s="3161" customFormat="1" ht="12.75"/>
    <row r="23961" s="3161" customFormat="1" ht="12.75"/>
    <row r="23962" s="3161" customFormat="1" ht="12.75"/>
    <row r="23963" s="3161" customFormat="1" ht="12.75"/>
    <row r="23964" s="3161" customFormat="1" ht="12.75"/>
    <row r="23965" s="3161" customFormat="1" ht="12.75"/>
    <row r="23966" s="3161" customFormat="1" ht="12.75"/>
    <row r="23967" s="3161" customFormat="1" ht="12.75"/>
    <row r="23968" s="3161" customFormat="1" ht="12.75"/>
    <row r="23969" s="3161" customFormat="1" ht="12.75"/>
    <row r="23970" s="3161" customFormat="1" ht="12.75"/>
    <row r="23971" s="3161" customFormat="1" ht="12.75"/>
    <row r="23972" s="3161" customFormat="1" ht="12.75"/>
    <row r="23973" s="3161" customFormat="1" ht="12.75"/>
    <row r="23974" s="3161" customFormat="1" ht="12.75"/>
    <row r="23975" s="3161" customFormat="1" ht="12.75"/>
    <row r="23976" s="3161" customFormat="1" ht="12.75"/>
    <row r="23977" s="3161" customFormat="1" ht="12.75"/>
    <row r="23978" s="3161" customFormat="1" ht="12.75"/>
    <row r="23979" s="3161" customFormat="1" ht="12.75"/>
    <row r="23980" s="3161" customFormat="1" ht="12.75"/>
    <row r="23981" s="3161" customFormat="1" ht="12.75"/>
    <row r="23982" s="3161" customFormat="1" ht="12.75"/>
    <row r="23983" s="3161" customFormat="1" ht="12.75"/>
    <row r="23984" s="3161" customFormat="1" ht="12.75"/>
    <row r="23985" s="3161" customFormat="1" ht="12.75"/>
    <row r="23986" s="3161" customFormat="1" ht="12.75"/>
    <row r="23987" s="3161" customFormat="1" ht="12.75"/>
    <row r="23988" s="3161" customFormat="1" ht="12.75"/>
    <row r="23989" s="3161" customFormat="1" ht="12.75"/>
    <row r="23990" s="3161" customFormat="1" ht="12.75"/>
    <row r="23991" s="3161" customFormat="1" ht="12.75"/>
    <row r="23992" s="3161" customFormat="1" ht="12.75"/>
    <row r="23993" s="3161" customFormat="1" ht="12.75"/>
    <row r="23994" s="3161" customFormat="1" ht="12.75"/>
    <row r="23995" s="3161" customFormat="1" ht="12.75"/>
    <row r="23996" s="3161" customFormat="1" ht="12.75"/>
    <row r="23997" s="3161" customFormat="1" ht="12.75"/>
    <row r="23998" s="3161" customFormat="1" ht="12.75"/>
    <row r="23999" s="3161" customFormat="1" ht="12.75"/>
    <row r="24000" s="3161" customFormat="1" ht="12.75"/>
    <row r="24001" s="3161" customFormat="1" ht="12.75"/>
    <row r="24002" s="3161" customFormat="1" ht="12.75"/>
    <row r="24003" s="3161" customFormat="1" ht="12.75"/>
    <row r="24004" s="3161" customFormat="1" ht="12.75"/>
    <row r="24005" s="3161" customFormat="1" ht="12.75"/>
    <row r="24006" s="3161" customFormat="1" ht="12.75"/>
    <row r="24007" s="3161" customFormat="1" ht="12.75"/>
    <row r="24008" s="3161" customFormat="1" ht="12.75"/>
    <row r="24009" s="3161" customFormat="1" ht="12.75"/>
    <row r="24010" s="3161" customFormat="1" ht="12.75"/>
    <row r="24011" s="3161" customFormat="1" ht="12.75"/>
    <row r="24012" s="3161" customFormat="1" ht="12.75"/>
    <row r="24013" s="3161" customFormat="1" ht="12.75"/>
    <row r="24014" s="3161" customFormat="1" ht="12.75"/>
    <row r="24015" s="3161" customFormat="1" ht="12.75"/>
    <row r="24016" s="3161" customFormat="1" ht="12.75"/>
    <row r="24017" s="3161" customFormat="1" ht="12.75"/>
    <row r="24018" s="3161" customFormat="1" ht="12.75"/>
    <row r="24019" s="3161" customFormat="1" ht="12.75"/>
    <row r="24020" s="3161" customFormat="1" ht="12.75"/>
    <row r="24021" s="3161" customFormat="1" ht="12.75"/>
    <row r="24022" s="3161" customFormat="1" ht="12.75"/>
    <row r="24023" s="3161" customFormat="1" ht="12.75"/>
    <row r="24024" s="3161" customFormat="1" ht="12.75"/>
    <row r="24025" s="3161" customFormat="1" ht="12.75"/>
    <row r="24026" s="3161" customFormat="1" ht="12.75"/>
    <row r="24027" s="3161" customFormat="1" ht="12.75"/>
    <row r="24028" s="3161" customFormat="1" ht="12.75"/>
    <row r="24029" s="3161" customFormat="1" ht="12.75"/>
    <row r="24030" s="3161" customFormat="1" ht="12.75"/>
    <row r="24031" s="3161" customFormat="1" ht="12.75"/>
    <row r="24032" s="3161" customFormat="1" ht="12.75"/>
    <row r="24033" s="3161" customFormat="1" ht="12.75"/>
    <row r="24034" s="3161" customFormat="1" ht="12.75"/>
    <row r="24035" s="3161" customFormat="1" ht="12.75"/>
    <row r="24036" s="3161" customFormat="1" ht="12.75"/>
    <row r="24037" s="3161" customFormat="1" ht="12.75"/>
    <row r="24038" s="3161" customFormat="1" ht="12.75"/>
    <row r="24039" s="3161" customFormat="1" ht="12.75"/>
    <row r="24040" s="3161" customFormat="1" ht="12.75"/>
    <row r="24041" s="3161" customFormat="1" ht="12.75"/>
    <row r="24042" s="3161" customFormat="1" ht="12.75"/>
    <row r="24043" s="3161" customFormat="1" ht="12.75"/>
    <row r="24044" s="3161" customFormat="1" ht="12.75"/>
    <row r="24045" s="3161" customFormat="1" ht="12.75"/>
    <row r="24046" s="3161" customFormat="1" ht="12.75"/>
    <row r="24047" s="3161" customFormat="1" ht="12.75"/>
    <row r="24048" s="3161" customFormat="1" ht="12.75"/>
    <row r="24049" s="3161" customFormat="1" ht="12.75"/>
    <row r="24050" s="3161" customFormat="1" ht="12.75"/>
    <row r="24051" s="3161" customFormat="1" ht="12.75"/>
    <row r="24052" s="3161" customFormat="1" ht="12.75"/>
    <row r="24053" s="3161" customFormat="1" ht="12.75"/>
    <row r="24054" s="3161" customFormat="1" ht="12.75"/>
    <row r="24055" s="3161" customFormat="1" ht="12.75"/>
    <row r="24056" s="3161" customFormat="1" ht="12.75"/>
    <row r="24057" s="3161" customFormat="1" ht="12.75"/>
    <row r="24058" s="3161" customFormat="1" ht="12.75"/>
    <row r="24059" s="3161" customFormat="1" ht="12.75"/>
    <row r="24060" s="3161" customFormat="1" ht="12.75"/>
    <row r="24061" s="3161" customFormat="1" ht="12.75"/>
    <row r="24062" s="3161" customFormat="1" ht="12.75"/>
    <row r="24063" s="3161" customFormat="1" ht="12.75"/>
    <row r="24064" s="3161" customFormat="1" ht="12.75"/>
    <row r="24065" s="3161" customFormat="1" ht="12.75"/>
    <row r="24066" s="3161" customFormat="1" ht="12.75"/>
    <row r="24067" s="3161" customFormat="1" ht="12.75"/>
    <row r="24068" s="3161" customFormat="1" ht="12.75"/>
    <row r="24069" s="3161" customFormat="1" ht="12.75"/>
    <row r="24070" s="3161" customFormat="1" ht="12.75"/>
    <row r="24071" s="3161" customFormat="1" ht="12.75"/>
    <row r="24072" s="3161" customFormat="1" ht="12.75"/>
    <row r="24073" s="3161" customFormat="1" ht="12.75"/>
    <row r="24074" s="3161" customFormat="1" ht="12.75"/>
    <row r="24075" s="3161" customFormat="1" ht="12.75"/>
    <row r="24076" s="3161" customFormat="1" ht="12.75"/>
    <row r="24077" s="3161" customFormat="1" ht="12.75"/>
    <row r="24078" s="3161" customFormat="1" ht="12.75"/>
    <row r="24079" s="3161" customFormat="1" ht="12.75"/>
    <row r="24080" s="3161" customFormat="1" ht="12.75"/>
    <row r="24081" s="3161" customFormat="1" ht="12.75"/>
    <row r="24082" s="3161" customFormat="1" ht="12.75"/>
    <row r="24083" s="3161" customFormat="1" ht="12.75"/>
    <row r="24084" s="3161" customFormat="1" ht="12.75"/>
    <row r="24085" s="3161" customFormat="1" ht="12.75"/>
    <row r="24086" s="3161" customFormat="1" ht="12.75"/>
    <row r="24087" s="3161" customFormat="1" ht="12.75"/>
    <row r="24088" s="3161" customFormat="1" ht="12.75"/>
    <row r="24089" s="3161" customFormat="1" ht="12.75"/>
    <row r="24090" s="3161" customFormat="1" ht="12.75"/>
    <row r="24091" s="3161" customFormat="1" ht="12.75"/>
    <row r="24092" s="3161" customFormat="1" ht="12.75"/>
    <row r="24093" s="3161" customFormat="1" ht="12.75"/>
    <row r="24094" s="3161" customFormat="1" ht="12.75"/>
    <row r="24095" s="3161" customFormat="1" ht="12.75"/>
    <row r="24096" s="3161" customFormat="1" ht="12.75"/>
    <row r="24097" s="3161" customFormat="1" ht="12.75"/>
    <row r="24098" s="3161" customFormat="1" ht="12.75"/>
    <row r="24099" s="3161" customFormat="1" ht="12.75"/>
    <row r="24100" s="3161" customFormat="1" ht="12.75"/>
    <row r="24101" s="3161" customFormat="1" ht="12.75"/>
    <row r="24102" s="3161" customFormat="1" ht="12.75"/>
    <row r="24103" s="3161" customFormat="1" ht="12.75"/>
    <row r="24104" s="3161" customFormat="1" ht="12.75"/>
    <row r="24105" s="3161" customFormat="1" ht="12.75"/>
    <row r="24106" s="3161" customFormat="1" ht="12.75"/>
    <row r="24107" s="3161" customFormat="1" ht="12.75"/>
    <row r="24108" s="3161" customFormat="1" ht="12.75"/>
    <row r="24109" s="3161" customFormat="1" ht="12.75"/>
    <row r="24110" s="3161" customFormat="1" ht="12.75"/>
    <row r="24111" s="3161" customFormat="1" ht="12.75"/>
    <row r="24112" s="3161" customFormat="1" ht="12.75"/>
    <row r="24113" s="3161" customFormat="1" ht="12.75"/>
    <row r="24114" s="3161" customFormat="1" ht="12.75"/>
    <row r="24115" s="3161" customFormat="1" ht="12.75"/>
    <row r="24116" s="3161" customFormat="1" ht="12.75"/>
    <row r="24117" s="3161" customFormat="1" ht="12.75"/>
    <row r="24118" s="3161" customFormat="1" ht="12.75"/>
    <row r="24119" s="3161" customFormat="1" ht="12.75"/>
    <row r="24120" s="3161" customFormat="1" ht="12.75"/>
    <row r="24121" s="3161" customFormat="1" ht="12.75"/>
    <row r="24122" s="3161" customFormat="1" ht="12.75"/>
    <row r="24123" s="3161" customFormat="1" ht="12.75"/>
    <row r="24124" s="3161" customFormat="1" ht="12.75"/>
    <row r="24125" s="3161" customFormat="1" ht="12.75"/>
    <row r="24126" s="3161" customFormat="1" ht="12.75"/>
    <row r="24127" s="3161" customFormat="1" ht="12.75"/>
    <row r="24128" s="3161" customFormat="1" ht="12.75"/>
    <row r="24129" s="3161" customFormat="1" ht="12.75"/>
    <row r="24130" s="3161" customFormat="1" ht="12.75"/>
    <row r="24131" s="3161" customFormat="1" ht="12.75"/>
    <row r="24132" s="3161" customFormat="1" ht="12.75"/>
    <row r="24133" s="3161" customFormat="1" ht="12.75"/>
    <row r="24134" s="3161" customFormat="1" ht="12.75"/>
    <row r="24135" s="3161" customFormat="1" ht="12.75"/>
    <row r="24136" s="3161" customFormat="1" ht="12.75"/>
    <row r="24137" s="3161" customFormat="1" ht="12.75"/>
    <row r="24138" s="3161" customFormat="1" ht="12.75"/>
    <row r="24139" s="3161" customFormat="1" ht="12.75"/>
    <row r="24140" s="3161" customFormat="1" ht="12.75"/>
    <row r="24141" s="3161" customFormat="1" ht="12.75"/>
    <row r="24142" s="3161" customFormat="1" ht="12.75"/>
    <row r="24143" s="3161" customFormat="1" ht="12.75"/>
    <row r="24144" s="3161" customFormat="1" ht="12.75"/>
    <row r="24145" s="3161" customFormat="1" ht="12.75"/>
    <row r="24146" s="3161" customFormat="1" ht="12.75"/>
    <row r="24147" s="3161" customFormat="1" ht="12.75"/>
    <row r="24148" s="3161" customFormat="1" ht="12.75"/>
    <row r="24149" s="3161" customFormat="1" ht="12.75"/>
    <row r="24150" s="3161" customFormat="1" ht="12.75"/>
    <row r="24151" s="3161" customFormat="1" ht="12.75"/>
    <row r="24152" s="3161" customFormat="1" ht="12.75"/>
    <row r="24153" s="3161" customFormat="1" ht="12.75"/>
    <row r="24154" s="3161" customFormat="1" ht="12.75"/>
    <row r="24155" s="3161" customFormat="1" ht="12.75"/>
    <row r="24156" s="3161" customFormat="1" ht="12.75"/>
    <row r="24157" s="3161" customFormat="1" ht="12.75"/>
    <row r="24158" s="3161" customFormat="1" ht="12.75"/>
    <row r="24159" s="3161" customFormat="1" ht="12.75"/>
    <row r="24160" s="3161" customFormat="1" ht="12.75"/>
    <row r="24161" s="3161" customFormat="1" ht="12.75"/>
    <row r="24162" s="3161" customFormat="1" ht="12.75"/>
    <row r="24163" s="3161" customFormat="1" ht="12.75"/>
    <row r="24164" s="3161" customFormat="1" ht="12.75"/>
    <row r="24165" s="3161" customFormat="1" ht="12.75"/>
    <row r="24166" s="3161" customFormat="1" ht="12.75"/>
    <row r="24167" s="3161" customFormat="1" ht="12.75"/>
    <row r="24168" s="3161" customFormat="1" ht="12.75"/>
    <row r="24169" s="3161" customFormat="1" ht="12.75"/>
    <row r="24170" s="3161" customFormat="1" ht="12.75"/>
    <row r="24171" s="3161" customFormat="1" ht="12.75"/>
    <row r="24172" s="3161" customFormat="1" ht="12.75"/>
    <row r="24173" s="3161" customFormat="1" ht="12.75"/>
    <row r="24174" s="3161" customFormat="1" ht="12.75"/>
    <row r="24175" s="3161" customFormat="1" ht="12.75"/>
    <row r="24176" s="3161" customFormat="1" ht="12.75"/>
    <row r="24177" s="3161" customFormat="1" ht="12.75"/>
    <row r="24178" s="3161" customFormat="1" ht="12.75"/>
    <row r="24179" s="3161" customFormat="1" ht="12.75"/>
    <row r="24180" s="3161" customFormat="1" ht="12.75"/>
    <row r="24181" s="3161" customFormat="1" ht="12.75"/>
    <row r="24182" s="3161" customFormat="1" ht="12.75"/>
    <row r="24183" s="3161" customFormat="1" ht="12.75"/>
    <row r="24184" s="3161" customFormat="1" ht="12.75"/>
    <row r="24185" s="3161" customFormat="1" ht="12.75"/>
    <row r="24186" s="3161" customFormat="1" ht="12.75"/>
    <row r="24187" s="3161" customFormat="1" ht="12.75"/>
    <row r="24188" s="3161" customFormat="1" ht="12.75"/>
    <row r="24189" s="3161" customFormat="1" ht="12.75"/>
    <row r="24190" s="3161" customFormat="1" ht="12.75"/>
    <row r="24191" s="3161" customFormat="1" ht="12.75"/>
    <row r="24192" s="3161" customFormat="1" ht="12.75"/>
    <row r="24193" s="3161" customFormat="1" ht="12.75"/>
    <row r="24194" s="3161" customFormat="1" ht="12.75"/>
    <row r="24195" s="3161" customFormat="1" ht="12.75"/>
    <row r="24196" s="3161" customFormat="1" ht="12.75"/>
    <row r="24197" s="3161" customFormat="1" ht="12.75"/>
    <row r="24198" s="3161" customFormat="1" ht="12.75"/>
    <row r="24199" s="3161" customFormat="1" ht="12.75"/>
    <row r="24200" s="3161" customFormat="1" ht="12.75"/>
    <row r="24201" s="3161" customFormat="1" ht="12.75"/>
    <row r="24202" s="3161" customFormat="1" ht="12.75"/>
    <row r="24203" s="3161" customFormat="1" ht="12.75"/>
    <row r="24204" s="3161" customFormat="1" ht="12.75"/>
    <row r="24205" s="3161" customFormat="1" ht="12.75"/>
    <row r="24206" s="3161" customFormat="1" ht="12.75"/>
    <row r="24207" s="3161" customFormat="1" ht="12.75"/>
    <row r="24208" s="3161" customFormat="1" ht="12.75"/>
    <row r="24209" s="3161" customFormat="1" ht="12.75"/>
    <row r="24210" s="3161" customFormat="1" ht="12.75"/>
    <row r="24211" s="3161" customFormat="1" ht="12.75"/>
    <row r="24212" s="3161" customFormat="1" ht="12.75"/>
    <row r="24213" s="3161" customFormat="1" ht="12.75"/>
    <row r="24214" s="3161" customFormat="1" ht="12.75"/>
    <row r="24215" s="3161" customFormat="1" ht="12.75"/>
    <row r="24216" s="3161" customFormat="1" ht="12.75"/>
    <row r="24217" s="3161" customFormat="1" ht="12.75"/>
    <row r="24218" s="3161" customFormat="1" ht="12.75"/>
    <row r="24219" s="3161" customFormat="1" ht="12.75"/>
    <row r="24220" s="3161" customFormat="1" ht="12.75"/>
    <row r="24221" s="3161" customFormat="1" ht="12.75"/>
    <row r="24222" s="3161" customFormat="1" ht="12.75"/>
    <row r="24223" s="3161" customFormat="1" ht="12.75"/>
    <row r="24224" s="3161" customFormat="1" ht="12.75"/>
    <row r="24225" s="3161" customFormat="1" ht="12.75"/>
    <row r="24226" s="3161" customFormat="1" ht="12.75"/>
    <row r="24227" s="3161" customFormat="1" ht="12.75"/>
    <row r="24228" s="3161" customFormat="1" ht="12.75"/>
    <row r="24229" s="3161" customFormat="1" ht="12.75"/>
    <row r="24230" s="3161" customFormat="1" ht="12.75"/>
    <row r="24231" s="3161" customFormat="1" ht="12.75"/>
    <row r="24232" s="3161" customFormat="1" ht="12.75"/>
    <row r="24233" s="3161" customFormat="1" ht="12.75"/>
    <row r="24234" s="3161" customFormat="1" ht="12.75"/>
    <row r="24235" s="3161" customFormat="1" ht="12.75"/>
    <row r="24236" s="3161" customFormat="1" ht="12.75"/>
    <row r="24237" s="3161" customFormat="1" ht="12.75"/>
    <row r="24238" s="3161" customFormat="1" ht="12.75"/>
    <row r="24239" s="3161" customFormat="1" ht="12.75"/>
    <row r="24240" s="3161" customFormat="1" ht="12.75"/>
    <row r="24241" s="3161" customFormat="1" ht="12.75"/>
    <row r="24242" s="3161" customFormat="1" ht="12.75"/>
    <row r="24243" s="3161" customFormat="1" ht="12.75"/>
    <row r="24244" s="3161" customFormat="1" ht="12.75"/>
    <row r="24245" s="3161" customFormat="1" ht="12.75"/>
    <row r="24246" s="3161" customFormat="1" ht="12.75"/>
    <row r="24247" s="3161" customFormat="1" ht="12.75"/>
    <row r="24248" s="3161" customFormat="1" ht="12.75"/>
    <row r="24249" s="3161" customFormat="1" ht="12.75"/>
    <row r="24250" s="3161" customFormat="1" ht="12.75"/>
    <row r="24251" s="3161" customFormat="1" ht="12.75"/>
    <row r="24252" s="3161" customFormat="1" ht="12.75"/>
    <row r="24253" s="3161" customFormat="1" ht="12.75"/>
    <row r="24254" s="3161" customFormat="1" ht="12.75"/>
    <row r="24255" s="3161" customFormat="1" ht="12.75"/>
    <row r="24256" s="3161" customFormat="1" ht="12.75"/>
    <row r="24257" s="3161" customFormat="1" ht="12.75"/>
    <row r="24258" s="3161" customFormat="1" ht="12.75"/>
    <row r="24259" s="3161" customFormat="1" ht="12.75"/>
    <row r="24260" s="3161" customFormat="1" ht="12.75"/>
    <row r="24261" s="3161" customFormat="1" ht="12.75"/>
    <row r="24262" s="3161" customFormat="1" ht="12.75"/>
    <row r="24263" s="3161" customFormat="1" ht="12.75"/>
    <row r="24264" s="3161" customFormat="1" ht="12.75"/>
    <row r="24265" s="3161" customFormat="1" ht="12.75"/>
    <row r="24266" s="3161" customFormat="1" ht="12.75"/>
    <row r="24267" s="3161" customFormat="1" ht="12.75"/>
    <row r="24268" s="3161" customFormat="1" ht="12.75"/>
    <row r="24269" s="3161" customFormat="1" ht="12.75"/>
    <row r="24270" s="3161" customFormat="1" ht="12.75"/>
    <row r="24271" s="3161" customFormat="1" ht="12.75"/>
    <row r="24272" s="3161" customFormat="1" ht="12.75"/>
    <row r="24273" s="3161" customFormat="1" ht="12.75"/>
    <row r="24274" s="3161" customFormat="1" ht="12.75"/>
    <row r="24275" s="3161" customFormat="1" ht="12.75"/>
    <row r="24276" s="3161" customFormat="1" ht="12.75"/>
    <row r="24277" s="3161" customFormat="1" ht="12.75"/>
    <row r="24278" s="3161" customFormat="1" ht="12.75"/>
    <row r="24279" s="3161" customFormat="1" ht="12.75"/>
    <row r="24280" s="3161" customFormat="1" ht="12.75"/>
    <row r="24281" s="3161" customFormat="1" ht="12.75"/>
    <row r="24282" s="3161" customFormat="1" ht="12.75"/>
    <row r="24283" s="3161" customFormat="1" ht="12.75"/>
    <row r="24284" s="3161" customFormat="1" ht="12.75"/>
    <row r="24285" s="3161" customFormat="1" ht="12.75"/>
    <row r="24286" s="3161" customFormat="1" ht="12.75"/>
    <row r="24287" s="3161" customFormat="1" ht="12.75"/>
    <row r="24288" s="3161" customFormat="1" ht="12.75"/>
    <row r="24289" s="3161" customFormat="1" ht="12.75"/>
    <row r="24290" s="3161" customFormat="1" ht="12.75"/>
    <row r="24291" s="3161" customFormat="1" ht="12.75"/>
    <row r="24292" s="3161" customFormat="1" ht="12.75"/>
    <row r="24293" s="3161" customFormat="1" ht="12.75"/>
    <row r="24294" s="3161" customFormat="1" ht="12.75"/>
    <row r="24295" s="3161" customFormat="1" ht="12.75"/>
    <row r="24296" s="3161" customFormat="1" ht="12.75"/>
    <row r="24297" s="3161" customFormat="1" ht="12.75"/>
    <row r="24298" s="3161" customFormat="1" ht="12.75"/>
    <row r="24299" s="3161" customFormat="1" ht="12.75"/>
    <row r="24300" s="3161" customFormat="1" ht="12.75"/>
    <row r="24301" s="3161" customFormat="1" ht="12.75"/>
    <row r="24302" s="3161" customFormat="1" ht="12.75"/>
    <row r="24303" s="3161" customFormat="1" ht="12.75"/>
    <row r="24304" s="3161" customFormat="1" ht="12.75"/>
    <row r="24305" s="3161" customFormat="1" ht="12.75"/>
    <row r="24306" s="3161" customFormat="1" ht="12.75"/>
    <row r="24307" s="3161" customFormat="1" ht="12.75"/>
    <row r="24308" s="3161" customFormat="1" ht="12.75"/>
    <row r="24309" s="3161" customFormat="1" ht="12.75"/>
    <row r="24310" s="3161" customFormat="1" ht="12.75"/>
    <row r="24311" s="3161" customFormat="1" ht="12.75"/>
    <row r="24312" s="3161" customFormat="1" ht="12.75"/>
    <row r="24313" s="3161" customFormat="1" ht="12.75"/>
    <row r="24314" s="3161" customFormat="1" ht="12.75"/>
    <row r="24315" s="3161" customFormat="1" ht="12.75"/>
    <row r="24316" s="3161" customFormat="1" ht="12.75"/>
    <row r="24317" s="3161" customFormat="1" ht="12.75"/>
    <row r="24318" s="3161" customFormat="1" ht="12.75"/>
    <row r="24319" s="3161" customFormat="1" ht="12.75"/>
    <row r="24320" s="3161" customFormat="1" ht="12.75"/>
    <row r="24321" s="3161" customFormat="1" ht="12.75"/>
    <row r="24322" s="3161" customFormat="1" ht="12.75"/>
    <row r="24323" s="3161" customFormat="1" ht="12.75"/>
    <row r="24324" s="3161" customFormat="1" ht="12.75"/>
    <row r="24325" s="3161" customFormat="1" ht="12.75"/>
    <row r="24326" s="3161" customFormat="1" ht="12.75"/>
    <row r="24327" s="3161" customFormat="1" ht="12.75"/>
    <row r="24328" s="3161" customFormat="1" ht="12.75"/>
    <row r="24329" s="3161" customFormat="1" ht="12.75"/>
    <row r="24330" s="3161" customFormat="1" ht="12.75"/>
    <row r="24331" s="3161" customFormat="1" ht="12.75"/>
    <row r="24332" s="3161" customFormat="1" ht="12.75"/>
    <row r="24333" s="3161" customFormat="1" ht="12.75"/>
    <row r="24334" s="3161" customFormat="1" ht="12.75"/>
    <row r="24335" s="3161" customFormat="1" ht="12.75"/>
    <row r="24336" s="3161" customFormat="1" ht="12.75"/>
    <row r="24337" s="3161" customFormat="1" ht="12.75"/>
    <row r="24338" s="3161" customFormat="1" ht="12.75"/>
    <row r="24339" s="3161" customFormat="1" ht="12.75"/>
    <row r="24340" s="3161" customFormat="1" ht="12.75"/>
    <row r="24341" s="3161" customFormat="1" ht="12.75"/>
    <row r="24342" s="3161" customFormat="1" ht="12.75"/>
    <row r="24343" s="3161" customFormat="1" ht="12.75"/>
    <row r="24344" s="3161" customFormat="1" ht="12.75"/>
    <row r="24345" s="3161" customFormat="1" ht="12.75"/>
    <row r="24346" s="3161" customFormat="1" ht="12.75"/>
    <row r="24347" s="3161" customFormat="1" ht="12.75"/>
    <row r="24348" s="3161" customFormat="1" ht="12.75"/>
    <row r="24349" s="3161" customFormat="1" ht="12.75"/>
    <row r="24350" s="3161" customFormat="1" ht="12.75"/>
    <row r="24351" s="3161" customFormat="1" ht="12.75"/>
    <row r="24352" s="3161" customFormat="1" ht="12.75"/>
    <row r="24353" s="3161" customFormat="1" ht="12.75"/>
    <row r="24354" s="3161" customFormat="1" ht="12.75"/>
    <row r="24355" s="3161" customFormat="1" ht="12.75"/>
    <row r="24356" s="3161" customFormat="1" ht="12.75"/>
    <row r="24357" s="3161" customFormat="1" ht="12.75"/>
    <row r="24358" s="3161" customFormat="1" ht="12.75"/>
    <row r="24359" s="3161" customFormat="1" ht="12.75"/>
    <row r="24360" s="3161" customFormat="1" ht="12.75"/>
    <row r="24361" s="3161" customFormat="1" ht="12.75"/>
    <row r="24362" s="3161" customFormat="1" ht="12.75"/>
    <row r="24363" s="3161" customFormat="1" ht="12.75"/>
    <row r="24364" s="3161" customFormat="1" ht="12.75"/>
    <row r="24365" s="3161" customFormat="1" ht="12.75"/>
    <row r="24366" s="3161" customFormat="1" ht="12.75"/>
    <row r="24367" s="3161" customFormat="1" ht="12.75"/>
    <row r="24368" s="3161" customFormat="1" ht="12.75"/>
    <row r="24369" s="3161" customFormat="1" ht="12.75"/>
    <row r="24370" s="3161" customFormat="1" ht="12.75"/>
    <row r="24371" s="3161" customFormat="1" ht="12.75"/>
    <row r="24372" s="3161" customFormat="1" ht="12.75"/>
    <row r="24373" s="3161" customFormat="1" ht="12.75"/>
    <row r="24374" s="3161" customFormat="1" ht="12.75"/>
    <row r="24375" s="3161" customFormat="1" ht="12.75"/>
    <row r="24376" s="3161" customFormat="1" ht="12.75"/>
    <row r="24377" s="3161" customFormat="1" ht="12.75"/>
    <row r="24378" s="3161" customFormat="1" ht="12.75"/>
    <row r="24379" s="3161" customFormat="1" ht="12.75"/>
    <row r="24380" s="3161" customFormat="1" ht="12.75"/>
    <row r="24381" s="3161" customFormat="1" ht="12.75"/>
    <row r="24382" s="3161" customFormat="1" ht="12.75"/>
    <row r="24383" s="3161" customFormat="1" ht="12.75"/>
    <row r="24384" s="3161" customFormat="1" ht="12.75"/>
    <row r="24385" s="3161" customFormat="1" ht="12.75"/>
    <row r="24386" s="3161" customFormat="1" ht="12.75"/>
    <row r="24387" s="3161" customFormat="1" ht="12.75"/>
    <row r="24388" s="3161" customFormat="1" ht="12.75"/>
    <row r="24389" s="3161" customFormat="1" ht="12.75"/>
    <row r="24390" s="3161" customFormat="1" ht="12.75"/>
    <row r="24391" s="3161" customFormat="1" ht="12.75"/>
    <row r="24392" s="3161" customFormat="1" ht="12.75"/>
    <row r="24393" s="3161" customFormat="1" ht="12.75"/>
    <row r="24394" s="3161" customFormat="1" ht="12.75"/>
    <row r="24395" s="3161" customFormat="1" ht="12.75"/>
    <row r="24396" s="3161" customFormat="1" ht="12.75"/>
    <row r="24397" s="3161" customFormat="1" ht="12.75"/>
    <row r="24398" s="3161" customFormat="1" ht="12.75"/>
    <row r="24399" s="3161" customFormat="1" ht="12.75"/>
    <row r="24400" s="3161" customFormat="1" ht="12.75"/>
    <row r="24401" s="3161" customFormat="1" ht="12.75"/>
    <row r="24402" s="3161" customFormat="1" ht="12.75"/>
    <row r="24403" s="3161" customFormat="1" ht="12.75"/>
    <row r="24404" s="3161" customFormat="1" ht="12.75"/>
    <row r="24405" s="3161" customFormat="1" ht="12.75"/>
    <row r="24406" s="3161" customFormat="1" ht="12.75"/>
    <row r="24407" s="3161" customFormat="1" ht="12.75"/>
    <row r="24408" s="3161" customFormat="1" ht="12.75"/>
    <row r="24409" s="3161" customFormat="1" ht="12.75"/>
    <row r="24410" s="3161" customFormat="1" ht="12.75"/>
    <row r="24411" s="3161" customFormat="1" ht="12.75"/>
    <row r="24412" s="3161" customFormat="1" ht="12.75"/>
    <row r="24413" s="3161" customFormat="1" ht="12.75"/>
    <row r="24414" s="3161" customFormat="1" ht="12.75"/>
    <row r="24415" s="3161" customFormat="1" ht="12.75"/>
    <row r="24416" s="3161" customFormat="1" ht="12.75"/>
    <row r="24417" s="3161" customFormat="1" ht="12.75"/>
    <row r="24418" s="3161" customFormat="1" ht="12.75"/>
    <row r="24419" s="3161" customFormat="1" ht="12.75"/>
    <row r="24420" s="3161" customFormat="1" ht="12.75"/>
    <row r="24421" s="3161" customFormat="1" ht="12.75"/>
    <row r="24422" s="3161" customFormat="1" ht="12.75"/>
    <row r="24423" s="3161" customFormat="1" ht="12.75"/>
    <row r="24424" s="3161" customFormat="1" ht="12.75"/>
    <row r="24425" s="3161" customFormat="1" ht="12.75"/>
    <row r="24426" s="3161" customFormat="1" ht="12.75"/>
    <row r="24427" s="3161" customFormat="1" ht="12.75"/>
    <row r="24428" s="3161" customFormat="1" ht="12.75"/>
    <row r="24429" s="3161" customFormat="1" ht="12.75"/>
    <row r="24430" s="3161" customFormat="1" ht="12.75"/>
    <row r="24431" s="3161" customFormat="1" ht="12.75"/>
    <row r="24432" s="3161" customFormat="1" ht="12.75"/>
    <row r="24433" s="3161" customFormat="1" ht="12.75"/>
    <row r="24434" s="3161" customFormat="1" ht="12.75"/>
    <row r="24435" s="3161" customFormat="1" ht="12.75"/>
    <row r="24436" s="3161" customFormat="1" ht="12.75"/>
    <row r="24437" s="3161" customFormat="1" ht="12.75"/>
    <row r="24438" s="3161" customFormat="1" ht="12.75"/>
    <row r="24439" s="3161" customFormat="1" ht="12.75"/>
    <row r="24440" s="3161" customFormat="1" ht="12.75"/>
    <row r="24441" s="3161" customFormat="1" ht="12.75"/>
    <row r="24442" s="3161" customFormat="1" ht="12.75"/>
    <row r="24443" s="3161" customFormat="1" ht="12.75"/>
    <row r="24444" s="3161" customFormat="1" ht="12.75"/>
    <row r="24445" s="3161" customFormat="1" ht="12.75"/>
    <row r="24446" s="3161" customFormat="1" ht="12.75"/>
    <row r="24447" s="3161" customFormat="1" ht="12.75"/>
    <row r="24448" s="3161" customFormat="1" ht="12.75"/>
    <row r="24449" s="3161" customFormat="1" ht="12.75"/>
    <row r="24450" s="3161" customFormat="1" ht="12.75"/>
    <row r="24451" s="3161" customFormat="1" ht="12.75"/>
    <row r="24452" s="3161" customFormat="1" ht="12.75"/>
    <row r="24453" s="3161" customFormat="1" ht="12.75"/>
    <row r="24454" s="3161" customFormat="1" ht="12.75"/>
    <row r="24455" s="3161" customFormat="1" ht="12.75"/>
    <row r="24456" s="3161" customFormat="1" ht="12.75"/>
    <row r="24457" s="3161" customFormat="1" ht="12.75"/>
    <row r="24458" s="3161" customFormat="1" ht="12.75"/>
    <row r="24459" s="3161" customFormat="1" ht="12.75"/>
    <row r="24460" s="3161" customFormat="1" ht="12.75"/>
    <row r="24461" s="3161" customFormat="1" ht="12.75"/>
    <row r="24462" s="3161" customFormat="1" ht="12.75"/>
    <row r="24463" s="3161" customFormat="1" ht="12.75"/>
    <row r="24464" s="3161" customFormat="1" ht="12.75"/>
    <row r="24465" s="3161" customFormat="1" ht="12.75"/>
    <row r="24466" s="3161" customFormat="1" ht="12.75"/>
    <row r="24467" s="3161" customFormat="1" ht="12.75"/>
    <row r="24468" s="3161" customFormat="1" ht="12.75"/>
    <row r="24469" s="3161" customFormat="1" ht="12.75"/>
    <row r="24470" s="3161" customFormat="1" ht="12.75"/>
    <row r="24471" s="3161" customFormat="1" ht="12.75"/>
    <row r="24472" s="3161" customFormat="1" ht="12.75"/>
    <row r="24473" s="3161" customFormat="1" ht="12.75"/>
    <row r="24474" s="3161" customFormat="1" ht="12.75"/>
    <row r="24475" s="3161" customFormat="1" ht="12.75"/>
    <row r="24476" s="3161" customFormat="1" ht="12.75"/>
    <row r="24477" s="3161" customFormat="1" ht="12.75"/>
    <row r="24478" s="3161" customFormat="1" ht="12.75"/>
    <row r="24479" s="3161" customFormat="1" ht="12.75"/>
    <row r="24480" s="3161" customFormat="1" ht="12.75"/>
    <row r="24481" s="3161" customFormat="1" ht="12.75"/>
    <row r="24482" s="3161" customFormat="1" ht="12.75"/>
    <row r="24483" s="3161" customFormat="1" ht="12.75"/>
    <row r="24484" s="3161" customFormat="1" ht="12.75"/>
    <row r="24485" s="3161" customFormat="1" ht="12.75"/>
    <row r="24486" s="3161" customFormat="1" ht="12.75"/>
    <row r="24487" s="3161" customFormat="1" ht="12.75"/>
    <row r="24488" s="3161" customFormat="1" ht="12.75"/>
    <row r="24489" s="3161" customFormat="1" ht="12.75"/>
    <row r="24490" s="3161" customFormat="1" ht="12.75"/>
    <row r="24491" s="3161" customFormat="1" ht="12.75"/>
    <row r="24492" s="3161" customFormat="1" ht="12.75"/>
    <row r="24493" s="3161" customFormat="1" ht="12.75"/>
    <row r="24494" s="3161" customFormat="1" ht="12.75"/>
    <row r="24495" s="3161" customFormat="1" ht="12.75"/>
    <row r="24496" s="3161" customFormat="1" ht="12.75"/>
    <row r="24497" s="3161" customFormat="1" ht="12.75"/>
    <row r="24498" s="3161" customFormat="1" ht="12.75"/>
    <row r="24499" s="3161" customFormat="1" ht="12.75"/>
    <row r="24500" s="3161" customFormat="1" ht="12.75"/>
    <row r="24501" s="3161" customFormat="1" ht="12.75"/>
    <row r="24502" s="3161" customFormat="1" ht="12.75"/>
    <row r="24503" s="3161" customFormat="1" ht="12.75"/>
    <row r="24504" s="3161" customFormat="1" ht="12.75"/>
    <row r="24505" s="3161" customFormat="1" ht="12.75"/>
    <row r="24506" s="3161" customFormat="1" ht="12.75"/>
    <row r="24507" s="3161" customFormat="1" ht="12.75"/>
    <row r="24508" s="3161" customFormat="1" ht="12.75"/>
    <row r="24509" s="3161" customFormat="1" ht="12.75"/>
    <row r="24510" s="3161" customFormat="1" ht="12.75"/>
    <row r="24511" s="3161" customFormat="1" ht="12.75"/>
    <row r="24512" s="3161" customFormat="1" ht="12.75"/>
    <row r="24513" s="3161" customFormat="1" ht="12.75"/>
    <row r="24514" s="3161" customFormat="1" ht="12.75"/>
    <row r="24515" s="3161" customFormat="1" ht="12.75"/>
    <row r="24516" s="3161" customFormat="1" ht="12.75"/>
    <row r="24517" s="3161" customFormat="1" ht="12.75"/>
    <row r="24518" s="3161" customFormat="1" ht="12.75"/>
    <row r="24519" s="3161" customFormat="1" ht="12.75"/>
    <row r="24520" s="3161" customFormat="1" ht="12.75"/>
    <row r="24521" s="3161" customFormat="1" ht="12.75"/>
    <row r="24522" s="3161" customFormat="1" ht="12.75"/>
    <row r="24523" s="3161" customFormat="1" ht="12.75"/>
    <row r="24524" s="3161" customFormat="1" ht="12.75"/>
    <row r="24525" s="3161" customFormat="1" ht="12.75"/>
    <row r="24526" s="3161" customFormat="1" ht="12.75"/>
    <row r="24527" s="3161" customFormat="1" ht="12.75"/>
    <row r="24528" s="3161" customFormat="1" ht="12.75"/>
    <row r="24529" s="3161" customFormat="1" ht="12.75"/>
    <row r="24530" s="3161" customFormat="1" ht="12.75"/>
    <row r="24531" s="3161" customFormat="1" ht="12.75"/>
    <row r="24532" s="3161" customFormat="1" ht="12.75"/>
    <row r="24533" s="3161" customFormat="1" ht="12.75"/>
    <row r="24534" s="3161" customFormat="1" ht="12.75"/>
    <row r="24535" s="3161" customFormat="1" ht="12.75"/>
    <row r="24536" s="3161" customFormat="1" ht="12.75"/>
    <row r="24537" s="3161" customFormat="1" ht="12.75"/>
    <row r="24538" s="3161" customFormat="1" ht="12.75"/>
    <row r="24539" s="3161" customFormat="1" ht="12.75"/>
    <row r="24540" s="3161" customFormat="1" ht="12.75"/>
    <row r="24541" s="3161" customFormat="1" ht="12.75"/>
    <row r="24542" s="3161" customFormat="1" ht="12.75"/>
    <row r="24543" s="3161" customFormat="1" ht="12.75"/>
    <row r="24544" s="3161" customFormat="1" ht="12.75"/>
    <row r="24545" s="3161" customFormat="1" ht="12.75"/>
    <row r="24546" s="3161" customFormat="1" ht="12.75"/>
    <row r="24547" s="3161" customFormat="1" ht="12.75"/>
    <row r="24548" s="3161" customFormat="1" ht="12.75"/>
    <row r="24549" s="3161" customFormat="1" ht="12.75"/>
    <row r="24550" s="3161" customFormat="1" ht="12.75"/>
    <row r="24551" s="3161" customFormat="1" ht="12.75"/>
    <row r="24552" s="3161" customFormat="1" ht="12.75"/>
    <row r="24553" s="3161" customFormat="1" ht="12.75"/>
    <row r="24554" s="3161" customFormat="1" ht="12.75"/>
    <row r="24555" s="3161" customFormat="1" ht="12.75"/>
    <row r="24556" s="3161" customFormat="1" ht="12.75"/>
    <row r="24557" s="3161" customFormat="1" ht="12.75"/>
    <row r="24558" s="3161" customFormat="1" ht="12.75"/>
    <row r="24559" s="3161" customFormat="1" ht="12.75"/>
    <row r="24560" s="3161" customFormat="1" ht="12.75"/>
    <row r="24561" s="3161" customFormat="1" ht="12.75"/>
    <row r="24562" s="3161" customFormat="1" ht="12.75"/>
    <row r="24563" s="3161" customFormat="1" ht="12.75"/>
    <row r="24564" s="3161" customFormat="1" ht="12.75"/>
    <row r="24565" s="3161" customFormat="1" ht="12.75"/>
    <row r="24566" s="3161" customFormat="1" ht="12.75"/>
    <row r="24567" s="3161" customFormat="1" ht="12.75"/>
    <row r="24568" s="3161" customFormat="1" ht="12.75"/>
    <row r="24569" s="3161" customFormat="1" ht="12.75"/>
    <row r="24570" s="3161" customFormat="1" ht="12.75"/>
    <row r="24571" s="3161" customFormat="1" ht="12.75"/>
    <row r="24572" s="3161" customFormat="1" ht="12.75"/>
    <row r="24573" s="3161" customFormat="1" ht="12.75"/>
    <row r="24574" s="3161" customFormat="1" ht="12.75"/>
    <row r="24575" s="3161" customFormat="1" ht="12.75"/>
    <row r="24576" s="3161" customFormat="1" ht="12.75"/>
    <row r="24577" s="3161" customFormat="1" ht="12.75"/>
    <row r="24578" s="3161" customFormat="1" ht="12.75"/>
    <row r="24579" s="3161" customFormat="1" ht="12.75"/>
    <row r="24580" s="3161" customFormat="1" ht="12.75"/>
    <row r="24581" s="3161" customFormat="1" ht="12.75"/>
    <row r="24582" s="3161" customFormat="1" ht="12.75"/>
    <row r="24583" s="3161" customFormat="1" ht="12.75"/>
    <row r="24584" s="3161" customFormat="1" ht="12.75"/>
    <row r="24585" s="3161" customFormat="1" ht="12.75"/>
    <row r="24586" s="3161" customFormat="1" ht="12.75"/>
    <row r="24587" s="3161" customFormat="1" ht="12.75"/>
    <row r="24588" s="3161" customFormat="1" ht="12.75"/>
    <row r="24589" s="3161" customFormat="1" ht="12.75"/>
    <row r="24590" s="3161" customFormat="1" ht="12.75"/>
    <row r="24591" s="3161" customFormat="1" ht="12.75"/>
    <row r="24592" s="3161" customFormat="1" ht="12.75"/>
    <row r="24593" s="3161" customFormat="1" ht="12.75"/>
    <row r="24594" s="3161" customFormat="1" ht="12.75"/>
    <row r="24595" s="3161" customFormat="1" ht="12.75"/>
    <row r="24596" s="3161" customFormat="1" ht="12.75"/>
    <row r="24597" s="3161" customFormat="1" ht="12.75"/>
    <row r="24598" s="3161" customFormat="1" ht="12.75"/>
    <row r="24599" s="3161" customFormat="1" ht="12.75"/>
    <row r="24600" s="3161" customFormat="1" ht="12.75"/>
    <row r="24601" s="3161" customFormat="1" ht="12.75"/>
    <row r="24602" s="3161" customFormat="1" ht="12.75"/>
    <row r="24603" s="3161" customFormat="1" ht="12.75"/>
    <row r="24604" s="3161" customFormat="1" ht="12.75"/>
    <row r="24605" s="3161" customFormat="1" ht="12.75"/>
    <row r="24606" s="3161" customFormat="1" ht="12.75"/>
    <row r="24607" s="3161" customFormat="1" ht="12.75"/>
    <row r="24608" s="3161" customFormat="1" ht="12.75"/>
    <row r="24609" s="3161" customFormat="1" ht="12.75"/>
    <row r="24610" s="3161" customFormat="1" ht="12.75"/>
    <row r="24611" s="3161" customFormat="1" ht="12.75"/>
    <row r="24612" s="3161" customFormat="1" ht="12.75"/>
    <row r="24613" s="3161" customFormat="1" ht="12.75"/>
    <row r="24614" s="3161" customFormat="1" ht="12.75"/>
    <row r="24615" s="3161" customFormat="1" ht="12.75"/>
    <row r="24616" s="3161" customFormat="1" ht="12.75"/>
    <row r="24617" s="3161" customFormat="1" ht="12.75"/>
    <row r="24618" s="3161" customFormat="1" ht="12.75"/>
    <row r="24619" s="3161" customFormat="1" ht="12.75"/>
    <row r="24620" s="3161" customFormat="1" ht="12.75"/>
    <row r="24621" s="3161" customFormat="1" ht="12.75"/>
    <row r="24622" s="3161" customFormat="1" ht="12.75"/>
    <row r="24623" s="3161" customFormat="1" ht="12.75"/>
    <row r="24624" s="3161" customFormat="1" ht="12.75"/>
    <row r="24625" s="3161" customFormat="1" ht="12.75"/>
    <row r="24626" s="3161" customFormat="1" ht="12.75"/>
    <row r="24627" s="3161" customFormat="1" ht="12.75"/>
    <row r="24628" s="3161" customFormat="1" ht="12.75"/>
    <row r="24629" s="3161" customFormat="1" ht="12.75"/>
    <row r="24630" s="3161" customFormat="1" ht="12.75"/>
    <row r="24631" s="3161" customFormat="1" ht="12.75"/>
    <row r="24632" s="3161" customFormat="1" ht="12.75"/>
    <row r="24633" s="3161" customFormat="1" ht="12.75"/>
    <row r="24634" s="3161" customFormat="1" ht="12.75"/>
    <row r="24635" s="3161" customFormat="1" ht="12.75"/>
    <row r="24636" s="3161" customFormat="1" ht="12.75"/>
    <row r="24637" s="3161" customFormat="1" ht="12.75"/>
    <row r="24638" s="3161" customFormat="1" ht="12.75"/>
    <row r="24639" s="3161" customFormat="1" ht="12.75"/>
    <row r="24640" s="3161" customFormat="1" ht="12.75"/>
    <row r="24641" s="3161" customFormat="1" ht="12.75"/>
    <row r="24642" s="3161" customFormat="1" ht="12.75"/>
    <row r="24643" s="3161" customFormat="1" ht="12.75"/>
    <row r="24644" s="3161" customFormat="1" ht="12.75"/>
    <row r="24645" s="3161" customFormat="1" ht="12.75"/>
    <row r="24646" s="3161" customFormat="1" ht="12.75"/>
    <row r="24647" s="3161" customFormat="1" ht="12.75"/>
    <row r="24648" s="3161" customFormat="1" ht="12.75"/>
    <row r="24649" s="3161" customFormat="1" ht="12.75"/>
    <row r="24650" s="3161" customFormat="1" ht="12.75"/>
    <row r="24651" s="3161" customFormat="1" ht="12.75"/>
    <row r="24652" s="3161" customFormat="1" ht="12.75"/>
    <row r="24653" s="3161" customFormat="1" ht="12.75"/>
    <row r="24654" s="3161" customFormat="1" ht="12.75"/>
    <row r="24655" s="3161" customFormat="1" ht="12.75"/>
    <row r="24656" s="3161" customFormat="1" ht="12.75"/>
    <row r="24657" s="3161" customFormat="1" ht="12.75"/>
    <row r="24658" s="3161" customFormat="1" ht="12.75"/>
    <row r="24659" s="3161" customFormat="1" ht="12.75"/>
    <row r="24660" s="3161" customFormat="1" ht="12.75"/>
    <row r="24661" s="3161" customFormat="1" ht="12.75"/>
    <row r="24662" s="3161" customFormat="1" ht="12.75"/>
    <row r="24663" s="3161" customFormat="1" ht="12.75"/>
    <row r="24664" s="3161" customFormat="1" ht="12.75"/>
    <row r="24665" s="3161" customFormat="1" ht="12.75"/>
    <row r="24666" s="3161" customFormat="1" ht="12.75"/>
    <row r="24667" s="3161" customFormat="1" ht="12.75"/>
    <row r="24668" s="3161" customFormat="1" ht="12.75"/>
    <row r="24669" s="3161" customFormat="1" ht="12.75"/>
    <row r="24670" s="3161" customFormat="1" ht="12.75"/>
    <row r="24671" s="3161" customFormat="1" ht="12.75"/>
    <row r="24672" s="3161" customFormat="1" ht="12.75"/>
    <row r="24673" s="3161" customFormat="1" ht="12.75"/>
    <row r="24674" s="3161" customFormat="1" ht="12.75"/>
    <row r="24675" s="3161" customFormat="1" ht="12.75"/>
    <row r="24676" s="3161" customFormat="1" ht="12.75"/>
    <row r="24677" s="3161" customFormat="1" ht="12.75"/>
    <row r="24678" s="3161" customFormat="1" ht="12.75"/>
    <row r="24679" s="3161" customFormat="1" ht="12.75"/>
    <row r="24680" s="3161" customFormat="1" ht="12.75"/>
    <row r="24681" s="3161" customFormat="1" ht="12.75"/>
    <row r="24682" s="3161" customFormat="1" ht="12.75"/>
    <row r="24683" s="3161" customFormat="1" ht="12.75"/>
    <row r="24684" s="3161" customFormat="1" ht="12.75"/>
    <row r="24685" s="3161" customFormat="1" ht="12.75"/>
    <row r="24686" s="3161" customFormat="1" ht="12.75"/>
    <row r="24687" s="3161" customFormat="1" ht="12.75"/>
    <row r="24688" s="3161" customFormat="1" ht="12.75"/>
    <row r="24689" s="3161" customFormat="1" ht="12.75"/>
    <row r="24690" s="3161" customFormat="1" ht="12.75"/>
    <row r="24691" s="3161" customFormat="1" ht="12.75"/>
    <row r="24692" s="3161" customFormat="1" ht="12.75"/>
    <row r="24693" s="3161" customFormat="1" ht="12.75"/>
    <row r="24694" s="3161" customFormat="1" ht="12.75"/>
    <row r="24695" s="3161" customFormat="1" ht="12.75"/>
    <row r="24696" s="3161" customFormat="1" ht="12.75"/>
    <row r="24697" s="3161" customFormat="1" ht="12.75"/>
    <row r="24698" s="3161" customFormat="1" ht="12.75"/>
    <row r="24699" s="3161" customFormat="1" ht="12.75"/>
    <row r="24700" s="3161" customFormat="1" ht="12.75"/>
    <row r="24701" s="3161" customFormat="1" ht="12.75"/>
    <row r="24702" s="3161" customFormat="1" ht="12.75"/>
    <row r="24703" s="3161" customFormat="1" ht="12.75"/>
    <row r="24704" s="3161" customFormat="1" ht="12.75"/>
    <row r="24705" s="3161" customFormat="1" ht="12.75"/>
    <row r="24706" s="3161" customFormat="1" ht="12.75"/>
    <row r="24707" s="3161" customFormat="1" ht="12.75"/>
    <row r="24708" s="3161" customFormat="1" ht="12.75"/>
    <row r="24709" s="3161" customFormat="1" ht="12.75"/>
    <row r="24710" s="3161" customFormat="1" ht="12.75"/>
    <row r="24711" s="3161" customFormat="1" ht="12.75"/>
    <row r="24712" s="3161" customFormat="1" ht="12.75"/>
    <row r="24713" s="3161" customFormat="1" ht="12.75"/>
    <row r="24714" s="3161" customFormat="1" ht="12.75"/>
    <row r="24715" s="3161" customFormat="1" ht="12.75"/>
    <row r="24716" s="3161" customFormat="1" ht="12.75"/>
    <row r="24717" s="3161" customFormat="1" ht="12.75"/>
    <row r="24718" s="3161" customFormat="1" ht="12.75"/>
    <row r="24719" s="3161" customFormat="1" ht="12.75"/>
    <row r="24720" s="3161" customFormat="1" ht="12.75"/>
    <row r="24721" s="3161" customFormat="1" ht="12.75"/>
    <row r="24722" s="3161" customFormat="1" ht="12.75"/>
    <row r="24723" s="3161" customFormat="1" ht="12.75"/>
    <row r="24724" s="3161" customFormat="1" ht="12.75"/>
    <row r="24725" s="3161" customFormat="1" ht="12.75"/>
    <row r="24726" s="3161" customFormat="1" ht="12.75"/>
    <row r="24727" s="3161" customFormat="1" ht="12.75"/>
    <row r="24728" s="3161" customFormat="1" ht="12.75"/>
    <row r="24729" s="3161" customFormat="1" ht="12.75"/>
    <row r="24730" s="3161" customFormat="1" ht="12.75"/>
    <row r="24731" s="3161" customFormat="1" ht="12.75"/>
    <row r="24732" s="3161" customFormat="1" ht="12.75"/>
    <row r="24733" s="3161" customFormat="1" ht="12.75"/>
    <row r="24734" s="3161" customFormat="1" ht="12.75"/>
    <row r="24735" s="3161" customFormat="1" ht="12.75"/>
    <row r="24736" s="3161" customFormat="1" ht="12.75"/>
    <row r="24737" s="3161" customFormat="1" ht="12.75"/>
    <row r="24738" s="3161" customFormat="1" ht="12.75"/>
    <row r="24739" s="3161" customFormat="1" ht="12.75"/>
    <row r="24740" s="3161" customFormat="1" ht="12.75"/>
    <row r="24741" s="3161" customFormat="1" ht="12.75"/>
    <row r="24742" s="3161" customFormat="1" ht="12.75"/>
    <row r="24743" s="3161" customFormat="1" ht="12.75"/>
    <row r="24744" s="3161" customFormat="1" ht="12.75"/>
    <row r="24745" s="3161" customFormat="1" ht="12.75"/>
    <row r="24746" s="3161" customFormat="1" ht="12.75"/>
    <row r="24747" s="3161" customFormat="1" ht="12.75"/>
    <row r="24748" s="3161" customFormat="1" ht="12.75"/>
    <row r="24749" s="3161" customFormat="1" ht="12.75"/>
    <row r="24750" s="3161" customFormat="1" ht="12.75"/>
    <row r="24751" s="3161" customFormat="1" ht="12.75"/>
    <row r="24752" s="3161" customFormat="1" ht="12.75"/>
    <row r="24753" s="3161" customFormat="1" ht="12.75"/>
    <row r="24754" s="3161" customFormat="1" ht="12.75"/>
    <row r="24755" s="3161" customFormat="1" ht="12.75"/>
    <row r="24756" s="3161" customFormat="1" ht="12.75"/>
    <row r="24757" s="3161" customFormat="1" ht="12.75"/>
    <row r="24758" s="3161" customFormat="1" ht="12.75"/>
    <row r="24759" s="3161" customFormat="1" ht="12.75"/>
    <row r="24760" s="3161" customFormat="1" ht="12.75"/>
    <row r="24761" s="3161" customFormat="1" ht="12.75"/>
    <row r="24762" s="3161" customFormat="1" ht="12.75"/>
    <row r="24763" s="3161" customFormat="1" ht="12.75"/>
    <row r="24764" s="3161" customFormat="1" ht="12.75"/>
    <row r="24765" s="3161" customFormat="1" ht="12.75"/>
    <row r="24766" s="3161" customFormat="1" ht="12.75"/>
    <row r="24767" s="3161" customFormat="1" ht="12.75"/>
    <row r="24768" s="3161" customFormat="1" ht="12.75"/>
    <row r="24769" s="3161" customFormat="1" ht="12.75"/>
    <row r="24770" s="3161" customFormat="1" ht="12.75"/>
    <row r="24771" s="3161" customFormat="1" ht="12.75"/>
    <row r="24772" s="3161" customFormat="1" ht="12.75"/>
    <row r="24773" s="3161" customFormat="1" ht="12.75"/>
    <row r="24774" s="3161" customFormat="1" ht="12.75"/>
    <row r="24775" s="3161" customFormat="1" ht="12.75"/>
    <row r="24776" s="3161" customFormat="1" ht="12.75"/>
    <row r="24777" s="3161" customFormat="1" ht="12.75"/>
    <row r="24778" s="3161" customFormat="1" ht="12.75"/>
    <row r="24779" s="3161" customFormat="1" ht="12.75"/>
    <row r="24780" s="3161" customFormat="1" ht="12.75"/>
    <row r="24781" s="3161" customFormat="1" ht="12.75"/>
    <row r="24782" s="3161" customFormat="1" ht="12.75"/>
    <row r="24783" s="3161" customFormat="1" ht="12.75"/>
    <row r="24784" s="3161" customFormat="1" ht="12.75"/>
    <row r="24785" s="3161" customFormat="1" ht="12.75"/>
    <row r="24786" s="3161" customFormat="1" ht="12.75"/>
    <row r="24787" s="3161" customFormat="1" ht="12.75"/>
    <row r="24788" s="3161" customFormat="1" ht="12.75"/>
    <row r="24789" s="3161" customFormat="1" ht="12.75"/>
    <row r="24790" s="3161" customFormat="1" ht="12.75"/>
    <row r="24791" s="3161" customFormat="1" ht="12.75"/>
    <row r="24792" s="3161" customFormat="1" ht="12.75"/>
    <row r="24793" s="3161" customFormat="1" ht="12.75"/>
    <row r="24794" s="3161" customFormat="1" ht="12.75"/>
    <row r="24795" s="3161" customFormat="1" ht="12.75"/>
    <row r="24796" s="3161" customFormat="1" ht="12.75"/>
    <row r="24797" s="3161" customFormat="1" ht="12.75"/>
    <row r="24798" s="3161" customFormat="1" ht="12.75"/>
    <row r="24799" s="3161" customFormat="1" ht="12.75"/>
    <row r="24800" s="3161" customFormat="1" ht="12.75"/>
    <row r="24801" s="3161" customFormat="1" ht="12.75"/>
    <row r="24802" s="3161" customFormat="1" ht="12.75"/>
    <row r="24803" s="3161" customFormat="1" ht="12.75"/>
    <row r="24804" s="3161" customFormat="1" ht="12.75"/>
    <row r="24805" s="3161" customFormat="1" ht="12.75"/>
    <row r="24806" s="3161" customFormat="1" ht="12.75"/>
    <row r="24807" s="3161" customFormat="1" ht="12.75"/>
    <row r="24808" s="3161" customFormat="1" ht="12.75"/>
    <row r="24809" s="3161" customFormat="1" ht="12.75"/>
    <row r="24810" s="3161" customFormat="1" ht="12.75"/>
    <row r="24811" s="3161" customFormat="1" ht="12.75"/>
    <row r="24812" s="3161" customFormat="1" ht="12.75"/>
    <row r="24813" s="3161" customFormat="1" ht="12.75"/>
    <row r="24814" s="3161" customFormat="1" ht="12.75"/>
    <row r="24815" s="3161" customFormat="1" ht="12.75"/>
    <row r="24816" s="3161" customFormat="1" ht="12.75"/>
    <row r="24817" s="3161" customFormat="1" ht="12.75"/>
    <row r="24818" s="3161" customFormat="1" ht="12.75"/>
    <row r="24819" s="3161" customFormat="1" ht="12.75"/>
    <row r="24820" s="3161" customFormat="1" ht="12.75"/>
    <row r="24821" s="3161" customFormat="1" ht="12.75"/>
    <row r="24822" s="3161" customFormat="1" ht="12.75"/>
    <row r="24823" s="3161" customFormat="1" ht="12.75"/>
    <row r="24824" s="3161" customFormat="1" ht="12.75"/>
    <row r="24825" s="3161" customFormat="1" ht="12.75"/>
    <row r="24826" s="3161" customFormat="1" ht="12.75"/>
    <row r="24827" s="3161" customFormat="1" ht="12.75"/>
    <row r="24828" s="3161" customFormat="1" ht="12.75"/>
    <row r="24829" s="3161" customFormat="1" ht="12.75"/>
    <row r="24830" s="3161" customFormat="1" ht="12.75"/>
    <row r="24831" s="3161" customFormat="1" ht="12.75"/>
    <row r="24832" s="3161" customFormat="1" ht="12.75"/>
    <row r="24833" s="3161" customFormat="1" ht="12.75"/>
    <row r="24834" s="3161" customFormat="1" ht="12.75"/>
    <row r="24835" s="3161" customFormat="1" ht="12.75"/>
    <row r="24836" s="3161" customFormat="1" ht="12.75"/>
    <row r="24837" s="3161" customFormat="1" ht="12.75"/>
    <row r="24838" s="3161" customFormat="1" ht="12.75"/>
    <row r="24839" s="3161" customFormat="1" ht="12.75"/>
    <row r="24840" s="3161" customFormat="1" ht="12.75"/>
    <row r="24841" s="3161" customFormat="1" ht="12.75"/>
    <row r="24842" s="3161" customFormat="1" ht="12.75"/>
    <row r="24843" s="3161" customFormat="1" ht="12.75"/>
    <row r="24844" s="3161" customFormat="1" ht="12.75"/>
    <row r="24845" s="3161" customFormat="1" ht="12.75"/>
    <row r="24846" s="3161" customFormat="1" ht="12.75"/>
    <row r="24847" s="3161" customFormat="1" ht="12.75"/>
    <row r="24848" s="3161" customFormat="1" ht="12.75"/>
    <row r="24849" s="3161" customFormat="1" ht="12.75"/>
    <row r="24850" s="3161" customFormat="1" ht="12.75"/>
    <row r="24851" s="3161" customFormat="1" ht="12.75"/>
    <row r="24852" s="3161" customFormat="1" ht="12.75"/>
    <row r="24853" s="3161" customFormat="1" ht="12.75"/>
    <row r="24854" s="3161" customFormat="1" ht="12.75"/>
    <row r="24855" s="3161" customFormat="1" ht="12.75"/>
    <row r="24856" s="3161" customFormat="1" ht="12.75"/>
    <row r="24857" s="3161" customFormat="1" ht="12.75"/>
    <row r="24858" s="3161" customFormat="1" ht="12.75"/>
    <row r="24859" s="3161" customFormat="1" ht="12.75"/>
    <row r="24860" s="3161" customFormat="1" ht="12.75"/>
    <row r="24861" s="3161" customFormat="1" ht="12.75"/>
    <row r="24862" s="3161" customFormat="1" ht="12.75"/>
    <row r="24863" s="3161" customFormat="1" ht="12.75"/>
    <row r="24864" s="3161" customFormat="1" ht="12.75"/>
    <row r="24865" s="3161" customFormat="1" ht="12.75"/>
    <row r="24866" s="3161" customFormat="1" ht="12.75"/>
    <row r="24867" s="3161" customFormat="1" ht="12.75"/>
    <row r="24868" s="3161" customFormat="1" ht="12.75"/>
    <row r="24869" s="3161" customFormat="1" ht="12.75"/>
    <row r="24870" s="3161" customFormat="1" ht="12.75"/>
    <row r="24871" s="3161" customFormat="1" ht="12.75"/>
    <row r="24872" s="3161" customFormat="1" ht="12.75"/>
    <row r="24873" s="3161" customFormat="1" ht="12.75"/>
    <row r="24874" s="3161" customFormat="1" ht="12.75"/>
    <row r="24875" s="3161" customFormat="1" ht="12.75"/>
    <row r="24876" s="3161" customFormat="1" ht="12.75"/>
    <row r="24877" s="3161" customFormat="1" ht="12.75"/>
    <row r="24878" s="3161" customFormat="1" ht="12.75"/>
    <row r="24879" s="3161" customFormat="1" ht="12.75"/>
    <row r="24880" s="3161" customFormat="1" ht="12.75"/>
    <row r="24881" s="3161" customFormat="1" ht="12.75"/>
    <row r="24882" s="3161" customFormat="1" ht="12.75"/>
    <row r="24883" s="3161" customFormat="1" ht="12.75"/>
    <row r="24884" s="3161" customFormat="1" ht="12.75"/>
    <row r="24885" s="3161" customFormat="1" ht="12.75"/>
    <row r="24886" s="3161" customFormat="1" ht="12.75"/>
    <row r="24887" s="3161" customFormat="1" ht="12.75"/>
    <row r="24888" s="3161" customFormat="1" ht="12.75"/>
    <row r="24889" s="3161" customFormat="1" ht="12.75"/>
    <row r="24890" s="3161" customFormat="1" ht="12.75"/>
    <row r="24891" s="3161" customFormat="1" ht="12.75"/>
    <row r="24892" s="3161" customFormat="1" ht="12.75"/>
    <row r="24893" s="3161" customFormat="1" ht="12.75"/>
    <row r="24894" s="3161" customFormat="1" ht="12.75"/>
    <row r="24895" s="3161" customFormat="1" ht="12.75"/>
    <row r="24896" s="3161" customFormat="1" ht="12.75"/>
    <row r="24897" s="3161" customFormat="1" ht="12.75"/>
    <row r="24898" s="3161" customFormat="1" ht="12.75"/>
    <row r="24899" s="3161" customFormat="1" ht="12.75"/>
    <row r="24900" s="3161" customFormat="1" ht="12.75"/>
    <row r="24901" s="3161" customFormat="1" ht="12.75"/>
    <row r="24902" s="3161" customFormat="1" ht="12.75"/>
    <row r="24903" s="3161" customFormat="1" ht="12.75"/>
    <row r="24904" s="3161" customFormat="1" ht="12.75"/>
    <row r="24905" s="3161" customFormat="1" ht="12.75"/>
    <row r="24906" s="3161" customFormat="1" ht="12.75"/>
    <row r="24907" s="3161" customFormat="1" ht="12.75"/>
    <row r="24908" s="3161" customFormat="1" ht="12.75"/>
    <row r="24909" s="3161" customFormat="1" ht="12.75"/>
    <row r="24910" s="3161" customFormat="1" ht="12.75"/>
    <row r="24911" s="3161" customFormat="1" ht="12.75"/>
    <row r="24912" s="3161" customFormat="1" ht="12.75"/>
    <row r="24913" s="3161" customFormat="1" ht="12.75"/>
    <row r="24914" s="3161" customFormat="1" ht="12.75"/>
    <row r="24915" s="3161" customFormat="1" ht="12.75"/>
    <row r="24916" s="3161" customFormat="1" ht="12.75"/>
    <row r="24917" s="3161" customFormat="1" ht="12.75"/>
    <row r="24918" s="3161" customFormat="1" ht="12.75"/>
    <row r="24919" s="3161" customFormat="1" ht="12.75"/>
    <row r="24920" s="3161" customFormat="1" ht="12.75"/>
    <row r="24921" s="3161" customFormat="1" ht="12.75"/>
    <row r="24922" s="3161" customFormat="1" ht="12.75"/>
    <row r="24923" s="3161" customFormat="1" ht="12.75"/>
    <row r="24924" s="3161" customFormat="1" ht="12.75"/>
    <row r="24925" s="3161" customFormat="1" ht="12.75"/>
    <row r="24926" s="3161" customFormat="1" ht="12.75"/>
    <row r="24927" s="3161" customFormat="1" ht="12.75"/>
    <row r="24928" s="3161" customFormat="1" ht="12.75"/>
    <row r="24929" s="3161" customFormat="1" ht="12.75"/>
    <row r="24930" s="3161" customFormat="1" ht="12.75"/>
    <row r="24931" s="3161" customFormat="1" ht="12.75"/>
    <row r="24932" s="3161" customFormat="1" ht="12.75"/>
    <row r="24933" s="3161" customFormat="1" ht="12.75"/>
    <row r="24934" s="3161" customFormat="1" ht="12.75"/>
    <row r="24935" s="3161" customFormat="1" ht="12.75"/>
    <row r="24936" s="3161" customFormat="1" ht="12.75"/>
    <row r="24937" s="3161" customFormat="1" ht="12.75"/>
    <row r="24938" s="3161" customFormat="1" ht="12.75"/>
    <row r="24939" s="3161" customFormat="1" ht="12.75"/>
    <row r="24940" s="3161" customFormat="1" ht="12.75"/>
    <row r="24941" s="3161" customFormat="1" ht="12.75"/>
    <row r="24942" s="3161" customFormat="1" ht="12.75"/>
    <row r="24943" s="3161" customFormat="1" ht="12.75"/>
    <row r="24944" s="3161" customFormat="1" ht="12.75"/>
    <row r="24945" s="3161" customFormat="1" ht="12.75"/>
    <row r="24946" s="3161" customFormat="1" ht="12.75"/>
    <row r="24947" s="3161" customFormat="1" ht="12.75"/>
    <row r="24948" s="3161" customFormat="1" ht="12.75"/>
    <row r="24949" s="3161" customFormat="1" ht="12.75"/>
    <row r="24950" s="3161" customFormat="1" ht="12.75"/>
    <row r="24951" s="3161" customFormat="1" ht="12.75"/>
    <row r="24952" s="3161" customFormat="1" ht="12.75"/>
    <row r="24953" s="3161" customFormat="1" ht="12.75"/>
    <row r="24954" s="3161" customFormat="1" ht="12.75"/>
    <row r="24955" s="3161" customFormat="1" ht="12.75"/>
    <row r="24956" s="3161" customFormat="1" ht="12.75"/>
    <row r="24957" s="3161" customFormat="1" ht="12.75"/>
    <row r="24958" s="3161" customFormat="1" ht="12.75"/>
    <row r="24959" s="3161" customFormat="1" ht="12.75"/>
    <row r="24960" s="3161" customFormat="1" ht="12.75"/>
    <row r="24961" s="3161" customFormat="1" ht="12.75"/>
    <row r="24962" s="3161" customFormat="1" ht="12.75"/>
    <row r="24963" s="3161" customFormat="1" ht="12.75"/>
    <row r="24964" s="3161" customFormat="1" ht="12.75"/>
    <row r="24965" s="3161" customFormat="1" ht="12.75"/>
    <row r="24966" s="3161" customFormat="1" ht="12.75"/>
    <row r="24967" s="3161" customFormat="1" ht="12.75"/>
    <row r="24968" s="3161" customFormat="1" ht="12.75"/>
    <row r="24969" s="3161" customFormat="1" ht="12.75"/>
    <row r="24970" s="3161" customFormat="1" ht="12.75"/>
    <row r="24971" s="3161" customFormat="1" ht="12.75"/>
    <row r="24972" s="3161" customFormat="1" ht="12.75"/>
    <row r="24973" s="3161" customFormat="1" ht="12.75"/>
    <row r="24974" s="3161" customFormat="1" ht="12.75"/>
    <row r="24975" s="3161" customFormat="1" ht="12.75"/>
    <row r="24976" s="3161" customFormat="1" ht="12.75"/>
    <row r="24977" s="3161" customFormat="1" ht="12.75"/>
    <row r="24978" s="3161" customFormat="1" ht="12.75"/>
    <row r="24979" s="3161" customFormat="1" ht="12.75"/>
    <row r="24980" s="3161" customFormat="1" ht="12.75"/>
    <row r="24981" s="3161" customFormat="1" ht="12.75"/>
    <row r="24982" s="3161" customFormat="1" ht="12.75"/>
    <row r="24983" s="3161" customFormat="1" ht="12.75"/>
    <row r="24984" s="3161" customFormat="1" ht="12.75"/>
    <row r="24985" s="3161" customFormat="1" ht="12.75"/>
    <row r="24986" s="3161" customFormat="1" ht="12.75"/>
    <row r="24987" s="3161" customFormat="1" ht="12.75"/>
    <row r="24988" s="3161" customFormat="1" ht="12.75"/>
    <row r="24989" s="3161" customFormat="1" ht="12.75"/>
    <row r="24990" s="3161" customFormat="1" ht="12.75"/>
    <row r="24991" s="3161" customFormat="1" ht="12.75"/>
    <row r="24992" s="3161" customFormat="1" ht="12.75"/>
    <row r="24993" s="3161" customFormat="1" ht="12.75"/>
    <row r="24994" s="3161" customFormat="1" ht="12.75"/>
    <row r="24995" s="3161" customFormat="1" ht="12.75"/>
    <row r="24996" s="3161" customFormat="1" ht="12.75"/>
    <row r="24997" s="3161" customFormat="1" ht="12.75"/>
    <row r="24998" s="3161" customFormat="1" ht="12.75"/>
    <row r="24999" s="3161" customFormat="1" ht="12.75"/>
    <row r="25000" s="3161" customFormat="1" ht="12.75"/>
    <row r="25001" s="3161" customFormat="1" ht="12.75"/>
    <row r="25002" s="3161" customFormat="1" ht="12.75"/>
    <row r="25003" s="3161" customFormat="1" ht="12.75"/>
    <row r="25004" s="3161" customFormat="1" ht="12.75"/>
    <row r="25005" s="3161" customFormat="1" ht="12.75"/>
    <row r="25006" s="3161" customFormat="1" ht="12.75"/>
    <row r="25007" s="3161" customFormat="1" ht="12.75"/>
    <row r="25008" s="3161" customFormat="1" ht="12.75"/>
    <row r="25009" s="3161" customFormat="1" ht="12.75"/>
    <row r="25010" s="3161" customFormat="1" ht="12.75"/>
    <row r="25011" s="3161" customFormat="1" ht="12.75"/>
    <row r="25012" s="3161" customFormat="1" ht="12.75"/>
    <row r="25013" s="3161" customFormat="1" ht="12.75"/>
    <row r="25014" s="3161" customFormat="1" ht="12.75"/>
    <row r="25015" s="3161" customFormat="1" ht="12.75"/>
    <row r="25016" s="3161" customFormat="1" ht="12.75"/>
    <row r="25017" s="3161" customFormat="1" ht="12.75"/>
    <row r="25018" s="3161" customFormat="1" ht="12.75"/>
    <row r="25019" s="3161" customFormat="1" ht="12.75"/>
    <row r="25020" s="3161" customFormat="1" ht="12.75"/>
    <row r="25021" s="3161" customFormat="1" ht="12.75"/>
    <row r="25022" s="3161" customFormat="1" ht="12.75"/>
    <row r="25023" s="3161" customFormat="1" ht="12.75"/>
    <row r="25024" s="3161" customFormat="1" ht="12.75"/>
    <row r="25025" s="3161" customFormat="1" ht="12.75"/>
    <row r="25026" s="3161" customFormat="1" ht="12.75"/>
    <row r="25027" s="3161" customFormat="1" ht="12.75"/>
    <row r="25028" s="3161" customFormat="1" ht="12.75"/>
    <row r="25029" s="3161" customFormat="1" ht="12.75"/>
    <row r="25030" s="3161" customFormat="1" ht="12.75"/>
    <row r="25031" s="3161" customFormat="1" ht="12.75"/>
    <row r="25032" s="3161" customFormat="1" ht="12.75"/>
    <row r="25033" s="3161" customFormat="1" ht="12.75"/>
    <row r="25034" s="3161" customFormat="1" ht="12.75"/>
    <row r="25035" s="3161" customFormat="1" ht="12.75"/>
    <row r="25036" s="3161" customFormat="1" ht="12.75"/>
    <row r="25037" s="3161" customFormat="1" ht="12.75"/>
    <row r="25038" s="3161" customFormat="1" ht="12.75"/>
    <row r="25039" s="3161" customFormat="1" ht="12.75"/>
    <row r="25040" s="3161" customFormat="1" ht="12.75"/>
    <row r="25041" s="3161" customFormat="1" ht="12.75"/>
    <row r="25042" s="3161" customFormat="1" ht="12.75"/>
    <row r="25043" s="3161" customFormat="1" ht="12.75"/>
    <row r="25044" s="3161" customFormat="1" ht="12.75"/>
    <row r="25045" s="3161" customFormat="1" ht="12.75"/>
    <row r="25046" s="3161" customFormat="1" ht="12.75"/>
    <row r="25047" s="3161" customFormat="1" ht="12.75"/>
    <row r="25048" s="3161" customFormat="1" ht="12.75"/>
    <row r="25049" s="3161" customFormat="1" ht="12.75"/>
    <row r="25050" s="3161" customFormat="1" ht="12.75"/>
    <row r="25051" s="3161" customFormat="1" ht="12.75"/>
    <row r="25052" s="3161" customFormat="1" ht="12.75"/>
    <row r="25053" s="3161" customFormat="1" ht="12.75"/>
    <row r="25054" s="3161" customFormat="1" ht="12.75"/>
    <row r="25055" s="3161" customFormat="1" ht="12.75"/>
    <row r="25056" s="3161" customFormat="1" ht="12.75"/>
    <row r="25057" s="3161" customFormat="1" ht="12.75"/>
    <row r="25058" s="3161" customFormat="1" ht="12.75"/>
    <row r="25059" s="3161" customFormat="1" ht="12.75"/>
    <row r="25060" s="3161" customFormat="1" ht="12.75"/>
    <row r="25061" s="3161" customFormat="1" ht="12.75"/>
    <row r="25062" s="3161" customFormat="1" ht="12.75"/>
    <row r="25063" s="3161" customFormat="1" ht="12.75"/>
    <row r="25064" s="3161" customFormat="1" ht="12.75"/>
    <row r="25065" s="3161" customFormat="1" ht="12.75"/>
    <row r="25066" s="3161" customFormat="1" ht="12.75"/>
    <row r="25067" s="3161" customFormat="1" ht="12.75"/>
    <row r="25068" s="3161" customFormat="1" ht="12.75"/>
    <row r="25069" s="3161" customFormat="1" ht="12.75"/>
    <row r="25070" s="3161" customFormat="1" ht="12.75"/>
    <row r="25071" s="3161" customFormat="1" ht="12.75"/>
    <row r="25072" s="3161" customFormat="1" ht="12.75"/>
    <row r="25073" s="3161" customFormat="1" ht="12.75"/>
    <row r="25074" s="3161" customFormat="1" ht="12.75"/>
    <row r="25075" s="3161" customFormat="1" ht="12.75"/>
    <row r="25076" s="3161" customFormat="1" ht="12.75"/>
    <row r="25077" s="3161" customFormat="1" ht="12.75"/>
    <row r="25078" s="3161" customFormat="1" ht="12.75"/>
    <row r="25079" s="3161" customFormat="1" ht="12.75"/>
    <row r="25080" s="3161" customFormat="1" ht="12.75"/>
    <row r="25081" s="3161" customFormat="1" ht="12.75"/>
    <row r="25082" s="3161" customFormat="1" ht="12.75"/>
    <row r="25083" s="3161" customFormat="1" ht="12.75"/>
    <row r="25084" s="3161" customFormat="1" ht="12.75"/>
    <row r="25085" s="3161" customFormat="1" ht="12.75"/>
    <row r="25086" s="3161" customFormat="1" ht="12.75"/>
    <row r="25087" s="3161" customFormat="1" ht="12.75"/>
    <row r="25088" s="3161" customFormat="1" ht="12.75"/>
    <row r="25089" s="3161" customFormat="1" ht="12.75"/>
    <row r="25090" s="3161" customFormat="1" ht="12.75"/>
    <row r="25091" s="3161" customFormat="1" ht="12.75"/>
    <row r="25092" s="3161" customFormat="1" ht="12.75"/>
    <row r="25093" s="3161" customFormat="1" ht="12.75"/>
    <row r="25094" s="3161" customFormat="1" ht="12.75"/>
    <row r="25095" s="3161" customFormat="1" ht="12.75"/>
    <row r="25096" s="3161" customFormat="1" ht="12.75"/>
    <row r="25097" s="3161" customFormat="1" ht="12.75"/>
    <row r="25098" s="3161" customFormat="1" ht="12.75"/>
    <row r="25099" s="3161" customFormat="1" ht="12.75"/>
    <row r="25100" s="3161" customFormat="1" ht="12.75"/>
    <row r="25101" s="3161" customFormat="1" ht="12.75"/>
    <row r="25102" s="3161" customFormat="1" ht="12.75"/>
    <row r="25103" s="3161" customFormat="1" ht="12.75"/>
    <row r="25104" s="3161" customFormat="1" ht="12.75"/>
    <row r="25105" s="3161" customFormat="1" ht="12.75"/>
    <row r="25106" s="3161" customFormat="1" ht="12.75"/>
    <row r="25107" s="3161" customFormat="1" ht="12.75"/>
    <row r="25108" s="3161" customFormat="1" ht="12.75"/>
    <row r="25109" s="3161" customFormat="1" ht="12.75"/>
    <row r="25110" s="3161" customFormat="1" ht="12.75"/>
    <row r="25111" s="3161" customFormat="1" ht="12.75"/>
    <row r="25112" s="3161" customFormat="1" ht="12.75"/>
    <row r="25113" s="3161" customFormat="1" ht="12.75"/>
    <row r="25114" s="3161" customFormat="1" ht="12.75"/>
    <row r="25115" s="3161" customFormat="1" ht="12.75"/>
    <row r="25116" s="3161" customFormat="1" ht="12.75"/>
    <row r="25117" s="3161" customFormat="1" ht="12.75"/>
    <row r="25118" s="3161" customFormat="1" ht="12.75"/>
    <row r="25119" s="3161" customFormat="1" ht="12.75"/>
    <row r="25120" s="3161" customFormat="1" ht="12.75"/>
    <row r="25121" s="3161" customFormat="1" ht="12.75"/>
    <row r="25122" s="3161" customFormat="1" ht="12.75"/>
    <row r="25123" s="3161" customFormat="1" ht="12.75"/>
    <row r="25124" s="3161" customFormat="1" ht="12.75"/>
    <row r="25125" s="3161" customFormat="1" ht="12.75"/>
    <row r="25126" s="3161" customFormat="1" ht="12.75"/>
    <row r="25127" s="3161" customFormat="1" ht="12.75"/>
    <row r="25128" s="3161" customFormat="1" ht="12.75"/>
    <row r="25129" s="3161" customFormat="1" ht="12.75"/>
    <row r="25130" s="3161" customFormat="1" ht="12.75"/>
    <row r="25131" s="3161" customFormat="1" ht="12.75"/>
    <row r="25132" s="3161" customFormat="1" ht="12.75"/>
    <row r="25133" s="3161" customFormat="1" ht="12.75"/>
    <row r="25134" s="3161" customFormat="1" ht="12.75"/>
    <row r="25135" s="3161" customFormat="1" ht="12.75"/>
    <row r="25136" s="3161" customFormat="1" ht="12.75"/>
    <row r="25137" s="3161" customFormat="1" ht="12.75"/>
    <row r="25138" s="3161" customFormat="1" ht="12.75"/>
    <row r="25139" s="3161" customFormat="1" ht="12.75"/>
    <row r="25140" s="3161" customFormat="1" ht="12.75"/>
    <row r="25141" s="3161" customFormat="1" ht="12.75"/>
    <row r="25142" s="3161" customFormat="1" ht="12.75"/>
    <row r="25143" s="3161" customFormat="1" ht="12.75"/>
    <row r="25144" s="3161" customFormat="1" ht="12.75"/>
    <row r="25145" s="3161" customFormat="1" ht="12.75"/>
    <row r="25146" s="3161" customFormat="1" ht="12.75"/>
    <row r="25147" s="3161" customFormat="1" ht="12.75"/>
    <row r="25148" s="3161" customFormat="1" ht="12.75"/>
    <row r="25149" s="3161" customFormat="1" ht="12.75"/>
    <row r="25150" s="3161" customFormat="1" ht="12.75"/>
    <row r="25151" s="3161" customFormat="1" ht="12.75"/>
    <row r="25152" s="3161" customFormat="1" ht="12.75"/>
    <row r="25153" s="3161" customFormat="1" ht="12.75"/>
    <row r="25154" s="3161" customFormat="1" ht="12.75"/>
    <row r="25155" s="3161" customFormat="1" ht="12.75"/>
    <row r="25156" s="3161" customFormat="1" ht="12.75"/>
    <row r="25157" s="3161" customFormat="1" ht="12.75"/>
    <row r="25158" s="3161" customFormat="1" ht="12.75"/>
    <row r="25159" s="3161" customFormat="1" ht="12.75"/>
    <row r="25160" s="3161" customFormat="1" ht="12.75"/>
    <row r="25161" s="3161" customFormat="1" ht="12.75"/>
    <row r="25162" s="3161" customFormat="1" ht="12.75"/>
    <row r="25163" s="3161" customFormat="1" ht="12.75"/>
    <row r="25164" s="3161" customFormat="1" ht="12.75"/>
    <row r="25165" s="3161" customFormat="1" ht="12.75"/>
    <row r="25166" s="3161" customFormat="1" ht="12.75"/>
    <row r="25167" s="3161" customFormat="1" ht="12.75"/>
    <row r="25168" s="3161" customFormat="1" ht="12.75"/>
    <row r="25169" s="3161" customFormat="1" ht="12.75"/>
    <row r="25170" s="3161" customFormat="1" ht="12.75"/>
    <row r="25171" s="3161" customFormat="1" ht="12.75"/>
    <row r="25172" s="3161" customFormat="1" ht="12.75"/>
    <row r="25173" s="3161" customFormat="1" ht="12.75"/>
    <row r="25174" s="3161" customFormat="1" ht="12.75"/>
    <row r="25175" s="3161" customFormat="1" ht="12.75"/>
    <row r="25176" s="3161" customFormat="1" ht="12.75"/>
    <row r="25177" s="3161" customFormat="1" ht="12.75"/>
    <row r="25178" s="3161" customFormat="1" ht="12.75"/>
    <row r="25179" s="3161" customFormat="1" ht="12.75"/>
    <row r="25180" s="3161" customFormat="1" ht="12.75"/>
    <row r="25181" s="3161" customFormat="1" ht="12.75"/>
    <row r="25182" s="3161" customFormat="1" ht="12.75"/>
    <row r="25183" s="3161" customFormat="1" ht="12.75"/>
    <row r="25184" s="3161" customFormat="1" ht="12.75"/>
    <row r="25185" s="3161" customFormat="1" ht="12.75"/>
    <row r="25186" s="3161" customFormat="1" ht="12.75"/>
    <row r="25187" s="3161" customFormat="1" ht="12.75"/>
    <row r="25188" s="3161" customFormat="1" ht="12.75"/>
    <row r="25189" s="3161" customFormat="1" ht="12.75"/>
    <row r="25190" s="3161" customFormat="1" ht="12.75"/>
    <row r="25191" s="3161" customFormat="1" ht="12.75"/>
    <row r="25192" s="3161" customFormat="1" ht="12.75"/>
    <row r="25193" s="3161" customFormat="1" ht="12.75"/>
    <row r="25194" s="3161" customFormat="1" ht="12.75"/>
    <row r="25195" s="3161" customFormat="1" ht="12.75"/>
    <row r="25196" s="3161" customFormat="1" ht="12.75"/>
    <row r="25197" s="3161" customFormat="1" ht="12.75"/>
    <row r="25198" s="3161" customFormat="1" ht="12.75"/>
    <row r="25199" s="3161" customFormat="1" ht="12.75"/>
    <row r="25200" s="3161" customFormat="1" ht="12.75"/>
    <row r="25201" s="3161" customFormat="1" ht="12.75"/>
    <row r="25202" s="3161" customFormat="1" ht="12.75"/>
    <row r="25203" s="3161" customFormat="1" ht="12.75"/>
    <row r="25204" s="3161" customFormat="1" ht="12.75"/>
    <row r="25205" s="3161" customFormat="1" ht="12.75"/>
    <row r="25206" s="3161" customFormat="1" ht="12.75"/>
    <row r="25207" s="3161" customFormat="1" ht="12.75"/>
    <row r="25208" s="3161" customFormat="1" ht="12.75"/>
    <row r="25209" s="3161" customFormat="1" ht="12.75"/>
    <row r="25210" s="3161" customFormat="1" ht="12.75"/>
    <row r="25211" s="3161" customFormat="1" ht="12.75"/>
    <row r="25212" s="3161" customFormat="1" ht="12.75"/>
    <row r="25213" s="3161" customFormat="1" ht="12.75"/>
    <row r="25214" s="3161" customFormat="1" ht="12.75"/>
    <row r="25215" s="3161" customFormat="1" ht="12.75"/>
    <row r="25216" s="3161" customFormat="1" ht="12.75"/>
    <row r="25217" s="3161" customFormat="1" ht="12.75"/>
    <row r="25218" s="3161" customFormat="1" ht="12.75"/>
    <row r="25219" s="3161" customFormat="1" ht="12.75"/>
    <row r="25220" s="3161" customFormat="1" ht="12.75"/>
    <row r="25221" s="3161" customFormat="1" ht="12.75"/>
    <row r="25222" s="3161" customFormat="1" ht="12.75"/>
    <row r="25223" s="3161" customFormat="1" ht="12.75"/>
    <row r="25224" s="3161" customFormat="1" ht="12.75"/>
    <row r="25225" s="3161" customFormat="1" ht="12.75"/>
    <row r="25226" s="3161" customFormat="1" ht="12.75"/>
    <row r="25227" s="3161" customFormat="1" ht="12.75"/>
    <row r="25228" s="3161" customFormat="1" ht="12.75"/>
    <row r="25229" s="3161" customFormat="1" ht="12.75"/>
    <row r="25230" s="3161" customFormat="1" ht="12.75"/>
    <row r="25231" s="3161" customFormat="1" ht="12.75"/>
    <row r="25232" s="3161" customFormat="1" ht="12.75"/>
    <row r="25233" s="3161" customFormat="1" ht="12.75"/>
    <row r="25234" s="3161" customFormat="1" ht="12.75"/>
    <row r="25235" s="3161" customFormat="1" ht="12.75"/>
    <row r="25236" s="3161" customFormat="1" ht="12.75"/>
    <row r="25237" s="3161" customFormat="1" ht="12.75"/>
    <row r="25238" s="3161" customFormat="1" ht="12.75"/>
    <row r="25239" s="3161" customFormat="1" ht="12.75"/>
    <row r="25240" s="3161" customFormat="1" ht="12.75"/>
    <row r="25241" s="3161" customFormat="1" ht="12.75"/>
    <row r="25242" s="3161" customFormat="1" ht="12.75"/>
    <row r="25243" s="3161" customFormat="1" ht="12.75"/>
    <row r="25244" s="3161" customFormat="1" ht="12.75"/>
    <row r="25245" s="3161" customFormat="1" ht="12.75"/>
    <row r="25246" s="3161" customFormat="1" ht="12.75"/>
    <row r="25247" s="3161" customFormat="1" ht="12.75"/>
    <row r="25248" s="3161" customFormat="1" ht="12.75"/>
    <row r="25249" s="3161" customFormat="1" ht="12.75"/>
    <row r="25250" s="3161" customFormat="1" ht="12.75"/>
    <row r="25251" s="3161" customFormat="1" ht="12.75"/>
    <row r="25252" s="3161" customFormat="1" ht="12.75"/>
    <row r="25253" s="3161" customFormat="1" ht="12.75"/>
    <row r="25254" s="3161" customFormat="1" ht="12.75"/>
    <row r="25255" s="3161" customFormat="1" ht="12.75"/>
    <row r="25256" s="3161" customFormat="1" ht="12.75"/>
    <row r="25257" s="3161" customFormat="1" ht="12.75"/>
    <row r="25258" s="3161" customFormat="1" ht="12.75"/>
    <row r="25259" s="3161" customFormat="1" ht="12.75"/>
    <row r="25260" s="3161" customFormat="1" ht="12.75"/>
    <row r="25261" s="3161" customFormat="1" ht="12.75"/>
    <row r="25262" s="3161" customFormat="1" ht="12.75"/>
    <row r="25263" s="3161" customFormat="1" ht="12.75"/>
    <row r="25264" s="3161" customFormat="1" ht="12.75"/>
    <row r="25265" s="3161" customFormat="1" ht="12.75"/>
    <row r="25266" s="3161" customFormat="1" ht="12.75"/>
    <row r="25267" s="3161" customFormat="1" ht="12.75"/>
    <row r="25268" s="3161" customFormat="1" ht="12.75"/>
    <row r="25269" s="3161" customFormat="1" ht="12.75"/>
    <row r="25270" s="3161" customFormat="1" ht="12.75"/>
    <row r="25271" s="3161" customFormat="1" ht="12.75"/>
    <row r="25272" s="3161" customFormat="1" ht="12.75"/>
    <row r="25273" s="3161" customFormat="1" ht="12.75"/>
    <row r="25274" s="3161" customFormat="1" ht="12.75"/>
    <row r="25275" s="3161" customFormat="1" ht="12.75"/>
    <row r="25276" s="3161" customFormat="1" ht="12.75"/>
    <row r="25277" s="3161" customFormat="1" ht="12.75"/>
    <row r="25278" s="3161" customFormat="1" ht="12.75"/>
    <row r="25279" s="3161" customFormat="1" ht="12.75"/>
    <row r="25280" s="3161" customFormat="1" ht="12.75"/>
    <row r="25281" s="3161" customFormat="1" ht="12.75"/>
    <row r="25282" s="3161" customFormat="1" ht="12.75"/>
    <row r="25283" s="3161" customFormat="1" ht="12.75"/>
    <row r="25284" s="3161" customFormat="1" ht="12.75"/>
    <row r="25285" s="3161" customFormat="1" ht="12.75"/>
    <row r="25286" s="3161" customFormat="1" ht="12.75"/>
    <row r="25287" s="3161" customFormat="1" ht="12.75"/>
    <row r="25288" s="3161" customFormat="1" ht="12.75"/>
    <row r="25289" s="3161" customFormat="1" ht="12.75"/>
    <row r="25290" s="3161" customFormat="1" ht="12.75"/>
    <row r="25291" s="3161" customFormat="1" ht="12.75"/>
    <row r="25292" s="3161" customFormat="1" ht="12.75"/>
    <row r="25293" s="3161" customFormat="1" ht="12.75"/>
    <row r="25294" s="3161" customFormat="1" ht="12.75"/>
    <row r="25295" s="3161" customFormat="1" ht="12.75"/>
    <row r="25296" s="3161" customFormat="1" ht="12.75"/>
    <row r="25297" s="3161" customFormat="1" ht="12.75"/>
    <row r="25298" s="3161" customFormat="1" ht="12.75"/>
    <row r="25299" s="3161" customFormat="1" ht="12.75"/>
    <row r="25300" s="3161" customFormat="1" ht="12.75"/>
    <row r="25301" s="3161" customFormat="1" ht="12.75"/>
    <row r="25302" s="3161" customFormat="1" ht="12.75"/>
    <row r="25303" s="3161" customFormat="1" ht="12.75"/>
    <row r="25304" s="3161" customFormat="1" ht="12.75"/>
    <row r="25305" s="3161" customFormat="1" ht="12.75"/>
    <row r="25306" s="3161" customFormat="1" ht="12.75"/>
    <row r="25307" s="3161" customFormat="1" ht="12.75"/>
    <row r="25308" s="3161" customFormat="1" ht="12.75"/>
    <row r="25309" s="3161" customFormat="1" ht="12.75"/>
    <row r="25310" s="3161" customFormat="1" ht="12.75"/>
    <row r="25311" s="3161" customFormat="1" ht="12.75"/>
    <row r="25312" s="3161" customFormat="1" ht="12.75"/>
    <row r="25313" s="3161" customFormat="1" ht="12.75"/>
    <row r="25314" s="3161" customFormat="1" ht="12.75"/>
    <row r="25315" s="3161" customFormat="1" ht="12.75"/>
    <row r="25316" s="3161" customFormat="1" ht="12.75"/>
    <row r="25317" s="3161" customFormat="1" ht="12.75"/>
    <row r="25318" s="3161" customFormat="1" ht="12.75"/>
    <row r="25319" s="3161" customFormat="1" ht="12.75"/>
    <row r="25320" s="3161" customFormat="1" ht="12.75"/>
    <row r="25321" s="3161" customFormat="1" ht="12.75"/>
    <row r="25322" s="3161" customFormat="1" ht="12.75"/>
    <row r="25323" s="3161" customFormat="1" ht="12.75"/>
    <row r="25324" s="3161" customFormat="1" ht="12.75"/>
    <row r="25325" s="3161" customFormat="1" ht="12.75"/>
    <row r="25326" s="3161" customFormat="1" ht="12.75"/>
    <row r="25327" s="3161" customFormat="1" ht="12.75"/>
    <row r="25328" s="3161" customFormat="1" ht="12.75"/>
    <row r="25329" s="3161" customFormat="1" ht="12.75"/>
    <row r="25330" s="3161" customFormat="1" ht="12.75"/>
    <row r="25331" s="3161" customFormat="1" ht="12.75"/>
    <row r="25332" s="3161" customFormat="1" ht="12.75"/>
    <row r="25333" s="3161" customFormat="1" ht="12.75"/>
    <row r="25334" s="3161" customFormat="1" ht="12.75"/>
    <row r="25335" s="3161" customFormat="1" ht="12.75"/>
    <row r="25336" s="3161" customFormat="1" ht="12.75"/>
    <row r="25337" s="3161" customFormat="1" ht="12.75"/>
    <row r="25338" s="3161" customFormat="1" ht="12.75"/>
    <row r="25339" s="3161" customFormat="1" ht="12.75"/>
    <row r="25340" s="3161" customFormat="1" ht="12.75"/>
    <row r="25341" s="3161" customFormat="1" ht="12.75"/>
    <row r="25342" s="3161" customFormat="1" ht="12.75"/>
    <row r="25343" s="3161" customFormat="1" ht="12.75"/>
    <row r="25344" s="3161" customFormat="1" ht="12.75"/>
    <row r="25345" s="3161" customFormat="1" ht="12.75"/>
    <row r="25346" s="3161" customFormat="1" ht="12.75"/>
    <row r="25347" s="3161" customFormat="1" ht="12.75"/>
    <row r="25348" s="3161" customFormat="1" ht="12.75"/>
    <row r="25349" s="3161" customFormat="1" ht="12.75"/>
    <row r="25350" s="3161" customFormat="1" ht="12.75"/>
    <row r="25351" s="3161" customFormat="1" ht="12.75"/>
    <row r="25352" s="3161" customFormat="1" ht="12.75"/>
    <row r="25353" s="3161" customFormat="1" ht="12.75"/>
    <row r="25354" s="3161" customFormat="1" ht="12.75"/>
    <row r="25355" s="3161" customFormat="1" ht="12.75"/>
    <row r="25356" s="3161" customFormat="1" ht="12.75"/>
    <row r="25357" s="3161" customFormat="1" ht="12.75"/>
    <row r="25358" s="3161" customFormat="1" ht="12.75"/>
    <row r="25359" s="3161" customFormat="1" ht="12.75"/>
    <row r="25360" s="3161" customFormat="1" ht="12.75"/>
    <row r="25361" s="3161" customFormat="1" ht="12.75"/>
    <row r="25362" s="3161" customFormat="1" ht="12.75"/>
    <row r="25363" s="3161" customFormat="1" ht="12.75"/>
    <row r="25364" s="3161" customFormat="1" ht="12.75"/>
    <row r="25365" s="3161" customFormat="1" ht="12.75"/>
    <row r="25366" s="3161" customFormat="1" ht="12.75"/>
    <row r="25367" s="3161" customFormat="1" ht="12.75"/>
    <row r="25368" s="3161" customFormat="1" ht="12.75"/>
    <row r="25369" s="3161" customFormat="1" ht="12.75"/>
    <row r="25370" s="3161" customFormat="1" ht="12.75"/>
    <row r="25371" s="3161" customFormat="1" ht="12.75"/>
    <row r="25372" s="3161" customFormat="1" ht="12.75"/>
    <row r="25373" s="3161" customFormat="1" ht="12.75"/>
    <row r="25374" s="3161" customFormat="1" ht="12.75"/>
    <row r="25375" s="3161" customFormat="1" ht="12.75"/>
    <row r="25376" s="3161" customFormat="1" ht="12.75"/>
    <row r="25377" s="3161" customFormat="1" ht="12.75"/>
    <row r="25378" s="3161" customFormat="1" ht="12.75"/>
    <row r="25379" s="3161" customFormat="1" ht="12.75"/>
    <row r="25380" s="3161" customFormat="1" ht="12.75"/>
    <row r="25381" s="3161" customFormat="1" ht="12.75"/>
    <row r="25382" s="3161" customFormat="1" ht="12.75"/>
    <row r="25383" s="3161" customFormat="1" ht="12.75"/>
    <row r="25384" s="3161" customFormat="1" ht="12.75"/>
    <row r="25385" s="3161" customFormat="1" ht="12.75"/>
    <row r="25386" s="3161" customFormat="1" ht="12.75"/>
    <row r="25387" s="3161" customFormat="1" ht="12.75"/>
    <row r="25388" s="3161" customFormat="1" ht="12.75"/>
    <row r="25389" s="3161" customFormat="1" ht="12.75"/>
    <row r="25390" s="3161" customFormat="1" ht="12.75"/>
    <row r="25391" s="3161" customFormat="1" ht="12.75"/>
    <row r="25392" s="3161" customFormat="1" ht="12.75"/>
    <row r="25393" s="3161" customFormat="1" ht="12.75"/>
    <row r="25394" s="3161" customFormat="1" ht="12.75"/>
    <row r="25395" s="3161" customFormat="1" ht="12.75"/>
    <row r="25396" s="3161" customFormat="1" ht="12.75"/>
    <row r="25397" s="3161" customFormat="1" ht="12.75"/>
    <row r="25398" s="3161" customFormat="1" ht="12.75"/>
    <row r="25399" s="3161" customFormat="1" ht="12.75"/>
    <row r="25400" s="3161" customFormat="1" ht="12.75"/>
    <row r="25401" s="3161" customFormat="1" ht="12.75"/>
    <row r="25402" s="3161" customFormat="1" ht="12.75"/>
    <row r="25403" s="3161" customFormat="1" ht="12.75"/>
    <row r="25404" s="3161" customFormat="1" ht="12.75"/>
    <row r="25405" s="3161" customFormat="1" ht="12.75"/>
    <row r="25406" s="3161" customFormat="1" ht="12.75"/>
    <row r="25407" s="3161" customFormat="1" ht="12.75"/>
    <row r="25408" s="3161" customFormat="1" ht="12.75"/>
    <row r="25409" s="3161" customFormat="1" ht="12.75"/>
    <row r="25410" s="3161" customFormat="1" ht="12.75"/>
    <row r="25411" s="3161" customFormat="1" ht="12.75"/>
    <row r="25412" s="3161" customFormat="1" ht="12.75"/>
    <row r="25413" s="3161" customFormat="1" ht="12.75"/>
    <row r="25414" s="3161" customFormat="1" ht="12.75"/>
    <row r="25415" s="3161" customFormat="1" ht="12.75"/>
    <row r="25416" s="3161" customFormat="1" ht="12.75"/>
    <row r="25417" s="3161" customFormat="1" ht="12.75"/>
    <row r="25418" s="3161" customFormat="1" ht="12.75"/>
    <row r="25419" s="3161" customFormat="1" ht="12.75"/>
    <row r="25420" s="3161" customFormat="1" ht="12.75"/>
    <row r="25421" s="3161" customFormat="1" ht="12.75"/>
    <row r="25422" s="3161" customFormat="1" ht="12.75"/>
    <row r="25423" s="3161" customFormat="1" ht="12.75"/>
    <row r="25424" s="3161" customFormat="1" ht="12.75"/>
    <row r="25425" s="3161" customFormat="1" ht="12.75"/>
    <row r="25426" s="3161" customFormat="1" ht="12.75"/>
    <row r="25427" s="3161" customFormat="1" ht="12.75"/>
    <row r="25428" s="3161" customFormat="1" ht="12.75"/>
    <row r="25429" s="3161" customFormat="1" ht="12.75"/>
    <row r="25430" s="3161" customFormat="1" ht="12.75"/>
    <row r="25431" s="3161" customFormat="1" ht="12.75"/>
    <row r="25432" s="3161" customFormat="1" ht="12.75"/>
    <row r="25433" s="3161" customFormat="1" ht="12.75"/>
    <row r="25434" s="3161" customFormat="1" ht="12.75"/>
    <row r="25435" s="3161" customFormat="1" ht="12.75"/>
    <row r="25436" s="3161" customFormat="1" ht="12.75"/>
    <row r="25437" s="3161" customFormat="1" ht="12.75"/>
    <row r="25438" s="3161" customFormat="1" ht="12.75"/>
    <row r="25439" s="3161" customFormat="1" ht="12.75"/>
    <row r="25440" s="3161" customFormat="1" ht="12.75"/>
    <row r="25441" s="3161" customFormat="1" ht="12.75"/>
    <row r="25442" s="3161" customFormat="1" ht="12.75"/>
    <row r="25443" s="3161" customFormat="1" ht="12.75"/>
    <row r="25444" s="3161" customFormat="1" ht="12.75"/>
    <row r="25445" s="3161" customFormat="1" ht="12.75"/>
    <row r="25446" s="3161" customFormat="1" ht="12.75"/>
    <row r="25447" s="3161" customFormat="1" ht="12.75"/>
    <row r="25448" s="3161" customFormat="1" ht="12.75"/>
    <row r="25449" s="3161" customFormat="1" ht="12.75"/>
    <row r="25450" s="3161" customFormat="1" ht="12.75"/>
    <row r="25451" s="3161" customFormat="1" ht="12.75"/>
    <row r="25452" s="3161" customFormat="1" ht="12.75"/>
    <row r="25453" s="3161" customFormat="1" ht="12.75"/>
    <row r="25454" s="3161" customFormat="1" ht="12.75"/>
    <row r="25455" s="3161" customFormat="1" ht="12.75"/>
    <row r="25456" s="3161" customFormat="1" ht="12.75"/>
    <row r="25457" s="3161" customFormat="1" ht="12.75"/>
    <row r="25458" s="3161" customFormat="1" ht="12.75"/>
    <row r="25459" s="3161" customFormat="1" ht="12.75"/>
    <row r="25460" s="3161" customFormat="1" ht="12.75"/>
    <row r="25461" s="3161" customFormat="1" ht="12.75"/>
    <row r="25462" s="3161" customFormat="1" ht="12.75"/>
    <row r="25463" s="3161" customFormat="1" ht="12.75"/>
    <row r="25464" s="3161" customFormat="1" ht="12.75"/>
    <row r="25465" s="3161" customFormat="1" ht="12.75"/>
    <row r="25466" s="3161" customFormat="1" ht="12.75"/>
    <row r="25467" s="3161" customFormat="1" ht="12.75"/>
    <row r="25468" s="3161" customFormat="1" ht="12.75"/>
    <row r="25469" s="3161" customFormat="1" ht="12.75"/>
    <row r="25470" s="3161" customFormat="1" ht="12.75"/>
    <row r="25471" s="3161" customFormat="1" ht="12.75"/>
    <row r="25472" s="3161" customFormat="1" ht="12.75"/>
    <row r="25473" s="3161" customFormat="1" ht="12.75"/>
    <row r="25474" s="3161" customFormat="1" ht="12.75"/>
    <row r="25475" s="3161" customFormat="1" ht="12.75"/>
    <row r="25476" s="3161" customFormat="1" ht="12.75"/>
    <row r="25477" s="3161" customFormat="1" ht="12.75"/>
    <row r="25478" s="3161" customFormat="1" ht="12.75"/>
    <row r="25479" s="3161" customFormat="1" ht="12.75"/>
    <row r="25480" s="3161" customFormat="1" ht="12.75"/>
    <row r="25481" s="3161" customFormat="1" ht="12.75"/>
    <row r="25482" s="3161" customFormat="1" ht="12.75"/>
    <row r="25483" s="3161" customFormat="1" ht="12.75"/>
    <row r="25484" s="3161" customFormat="1" ht="12.75"/>
    <row r="25485" s="3161" customFormat="1" ht="12.75"/>
    <row r="25486" s="3161" customFormat="1" ht="12.75"/>
    <row r="25487" s="3161" customFormat="1" ht="12.75"/>
    <row r="25488" s="3161" customFormat="1" ht="12.75"/>
    <row r="25489" s="3161" customFormat="1" ht="12.75"/>
    <row r="25490" s="3161" customFormat="1" ht="12.75"/>
    <row r="25491" s="3161" customFormat="1" ht="12.75"/>
    <row r="25492" s="3161" customFormat="1" ht="12.75"/>
    <row r="25493" s="3161" customFormat="1" ht="12.75"/>
    <row r="25494" s="3161" customFormat="1" ht="12.75"/>
    <row r="25495" s="3161" customFormat="1" ht="12.75"/>
    <row r="25496" s="3161" customFormat="1" ht="12.75"/>
    <row r="25497" s="3161" customFormat="1" ht="12.75"/>
    <row r="25498" s="3161" customFormat="1" ht="12.75"/>
    <row r="25499" s="3161" customFormat="1" ht="12.75"/>
    <row r="25500" s="3161" customFormat="1" ht="12.75"/>
    <row r="25501" s="3161" customFormat="1" ht="12.75"/>
    <row r="25502" s="3161" customFormat="1" ht="12.75"/>
    <row r="25503" s="3161" customFormat="1" ht="12.75"/>
    <row r="25504" s="3161" customFormat="1" ht="12.75"/>
    <row r="25505" s="3161" customFormat="1" ht="12.75"/>
    <row r="25506" s="3161" customFormat="1" ht="12.75"/>
    <row r="25507" s="3161" customFormat="1" ht="12.75"/>
    <row r="25508" s="3161" customFormat="1" ht="12.75"/>
    <row r="25509" s="3161" customFormat="1" ht="12.75"/>
    <row r="25510" s="3161" customFormat="1" ht="12.75"/>
    <row r="25511" s="3161" customFormat="1" ht="12.75"/>
    <row r="25512" s="3161" customFormat="1" ht="12.75"/>
    <row r="25513" s="3161" customFormat="1" ht="12.75"/>
    <row r="25514" s="3161" customFormat="1" ht="12.75"/>
    <row r="25515" s="3161" customFormat="1" ht="12.75"/>
    <row r="25516" s="3161" customFormat="1" ht="12.75"/>
    <row r="25517" s="3161" customFormat="1" ht="12.75"/>
    <row r="25518" s="3161" customFormat="1" ht="12.75"/>
    <row r="25519" s="3161" customFormat="1" ht="12.75"/>
    <row r="25520" s="3161" customFormat="1" ht="12.75"/>
    <row r="25521" s="3161" customFormat="1" ht="12.75"/>
    <row r="25522" s="3161" customFormat="1" ht="12.75"/>
    <row r="25523" s="3161" customFormat="1" ht="12.75"/>
    <row r="25524" s="3161" customFormat="1" ht="12.75"/>
    <row r="25525" s="3161" customFormat="1" ht="12.75"/>
    <row r="25526" s="3161" customFormat="1" ht="12.75"/>
    <row r="25527" s="3161" customFormat="1" ht="12.75"/>
    <row r="25528" s="3161" customFormat="1" ht="12.75"/>
    <row r="25529" s="3161" customFormat="1" ht="12.75"/>
    <row r="25530" s="3161" customFormat="1" ht="12.75"/>
    <row r="25531" s="3161" customFormat="1" ht="12.75"/>
    <row r="25532" s="3161" customFormat="1" ht="12.75"/>
    <row r="25533" s="3161" customFormat="1" ht="12.75"/>
    <row r="25534" s="3161" customFormat="1" ht="12.75"/>
    <row r="25535" s="3161" customFormat="1" ht="12.75"/>
    <row r="25536" s="3161" customFormat="1" ht="12.75"/>
    <row r="25537" s="3161" customFormat="1" ht="12.75"/>
    <row r="25538" s="3161" customFormat="1" ht="12.75"/>
    <row r="25539" s="3161" customFormat="1" ht="12.75"/>
    <row r="25540" s="3161" customFormat="1" ht="12.75"/>
    <row r="25541" s="3161" customFormat="1" ht="12.75"/>
    <row r="25542" s="3161" customFormat="1" ht="12.75"/>
    <row r="25543" s="3161" customFormat="1" ht="12.75"/>
    <row r="25544" s="3161" customFormat="1" ht="12.75"/>
    <row r="25545" s="3161" customFormat="1" ht="12.75"/>
    <row r="25546" s="3161" customFormat="1" ht="12.75"/>
    <row r="25547" s="3161" customFormat="1" ht="12.75"/>
    <row r="25548" s="3161" customFormat="1" ht="12.75"/>
    <row r="25549" s="3161" customFormat="1" ht="12.75"/>
    <row r="25550" s="3161" customFormat="1" ht="12.75"/>
    <row r="25551" s="3161" customFormat="1" ht="12.75"/>
    <row r="25552" s="3161" customFormat="1" ht="12.75"/>
    <row r="25553" s="3161" customFormat="1" ht="12.75"/>
    <row r="25554" s="3161" customFormat="1" ht="12.75"/>
    <row r="25555" s="3161" customFormat="1" ht="12.75"/>
    <row r="25556" s="3161" customFormat="1" ht="12.75"/>
    <row r="25557" s="3161" customFormat="1" ht="12.75"/>
    <row r="25558" s="3161" customFormat="1" ht="12.75"/>
    <row r="25559" s="3161" customFormat="1" ht="12.75"/>
    <row r="25560" s="3161" customFormat="1" ht="12.75"/>
    <row r="25561" s="3161" customFormat="1" ht="12.75"/>
    <row r="25562" s="3161" customFormat="1" ht="12.75"/>
    <row r="25563" s="3161" customFormat="1" ht="12.75"/>
    <row r="25564" s="3161" customFormat="1" ht="12.75"/>
    <row r="25565" s="3161" customFormat="1" ht="12.75"/>
    <row r="25566" s="3161" customFormat="1" ht="12.75"/>
    <row r="25567" s="3161" customFormat="1" ht="12.75"/>
    <row r="25568" s="3161" customFormat="1" ht="12.75"/>
    <row r="25569" s="3161" customFormat="1" ht="12.75"/>
    <row r="25570" s="3161" customFormat="1" ht="12.75"/>
    <row r="25571" s="3161" customFormat="1" ht="12.75"/>
    <row r="25572" s="3161" customFormat="1" ht="12.75"/>
    <row r="25573" s="3161" customFormat="1" ht="12.75"/>
    <row r="25574" s="3161" customFormat="1" ht="12.75"/>
    <row r="25575" s="3161" customFormat="1" ht="12.75"/>
    <row r="25576" s="3161" customFormat="1" ht="12.75"/>
    <row r="25577" s="3161" customFormat="1" ht="12.75"/>
    <row r="25578" s="3161" customFormat="1" ht="12.75"/>
    <row r="25579" s="3161" customFormat="1" ht="12.75"/>
    <row r="25580" s="3161" customFormat="1" ht="12.75"/>
    <row r="25581" s="3161" customFormat="1" ht="12.75"/>
    <row r="25582" s="3161" customFormat="1" ht="12.75"/>
    <row r="25583" s="3161" customFormat="1" ht="12.75"/>
    <row r="25584" s="3161" customFormat="1" ht="12.75"/>
    <row r="25585" s="3161" customFormat="1" ht="12.75"/>
    <row r="25586" s="3161" customFormat="1" ht="12.75"/>
    <row r="25587" s="3161" customFormat="1" ht="12.75"/>
    <row r="25588" s="3161" customFormat="1" ht="12.75"/>
    <row r="25589" s="3161" customFormat="1" ht="12.75"/>
    <row r="25590" s="3161" customFormat="1" ht="12.75"/>
    <row r="25591" s="3161" customFormat="1" ht="12.75"/>
    <row r="25592" s="3161" customFormat="1" ht="12.75"/>
    <row r="25593" s="3161" customFormat="1" ht="12.75"/>
    <row r="25594" s="3161" customFormat="1" ht="12.75"/>
    <row r="25595" s="3161" customFormat="1" ht="12.75"/>
    <row r="25596" s="3161" customFormat="1" ht="12.75"/>
    <row r="25597" s="3161" customFormat="1" ht="12.75"/>
    <row r="25598" s="3161" customFormat="1" ht="12.75"/>
    <row r="25599" s="3161" customFormat="1" ht="12.75"/>
    <row r="25600" s="3161" customFormat="1" ht="12.75"/>
    <row r="25601" s="3161" customFormat="1" ht="12.75"/>
    <row r="25602" s="3161" customFormat="1" ht="12.75"/>
    <row r="25603" s="3161" customFormat="1" ht="12.75"/>
    <row r="25604" s="3161" customFormat="1" ht="12.75"/>
    <row r="25605" s="3161" customFormat="1" ht="12.75"/>
    <row r="25606" s="3161" customFormat="1" ht="12.75"/>
    <row r="25607" s="3161" customFormat="1" ht="12.75"/>
    <row r="25608" s="3161" customFormat="1" ht="12.75"/>
    <row r="25609" s="3161" customFormat="1" ht="12.75"/>
    <row r="25610" s="3161" customFormat="1" ht="12.75"/>
    <row r="25611" s="3161" customFormat="1" ht="12.75"/>
    <row r="25612" s="3161" customFormat="1" ht="12.75"/>
    <row r="25613" s="3161" customFormat="1" ht="12.75"/>
    <row r="25614" s="3161" customFormat="1" ht="12.75"/>
    <row r="25615" s="3161" customFormat="1" ht="12.75"/>
    <row r="25616" s="3161" customFormat="1" ht="12.75"/>
    <row r="25617" s="3161" customFormat="1" ht="12.75"/>
    <row r="25618" s="3161" customFormat="1" ht="12.75"/>
    <row r="25619" s="3161" customFormat="1" ht="12.75"/>
    <row r="25620" s="3161" customFormat="1" ht="12.75"/>
    <row r="25621" s="3161" customFormat="1" ht="12.75"/>
    <row r="25622" s="3161" customFormat="1" ht="12.75"/>
    <row r="25623" s="3161" customFormat="1" ht="12.75"/>
    <row r="25624" s="3161" customFormat="1" ht="12.75"/>
    <row r="25625" s="3161" customFormat="1" ht="12.75"/>
    <row r="25626" s="3161" customFormat="1" ht="12.75"/>
    <row r="25627" s="3161" customFormat="1" ht="12.75"/>
    <row r="25628" s="3161" customFormat="1" ht="12.75"/>
    <row r="25629" s="3161" customFormat="1" ht="12.75"/>
    <row r="25630" s="3161" customFormat="1" ht="12.75"/>
    <row r="25631" s="3161" customFormat="1" ht="12.75"/>
    <row r="25632" s="3161" customFormat="1" ht="12.75"/>
    <row r="25633" s="3161" customFormat="1" ht="12.75"/>
    <row r="25634" s="3161" customFormat="1" ht="12.75"/>
    <row r="25635" s="3161" customFormat="1" ht="12.75"/>
    <row r="25636" s="3161" customFormat="1" ht="12.75"/>
    <row r="25637" s="3161" customFormat="1" ht="12.75"/>
    <row r="25638" s="3161" customFormat="1" ht="12.75"/>
    <row r="25639" s="3161" customFormat="1" ht="12.75"/>
    <row r="25640" s="3161" customFormat="1" ht="12.75"/>
    <row r="25641" s="3161" customFormat="1" ht="12.75"/>
    <row r="25642" s="3161" customFormat="1" ht="12.75"/>
    <row r="25643" s="3161" customFormat="1" ht="12.75"/>
    <row r="25644" s="3161" customFormat="1" ht="12.75"/>
    <row r="25645" s="3161" customFormat="1" ht="12.75"/>
    <row r="25646" s="3161" customFormat="1" ht="12.75"/>
    <row r="25647" s="3161" customFormat="1" ht="12.75"/>
    <row r="25648" s="3161" customFormat="1" ht="12.75"/>
    <row r="25649" s="3161" customFormat="1" ht="12.75"/>
    <row r="25650" s="3161" customFormat="1" ht="12.75"/>
    <row r="25651" s="3161" customFormat="1" ht="12.75"/>
    <row r="25652" s="3161" customFormat="1" ht="12.75"/>
    <row r="25653" s="3161" customFormat="1" ht="12.75"/>
    <row r="25654" s="3161" customFormat="1" ht="12.75"/>
    <row r="25655" s="3161" customFormat="1" ht="12.75"/>
    <row r="25656" s="3161" customFormat="1" ht="12.75"/>
    <row r="25657" s="3161" customFormat="1" ht="12.75"/>
    <row r="25658" s="3161" customFormat="1" ht="12.75"/>
    <row r="25659" s="3161" customFormat="1" ht="12.75"/>
    <row r="25660" s="3161" customFormat="1" ht="12.75"/>
    <row r="25661" s="3161" customFormat="1" ht="12.75"/>
    <row r="25662" s="3161" customFormat="1" ht="12.75"/>
    <row r="25663" s="3161" customFormat="1" ht="12.75"/>
    <row r="25664" s="3161" customFormat="1" ht="12.75"/>
    <row r="25665" s="3161" customFormat="1" ht="12.75"/>
    <row r="25666" s="3161" customFormat="1" ht="12.75"/>
    <row r="25667" s="3161" customFormat="1" ht="12.75"/>
    <row r="25668" s="3161" customFormat="1" ht="12.75"/>
    <row r="25669" s="3161" customFormat="1" ht="12.75"/>
    <row r="25670" s="3161" customFormat="1" ht="12.75"/>
    <row r="25671" s="3161" customFormat="1" ht="12.75"/>
    <row r="25672" s="3161" customFormat="1" ht="12.75"/>
    <row r="25673" s="3161" customFormat="1" ht="12.75"/>
    <row r="25674" s="3161" customFormat="1" ht="12.75"/>
    <row r="25675" s="3161" customFormat="1" ht="12.75"/>
    <row r="25676" s="3161" customFormat="1" ht="12.75"/>
    <row r="25677" s="3161" customFormat="1" ht="12.75"/>
    <row r="25678" s="3161" customFormat="1" ht="12.75"/>
    <row r="25679" s="3161" customFormat="1" ht="12.75"/>
    <row r="25680" s="3161" customFormat="1" ht="12.75"/>
    <row r="25681" s="3161" customFormat="1" ht="12.75"/>
    <row r="25682" s="3161" customFormat="1" ht="12.75"/>
    <row r="25683" s="3161" customFormat="1" ht="12.75"/>
    <row r="25684" s="3161" customFormat="1" ht="12.75"/>
    <row r="25685" s="3161" customFormat="1" ht="12.75"/>
    <row r="25686" s="3161" customFormat="1" ht="12.75"/>
    <row r="25687" s="3161" customFormat="1" ht="12.75"/>
    <row r="25688" s="3161" customFormat="1" ht="12.75"/>
    <row r="25689" s="3161" customFormat="1" ht="12.75"/>
    <row r="25690" s="3161" customFormat="1" ht="12.75"/>
    <row r="25691" s="3161" customFormat="1" ht="12.75"/>
    <row r="25692" s="3161" customFormat="1" ht="12.75"/>
    <row r="25693" s="3161" customFormat="1" ht="12.75"/>
    <row r="25694" s="3161" customFormat="1" ht="12.75"/>
    <row r="25695" s="3161" customFormat="1" ht="12.75"/>
    <row r="25696" s="3161" customFormat="1" ht="12.75"/>
    <row r="25697" s="3161" customFormat="1" ht="12.75"/>
    <row r="25698" s="3161" customFormat="1" ht="12.75"/>
    <row r="25699" s="3161" customFormat="1" ht="12.75"/>
    <row r="25700" s="3161" customFormat="1" ht="12.75"/>
    <row r="25701" s="3161" customFormat="1" ht="12.75"/>
    <row r="25702" s="3161" customFormat="1" ht="12.75"/>
    <row r="25703" s="3161" customFormat="1" ht="12.75"/>
    <row r="25704" s="3161" customFormat="1" ht="12.75"/>
    <row r="25705" s="3161" customFormat="1" ht="12.75"/>
    <row r="25706" s="3161" customFormat="1" ht="12.75"/>
    <row r="25707" s="3161" customFormat="1" ht="12.75"/>
    <row r="25708" s="3161" customFormat="1" ht="12.75"/>
    <row r="25709" s="3161" customFormat="1" ht="12.75"/>
    <row r="25710" s="3161" customFormat="1" ht="12.75"/>
    <row r="25711" s="3161" customFormat="1" ht="12.75"/>
    <row r="25712" s="3161" customFormat="1" ht="12.75"/>
    <row r="25713" s="3161" customFormat="1" ht="12.75"/>
    <row r="25714" s="3161" customFormat="1" ht="12.75"/>
    <row r="25715" s="3161" customFormat="1" ht="12.75"/>
    <row r="25716" s="3161" customFormat="1" ht="12.75"/>
    <row r="25717" s="3161" customFormat="1" ht="12.75"/>
    <row r="25718" s="3161" customFormat="1" ht="12.75"/>
    <row r="25719" s="3161" customFormat="1" ht="12.75"/>
    <row r="25720" s="3161" customFormat="1" ht="12.75"/>
    <row r="25721" s="3161" customFormat="1" ht="12.75"/>
    <row r="25722" s="3161" customFormat="1" ht="12.75"/>
    <row r="25723" s="3161" customFormat="1" ht="12.75"/>
    <row r="25724" s="3161" customFormat="1" ht="12.75"/>
    <row r="25725" s="3161" customFormat="1" ht="12.75"/>
    <row r="25726" s="3161" customFormat="1" ht="12.75"/>
    <row r="25727" s="3161" customFormat="1" ht="12.75"/>
    <row r="25728" s="3161" customFormat="1" ht="12.75"/>
    <row r="25729" s="3161" customFormat="1" ht="12.75"/>
    <row r="25730" s="3161" customFormat="1" ht="12.75"/>
    <row r="25731" s="3161" customFormat="1" ht="12.75"/>
    <row r="25732" s="3161" customFormat="1" ht="12.75"/>
    <row r="25733" s="3161" customFormat="1" ht="12.75"/>
    <row r="25734" s="3161" customFormat="1" ht="12.75"/>
    <row r="25735" s="3161" customFormat="1" ht="12.75"/>
    <row r="25736" s="3161" customFormat="1" ht="12.75"/>
    <row r="25737" s="3161" customFormat="1" ht="12.75"/>
    <row r="25738" s="3161" customFormat="1" ht="12.75"/>
    <row r="25739" s="3161" customFormat="1" ht="12.75"/>
    <row r="25740" s="3161" customFormat="1" ht="12.75"/>
    <row r="25741" s="3161" customFormat="1" ht="12.75"/>
    <row r="25742" s="3161" customFormat="1" ht="12.75"/>
    <row r="25743" s="3161" customFormat="1" ht="12.75"/>
    <row r="25744" s="3161" customFormat="1" ht="12.75"/>
    <row r="25745" s="3161" customFormat="1" ht="12.75"/>
    <row r="25746" s="3161" customFormat="1" ht="12.75"/>
    <row r="25747" s="3161" customFormat="1" ht="12.75"/>
    <row r="25748" s="3161" customFormat="1" ht="12.75"/>
    <row r="25749" s="3161" customFormat="1" ht="12.75"/>
    <row r="25750" s="3161" customFormat="1" ht="12.75"/>
    <row r="25751" s="3161" customFormat="1" ht="12.75"/>
    <row r="25752" s="3161" customFormat="1" ht="12.75"/>
    <row r="25753" s="3161" customFormat="1" ht="12.75"/>
    <row r="25754" s="3161" customFormat="1" ht="12.75"/>
    <row r="25755" s="3161" customFormat="1" ht="12.75"/>
    <row r="25756" s="3161" customFormat="1" ht="12.75"/>
    <row r="25757" s="3161" customFormat="1" ht="12.75"/>
    <row r="25758" s="3161" customFormat="1" ht="12.75"/>
    <row r="25759" s="3161" customFormat="1" ht="12.75"/>
    <row r="25760" s="3161" customFormat="1" ht="12.75"/>
    <row r="25761" s="3161" customFormat="1" ht="12.75"/>
    <row r="25762" s="3161" customFormat="1" ht="12.75"/>
    <row r="25763" s="3161" customFormat="1" ht="12.75"/>
    <row r="25764" s="3161" customFormat="1" ht="12.75"/>
    <row r="25765" s="3161" customFormat="1" ht="12.75"/>
    <row r="25766" s="3161" customFormat="1" ht="12.75"/>
    <row r="25767" s="3161" customFormat="1" ht="12.75"/>
    <row r="25768" s="3161" customFormat="1" ht="12.75"/>
    <row r="25769" s="3161" customFormat="1" ht="12.75"/>
    <row r="25770" s="3161" customFormat="1" ht="12.75"/>
    <row r="25771" s="3161" customFormat="1" ht="12.75"/>
    <row r="25772" s="3161" customFormat="1" ht="12.75"/>
    <row r="25773" s="3161" customFormat="1" ht="12.75"/>
    <row r="25774" s="3161" customFormat="1" ht="12.75"/>
    <row r="25775" s="3161" customFormat="1" ht="12.75"/>
    <row r="25776" s="3161" customFormat="1" ht="12.75"/>
    <row r="25777" s="3161" customFormat="1" ht="12.75"/>
    <row r="25778" s="3161" customFormat="1" ht="12.75"/>
    <row r="25779" s="3161" customFormat="1" ht="12.75"/>
    <row r="25780" s="3161" customFormat="1" ht="12.75"/>
    <row r="25781" s="3161" customFormat="1" ht="12.75"/>
    <row r="25782" s="3161" customFormat="1" ht="12.75"/>
    <row r="25783" s="3161" customFormat="1" ht="12.75"/>
    <row r="25784" s="3161" customFormat="1" ht="12.75"/>
    <row r="25785" s="3161" customFormat="1" ht="12.75"/>
    <row r="25786" s="3161" customFormat="1" ht="12.75"/>
    <row r="25787" s="3161" customFormat="1" ht="12.75"/>
    <row r="25788" s="3161" customFormat="1" ht="12.75"/>
    <row r="25789" s="3161" customFormat="1" ht="12.75"/>
    <row r="25790" s="3161" customFormat="1" ht="12.75"/>
    <row r="25791" s="3161" customFormat="1" ht="12.75"/>
    <row r="25792" s="3161" customFormat="1" ht="12.75"/>
    <row r="25793" s="3161" customFormat="1" ht="12.75"/>
    <row r="25794" s="3161" customFormat="1" ht="12.75"/>
    <row r="25795" s="3161" customFormat="1" ht="12.75"/>
    <row r="25796" s="3161" customFormat="1" ht="12.75"/>
    <row r="25797" s="3161" customFormat="1" ht="12.75"/>
    <row r="25798" s="3161" customFormat="1" ht="12.75"/>
    <row r="25799" s="3161" customFormat="1" ht="12.75"/>
    <row r="25800" s="3161" customFormat="1" ht="12.75"/>
    <row r="25801" s="3161" customFormat="1" ht="12.75"/>
    <row r="25802" s="3161" customFormat="1" ht="12.75"/>
    <row r="25803" s="3161" customFormat="1" ht="12.75"/>
    <row r="25804" s="3161" customFormat="1" ht="12.75"/>
    <row r="25805" s="3161" customFormat="1" ht="12.75"/>
    <row r="25806" s="3161" customFormat="1" ht="12.75"/>
    <row r="25807" s="3161" customFormat="1" ht="12.75"/>
    <row r="25808" s="3161" customFormat="1" ht="12.75"/>
    <row r="25809" s="3161" customFormat="1" ht="12.75"/>
    <row r="25810" s="3161" customFormat="1" ht="12.75"/>
    <row r="25811" s="3161" customFormat="1" ht="12.75"/>
    <row r="25812" s="3161" customFormat="1" ht="12.75"/>
    <row r="25813" s="3161" customFormat="1" ht="12.75"/>
    <row r="25814" s="3161" customFormat="1" ht="12.75"/>
    <row r="25815" s="3161" customFormat="1" ht="12.75"/>
    <row r="25816" s="3161" customFormat="1" ht="12.75"/>
    <row r="25817" s="3161" customFormat="1" ht="12.75"/>
    <row r="25818" s="3161" customFormat="1" ht="12.75"/>
    <row r="25819" s="3161" customFormat="1" ht="12.75"/>
    <row r="25820" s="3161" customFormat="1" ht="12.75"/>
    <row r="25821" s="3161" customFormat="1" ht="12.75"/>
    <row r="25822" s="3161" customFormat="1" ht="12.75"/>
    <row r="25823" s="3161" customFormat="1" ht="12.75"/>
    <row r="25824" s="3161" customFormat="1" ht="12.75"/>
    <row r="25825" s="3161" customFormat="1" ht="12.75"/>
    <row r="25826" s="3161" customFormat="1" ht="12.75"/>
    <row r="25827" s="3161" customFormat="1" ht="12.75"/>
    <row r="25828" s="3161" customFormat="1" ht="12.75"/>
    <row r="25829" s="3161" customFormat="1" ht="12.75"/>
    <row r="25830" s="3161" customFormat="1" ht="12.75"/>
    <row r="25831" s="3161" customFormat="1" ht="12.75"/>
    <row r="25832" s="3161" customFormat="1" ht="12.75"/>
    <row r="25833" s="3161" customFormat="1" ht="12.75"/>
    <row r="25834" s="3161" customFormat="1" ht="12.75"/>
    <row r="25835" s="3161" customFormat="1" ht="12.75"/>
    <row r="25836" s="3161" customFormat="1" ht="12.75"/>
    <row r="25837" s="3161" customFormat="1" ht="12.75"/>
    <row r="25838" s="3161" customFormat="1" ht="12.75"/>
    <row r="25839" s="3161" customFormat="1" ht="12.75"/>
    <row r="25840" s="3161" customFormat="1" ht="12.75"/>
    <row r="25841" s="3161" customFormat="1" ht="12.75"/>
    <row r="25842" s="3161" customFormat="1" ht="12.75"/>
    <row r="25843" s="3161" customFormat="1" ht="12.75"/>
    <row r="25844" s="3161" customFormat="1" ht="12.75"/>
    <row r="25845" s="3161" customFormat="1" ht="12.75"/>
    <row r="25846" s="3161" customFormat="1" ht="12.75"/>
    <row r="25847" s="3161" customFormat="1" ht="12.75"/>
    <row r="25848" s="3161" customFormat="1" ht="12.75"/>
    <row r="25849" s="3161" customFormat="1" ht="12.75"/>
    <row r="25850" s="3161" customFormat="1" ht="12.75"/>
    <row r="25851" s="3161" customFormat="1" ht="12.75"/>
    <row r="25852" s="3161" customFormat="1" ht="12.75"/>
    <row r="25853" s="3161" customFormat="1" ht="12.75"/>
    <row r="25854" s="3161" customFormat="1" ht="12.75"/>
    <row r="25855" s="3161" customFormat="1" ht="12.75"/>
    <row r="25856" s="3161" customFormat="1" ht="12.75"/>
    <row r="25857" s="3161" customFormat="1" ht="12.75"/>
    <row r="25858" s="3161" customFormat="1" ht="12.75"/>
    <row r="25859" s="3161" customFormat="1" ht="12.75"/>
    <row r="25860" s="3161" customFormat="1" ht="12.75"/>
    <row r="25861" s="3161" customFormat="1" ht="12.75"/>
    <row r="25862" s="3161" customFormat="1" ht="12.75"/>
    <row r="25863" s="3161" customFormat="1" ht="12.75"/>
    <row r="25864" s="3161" customFormat="1" ht="12.75"/>
    <row r="25865" s="3161" customFormat="1" ht="12.75"/>
    <row r="25866" s="3161" customFormat="1" ht="12.75"/>
    <row r="25867" s="3161" customFormat="1" ht="12.75"/>
    <row r="25868" s="3161" customFormat="1" ht="12.75"/>
    <row r="25869" s="3161" customFormat="1" ht="12.75"/>
    <row r="25870" s="3161" customFormat="1" ht="12.75"/>
    <row r="25871" s="3161" customFormat="1" ht="12.75"/>
    <row r="25872" s="3161" customFormat="1" ht="12.75"/>
    <row r="25873" s="3161" customFormat="1" ht="12.75"/>
    <row r="25874" s="3161" customFormat="1" ht="12.75"/>
    <row r="25875" s="3161" customFormat="1" ht="12.75"/>
    <row r="25876" s="3161" customFormat="1" ht="12.75"/>
    <row r="25877" s="3161" customFormat="1" ht="12.75"/>
    <row r="25878" s="3161" customFormat="1" ht="12.75"/>
    <row r="25879" s="3161" customFormat="1" ht="12.75"/>
    <row r="25880" s="3161" customFormat="1" ht="12.75"/>
    <row r="25881" s="3161" customFormat="1" ht="12.75"/>
    <row r="25882" s="3161" customFormat="1" ht="12.75"/>
    <row r="25883" s="3161" customFormat="1" ht="12.75"/>
    <row r="25884" s="3161" customFormat="1" ht="12.75"/>
    <row r="25885" s="3161" customFormat="1" ht="12.75"/>
    <row r="25886" s="3161" customFormat="1" ht="12.75"/>
    <row r="25887" s="3161" customFormat="1" ht="12.75"/>
    <row r="25888" s="3161" customFormat="1" ht="12.75"/>
    <row r="25889" s="3161" customFormat="1" ht="12.75"/>
    <row r="25890" s="3161" customFormat="1" ht="12.75"/>
    <row r="25891" s="3161" customFormat="1" ht="12.75"/>
    <row r="25892" s="3161" customFormat="1" ht="12.75"/>
    <row r="25893" s="3161" customFormat="1" ht="12.75"/>
    <row r="25894" s="3161" customFormat="1" ht="12.75"/>
    <row r="25895" s="3161" customFormat="1" ht="12.75"/>
    <row r="25896" s="3161" customFormat="1" ht="12.75"/>
    <row r="25897" s="3161" customFormat="1" ht="12.75"/>
    <row r="25898" s="3161" customFormat="1" ht="12.75"/>
    <row r="25899" s="3161" customFormat="1" ht="12.75"/>
    <row r="25900" s="3161" customFormat="1" ht="12.75"/>
    <row r="25901" s="3161" customFormat="1" ht="12.75"/>
    <row r="25902" s="3161" customFormat="1" ht="12.75"/>
    <row r="25903" s="3161" customFormat="1" ht="12.75"/>
    <row r="25904" s="3161" customFormat="1" ht="12.75"/>
    <row r="25905" s="3161" customFormat="1" ht="12.75"/>
    <row r="25906" s="3161" customFormat="1" ht="12.75"/>
    <row r="25907" s="3161" customFormat="1" ht="12.75"/>
    <row r="25908" s="3161" customFormat="1" ht="12.75"/>
    <row r="25909" s="3161" customFormat="1" ht="12.75"/>
    <row r="25910" s="3161" customFormat="1" ht="12.75"/>
    <row r="25911" s="3161" customFormat="1" ht="12.75"/>
    <row r="25912" s="3161" customFormat="1" ht="12.75"/>
    <row r="25913" s="3161" customFormat="1" ht="12.75"/>
    <row r="25914" s="3161" customFormat="1" ht="12.75"/>
    <row r="25915" s="3161" customFormat="1" ht="12.75"/>
    <row r="25916" s="3161" customFormat="1" ht="12.75"/>
    <row r="25917" s="3161" customFormat="1" ht="12.75"/>
    <row r="25918" s="3161" customFormat="1" ht="12.75"/>
    <row r="25919" s="3161" customFormat="1" ht="12.75"/>
    <row r="25920" s="3161" customFormat="1" ht="12.75"/>
    <row r="25921" s="3161" customFormat="1" ht="12.75"/>
    <row r="25922" s="3161" customFormat="1" ht="12.75"/>
    <row r="25923" s="3161" customFormat="1" ht="12.75"/>
    <row r="25924" s="3161" customFormat="1" ht="12.75"/>
    <row r="25925" s="3161" customFormat="1" ht="12.75"/>
    <row r="25926" s="3161" customFormat="1" ht="12.75"/>
    <row r="25927" s="3161" customFormat="1" ht="12.75"/>
    <row r="25928" s="3161" customFormat="1" ht="12.75"/>
    <row r="25929" s="3161" customFormat="1" ht="12.75"/>
    <row r="25930" s="3161" customFormat="1" ht="12.75"/>
    <row r="25931" s="3161" customFormat="1" ht="12.75"/>
    <row r="25932" s="3161" customFormat="1" ht="12.75"/>
    <row r="25933" s="3161" customFormat="1" ht="12.75"/>
    <row r="25934" s="3161" customFormat="1" ht="12.75"/>
    <row r="25935" s="3161" customFormat="1" ht="12.75"/>
    <row r="25936" s="3161" customFormat="1" ht="12.75"/>
    <row r="25937" s="3161" customFormat="1" ht="12.75"/>
    <row r="25938" s="3161" customFormat="1" ht="12.75"/>
    <row r="25939" s="3161" customFormat="1" ht="12.75"/>
    <row r="25940" s="3161" customFormat="1" ht="12.75"/>
    <row r="25941" s="3161" customFormat="1" ht="12.75"/>
    <row r="25942" s="3161" customFormat="1" ht="12.75"/>
    <row r="25943" s="3161" customFormat="1" ht="12.75"/>
    <row r="25944" s="3161" customFormat="1" ht="12.75"/>
    <row r="25945" s="3161" customFormat="1" ht="12.75"/>
    <row r="25946" s="3161" customFormat="1" ht="12.75"/>
    <row r="25947" s="3161" customFormat="1" ht="12.75"/>
    <row r="25948" s="3161" customFormat="1" ht="12.75"/>
    <row r="25949" s="3161" customFormat="1" ht="12.75"/>
    <row r="25950" s="3161" customFormat="1" ht="12.75"/>
    <row r="25951" s="3161" customFormat="1" ht="12.75"/>
    <row r="25952" s="3161" customFormat="1" ht="12.75"/>
    <row r="25953" s="3161" customFormat="1" ht="12.75"/>
    <row r="25954" s="3161" customFormat="1" ht="12.75"/>
    <row r="25955" s="3161" customFormat="1" ht="12.75"/>
    <row r="25956" s="3161" customFormat="1" ht="12.75"/>
    <row r="25957" s="3161" customFormat="1" ht="12.75"/>
    <row r="25958" s="3161" customFormat="1" ht="12.75"/>
    <row r="25959" s="3161" customFormat="1" ht="12.75"/>
    <row r="25960" s="3161" customFormat="1" ht="12.75"/>
    <row r="25961" s="3161" customFormat="1" ht="12.75"/>
    <row r="25962" s="3161" customFormat="1" ht="12.75"/>
    <row r="25963" s="3161" customFormat="1" ht="12.75"/>
    <row r="25964" s="3161" customFormat="1" ht="12.75"/>
    <row r="25965" s="3161" customFormat="1" ht="12.75"/>
    <row r="25966" s="3161" customFormat="1" ht="12.75"/>
    <row r="25967" s="3161" customFormat="1" ht="12.75"/>
    <row r="25968" s="3161" customFormat="1" ht="12.75"/>
    <row r="25969" s="3161" customFormat="1" ht="12.75"/>
    <row r="25970" s="3161" customFormat="1" ht="12.75"/>
    <row r="25971" s="3161" customFormat="1" ht="12.75"/>
    <row r="25972" s="3161" customFormat="1" ht="12.75"/>
    <row r="25973" s="3161" customFormat="1" ht="12.75"/>
    <row r="25974" s="3161" customFormat="1" ht="12.75"/>
    <row r="25975" s="3161" customFormat="1" ht="12.75"/>
    <row r="25976" s="3161" customFormat="1" ht="12.75"/>
    <row r="25977" s="3161" customFormat="1" ht="12.75"/>
    <row r="25978" s="3161" customFormat="1" ht="12.75"/>
    <row r="25979" s="3161" customFormat="1" ht="12.75"/>
    <row r="25980" s="3161" customFormat="1" ht="12.75"/>
    <row r="25981" s="3161" customFormat="1" ht="12.75"/>
    <row r="25982" s="3161" customFormat="1" ht="12.75"/>
    <row r="25983" s="3161" customFormat="1" ht="12.75"/>
    <row r="25984" s="3161" customFormat="1" ht="12.75"/>
    <row r="25985" s="3161" customFormat="1" ht="12.75"/>
    <row r="25986" s="3161" customFormat="1" ht="12.75"/>
    <row r="25987" s="3161" customFormat="1" ht="12.75"/>
    <row r="25988" s="3161" customFormat="1" ht="12.75"/>
    <row r="25989" s="3161" customFormat="1" ht="12.75"/>
    <row r="25990" s="3161" customFormat="1" ht="12.75"/>
    <row r="25991" s="3161" customFormat="1" ht="12.75"/>
    <row r="25992" s="3161" customFormat="1" ht="12.75"/>
    <row r="25993" s="3161" customFormat="1" ht="12.75"/>
    <row r="25994" s="3161" customFormat="1" ht="12.75"/>
    <row r="25995" s="3161" customFormat="1" ht="12.75"/>
    <row r="25996" s="3161" customFormat="1" ht="12.75"/>
    <row r="25997" s="3161" customFormat="1" ht="12.75"/>
    <row r="25998" s="3161" customFormat="1" ht="12.75"/>
    <row r="25999" s="3161" customFormat="1" ht="12.75"/>
    <row r="26000" s="3161" customFormat="1" ht="12.75"/>
    <row r="26001" s="3161" customFormat="1" ht="12.75"/>
    <row r="26002" s="3161" customFormat="1" ht="12.75"/>
    <row r="26003" s="3161" customFormat="1" ht="12.75"/>
    <row r="26004" s="3161" customFormat="1" ht="12.75"/>
    <row r="26005" s="3161" customFormat="1" ht="12.75"/>
    <row r="26006" s="3161" customFormat="1" ht="12.75"/>
    <row r="26007" s="3161" customFormat="1" ht="12.75"/>
    <row r="26008" s="3161" customFormat="1" ht="12.75"/>
    <row r="26009" s="3161" customFormat="1" ht="12.75"/>
    <row r="26010" s="3161" customFormat="1" ht="12.75"/>
    <row r="26011" s="3161" customFormat="1" ht="12.75"/>
    <row r="26012" s="3161" customFormat="1" ht="12.75"/>
    <row r="26013" s="3161" customFormat="1" ht="12.75"/>
    <row r="26014" s="3161" customFormat="1" ht="12.75"/>
    <row r="26015" s="3161" customFormat="1" ht="12.75"/>
    <row r="26016" s="3161" customFormat="1" ht="12.75"/>
    <row r="26017" s="3161" customFormat="1" ht="12.75"/>
    <row r="26018" s="3161" customFormat="1" ht="12.75"/>
    <row r="26019" s="3161" customFormat="1" ht="12.75"/>
    <row r="26020" s="3161" customFormat="1" ht="12.75"/>
    <row r="26021" s="3161" customFormat="1" ht="12.75"/>
    <row r="26022" s="3161" customFormat="1" ht="12.75"/>
    <row r="26023" s="3161" customFormat="1" ht="12.75"/>
    <row r="26024" s="3161" customFormat="1" ht="12.75"/>
    <row r="26025" s="3161" customFormat="1" ht="12.75"/>
    <row r="26026" s="3161" customFormat="1" ht="12.75"/>
    <row r="26027" s="3161" customFormat="1" ht="12.75"/>
    <row r="26028" s="3161" customFormat="1" ht="12.75"/>
    <row r="26029" s="3161" customFormat="1" ht="12.75"/>
    <row r="26030" s="3161" customFormat="1" ht="12.75"/>
    <row r="26031" s="3161" customFormat="1" ht="12.75"/>
    <row r="26032" s="3161" customFormat="1" ht="12.75"/>
    <row r="26033" s="3161" customFormat="1" ht="12.75"/>
    <row r="26034" s="3161" customFormat="1" ht="12.75"/>
    <row r="26035" s="3161" customFormat="1" ht="12.75"/>
    <row r="26036" s="3161" customFormat="1" ht="12.75"/>
    <row r="26037" s="3161" customFormat="1" ht="12.75"/>
    <row r="26038" s="3161" customFormat="1" ht="12.75"/>
    <row r="26039" s="3161" customFormat="1" ht="12.75"/>
    <row r="26040" s="3161" customFormat="1" ht="12.75"/>
    <row r="26041" s="3161" customFormat="1" ht="12.75"/>
    <row r="26042" s="3161" customFormat="1" ht="12.75"/>
    <row r="26043" s="3161" customFormat="1" ht="12.75"/>
    <row r="26044" s="3161" customFormat="1" ht="12.75"/>
    <row r="26045" s="3161" customFormat="1" ht="12.75"/>
    <row r="26046" s="3161" customFormat="1" ht="12.75"/>
    <row r="26047" s="3161" customFormat="1" ht="12.75"/>
    <row r="26048" s="3161" customFormat="1" ht="12.75"/>
    <row r="26049" s="3161" customFormat="1" ht="12.75"/>
    <row r="26050" s="3161" customFormat="1" ht="12.75"/>
    <row r="26051" s="3161" customFormat="1" ht="12.75"/>
    <row r="26052" s="3161" customFormat="1" ht="12.75"/>
    <row r="26053" s="3161" customFormat="1" ht="12.75"/>
    <row r="26054" s="3161" customFormat="1" ht="12.75"/>
    <row r="26055" s="3161" customFormat="1" ht="12.75"/>
    <row r="26056" s="3161" customFormat="1" ht="12.75"/>
    <row r="26057" s="3161" customFormat="1" ht="12.75"/>
    <row r="26058" s="3161" customFormat="1" ht="12.75"/>
    <row r="26059" s="3161" customFormat="1" ht="12.75"/>
    <row r="26060" s="3161" customFormat="1" ht="12.75"/>
    <row r="26061" s="3161" customFormat="1" ht="12.75"/>
    <row r="26062" s="3161" customFormat="1" ht="12.75"/>
    <row r="26063" s="3161" customFormat="1" ht="12.75"/>
    <row r="26064" s="3161" customFormat="1" ht="12.75"/>
    <row r="26065" s="3161" customFormat="1" ht="12.75"/>
    <row r="26066" s="3161" customFormat="1" ht="12.75"/>
    <row r="26067" s="3161" customFormat="1" ht="12.75"/>
    <row r="26068" s="3161" customFormat="1" ht="12.75"/>
    <row r="26069" s="3161" customFormat="1" ht="12.75"/>
    <row r="26070" s="3161" customFormat="1" ht="12.75"/>
    <row r="26071" s="3161" customFormat="1" ht="12.75"/>
    <row r="26072" s="3161" customFormat="1" ht="12.75"/>
    <row r="26073" s="3161" customFormat="1" ht="12.75"/>
    <row r="26074" s="3161" customFormat="1" ht="12.75"/>
    <row r="26075" s="3161" customFormat="1" ht="12.75"/>
    <row r="26076" s="3161" customFormat="1" ht="12.75"/>
    <row r="26077" s="3161" customFormat="1" ht="12.75"/>
    <row r="26078" s="3161" customFormat="1" ht="12.75"/>
    <row r="26079" s="3161" customFormat="1" ht="12.75"/>
    <row r="26080" s="3161" customFormat="1" ht="12.75"/>
    <row r="26081" s="3161" customFormat="1" ht="12.75"/>
    <row r="26082" s="3161" customFormat="1" ht="12.75"/>
    <row r="26083" s="3161" customFormat="1" ht="12.75"/>
    <row r="26084" s="3161" customFormat="1" ht="12.75"/>
    <row r="26085" s="3161" customFormat="1" ht="12.75"/>
    <row r="26086" s="3161" customFormat="1" ht="12.75"/>
    <row r="26087" s="3161" customFormat="1" ht="12.75"/>
    <row r="26088" s="3161" customFormat="1" ht="12.75"/>
    <row r="26089" s="3161" customFormat="1" ht="12.75"/>
    <row r="26090" s="3161" customFormat="1" ht="12.75"/>
    <row r="26091" s="3161" customFormat="1" ht="12.75"/>
    <row r="26092" s="3161" customFormat="1" ht="12.75"/>
    <row r="26093" s="3161" customFormat="1" ht="12.75"/>
    <row r="26094" s="3161" customFormat="1" ht="12.75"/>
    <row r="26095" s="3161" customFormat="1" ht="12.75"/>
    <row r="26096" s="3161" customFormat="1" ht="12.75"/>
    <row r="26097" s="3161" customFormat="1" ht="12.75"/>
    <row r="26098" s="3161" customFormat="1" ht="12.75"/>
    <row r="26099" s="3161" customFormat="1" ht="12.75"/>
    <row r="26100" s="3161" customFormat="1" ht="12.75"/>
    <row r="26101" s="3161" customFormat="1" ht="12.75"/>
    <row r="26102" s="3161" customFormat="1" ht="12.75"/>
    <row r="26103" s="3161" customFormat="1" ht="12.75"/>
    <row r="26104" s="3161" customFormat="1" ht="12.75"/>
    <row r="26105" s="3161" customFormat="1" ht="12.75"/>
    <row r="26106" s="3161" customFormat="1" ht="12.75"/>
    <row r="26107" s="3161" customFormat="1" ht="12.75"/>
    <row r="26108" s="3161" customFormat="1" ht="12.75"/>
    <row r="26109" s="3161" customFormat="1" ht="12.75"/>
    <row r="26110" s="3161" customFormat="1" ht="12.75"/>
    <row r="26111" s="3161" customFormat="1" ht="12.75"/>
    <row r="26112" s="3161" customFormat="1" ht="12.75"/>
    <row r="26113" s="3161" customFormat="1" ht="12.75"/>
    <row r="26114" s="3161" customFormat="1" ht="12.75"/>
    <row r="26115" s="3161" customFormat="1" ht="12.75"/>
    <row r="26116" s="3161" customFormat="1" ht="12.75"/>
    <row r="26117" s="3161" customFormat="1" ht="12.75"/>
    <row r="26118" s="3161" customFormat="1" ht="12.75"/>
    <row r="26119" s="3161" customFormat="1" ht="12.75"/>
    <row r="26120" s="3161" customFormat="1" ht="12.75"/>
    <row r="26121" s="3161" customFormat="1" ht="12.75"/>
    <row r="26122" s="3161" customFormat="1" ht="12.75"/>
    <row r="26123" s="3161" customFormat="1" ht="12.75"/>
    <row r="26124" s="3161" customFormat="1" ht="12.75"/>
    <row r="26125" s="3161" customFormat="1" ht="12.75"/>
    <row r="26126" s="3161" customFormat="1" ht="12.75"/>
    <row r="26127" s="3161" customFormat="1" ht="12.75"/>
    <row r="26128" s="3161" customFormat="1" ht="12.75"/>
    <row r="26129" s="3161" customFormat="1" ht="12.75"/>
    <row r="26130" s="3161" customFormat="1" ht="12.75"/>
    <row r="26131" s="3161" customFormat="1" ht="12.75"/>
    <row r="26132" s="3161" customFormat="1" ht="12.75"/>
    <row r="26133" s="3161" customFormat="1" ht="12.75"/>
    <row r="26134" s="3161" customFormat="1" ht="12.75"/>
    <row r="26135" s="3161" customFormat="1" ht="12.75"/>
    <row r="26136" s="3161" customFormat="1" ht="12.75"/>
    <row r="26137" s="3161" customFormat="1" ht="12.75"/>
    <row r="26138" s="3161" customFormat="1" ht="12.75"/>
    <row r="26139" s="3161" customFormat="1" ht="12.75"/>
    <row r="26140" s="3161" customFormat="1" ht="12.75"/>
    <row r="26141" s="3161" customFormat="1" ht="12.75"/>
    <row r="26142" s="3161" customFormat="1" ht="12.75"/>
    <row r="26143" s="3161" customFormat="1" ht="12.75"/>
    <row r="26144" s="3161" customFormat="1" ht="12.75"/>
    <row r="26145" s="3161" customFormat="1" ht="12.75"/>
    <row r="26146" s="3161" customFormat="1" ht="12.75"/>
    <row r="26147" s="3161" customFormat="1" ht="12.75"/>
    <row r="26148" s="3161" customFormat="1" ht="12.75"/>
    <row r="26149" s="3161" customFormat="1" ht="12.75"/>
    <row r="26150" s="3161" customFormat="1" ht="12.75"/>
    <row r="26151" s="3161" customFormat="1" ht="12.75"/>
    <row r="26152" s="3161" customFormat="1" ht="12.75"/>
    <row r="26153" s="3161" customFormat="1" ht="12.75"/>
    <row r="26154" s="3161" customFormat="1" ht="12.75"/>
    <row r="26155" s="3161" customFormat="1" ht="12.75"/>
    <row r="26156" s="3161" customFormat="1" ht="12.75"/>
    <row r="26157" s="3161" customFormat="1" ht="12.75"/>
    <row r="26158" s="3161" customFormat="1" ht="12.75"/>
    <row r="26159" s="3161" customFormat="1" ht="12.75"/>
    <row r="26160" s="3161" customFormat="1" ht="12.75"/>
    <row r="26161" s="3161" customFormat="1" ht="12.75"/>
    <row r="26162" s="3161" customFormat="1" ht="12.75"/>
    <row r="26163" s="3161" customFormat="1" ht="12.75"/>
    <row r="26164" s="3161" customFormat="1" ht="12.75"/>
    <row r="26165" s="3161" customFormat="1" ht="12.75"/>
    <row r="26166" s="3161" customFormat="1" ht="12.75"/>
    <row r="26167" s="3161" customFormat="1" ht="12.75"/>
    <row r="26168" s="3161" customFormat="1" ht="12.75"/>
    <row r="26169" s="3161" customFormat="1" ht="12.75"/>
    <row r="26170" s="3161" customFormat="1" ht="12.75"/>
    <row r="26171" s="3161" customFormat="1" ht="12.75"/>
    <row r="26172" s="3161" customFormat="1" ht="12.75"/>
    <row r="26173" s="3161" customFormat="1" ht="12.75"/>
    <row r="26174" s="3161" customFormat="1" ht="12.75"/>
    <row r="26175" s="3161" customFormat="1" ht="12.75"/>
    <row r="26176" s="3161" customFormat="1" ht="12.75"/>
    <row r="26177" s="3161" customFormat="1" ht="12.75"/>
    <row r="26178" s="3161" customFormat="1" ht="12.75"/>
    <row r="26179" s="3161" customFormat="1" ht="12.75"/>
    <row r="26180" s="3161" customFormat="1" ht="12.75"/>
    <row r="26181" s="3161" customFormat="1" ht="12.75"/>
    <row r="26182" s="3161" customFormat="1" ht="12.75"/>
    <row r="26183" s="3161" customFormat="1" ht="12.75"/>
    <row r="26184" s="3161" customFormat="1" ht="12.75"/>
    <row r="26185" s="3161" customFormat="1" ht="12.75"/>
    <row r="26186" s="3161" customFormat="1" ht="12.75"/>
    <row r="26187" s="3161" customFormat="1" ht="12.75"/>
    <row r="26188" s="3161" customFormat="1" ht="12.75"/>
    <row r="26189" s="3161" customFormat="1" ht="12.75"/>
    <row r="26190" s="3161" customFormat="1" ht="12.75"/>
    <row r="26191" s="3161" customFormat="1" ht="12.75"/>
    <row r="26192" s="3161" customFormat="1" ht="12.75"/>
    <row r="26193" s="3161" customFormat="1" ht="12.75"/>
    <row r="26194" s="3161" customFormat="1" ht="12.75"/>
    <row r="26195" s="3161" customFormat="1" ht="12.75"/>
    <row r="26196" s="3161" customFormat="1" ht="12.75"/>
    <row r="26197" s="3161" customFormat="1" ht="12.75"/>
    <row r="26198" s="3161" customFormat="1" ht="12.75"/>
    <row r="26199" s="3161" customFormat="1" ht="12.75"/>
    <row r="26200" s="3161" customFormat="1" ht="12.75"/>
    <row r="26201" s="3161" customFormat="1" ht="12.75"/>
    <row r="26202" s="3161" customFormat="1" ht="12.75"/>
    <row r="26203" s="3161" customFormat="1" ht="12.75"/>
    <row r="26204" s="3161" customFormat="1" ht="12.75"/>
    <row r="26205" s="3161" customFormat="1" ht="12.75"/>
    <row r="26206" s="3161" customFormat="1" ht="12.75"/>
    <row r="26207" s="3161" customFormat="1" ht="12.75"/>
    <row r="26208" s="3161" customFormat="1" ht="12.75"/>
    <row r="26209" s="3161" customFormat="1" ht="12.75"/>
    <row r="26210" s="3161" customFormat="1" ht="12.75"/>
    <row r="26211" s="3161" customFormat="1" ht="12.75"/>
    <row r="26212" s="3161" customFormat="1" ht="12.75"/>
    <row r="26213" s="3161" customFormat="1" ht="12.75"/>
    <row r="26214" s="3161" customFormat="1" ht="12.75"/>
    <row r="26215" s="3161" customFormat="1" ht="12.75"/>
    <row r="26216" s="3161" customFormat="1" ht="12.75"/>
    <row r="26217" s="3161" customFormat="1" ht="12.75"/>
    <row r="26218" s="3161" customFormat="1" ht="12.75"/>
    <row r="26219" s="3161" customFormat="1" ht="12.75"/>
    <row r="26220" s="3161" customFormat="1" ht="12.75"/>
    <row r="26221" s="3161" customFormat="1" ht="12.75"/>
    <row r="26222" s="3161" customFormat="1" ht="12.75"/>
    <row r="26223" s="3161" customFormat="1" ht="12.75"/>
    <row r="26224" s="3161" customFormat="1" ht="12.75"/>
    <row r="26225" s="3161" customFormat="1" ht="12.75"/>
    <row r="26226" s="3161" customFormat="1" ht="12.75"/>
    <row r="26227" s="3161" customFormat="1" ht="12.75"/>
    <row r="26228" s="3161" customFormat="1" ht="12.75"/>
    <row r="26229" s="3161" customFormat="1" ht="12.75"/>
    <row r="26230" s="3161" customFormat="1" ht="12.75"/>
    <row r="26231" s="3161" customFormat="1" ht="12.75"/>
    <row r="26232" s="3161" customFormat="1" ht="12.75"/>
    <row r="26233" s="3161" customFormat="1" ht="12.75"/>
    <row r="26234" s="3161" customFormat="1" ht="12.75"/>
    <row r="26235" s="3161" customFormat="1" ht="12.75"/>
    <row r="26236" s="3161" customFormat="1" ht="12.75"/>
    <row r="26237" s="3161" customFormat="1" ht="12.75"/>
    <row r="26238" s="3161" customFormat="1" ht="12.75"/>
    <row r="26239" s="3161" customFormat="1" ht="12.75"/>
    <row r="26240" s="3161" customFormat="1" ht="12.75"/>
    <row r="26241" s="3161" customFormat="1" ht="12.75"/>
    <row r="26242" s="3161" customFormat="1" ht="12.75"/>
    <row r="26243" s="3161" customFormat="1" ht="12.75"/>
    <row r="26244" s="3161" customFormat="1" ht="12.75"/>
    <row r="26245" s="3161" customFormat="1" ht="12.75"/>
    <row r="26246" s="3161" customFormat="1" ht="12.75"/>
    <row r="26247" s="3161" customFormat="1" ht="12.75"/>
    <row r="26248" s="3161" customFormat="1" ht="12.75"/>
    <row r="26249" s="3161" customFormat="1" ht="12.75"/>
    <row r="26250" s="3161" customFormat="1" ht="12.75"/>
    <row r="26251" s="3161" customFormat="1" ht="12.75"/>
    <row r="26252" s="3161" customFormat="1" ht="12.75"/>
    <row r="26253" s="3161" customFormat="1" ht="12.75"/>
    <row r="26254" s="3161" customFormat="1" ht="12.75"/>
    <row r="26255" s="3161" customFormat="1" ht="12.75"/>
    <row r="26256" s="3161" customFormat="1" ht="12.75"/>
    <row r="26257" s="3161" customFormat="1" ht="12.75"/>
    <row r="26258" s="3161" customFormat="1" ht="12.75"/>
    <row r="26259" s="3161" customFormat="1" ht="12.75"/>
    <row r="26260" s="3161" customFormat="1" ht="12.75"/>
    <row r="26261" s="3161" customFormat="1" ht="12.75"/>
    <row r="26262" s="3161" customFormat="1" ht="12.75"/>
    <row r="26263" s="3161" customFormat="1" ht="12.75"/>
    <row r="26264" s="3161" customFormat="1" ht="12.75"/>
    <row r="26265" s="3161" customFormat="1" ht="12.75"/>
    <row r="26266" s="3161" customFormat="1" ht="12.75"/>
    <row r="26267" s="3161" customFormat="1" ht="12.75"/>
    <row r="26268" s="3161" customFormat="1" ht="12.75"/>
    <row r="26269" s="3161" customFormat="1" ht="12.75"/>
    <row r="26270" s="3161" customFormat="1" ht="12.75"/>
    <row r="26271" s="3161" customFormat="1" ht="12.75"/>
    <row r="26272" s="3161" customFormat="1" ht="12.75"/>
    <row r="26273" s="3161" customFormat="1" ht="12.75"/>
    <row r="26274" s="3161" customFormat="1" ht="12.75"/>
    <row r="26275" s="3161" customFormat="1" ht="12.75"/>
    <row r="26276" s="3161" customFormat="1" ht="12.75"/>
    <row r="26277" s="3161" customFormat="1" ht="12.75"/>
    <row r="26278" s="3161" customFormat="1" ht="12.75"/>
    <row r="26279" s="3161" customFormat="1" ht="12.75"/>
    <row r="26280" s="3161" customFormat="1" ht="12.75"/>
    <row r="26281" s="3161" customFormat="1" ht="12.75"/>
    <row r="26282" s="3161" customFormat="1" ht="12.75"/>
    <row r="26283" s="3161" customFormat="1" ht="12.75"/>
    <row r="26284" s="3161" customFormat="1" ht="12.75"/>
    <row r="26285" s="3161" customFormat="1" ht="12.75"/>
    <row r="26286" s="3161" customFormat="1" ht="12.75"/>
    <row r="26287" s="3161" customFormat="1" ht="12.75"/>
    <row r="26288" s="3161" customFormat="1" ht="12.75"/>
    <row r="26289" s="3161" customFormat="1" ht="12.75"/>
    <row r="26290" s="3161" customFormat="1" ht="12.75"/>
    <row r="26291" s="3161" customFormat="1" ht="12.75"/>
    <row r="26292" s="3161" customFormat="1" ht="12.75"/>
    <row r="26293" s="3161" customFormat="1" ht="12.75"/>
    <row r="26294" s="3161" customFormat="1" ht="12.75"/>
    <row r="26295" s="3161" customFormat="1" ht="12.75"/>
    <row r="26296" s="3161" customFormat="1" ht="12.75"/>
    <row r="26297" s="3161" customFormat="1" ht="12.75"/>
    <row r="26298" s="3161" customFormat="1" ht="12.75"/>
    <row r="26299" s="3161" customFormat="1" ht="12.75"/>
    <row r="26300" s="3161" customFormat="1" ht="12.75"/>
    <row r="26301" s="3161" customFormat="1" ht="12.75"/>
    <row r="26302" s="3161" customFormat="1" ht="12.75"/>
    <row r="26303" s="3161" customFormat="1" ht="12.75"/>
    <row r="26304" s="3161" customFormat="1" ht="12.75"/>
    <row r="26305" s="3161" customFormat="1" ht="12.75"/>
    <row r="26306" s="3161" customFormat="1" ht="12.75"/>
    <row r="26307" s="3161" customFormat="1" ht="12.75"/>
    <row r="26308" s="3161" customFormat="1" ht="12.75"/>
    <row r="26309" s="3161" customFormat="1" ht="12.75"/>
    <row r="26310" s="3161" customFormat="1" ht="12.75"/>
    <row r="26311" s="3161" customFormat="1" ht="12.75"/>
    <row r="26312" s="3161" customFormat="1" ht="12.75"/>
    <row r="26313" s="3161" customFormat="1" ht="12.75"/>
    <row r="26314" s="3161" customFormat="1" ht="12.75"/>
    <row r="26315" s="3161" customFormat="1" ht="12.75"/>
    <row r="26316" s="3161" customFormat="1" ht="12.75"/>
    <row r="26317" s="3161" customFormat="1" ht="12.75"/>
    <row r="26318" s="3161" customFormat="1" ht="12.75"/>
    <row r="26319" s="3161" customFormat="1" ht="12.75"/>
    <row r="26320" s="3161" customFormat="1" ht="12.75"/>
    <row r="26321" s="3161" customFormat="1" ht="12.75"/>
    <row r="26322" s="3161" customFormat="1" ht="12.75"/>
    <row r="26323" s="3161" customFormat="1" ht="12.75"/>
    <row r="26324" s="3161" customFormat="1" ht="12.75"/>
    <row r="26325" s="3161" customFormat="1" ht="12.75"/>
    <row r="26326" s="3161" customFormat="1" ht="12.75"/>
    <row r="26327" s="3161" customFormat="1" ht="12.75"/>
    <row r="26328" s="3161" customFormat="1" ht="12.75"/>
    <row r="26329" s="3161" customFormat="1" ht="12.75"/>
    <row r="26330" s="3161" customFormat="1" ht="12.75"/>
    <row r="26331" s="3161" customFormat="1" ht="12.75"/>
    <row r="26332" s="3161" customFormat="1" ht="12.75"/>
    <row r="26333" s="3161" customFormat="1" ht="12.75"/>
    <row r="26334" s="3161" customFormat="1" ht="12.75"/>
    <row r="26335" s="3161" customFormat="1" ht="12.75"/>
    <row r="26336" s="3161" customFormat="1" ht="12.75"/>
    <row r="26337" s="3161" customFormat="1" ht="12.75"/>
    <row r="26338" s="3161" customFormat="1" ht="12.75"/>
    <row r="26339" s="3161" customFormat="1" ht="12.75"/>
    <row r="26340" s="3161" customFormat="1" ht="12.75"/>
    <row r="26341" s="3161" customFormat="1" ht="12.75"/>
    <row r="26342" s="3161" customFormat="1" ht="12.75"/>
    <row r="26343" s="3161" customFormat="1" ht="12.75"/>
    <row r="26344" s="3161" customFormat="1" ht="12.75"/>
    <row r="26345" s="3161" customFormat="1" ht="12.75"/>
    <row r="26346" s="3161" customFormat="1" ht="12.75"/>
    <row r="26347" s="3161" customFormat="1" ht="12.75"/>
    <row r="26348" s="3161" customFormat="1" ht="12.75"/>
    <row r="26349" s="3161" customFormat="1" ht="12.75"/>
    <row r="26350" s="3161" customFormat="1" ht="12.75"/>
    <row r="26351" s="3161" customFormat="1" ht="12.75"/>
    <row r="26352" s="3161" customFormat="1" ht="12.75"/>
    <row r="26353" s="3161" customFormat="1" ht="12.75"/>
    <row r="26354" s="3161" customFormat="1" ht="12.75"/>
    <row r="26355" s="3161" customFormat="1" ht="12.75"/>
    <row r="26356" s="3161" customFormat="1" ht="12.75"/>
    <row r="26357" s="3161" customFormat="1" ht="12.75"/>
    <row r="26358" s="3161" customFormat="1" ht="12.75"/>
    <row r="26359" s="3161" customFormat="1" ht="12.75"/>
    <row r="26360" s="3161" customFormat="1" ht="12.75"/>
    <row r="26361" s="3161" customFormat="1" ht="12.75"/>
    <row r="26362" s="3161" customFormat="1" ht="12.75"/>
    <row r="26363" s="3161" customFormat="1" ht="12.75"/>
    <row r="26364" s="3161" customFormat="1" ht="12.75"/>
    <row r="26365" s="3161" customFormat="1" ht="12.75"/>
    <row r="26366" s="3161" customFormat="1" ht="12.75"/>
    <row r="26367" s="3161" customFormat="1" ht="12.75"/>
    <row r="26368" s="3161" customFormat="1" ht="12.75"/>
    <row r="26369" s="3161" customFormat="1" ht="12.75"/>
    <row r="26370" s="3161" customFormat="1" ht="12.75"/>
    <row r="26371" s="3161" customFormat="1" ht="12.75"/>
    <row r="26372" s="3161" customFormat="1" ht="12.75"/>
    <row r="26373" s="3161" customFormat="1" ht="12.75"/>
    <row r="26374" s="3161" customFormat="1" ht="12.75"/>
    <row r="26375" s="3161" customFormat="1" ht="12.75"/>
    <row r="26376" s="3161" customFormat="1" ht="12.75"/>
    <row r="26377" s="3161" customFormat="1" ht="12.75"/>
    <row r="26378" s="3161" customFormat="1" ht="12.75"/>
    <row r="26379" s="3161" customFormat="1" ht="12.75"/>
    <row r="26380" s="3161" customFormat="1" ht="12.75"/>
    <row r="26381" s="3161" customFormat="1" ht="12.75"/>
    <row r="26382" s="3161" customFormat="1" ht="12.75"/>
    <row r="26383" s="3161" customFormat="1" ht="12.75"/>
    <row r="26384" s="3161" customFormat="1" ht="12.75"/>
    <row r="26385" s="3161" customFormat="1" ht="12.75"/>
    <row r="26386" s="3161" customFormat="1" ht="12.75"/>
    <row r="26387" s="3161" customFormat="1" ht="12.75"/>
    <row r="26388" s="3161" customFormat="1" ht="12.75"/>
    <row r="26389" s="3161" customFormat="1" ht="12.75"/>
    <row r="26390" s="3161" customFormat="1" ht="12.75"/>
    <row r="26391" s="3161" customFormat="1" ht="12.75"/>
    <row r="26392" s="3161" customFormat="1" ht="12.75"/>
    <row r="26393" s="3161" customFormat="1" ht="12.75"/>
    <row r="26394" s="3161" customFormat="1" ht="12.75"/>
    <row r="26395" s="3161" customFormat="1" ht="12.75"/>
    <row r="26396" s="3161" customFormat="1" ht="12.75"/>
    <row r="26397" s="3161" customFormat="1" ht="12.75"/>
    <row r="26398" s="3161" customFormat="1" ht="12.75"/>
    <row r="26399" s="3161" customFormat="1" ht="12.75"/>
    <row r="26400" s="3161" customFormat="1" ht="12.75"/>
    <row r="26401" s="3161" customFormat="1" ht="12.75"/>
    <row r="26402" s="3161" customFormat="1" ht="12.75"/>
    <row r="26403" s="3161" customFormat="1" ht="12.75"/>
    <row r="26404" s="3161" customFormat="1" ht="12.75"/>
    <row r="26405" s="3161" customFormat="1" ht="12.75"/>
    <row r="26406" s="3161" customFormat="1" ht="12.75"/>
    <row r="26407" s="3161" customFormat="1" ht="12.75"/>
    <row r="26408" s="3161" customFormat="1" ht="12.75"/>
    <row r="26409" s="3161" customFormat="1" ht="12.75"/>
    <row r="26410" s="3161" customFormat="1" ht="12.75"/>
    <row r="26411" s="3161" customFormat="1" ht="12.75"/>
    <row r="26412" s="3161" customFormat="1" ht="12.75"/>
    <row r="26413" s="3161" customFormat="1" ht="12.75"/>
    <row r="26414" s="3161" customFormat="1" ht="12.75"/>
    <row r="26415" s="3161" customFormat="1" ht="12.75"/>
    <row r="26416" s="3161" customFormat="1" ht="12.75"/>
    <row r="26417" s="3161" customFormat="1" ht="12.75"/>
    <row r="26418" s="3161" customFormat="1" ht="12.75"/>
    <row r="26419" s="3161" customFormat="1" ht="12.75"/>
    <row r="26420" s="3161" customFormat="1" ht="12.75"/>
    <row r="26421" s="3161" customFormat="1" ht="12.75"/>
    <row r="26422" s="3161" customFormat="1" ht="12.75"/>
    <row r="26423" s="3161" customFormat="1" ht="12.75"/>
    <row r="26424" s="3161" customFormat="1" ht="12.75"/>
    <row r="26425" s="3161" customFormat="1" ht="12.75"/>
    <row r="26426" s="3161" customFormat="1" ht="12.75"/>
    <row r="26427" s="3161" customFormat="1" ht="12.75"/>
    <row r="26428" s="3161" customFormat="1" ht="12.75"/>
    <row r="26429" s="3161" customFormat="1" ht="12.75"/>
    <row r="26430" s="3161" customFormat="1" ht="12.75"/>
    <row r="26431" s="3161" customFormat="1" ht="12.75"/>
    <row r="26432" s="3161" customFormat="1" ht="12.75"/>
    <row r="26433" s="3161" customFormat="1" ht="12.75"/>
    <row r="26434" s="3161" customFormat="1" ht="12.75"/>
    <row r="26435" s="3161" customFormat="1" ht="12.75"/>
    <row r="26436" s="3161" customFormat="1" ht="12.75"/>
    <row r="26437" s="3161" customFormat="1" ht="12.75"/>
    <row r="26438" s="3161" customFormat="1" ht="12.75"/>
    <row r="26439" s="3161" customFormat="1" ht="12.75"/>
    <row r="26440" s="3161" customFormat="1" ht="12.75"/>
    <row r="26441" s="3161" customFormat="1" ht="12.75"/>
    <row r="26442" s="3161" customFormat="1" ht="12.75"/>
    <row r="26443" s="3161" customFormat="1" ht="12.75"/>
    <row r="26444" s="3161" customFormat="1" ht="12.75"/>
    <row r="26445" s="3161" customFormat="1" ht="12.75"/>
    <row r="26446" s="3161" customFormat="1" ht="12.75"/>
    <row r="26447" s="3161" customFormat="1" ht="12.75"/>
    <row r="26448" s="3161" customFormat="1" ht="12.75"/>
    <row r="26449" s="3161" customFormat="1" ht="12.75"/>
    <row r="26450" s="3161" customFormat="1" ht="12.75"/>
    <row r="26451" s="3161" customFormat="1" ht="12.75"/>
    <row r="26452" s="3161" customFormat="1" ht="12.75"/>
    <row r="26453" s="3161" customFormat="1" ht="12.75"/>
    <row r="26454" s="3161" customFormat="1" ht="12.75"/>
    <row r="26455" s="3161" customFormat="1" ht="12.75"/>
    <row r="26456" s="3161" customFormat="1" ht="12.75"/>
    <row r="26457" s="3161" customFormat="1" ht="12.75"/>
    <row r="26458" s="3161" customFormat="1" ht="12.75"/>
    <row r="26459" s="3161" customFormat="1" ht="12.75"/>
    <row r="26460" s="3161" customFormat="1" ht="12.75"/>
    <row r="26461" s="3161" customFormat="1" ht="12.75"/>
    <row r="26462" s="3161" customFormat="1" ht="12.75"/>
    <row r="26463" s="3161" customFormat="1" ht="12.75"/>
    <row r="26464" s="3161" customFormat="1" ht="12.75"/>
    <row r="26465" s="3161" customFormat="1" ht="12.75"/>
    <row r="26466" s="3161" customFormat="1" ht="12.75"/>
    <row r="26467" s="3161" customFormat="1" ht="12.75"/>
    <row r="26468" s="3161" customFormat="1" ht="12.75"/>
    <row r="26469" s="3161" customFormat="1" ht="12.75"/>
    <row r="26470" s="3161" customFormat="1" ht="12.75"/>
    <row r="26471" s="3161" customFormat="1" ht="12.75"/>
    <row r="26472" s="3161" customFormat="1" ht="12.75"/>
    <row r="26473" s="3161" customFormat="1" ht="12.75"/>
    <row r="26474" s="3161" customFormat="1" ht="12.75"/>
    <row r="26475" s="3161" customFormat="1" ht="12.75"/>
    <row r="26476" s="3161" customFormat="1" ht="12.75"/>
    <row r="26477" s="3161" customFormat="1" ht="12.75"/>
    <row r="26478" s="3161" customFormat="1" ht="12.75"/>
    <row r="26479" s="3161" customFormat="1" ht="12.75"/>
    <row r="26480" s="3161" customFormat="1" ht="12.75"/>
    <row r="26481" s="3161" customFormat="1" ht="12.75"/>
    <row r="26482" s="3161" customFormat="1" ht="12.75"/>
    <row r="26483" s="3161" customFormat="1" ht="12.75"/>
    <row r="26484" s="3161" customFormat="1" ht="12.75"/>
    <row r="26485" s="3161" customFormat="1" ht="12.75"/>
    <row r="26486" s="3161" customFormat="1" ht="12.75"/>
    <row r="26487" s="3161" customFormat="1" ht="12.75"/>
    <row r="26488" s="3161" customFormat="1" ht="12.75"/>
    <row r="26489" s="3161" customFormat="1" ht="12.75"/>
    <row r="26490" s="3161" customFormat="1" ht="12.75"/>
    <row r="26491" s="3161" customFormat="1" ht="12.75"/>
    <row r="26492" s="3161" customFormat="1" ht="12.75"/>
    <row r="26493" s="3161" customFormat="1" ht="12.75"/>
    <row r="26494" s="3161" customFormat="1" ht="12.75"/>
    <row r="26495" s="3161" customFormat="1" ht="12.75"/>
    <row r="26496" s="3161" customFormat="1" ht="12.75"/>
    <row r="26497" s="3161" customFormat="1" ht="12.75"/>
    <row r="26498" s="3161" customFormat="1" ht="12.75"/>
    <row r="26499" s="3161" customFormat="1" ht="12.75"/>
    <row r="26500" s="3161" customFormat="1" ht="12.75"/>
    <row r="26501" s="3161" customFormat="1" ht="12.75"/>
    <row r="26502" s="3161" customFormat="1" ht="12.75"/>
    <row r="26503" s="3161" customFormat="1" ht="12.75"/>
    <row r="26504" s="3161" customFormat="1" ht="12.75"/>
    <row r="26505" s="3161" customFormat="1" ht="12.75"/>
    <row r="26506" s="3161" customFormat="1" ht="12.75"/>
    <row r="26507" s="3161" customFormat="1" ht="12.75"/>
    <row r="26508" s="3161" customFormat="1" ht="12.75"/>
    <row r="26509" s="3161" customFormat="1" ht="12.75"/>
    <row r="26510" s="3161" customFormat="1" ht="12.75"/>
    <row r="26511" s="3161" customFormat="1" ht="12.75"/>
    <row r="26512" s="3161" customFormat="1" ht="12.75"/>
    <row r="26513" s="3161" customFormat="1" ht="12.75"/>
    <row r="26514" s="3161" customFormat="1" ht="12.75"/>
    <row r="26515" s="3161" customFormat="1" ht="12.75"/>
    <row r="26516" s="3161" customFormat="1" ht="12.75"/>
    <row r="26517" s="3161" customFormat="1" ht="12.75"/>
    <row r="26518" s="3161" customFormat="1" ht="12.75"/>
    <row r="26519" s="3161" customFormat="1" ht="12.75"/>
    <row r="26520" s="3161" customFormat="1" ht="12.75"/>
    <row r="26521" s="3161" customFormat="1" ht="12.75"/>
    <row r="26522" s="3161" customFormat="1" ht="12.75"/>
    <row r="26523" s="3161" customFormat="1" ht="12.75"/>
    <row r="26524" s="3161" customFormat="1" ht="12.75"/>
    <row r="26525" s="3161" customFormat="1" ht="12.75"/>
    <row r="26526" s="3161" customFormat="1" ht="12.75"/>
    <row r="26527" s="3161" customFormat="1" ht="12.75"/>
    <row r="26528" s="3161" customFormat="1" ht="12.75"/>
    <row r="26529" s="3161" customFormat="1" ht="12.75"/>
    <row r="26530" s="3161" customFormat="1" ht="12.75"/>
    <row r="26531" s="3161" customFormat="1" ht="12.75"/>
    <row r="26532" s="3161" customFormat="1" ht="12.75"/>
    <row r="26533" s="3161" customFormat="1" ht="12.75"/>
    <row r="26534" s="3161" customFormat="1" ht="12.75"/>
    <row r="26535" s="3161" customFormat="1" ht="12.75"/>
    <row r="26536" s="3161" customFormat="1" ht="12.75"/>
    <row r="26537" s="3161" customFormat="1" ht="12.75"/>
    <row r="26538" s="3161" customFormat="1" ht="12.75"/>
    <row r="26539" s="3161" customFormat="1" ht="12.75"/>
    <row r="26540" s="3161" customFormat="1" ht="12.75"/>
    <row r="26541" s="3161" customFormat="1" ht="12.75"/>
    <row r="26542" s="3161" customFormat="1" ht="12.75"/>
    <row r="26543" s="3161" customFormat="1" ht="12.75"/>
    <row r="26544" s="3161" customFormat="1" ht="12.75"/>
    <row r="26545" s="3161" customFormat="1" ht="12.75"/>
    <row r="26546" s="3161" customFormat="1" ht="12.75"/>
    <row r="26547" s="3161" customFormat="1" ht="12.75"/>
    <row r="26548" s="3161" customFormat="1" ht="12.75"/>
    <row r="26549" s="3161" customFormat="1" ht="12.75"/>
    <row r="26550" s="3161" customFormat="1" ht="12.75"/>
    <row r="26551" s="3161" customFormat="1" ht="12.75"/>
    <row r="26552" s="3161" customFormat="1" ht="12.75"/>
    <row r="26553" s="3161" customFormat="1" ht="12.75"/>
    <row r="26554" s="3161" customFormat="1" ht="12.75"/>
    <row r="26555" s="3161" customFormat="1" ht="12.75"/>
    <row r="26556" s="3161" customFormat="1" ht="12.75"/>
    <row r="26557" s="3161" customFormat="1" ht="12.75"/>
    <row r="26558" s="3161" customFormat="1" ht="12.75"/>
    <row r="26559" s="3161" customFormat="1" ht="12.75"/>
    <row r="26560" s="3161" customFormat="1" ht="12.75"/>
    <row r="26561" s="3161" customFormat="1" ht="12.75"/>
    <row r="26562" s="3161" customFormat="1" ht="12.75"/>
    <row r="26563" s="3161" customFormat="1" ht="12.75"/>
    <row r="26564" s="3161" customFormat="1" ht="12.75"/>
    <row r="26565" s="3161" customFormat="1" ht="12.75"/>
    <row r="26566" s="3161" customFormat="1" ht="12.75"/>
    <row r="26567" s="3161" customFormat="1" ht="12.75"/>
    <row r="26568" s="3161" customFormat="1" ht="12.75"/>
    <row r="26569" s="3161" customFormat="1" ht="12.75"/>
    <row r="26570" s="3161" customFormat="1" ht="12.75"/>
    <row r="26571" s="3161" customFormat="1" ht="12.75"/>
    <row r="26572" s="3161" customFormat="1" ht="12.75"/>
    <row r="26573" s="3161" customFormat="1" ht="12.75"/>
    <row r="26574" s="3161" customFormat="1" ht="12.75"/>
    <row r="26575" s="3161" customFormat="1" ht="12.75"/>
    <row r="26576" s="3161" customFormat="1" ht="12.75"/>
    <row r="26577" s="3161" customFormat="1" ht="12.75"/>
    <row r="26578" s="3161" customFormat="1" ht="12.75"/>
    <row r="26579" s="3161" customFormat="1" ht="12.75"/>
    <row r="26580" s="3161" customFormat="1" ht="12.75"/>
    <row r="26581" s="3161" customFormat="1" ht="12.75"/>
    <row r="26582" s="3161" customFormat="1" ht="12.75"/>
    <row r="26583" s="3161" customFormat="1" ht="12.75"/>
    <row r="26584" s="3161" customFormat="1" ht="12.75"/>
    <row r="26585" s="3161" customFormat="1" ht="12.75"/>
    <row r="26586" s="3161" customFormat="1" ht="12.75"/>
    <row r="26587" s="3161" customFormat="1" ht="12.75"/>
    <row r="26588" s="3161" customFormat="1" ht="12.75"/>
    <row r="26589" s="3161" customFormat="1" ht="12.75"/>
    <row r="26590" s="3161" customFormat="1" ht="12.75"/>
    <row r="26591" s="3161" customFormat="1" ht="12.75"/>
    <row r="26592" s="3161" customFormat="1" ht="12.75"/>
    <row r="26593" s="3161" customFormat="1" ht="12.75"/>
    <row r="26594" s="3161" customFormat="1" ht="12.75"/>
    <row r="26595" s="3161" customFormat="1" ht="12.75"/>
    <row r="26596" s="3161" customFormat="1" ht="12.75"/>
    <row r="26597" s="3161" customFormat="1" ht="12.75"/>
    <row r="26598" s="3161" customFormat="1" ht="12.75"/>
    <row r="26599" s="3161" customFormat="1" ht="12.75"/>
    <row r="26600" s="3161" customFormat="1" ht="12.75"/>
    <row r="26601" s="3161" customFormat="1" ht="12.75"/>
    <row r="26602" s="3161" customFormat="1" ht="12.75"/>
    <row r="26603" s="3161" customFormat="1" ht="12.75"/>
    <row r="26604" s="3161" customFormat="1" ht="12.75"/>
    <row r="26605" s="3161" customFormat="1" ht="12.75"/>
    <row r="26606" s="3161" customFormat="1" ht="12.75"/>
    <row r="26607" s="3161" customFormat="1" ht="12.75"/>
    <row r="26608" s="3161" customFormat="1" ht="12.75"/>
    <row r="26609" s="3161" customFormat="1" ht="12.75"/>
    <row r="26610" s="3161" customFormat="1" ht="12.75"/>
    <row r="26611" s="3161" customFormat="1" ht="12.75"/>
    <row r="26612" s="3161" customFormat="1" ht="12.75"/>
    <row r="26613" s="3161" customFormat="1" ht="12.75"/>
    <row r="26614" s="3161" customFormat="1" ht="12.75"/>
    <row r="26615" s="3161" customFormat="1" ht="12.75"/>
    <row r="26616" s="3161" customFormat="1" ht="12.75"/>
    <row r="26617" s="3161" customFormat="1" ht="12.75"/>
    <row r="26618" s="3161" customFormat="1" ht="12.75"/>
    <row r="26619" s="3161" customFormat="1" ht="12.75"/>
    <row r="26620" s="3161" customFormat="1" ht="12.75"/>
    <row r="26621" s="3161" customFormat="1" ht="12.75"/>
    <row r="26622" s="3161" customFormat="1" ht="12.75"/>
    <row r="26623" s="3161" customFormat="1" ht="12.75"/>
    <row r="26624" s="3161" customFormat="1" ht="12.75"/>
    <row r="26625" s="3161" customFormat="1" ht="12.75"/>
    <row r="26626" s="3161" customFormat="1" ht="12.75"/>
    <row r="26627" s="3161" customFormat="1" ht="12.75"/>
    <row r="26628" s="3161" customFormat="1" ht="12.75"/>
    <row r="26629" s="3161" customFormat="1" ht="12.75"/>
    <row r="26630" s="3161" customFormat="1" ht="12.75"/>
    <row r="26631" s="3161" customFormat="1" ht="12.75"/>
    <row r="26632" s="3161" customFormat="1" ht="12.75"/>
    <row r="26633" s="3161" customFormat="1" ht="12.75"/>
    <row r="26634" s="3161" customFormat="1" ht="12.75"/>
    <row r="26635" s="3161" customFormat="1" ht="12.75"/>
    <row r="26636" s="3161" customFormat="1" ht="12.75"/>
    <row r="26637" s="3161" customFormat="1" ht="12.75"/>
    <row r="26638" s="3161" customFormat="1" ht="12.75"/>
    <row r="26639" s="3161" customFormat="1" ht="12.75"/>
    <row r="26640" s="3161" customFormat="1" ht="12.75"/>
    <row r="26641" s="3161" customFormat="1" ht="12.75"/>
    <row r="26642" s="3161" customFormat="1" ht="12.75"/>
    <row r="26643" s="3161" customFormat="1" ht="12.75"/>
    <row r="26644" s="3161" customFormat="1" ht="12.75"/>
    <row r="26645" s="3161" customFormat="1" ht="12.75"/>
    <row r="26646" s="3161" customFormat="1" ht="12.75"/>
    <row r="26647" s="3161" customFormat="1" ht="12.75"/>
    <row r="26648" s="3161" customFormat="1" ht="12.75"/>
    <row r="26649" s="3161" customFormat="1" ht="12.75"/>
    <row r="26650" s="3161" customFormat="1" ht="12.75"/>
    <row r="26651" s="3161" customFormat="1" ht="12.75"/>
    <row r="26652" s="3161" customFormat="1" ht="12.75"/>
    <row r="26653" s="3161" customFormat="1" ht="12.75"/>
    <row r="26654" s="3161" customFormat="1" ht="12.75"/>
    <row r="26655" s="3161" customFormat="1" ht="12.75"/>
    <row r="26656" s="3161" customFormat="1" ht="12.75"/>
    <row r="26657" s="3161" customFormat="1" ht="12.75"/>
    <row r="26658" s="3161" customFormat="1" ht="12.75"/>
    <row r="26659" s="3161" customFormat="1" ht="12.75"/>
    <row r="26660" s="3161" customFormat="1" ht="12.75"/>
    <row r="26661" s="3161" customFormat="1" ht="12.75"/>
    <row r="26662" s="3161" customFormat="1" ht="12.75"/>
    <row r="26663" s="3161" customFormat="1" ht="12.75"/>
    <row r="26664" s="3161" customFormat="1" ht="12.75"/>
    <row r="26665" s="3161" customFormat="1" ht="12.75"/>
    <row r="26666" s="3161" customFormat="1" ht="12.75"/>
    <row r="26667" s="3161" customFormat="1" ht="12.75"/>
    <row r="26668" s="3161" customFormat="1" ht="12.75"/>
    <row r="26669" s="3161" customFormat="1" ht="12.75"/>
    <row r="26670" s="3161" customFormat="1" ht="12.75"/>
    <row r="26671" s="3161" customFormat="1" ht="12.75"/>
    <row r="26672" s="3161" customFormat="1" ht="12.75"/>
    <row r="26673" s="3161" customFormat="1" ht="12.75"/>
    <row r="26674" s="3161" customFormat="1" ht="12.75"/>
    <row r="26675" s="3161" customFormat="1" ht="12.75"/>
    <row r="26676" s="3161" customFormat="1" ht="12.75"/>
    <row r="26677" s="3161" customFormat="1" ht="12.75"/>
    <row r="26678" s="3161" customFormat="1" ht="12.75"/>
    <row r="26679" s="3161" customFormat="1" ht="12.75"/>
    <row r="26680" s="3161" customFormat="1" ht="12.75"/>
    <row r="26681" s="3161" customFormat="1" ht="12.75"/>
    <row r="26682" s="3161" customFormat="1" ht="12.75"/>
    <row r="26683" s="3161" customFormat="1" ht="12.75"/>
    <row r="26684" s="3161" customFormat="1" ht="12.75"/>
    <row r="26685" s="3161" customFormat="1" ht="12.75"/>
    <row r="26686" s="3161" customFormat="1" ht="12.75"/>
    <row r="26687" s="3161" customFormat="1" ht="12.75"/>
    <row r="26688" s="3161" customFormat="1" ht="12.75"/>
    <row r="26689" s="3161" customFormat="1" ht="12.75"/>
    <row r="26690" s="3161" customFormat="1" ht="12.75"/>
    <row r="26691" s="3161" customFormat="1" ht="12.75"/>
    <row r="26692" s="3161" customFormat="1" ht="12.75"/>
    <row r="26693" s="3161" customFormat="1" ht="12.75"/>
    <row r="26694" s="3161" customFormat="1" ht="12.75"/>
    <row r="26695" s="3161" customFormat="1" ht="12.75"/>
    <row r="26696" s="3161" customFormat="1" ht="12.75"/>
    <row r="26697" s="3161" customFormat="1" ht="12.75"/>
    <row r="26698" s="3161" customFormat="1" ht="12.75"/>
    <row r="26699" s="3161" customFormat="1" ht="12.75"/>
    <row r="26700" s="3161" customFormat="1" ht="12.75"/>
    <row r="26701" s="3161" customFormat="1" ht="12.75"/>
    <row r="26702" s="3161" customFormat="1" ht="12.75"/>
    <row r="26703" s="3161" customFormat="1" ht="12.75"/>
    <row r="26704" s="3161" customFormat="1" ht="12.75"/>
    <row r="26705" s="3161" customFormat="1" ht="12.75"/>
    <row r="26706" s="3161" customFormat="1" ht="12.75"/>
    <row r="26707" s="3161" customFormat="1" ht="12.75"/>
    <row r="26708" s="3161" customFormat="1" ht="12.75"/>
    <row r="26709" s="3161" customFormat="1" ht="12.75"/>
    <row r="26710" s="3161" customFormat="1" ht="12.75"/>
    <row r="26711" s="3161" customFormat="1" ht="12.75"/>
    <row r="26712" s="3161" customFormat="1" ht="12.75"/>
    <row r="26713" s="3161" customFormat="1" ht="12.75"/>
    <row r="26714" s="3161" customFormat="1" ht="12.75"/>
    <row r="26715" s="3161" customFormat="1" ht="12.75"/>
    <row r="26716" s="3161" customFormat="1" ht="12.75"/>
    <row r="26717" s="3161" customFormat="1" ht="12.75"/>
    <row r="26718" s="3161" customFormat="1" ht="12.75"/>
    <row r="26719" s="3161" customFormat="1" ht="12.75"/>
    <row r="26720" s="3161" customFormat="1" ht="12.75"/>
    <row r="26721" s="3161" customFormat="1" ht="12.75"/>
    <row r="26722" s="3161" customFormat="1" ht="12.75"/>
    <row r="26723" s="3161" customFormat="1" ht="12.75"/>
    <row r="26724" s="3161" customFormat="1" ht="12.75"/>
    <row r="26725" s="3161" customFormat="1" ht="12.75"/>
    <row r="26726" s="3161" customFormat="1" ht="12.75"/>
    <row r="26727" s="3161" customFormat="1" ht="12.75"/>
    <row r="26728" s="3161" customFormat="1" ht="12.75"/>
    <row r="26729" s="3161" customFormat="1" ht="12.75"/>
    <row r="26730" s="3161" customFormat="1" ht="12.75"/>
    <row r="26731" s="3161" customFormat="1" ht="12.75"/>
    <row r="26732" s="3161" customFormat="1" ht="12.75"/>
    <row r="26733" s="3161" customFormat="1" ht="12.75"/>
    <row r="26734" s="3161" customFormat="1" ht="12.75"/>
    <row r="26735" s="3161" customFormat="1" ht="12.75"/>
    <row r="26736" s="3161" customFormat="1" ht="12.75"/>
    <row r="26737" s="3161" customFormat="1" ht="12.75"/>
    <row r="26738" s="3161" customFormat="1" ht="12.75"/>
    <row r="26739" s="3161" customFormat="1" ht="12.75"/>
    <row r="26740" s="3161" customFormat="1" ht="12.75"/>
    <row r="26741" s="3161" customFormat="1" ht="12.75"/>
    <row r="26742" s="3161" customFormat="1" ht="12.75"/>
    <row r="26743" s="3161" customFormat="1" ht="12.75"/>
    <row r="26744" s="3161" customFormat="1" ht="12.75"/>
    <row r="26745" s="3161" customFormat="1" ht="12.75"/>
    <row r="26746" s="3161" customFormat="1" ht="12.75"/>
    <row r="26747" s="3161" customFormat="1" ht="12.75"/>
    <row r="26748" s="3161" customFormat="1" ht="12.75"/>
    <row r="26749" s="3161" customFormat="1" ht="12.75"/>
    <row r="26750" s="3161" customFormat="1" ht="12.75"/>
    <row r="26751" s="3161" customFormat="1" ht="12.75"/>
    <row r="26752" s="3161" customFormat="1" ht="12.75"/>
    <row r="26753" s="3161" customFormat="1" ht="12.75"/>
    <row r="26754" s="3161" customFormat="1" ht="12.75"/>
    <row r="26755" s="3161" customFormat="1" ht="12.75"/>
    <row r="26756" s="3161" customFormat="1" ht="12.75"/>
    <row r="26757" s="3161" customFormat="1" ht="12.75"/>
    <row r="26758" s="3161" customFormat="1" ht="12.75"/>
    <row r="26759" s="3161" customFormat="1" ht="12.75"/>
    <row r="26760" s="3161" customFormat="1" ht="12.75"/>
    <row r="26761" s="3161" customFormat="1" ht="12.75"/>
    <row r="26762" s="3161" customFormat="1" ht="12.75"/>
    <row r="26763" s="3161" customFormat="1" ht="12.75"/>
    <row r="26764" s="3161" customFormat="1" ht="12.75"/>
    <row r="26765" s="3161" customFormat="1" ht="12.75"/>
    <row r="26766" s="3161" customFormat="1" ht="12.75"/>
    <row r="26767" s="3161" customFormat="1" ht="12.75"/>
    <row r="26768" s="3161" customFormat="1" ht="12.75"/>
    <row r="26769" s="3161" customFormat="1" ht="12.75"/>
    <row r="26770" s="3161" customFormat="1" ht="12.75"/>
    <row r="26771" s="3161" customFormat="1" ht="12.75"/>
    <row r="26772" s="3161" customFormat="1" ht="12.75"/>
    <row r="26773" s="3161" customFormat="1" ht="12.75"/>
    <row r="26774" s="3161" customFormat="1" ht="12.75"/>
    <row r="26775" s="3161" customFormat="1" ht="12.75"/>
    <row r="26776" s="3161" customFormat="1" ht="12.75"/>
    <row r="26777" s="3161" customFormat="1" ht="12.75"/>
    <row r="26778" s="3161" customFormat="1" ht="12.75"/>
    <row r="26779" s="3161" customFormat="1" ht="12.75"/>
    <row r="26780" s="3161" customFormat="1" ht="12.75"/>
    <row r="26781" s="3161" customFormat="1" ht="12.75"/>
    <row r="26782" s="3161" customFormat="1" ht="12.75"/>
    <row r="26783" s="3161" customFormat="1" ht="12.75"/>
    <row r="26784" s="3161" customFormat="1" ht="12.75"/>
    <row r="26785" s="3161" customFormat="1" ht="12.75"/>
    <row r="26786" s="3161" customFormat="1" ht="12.75"/>
    <row r="26787" s="3161" customFormat="1" ht="12.75"/>
    <row r="26788" s="3161" customFormat="1" ht="12.75"/>
    <row r="26789" s="3161" customFormat="1" ht="12.75"/>
    <row r="26790" s="3161" customFormat="1" ht="12.75"/>
    <row r="26791" s="3161" customFormat="1" ht="12.75"/>
    <row r="26792" s="3161" customFormat="1" ht="12.75"/>
    <row r="26793" s="3161" customFormat="1" ht="12.75"/>
    <row r="26794" s="3161" customFormat="1" ht="12.75"/>
    <row r="26795" s="3161" customFormat="1" ht="12.75"/>
    <row r="26796" s="3161" customFormat="1" ht="12.75"/>
    <row r="26797" s="3161" customFormat="1" ht="12.75"/>
    <row r="26798" s="3161" customFormat="1" ht="12.75"/>
    <row r="26799" s="3161" customFormat="1" ht="12.75"/>
    <row r="26800" s="3161" customFormat="1" ht="12.75"/>
    <row r="26801" s="3161" customFormat="1" ht="12.75"/>
    <row r="26802" s="3161" customFormat="1" ht="12.75"/>
    <row r="26803" s="3161" customFormat="1" ht="12.75"/>
    <row r="26804" s="3161" customFormat="1" ht="12.75"/>
    <row r="26805" s="3161" customFormat="1" ht="12.75"/>
    <row r="26806" s="3161" customFormat="1" ht="12.75"/>
    <row r="26807" s="3161" customFormat="1" ht="12.75"/>
    <row r="26808" s="3161" customFormat="1" ht="12.75"/>
    <row r="26809" s="3161" customFormat="1" ht="12.75"/>
    <row r="26810" s="3161" customFormat="1" ht="12.75"/>
    <row r="26811" s="3161" customFormat="1" ht="12.75"/>
    <row r="26812" s="3161" customFormat="1" ht="12.75"/>
    <row r="26813" s="3161" customFormat="1" ht="12.75"/>
    <row r="26814" s="3161" customFormat="1" ht="12.75"/>
    <row r="26815" s="3161" customFormat="1" ht="12.75"/>
    <row r="26816" s="3161" customFormat="1" ht="12.75"/>
    <row r="26817" s="3161" customFormat="1" ht="12.75"/>
    <row r="26818" s="3161" customFormat="1" ht="12.75"/>
    <row r="26819" s="3161" customFormat="1" ht="12.75"/>
    <row r="26820" s="3161" customFormat="1" ht="12.75"/>
    <row r="26821" s="3161" customFormat="1" ht="12.75"/>
    <row r="26822" s="3161" customFormat="1" ht="12.75"/>
    <row r="26823" s="3161" customFormat="1" ht="12.75"/>
    <row r="26824" s="3161" customFormat="1" ht="12.75"/>
    <row r="26825" s="3161" customFormat="1" ht="12.75"/>
    <row r="26826" s="3161" customFormat="1" ht="12.75"/>
    <row r="26827" s="3161" customFormat="1" ht="12.75"/>
    <row r="26828" s="3161" customFormat="1" ht="12.75"/>
    <row r="26829" s="3161" customFormat="1" ht="12.75"/>
    <row r="26830" s="3161" customFormat="1" ht="12.75"/>
    <row r="26831" s="3161" customFormat="1" ht="12.75"/>
    <row r="26832" s="3161" customFormat="1" ht="12.75"/>
    <row r="26833" s="3161" customFormat="1" ht="12.75"/>
    <row r="26834" s="3161" customFormat="1" ht="12.75"/>
    <row r="26835" s="3161" customFormat="1" ht="12.75"/>
    <row r="26836" s="3161" customFormat="1" ht="12.75"/>
    <row r="26837" s="3161" customFormat="1" ht="12.75"/>
    <row r="26838" s="3161" customFormat="1" ht="12.75"/>
    <row r="26839" s="3161" customFormat="1" ht="12.75"/>
    <row r="26840" s="3161" customFormat="1" ht="12.75"/>
    <row r="26841" s="3161" customFormat="1" ht="12.75"/>
    <row r="26842" s="3161" customFormat="1" ht="12.75"/>
    <row r="26843" s="3161" customFormat="1" ht="12.75"/>
    <row r="26844" s="3161" customFormat="1" ht="12.75"/>
    <row r="26845" s="3161" customFormat="1" ht="12.75"/>
    <row r="26846" s="3161" customFormat="1" ht="12.75"/>
    <row r="26847" s="3161" customFormat="1" ht="12.75"/>
    <row r="26848" s="3161" customFormat="1" ht="12.75"/>
    <row r="26849" s="3161" customFormat="1" ht="12.75"/>
    <row r="26850" s="3161" customFormat="1" ht="12.75"/>
    <row r="26851" s="3161" customFormat="1" ht="12.75"/>
    <row r="26852" s="3161" customFormat="1" ht="12.75"/>
    <row r="26853" s="3161" customFormat="1" ht="12.75"/>
    <row r="26854" s="3161" customFormat="1" ht="12.75"/>
    <row r="26855" s="3161" customFormat="1" ht="12.75"/>
    <row r="26856" s="3161" customFormat="1" ht="12.75"/>
    <row r="26857" s="3161" customFormat="1" ht="12.75"/>
    <row r="26858" s="3161" customFormat="1" ht="12.75"/>
    <row r="26859" s="3161" customFormat="1" ht="12.75"/>
    <row r="26860" s="3161" customFormat="1" ht="12.75"/>
    <row r="26861" s="3161" customFormat="1" ht="12.75"/>
    <row r="26862" s="3161" customFormat="1" ht="12.75"/>
    <row r="26863" s="3161" customFormat="1" ht="12.75"/>
    <row r="26864" s="3161" customFormat="1" ht="12.75"/>
    <row r="26865" s="3161" customFormat="1" ht="12.75"/>
    <row r="26866" s="3161" customFormat="1" ht="12.75"/>
    <row r="26867" s="3161" customFormat="1" ht="12.75"/>
    <row r="26868" s="3161" customFormat="1" ht="12.75"/>
    <row r="26869" s="3161" customFormat="1" ht="12.75"/>
    <row r="26870" s="3161" customFormat="1" ht="12.75"/>
    <row r="26871" s="3161" customFormat="1" ht="12.75"/>
    <row r="26872" s="3161" customFormat="1" ht="12.75"/>
    <row r="26873" s="3161" customFormat="1" ht="12.75"/>
    <row r="26874" s="3161" customFormat="1" ht="12.75"/>
    <row r="26875" s="3161" customFormat="1" ht="12.75"/>
    <row r="26876" s="3161" customFormat="1" ht="12.75"/>
    <row r="26877" s="3161" customFormat="1" ht="12.75"/>
    <row r="26878" s="3161" customFormat="1" ht="12.75"/>
    <row r="26879" s="3161" customFormat="1" ht="12.75"/>
    <row r="26880" s="3161" customFormat="1" ht="12.75"/>
    <row r="26881" s="3161" customFormat="1" ht="12.75"/>
    <row r="26882" s="3161" customFormat="1" ht="12.75"/>
    <row r="26883" s="3161" customFormat="1" ht="12.75"/>
    <row r="26884" s="3161" customFormat="1" ht="12.75"/>
    <row r="26885" s="3161" customFormat="1" ht="12.75"/>
    <row r="26886" s="3161" customFormat="1" ht="12.75"/>
    <row r="26887" s="3161" customFormat="1" ht="12.75"/>
    <row r="26888" s="3161" customFormat="1" ht="12.75"/>
    <row r="26889" s="3161" customFormat="1" ht="12.75"/>
    <row r="26890" s="3161" customFormat="1" ht="12.75"/>
    <row r="26891" s="3161" customFormat="1" ht="12.75"/>
    <row r="26892" s="3161" customFormat="1" ht="12.75"/>
    <row r="26893" s="3161" customFormat="1" ht="12.75"/>
    <row r="26894" s="3161" customFormat="1" ht="12.75"/>
    <row r="26895" s="3161" customFormat="1" ht="12.75"/>
    <row r="26896" s="3161" customFormat="1" ht="12.75"/>
    <row r="26897" s="3161" customFormat="1" ht="12.75"/>
    <row r="26898" s="3161" customFormat="1" ht="12.75"/>
    <row r="26899" s="3161" customFormat="1" ht="12.75"/>
    <row r="26900" s="3161" customFormat="1" ht="12.75"/>
    <row r="26901" s="3161" customFormat="1" ht="12.75"/>
    <row r="26902" s="3161" customFormat="1" ht="12.75"/>
    <row r="26903" s="3161" customFormat="1" ht="12.75"/>
    <row r="26904" s="3161" customFormat="1" ht="12.75"/>
    <row r="26905" s="3161" customFormat="1" ht="12.75"/>
    <row r="26906" s="3161" customFormat="1" ht="12.75"/>
    <row r="26907" s="3161" customFormat="1" ht="12.75"/>
    <row r="26908" s="3161" customFormat="1" ht="12.75"/>
    <row r="26909" s="3161" customFormat="1" ht="12.75"/>
    <row r="26910" s="3161" customFormat="1" ht="12.75"/>
    <row r="26911" s="3161" customFormat="1" ht="12.75"/>
    <row r="26912" s="3161" customFormat="1" ht="12.75"/>
    <row r="26913" s="3161" customFormat="1" ht="12.75"/>
    <row r="26914" s="3161" customFormat="1" ht="12.75"/>
    <row r="26915" s="3161" customFormat="1" ht="12.75"/>
    <row r="26916" s="3161" customFormat="1" ht="12.75"/>
    <row r="26917" s="3161" customFormat="1" ht="12.75"/>
    <row r="26918" s="3161" customFormat="1" ht="12.75"/>
    <row r="26919" s="3161" customFormat="1" ht="12.75"/>
    <row r="26920" s="3161" customFormat="1" ht="12.75"/>
    <row r="26921" s="3161" customFormat="1" ht="12.75"/>
    <row r="26922" s="3161" customFormat="1" ht="12.75"/>
    <row r="26923" s="3161" customFormat="1" ht="12.75"/>
    <row r="26924" s="3161" customFormat="1" ht="12.75"/>
    <row r="26925" s="3161" customFormat="1" ht="12.75"/>
    <row r="26926" s="3161" customFormat="1" ht="12.75"/>
    <row r="26927" s="3161" customFormat="1" ht="12.75"/>
    <row r="26928" s="3161" customFormat="1" ht="12.75"/>
    <row r="26929" s="3161" customFormat="1" ht="12.75"/>
    <row r="26930" s="3161" customFormat="1" ht="12.75"/>
    <row r="26931" s="3161" customFormat="1" ht="12.75"/>
    <row r="26932" s="3161" customFormat="1" ht="12.75"/>
    <row r="26933" s="3161" customFormat="1" ht="12.75"/>
    <row r="26934" s="3161" customFormat="1" ht="12.75"/>
    <row r="26935" s="3161" customFormat="1" ht="12.75"/>
    <row r="26936" s="3161" customFormat="1" ht="12.75"/>
    <row r="26937" s="3161" customFormat="1" ht="12.75"/>
    <row r="26938" s="3161" customFormat="1" ht="12.75"/>
    <row r="26939" s="3161" customFormat="1" ht="12.75"/>
    <row r="26940" s="3161" customFormat="1" ht="12.75"/>
    <row r="26941" s="3161" customFormat="1" ht="12.75"/>
    <row r="26942" s="3161" customFormat="1" ht="12.75"/>
    <row r="26943" s="3161" customFormat="1" ht="12.75"/>
    <row r="26944" s="3161" customFormat="1" ht="12.75"/>
    <row r="26945" s="3161" customFormat="1" ht="12.75"/>
    <row r="26946" s="3161" customFormat="1" ht="12.75"/>
    <row r="26947" s="3161" customFormat="1" ht="12.75"/>
    <row r="26948" s="3161" customFormat="1" ht="12.75"/>
    <row r="26949" s="3161" customFormat="1" ht="12.75"/>
    <row r="26950" s="3161" customFormat="1" ht="12.75"/>
    <row r="26951" s="3161" customFormat="1" ht="12.75"/>
    <row r="26952" s="3161" customFormat="1" ht="12.75"/>
    <row r="26953" s="3161" customFormat="1" ht="12.75"/>
    <row r="26954" s="3161" customFormat="1" ht="12.75"/>
    <row r="26955" s="3161" customFormat="1" ht="12.75"/>
    <row r="26956" s="3161" customFormat="1" ht="12.75"/>
    <row r="26957" s="3161" customFormat="1" ht="12.75"/>
    <row r="26958" s="3161" customFormat="1" ht="12.75"/>
    <row r="26959" s="3161" customFormat="1" ht="12.75"/>
    <row r="26960" s="3161" customFormat="1" ht="12.75"/>
    <row r="26961" s="3161" customFormat="1" ht="12.75"/>
    <row r="26962" s="3161" customFormat="1" ht="12.75"/>
    <row r="26963" s="3161" customFormat="1" ht="12.75"/>
    <row r="26964" s="3161" customFormat="1" ht="12.75"/>
    <row r="26965" s="3161" customFormat="1" ht="12.75"/>
    <row r="26966" s="3161" customFormat="1" ht="12.75"/>
    <row r="26967" s="3161" customFormat="1" ht="12.75"/>
    <row r="26968" s="3161" customFormat="1" ht="12.75"/>
    <row r="26969" s="3161" customFormat="1" ht="12.75"/>
    <row r="26970" s="3161" customFormat="1" ht="12.75"/>
    <row r="26971" s="3161" customFormat="1" ht="12.75"/>
    <row r="26972" s="3161" customFormat="1" ht="12.75"/>
    <row r="26973" s="3161" customFormat="1" ht="12.75"/>
    <row r="26974" s="3161" customFormat="1" ht="12.75"/>
    <row r="26975" s="3161" customFormat="1" ht="12.75"/>
    <row r="26976" s="3161" customFormat="1" ht="12.75"/>
    <row r="26977" s="3161" customFormat="1" ht="12.75"/>
    <row r="26978" s="3161" customFormat="1" ht="12.75"/>
    <row r="26979" s="3161" customFormat="1" ht="12.75"/>
    <row r="26980" s="3161" customFormat="1" ht="12.75"/>
    <row r="26981" s="3161" customFormat="1" ht="12.75"/>
    <row r="26982" s="3161" customFormat="1" ht="12.75"/>
    <row r="26983" s="3161" customFormat="1" ht="12.75"/>
    <row r="26984" s="3161" customFormat="1" ht="12.75"/>
    <row r="26985" s="3161" customFormat="1" ht="12.75"/>
    <row r="26986" s="3161" customFormat="1" ht="12.75"/>
    <row r="26987" s="3161" customFormat="1" ht="12.75"/>
    <row r="26988" s="3161" customFormat="1" ht="12.75"/>
    <row r="26989" s="3161" customFormat="1" ht="12.75"/>
    <row r="26990" s="3161" customFormat="1" ht="12.75"/>
    <row r="26991" s="3161" customFormat="1" ht="12.75"/>
    <row r="26992" s="3161" customFormat="1" ht="12.75"/>
    <row r="26993" s="3161" customFormat="1" ht="12.75"/>
    <row r="26994" s="3161" customFormat="1" ht="12.75"/>
    <row r="26995" s="3161" customFormat="1" ht="12.75"/>
    <row r="26996" s="3161" customFormat="1" ht="12.75"/>
    <row r="26997" s="3161" customFormat="1" ht="12.75"/>
    <row r="26998" s="3161" customFormat="1" ht="12.75"/>
    <row r="26999" s="3161" customFormat="1" ht="12.75"/>
    <row r="27000" s="3161" customFormat="1" ht="12.75"/>
    <row r="27001" s="3161" customFormat="1" ht="12.75"/>
    <row r="27002" s="3161" customFormat="1" ht="12.75"/>
    <row r="27003" s="3161" customFormat="1" ht="12.75"/>
    <row r="27004" s="3161" customFormat="1" ht="12.75"/>
    <row r="27005" s="3161" customFormat="1" ht="12.75"/>
    <row r="27006" s="3161" customFormat="1" ht="12.75"/>
    <row r="27007" s="3161" customFormat="1" ht="12.75"/>
    <row r="27008" s="3161" customFormat="1" ht="12.75"/>
    <row r="27009" s="3161" customFormat="1" ht="12.75"/>
    <row r="27010" s="3161" customFormat="1" ht="12.75"/>
    <row r="27011" s="3161" customFormat="1" ht="12.75"/>
    <row r="27012" s="3161" customFormat="1" ht="12.75"/>
    <row r="27013" s="3161" customFormat="1" ht="12.75"/>
    <row r="27014" s="3161" customFormat="1" ht="12.75"/>
    <row r="27015" s="3161" customFormat="1" ht="12.75"/>
    <row r="27016" s="3161" customFormat="1" ht="12.75"/>
    <row r="27017" s="3161" customFormat="1" ht="12.75"/>
    <row r="27018" s="3161" customFormat="1" ht="12.75"/>
    <row r="27019" s="3161" customFormat="1" ht="12.75"/>
    <row r="27020" s="3161" customFormat="1" ht="12.75"/>
    <row r="27021" s="3161" customFormat="1" ht="12.75"/>
    <row r="27022" s="3161" customFormat="1" ht="12.75"/>
    <row r="27023" s="3161" customFormat="1" ht="12.75"/>
    <row r="27024" s="3161" customFormat="1" ht="12.75"/>
    <row r="27025" s="3161" customFormat="1" ht="12.75"/>
    <row r="27026" s="3161" customFormat="1" ht="12.75"/>
    <row r="27027" s="3161" customFormat="1" ht="12.75"/>
    <row r="27028" s="3161" customFormat="1" ht="12.75"/>
    <row r="27029" s="3161" customFormat="1" ht="12.75"/>
    <row r="27030" s="3161" customFormat="1" ht="12.75"/>
    <row r="27031" s="3161" customFormat="1" ht="12.75"/>
    <row r="27032" s="3161" customFormat="1" ht="12.75"/>
    <row r="27033" s="3161" customFormat="1" ht="12.75"/>
    <row r="27034" s="3161" customFormat="1" ht="12.75"/>
    <row r="27035" s="3161" customFormat="1" ht="12.75"/>
    <row r="27036" s="3161" customFormat="1" ht="12.75"/>
    <row r="27037" s="3161" customFormat="1" ht="12.75"/>
    <row r="27038" s="3161" customFormat="1" ht="12.75"/>
    <row r="27039" s="3161" customFormat="1" ht="12.75"/>
    <row r="27040" s="3161" customFormat="1" ht="12.75"/>
    <row r="27041" s="3161" customFormat="1" ht="12.75"/>
    <row r="27042" s="3161" customFormat="1" ht="12.75"/>
    <row r="27043" s="3161" customFormat="1" ht="12.75"/>
    <row r="27044" s="3161" customFormat="1" ht="12.75"/>
    <row r="27045" s="3161" customFormat="1" ht="12.75"/>
    <row r="27046" s="3161" customFormat="1" ht="12.75"/>
    <row r="27047" s="3161" customFormat="1" ht="12.75"/>
    <row r="27048" s="3161" customFormat="1" ht="12.75"/>
    <row r="27049" s="3161" customFormat="1" ht="12.75"/>
    <row r="27050" s="3161" customFormat="1" ht="12.75"/>
    <row r="27051" s="3161" customFormat="1" ht="12.75"/>
    <row r="27052" s="3161" customFormat="1" ht="12.75"/>
    <row r="27053" s="3161" customFormat="1" ht="12.75"/>
    <row r="27054" s="3161" customFormat="1" ht="12.75"/>
    <row r="27055" s="3161" customFormat="1" ht="12.75"/>
    <row r="27056" s="3161" customFormat="1" ht="12.75"/>
    <row r="27057" s="3161" customFormat="1" ht="12.75"/>
    <row r="27058" s="3161" customFormat="1" ht="12.75"/>
    <row r="27059" s="3161" customFormat="1" ht="12.75"/>
    <row r="27060" s="3161" customFormat="1" ht="12.75"/>
    <row r="27061" s="3161" customFormat="1" ht="12.75"/>
    <row r="27062" s="3161" customFormat="1" ht="12.75"/>
    <row r="27063" s="3161" customFormat="1" ht="12.75"/>
    <row r="27064" s="3161" customFormat="1" ht="12.75"/>
    <row r="27065" s="3161" customFormat="1" ht="12.75"/>
    <row r="27066" s="3161" customFormat="1" ht="12.75"/>
    <row r="27067" s="3161" customFormat="1" ht="12.75"/>
    <row r="27068" s="3161" customFormat="1" ht="12.75"/>
    <row r="27069" s="3161" customFormat="1" ht="12.75"/>
    <row r="27070" s="3161" customFormat="1" ht="12.75"/>
    <row r="27071" s="3161" customFormat="1" ht="12.75"/>
    <row r="27072" s="3161" customFormat="1" ht="12.75"/>
    <row r="27073" s="3161" customFormat="1" ht="12.75"/>
    <row r="27074" s="3161" customFormat="1" ht="12.75"/>
    <row r="27075" s="3161" customFormat="1" ht="12.75"/>
    <row r="27076" s="3161" customFormat="1" ht="12.75"/>
    <row r="27077" s="3161" customFormat="1" ht="12.75"/>
    <row r="27078" s="3161" customFormat="1" ht="12.75"/>
    <row r="27079" s="3161" customFormat="1" ht="12.75"/>
    <row r="27080" s="3161" customFormat="1" ht="12.75"/>
    <row r="27081" s="3161" customFormat="1" ht="12.75"/>
    <row r="27082" s="3161" customFormat="1" ht="12.75"/>
    <row r="27083" s="3161" customFormat="1" ht="12.75"/>
    <row r="27084" s="3161" customFormat="1" ht="12.75"/>
    <row r="27085" s="3161" customFormat="1" ht="12.75"/>
    <row r="27086" s="3161" customFormat="1" ht="12.75"/>
    <row r="27087" s="3161" customFormat="1" ht="12.75"/>
    <row r="27088" s="3161" customFormat="1" ht="12.75"/>
    <row r="27089" s="3161" customFormat="1" ht="12.75"/>
    <row r="27090" s="3161" customFormat="1" ht="12.75"/>
    <row r="27091" s="3161" customFormat="1" ht="12.75"/>
    <row r="27092" s="3161" customFormat="1" ht="12.75"/>
    <row r="27093" s="3161" customFormat="1" ht="12.75"/>
    <row r="27094" s="3161" customFormat="1" ht="12.75"/>
    <row r="27095" s="3161" customFormat="1" ht="12.75"/>
    <row r="27096" s="3161" customFormat="1" ht="12.75"/>
    <row r="27097" s="3161" customFormat="1" ht="12.75"/>
    <row r="27098" s="3161" customFormat="1" ht="12.75"/>
    <row r="27099" s="3161" customFormat="1" ht="12.75"/>
    <row r="27100" s="3161" customFormat="1" ht="12.75"/>
    <row r="27101" s="3161" customFormat="1" ht="12.75"/>
    <row r="27102" s="3161" customFormat="1" ht="12.75"/>
    <row r="27103" s="3161" customFormat="1" ht="12.75"/>
    <row r="27104" s="3161" customFormat="1" ht="12.75"/>
    <row r="27105" s="3161" customFormat="1" ht="12.75"/>
    <row r="27106" s="3161" customFormat="1" ht="12.75"/>
    <row r="27107" s="3161" customFormat="1" ht="12.75"/>
    <row r="27108" s="3161" customFormat="1" ht="12.75"/>
    <row r="27109" s="3161" customFormat="1" ht="12.75"/>
    <row r="27110" s="3161" customFormat="1" ht="12.75"/>
    <row r="27111" s="3161" customFormat="1" ht="12.75"/>
    <row r="27112" s="3161" customFormat="1" ht="12.75"/>
    <row r="27113" s="3161" customFormat="1" ht="12.75"/>
    <row r="27114" s="3161" customFormat="1" ht="12.75"/>
    <row r="27115" s="3161" customFormat="1" ht="12.75"/>
    <row r="27116" s="3161" customFormat="1" ht="12.75"/>
    <row r="27117" s="3161" customFormat="1" ht="12.75"/>
    <row r="27118" s="3161" customFormat="1" ht="12.75"/>
    <row r="27119" s="3161" customFormat="1" ht="12.75"/>
    <row r="27120" s="3161" customFormat="1" ht="12.75"/>
    <row r="27121" s="3161" customFormat="1" ht="12.75"/>
    <row r="27122" s="3161" customFormat="1" ht="12.75"/>
    <row r="27123" s="3161" customFormat="1" ht="12.75"/>
    <row r="27124" s="3161" customFormat="1" ht="12.75"/>
    <row r="27125" s="3161" customFormat="1" ht="12.75"/>
    <row r="27126" s="3161" customFormat="1" ht="12.75"/>
    <row r="27127" s="3161" customFormat="1" ht="12.75"/>
    <row r="27128" s="3161" customFormat="1" ht="12.75"/>
    <row r="27129" s="3161" customFormat="1" ht="12.75"/>
    <row r="27130" s="3161" customFormat="1" ht="12.75"/>
    <row r="27131" s="3161" customFormat="1" ht="12.75"/>
    <row r="27132" s="3161" customFormat="1" ht="12.75"/>
    <row r="27133" s="3161" customFormat="1" ht="12.75"/>
    <row r="27134" s="3161" customFormat="1" ht="12.75"/>
    <row r="27135" s="3161" customFormat="1" ht="12.75"/>
    <row r="27136" s="3161" customFormat="1" ht="12.75"/>
    <row r="27137" s="3161" customFormat="1" ht="12.75"/>
    <row r="27138" s="3161" customFormat="1" ht="12.75"/>
    <row r="27139" s="3161" customFormat="1" ht="12.75"/>
    <row r="27140" s="3161" customFormat="1" ht="12.75"/>
    <row r="27141" s="3161" customFormat="1" ht="12.75"/>
    <row r="27142" s="3161" customFormat="1" ht="12.75"/>
    <row r="27143" s="3161" customFormat="1" ht="12.75"/>
    <row r="27144" s="3161" customFormat="1" ht="12.75"/>
    <row r="27145" s="3161" customFormat="1" ht="12.75"/>
    <row r="27146" s="3161" customFormat="1" ht="12.75"/>
    <row r="27147" s="3161" customFormat="1" ht="12.75"/>
    <row r="27148" s="3161" customFormat="1" ht="12.75"/>
    <row r="27149" s="3161" customFormat="1" ht="12.75"/>
    <row r="27150" s="3161" customFormat="1" ht="12.75"/>
    <row r="27151" s="3161" customFormat="1" ht="12.75"/>
    <row r="27152" s="3161" customFormat="1" ht="12.75"/>
    <row r="27153" s="3161" customFormat="1" ht="12.75"/>
    <row r="27154" s="3161" customFormat="1" ht="12.75"/>
    <row r="27155" s="3161" customFormat="1" ht="12.75"/>
    <row r="27156" s="3161" customFormat="1" ht="12.75"/>
    <row r="27157" s="3161" customFormat="1" ht="12.75"/>
    <row r="27158" s="3161" customFormat="1" ht="12.75"/>
    <row r="27159" s="3161" customFormat="1" ht="12.75"/>
    <row r="27160" s="3161" customFormat="1" ht="12.75"/>
    <row r="27161" s="3161" customFormat="1" ht="12.75"/>
    <row r="27162" s="3161" customFormat="1" ht="12.75"/>
    <row r="27163" s="3161" customFormat="1" ht="12.75"/>
    <row r="27164" s="3161" customFormat="1" ht="12.75"/>
    <row r="27165" s="3161" customFormat="1" ht="12.75"/>
    <row r="27166" s="3161" customFormat="1" ht="12.75"/>
    <row r="27167" s="3161" customFormat="1" ht="12.75"/>
    <row r="27168" s="3161" customFormat="1" ht="12.75"/>
    <row r="27169" s="3161" customFormat="1" ht="12.75"/>
    <row r="27170" s="3161" customFormat="1" ht="12.75"/>
    <row r="27171" s="3161" customFormat="1" ht="12.75"/>
    <row r="27172" s="3161" customFormat="1" ht="12.75"/>
    <row r="27173" s="3161" customFormat="1" ht="12.75"/>
    <row r="27174" s="3161" customFormat="1" ht="12.75"/>
    <row r="27175" s="3161" customFormat="1" ht="12.75"/>
    <row r="27176" s="3161" customFormat="1" ht="12.75"/>
    <row r="27177" s="3161" customFormat="1" ht="12.75"/>
    <row r="27178" s="3161" customFormat="1" ht="12.75"/>
    <row r="27179" s="3161" customFormat="1" ht="12.75"/>
    <row r="27180" s="3161" customFormat="1" ht="12.75"/>
    <row r="27181" s="3161" customFormat="1" ht="12.75"/>
    <row r="27182" s="3161" customFormat="1" ht="12.75"/>
    <row r="27183" s="3161" customFormat="1" ht="12.75"/>
    <row r="27184" s="3161" customFormat="1" ht="12.75"/>
    <row r="27185" s="3161" customFormat="1" ht="12.75"/>
    <row r="27186" s="3161" customFormat="1" ht="12.75"/>
    <row r="27187" s="3161" customFormat="1" ht="12.75"/>
    <row r="27188" s="3161" customFormat="1" ht="12.75"/>
    <row r="27189" s="3161" customFormat="1" ht="12.75"/>
    <row r="27190" s="3161" customFormat="1" ht="12.75"/>
    <row r="27191" s="3161" customFormat="1" ht="12.75"/>
    <row r="27192" s="3161" customFormat="1" ht="12.75"/>
    <row r="27193" s="3161" customFormat="1" ht="12.75"/>
    <row r="27194" s="3161" customFormat="1" ht="12.75"/>
    <row r="27195" s="3161" customFormat="1" ht="12.75"/>
    <row r="27196" s="3161" customFormat="1" ht="12.75"/>
    <row r="27197" s="3161" customFormat="1" ht="12.75"/>
    <row r="27198" s="3161" customFormat="1" ht="12.75"/>
    <row r="27199" s="3161" customFormat="1" ht="12.75"/>
    <row r="27200" s="3161" customFormat="1" ht="12.75"/>
    <row r="27201" s="3161" customFormat="1" ht="12.75"/>
    <row r="27202" s="3161" customFormat="1" ht="12.75"/>
    <row r="27203" s="3161" customFormat="1" ht="12.75"/>
    <row r="27204" s="3161" customFormat="1" ht="12.75"/>
    <row r="27205" s="3161" customFormat="1" ht="12.75"/>
    <row r="27206" s="3161" customFormat="1" ht="12.75"/>
    <row r="27207" s="3161" customFormat="1" ht="12.75"/>
    <row r="27208" s="3161" customFormat="1" ht="12.75"/>
    <row r="27209" s="3161" customFormat="1" ht="12.75"/>
    <row r="27210" s="3161" customFormat="1" ht="12.75"/>
    <row r="27211" s="3161" customFormat="1" ht="12.75"/>
    <row r="27212" s="3161" customFormat="1" ht="12.75"/>
    <row r="27213" s="3161" customFormat="1" ht="12.75"/>
    <row r="27214" s="3161" customFormat="1" ht="12.75"/>
    <row r="27215" s="3161" customFormat="1" ht="12.75"/>
    <row r="27216" s="3161" customFormat="1" ht="12.75"/>
    <row r="27217" s="3161" customFormat="1" ht="12.75"/>
    <row r="27218" s="3161" customFormat="1" ht="12.75"/>
    <row r="27219" s="3161" customFormat="1" ht="12.75"/>
    <row r="27220" s="3161" customFormat="1" ht="12.75"/>
    <row r="27221" s="3161" customFormat="1" ht="12.75"/>
    <row r="27222" s="3161" customFormat="1" ht="12.75"/>
    <row r="27223" s="3161" customFormat="1" ht="12.75"/>
    <row r="27224" s="3161" customFormat="1" ht="12.75"/>
    <row r="27225" s="3161" customFormat="1" ht="12.75"/>
    <row r="27226" s="3161" customFormat="1" ht="12.75"/>
    <row r="27227" s="3161" customFormat="1" ht="12.75"/>
    <row r="27228" s="3161" customFormat="1" ht="12.75"/>
    <row r="27229" s="3161" customFormat="1" ht="12.75"/>
    <row r="27230" s="3161" customFormat="1" ht="12.75"/>
    <row r="27231" s="3161" customFormat="1" ht="12.75"/>
    <row r="27232" s="3161" customFormat="1" ht="12.75"/>
    <row r="27233" s="3161" customFormat="1" ht="12.75"/>
    <row r="27234" s="3161" customFormat="1" ht="12.75"/>
    <row r="27235" s="3161" customFormat="1" ht="12.75"/>
    <row r="27236" s="3161" customFormat="1" ht="12.75"/>
    <row r="27237" s="3161" customFormat="1" ht="12.75"/>
    <row r="27238" s="3161" customFormat="1" ht="12.75"/>
    <row r="27239" s="3161" customFormat="1" ht="12.75"/>
    <row r="27240" s="3161" customFormat="1" ht="12.75"/>
    <row r="27241" s="3161" customFormat="1" ht="12.75"/>
    <row r="27242" s="3161" customFormat="1" ht="12.75"/>
    <row r="27243" s="3161" customFormat="1" ht="12.75"/>
    <row r="27244" s="3161" customFormat="1" ht="12.75"/>
    <row r="27245" s="3161" customFormat="1" ht="12.75"/>
    <row r="27246" s="3161" customFormat="1" ht="12.75"/>
    <row r="27247" s="3161" customFormat="1" ht="12.75"/>
    <row r="27248" s="3161" customFormat="1" ht="12.75"/>
    <row r="27249" s="3161" customFormat="1" ht="12.75"/>
    <row r="27250" s="3161" customFormat="1" ht="12.75"/>
    <row r="27251" s="3161" customFormat="1" ht="12.75"/>
    <row r="27252" s="3161" customFormat="1" ht="12.75"/>
    <row r="27253" s="3161" customFormat="1" ht="12.75"/>
    <row r="27254" s="3161" customFormat="1" ht="12.75"/>
    <row r="27255" s="3161" customFormat="1" ht="12.75"/>
    <row r="27256" s="3161" customFormat="1" ht="12.75"/>
    <row r="27257" s="3161" customFormat="1" ht="12.75"/>
    <row r="27258" s="3161" customFormat="1" ht="12.75"/>
    <row r="27259" s="3161" customFormat="1" ht="12.75"/>
    <row r="27260" s="3161" customFormat="1" ht="12.75"/>
    <row r="27261" s="3161" customFormat="1" ht="12.75"/>
    <row r="27262" s="3161" customFormat="1" ht="12.75"/>
    <row r="27263" s="3161" customFormat="1" ht="12.75"/>
    <row r="27264" s="3161" customFormat="1" ht="12.75"/>
    <row r="27265" s="3161" customFormat="1" ht="12.75"/>
    <row r="27266" s="3161" customFormat="1" ht="12.75"/>
    <row r="27267" s="3161" customFormat="1" ht="12.75"/>
    <row r="27268" s="3161" customFormat="1" ht="12.75"/>
    <row r="27269" s="3161" customFormat="1" ht="12.75"/>
    <row r="27270" s="3161" customFormat="1" ht="12.75"/>
    <row r="27271" s="3161" customFormat="1" ht="12.75"/>
    <row r="27272" s="3161" customFormat="1" ht="12.75"/>
    <row r="27273" s="3161" customFormat="1" ht="12.75"/>
    <row r="27274" s="3161" customFormat="1" ht="12.75"/>
    <row r="27275" s="3161" customFormat="1" ht="12.75"/>
    <row r="27276" s="3161" customFormat="1" ht="12.75"/>
    <row r="27277" s="3161" customFormat="1" ht="12.75"/>
    <row r="27278" s="3161" customFormat="1" ht="12.75"/>
    <row r="27279" s="3161" customFormat="1" ht="12.75"/>
    <row r="27280" s="3161" customFormat="1" ht="12.75"/>
    <row r="27281" s="3161" customFormat="1" ht="12.75"/>
    <row r="27282" s="3161" customFormat="1" ht="12.75"/>
    <row r="27283" s="3161" customFormat="1" ht="12.75"/>
    <row r="27284" s="3161" customFormat="1" ht="12.75"/>
    <row r="27285" s="3161" customFormat="1" ht="12.75"/>
    <row r="27286" s="3161" customFormat="1" ht="12.75"/>
    <row r="27287" s="3161" customFormat="1" ht="12.75"/>
    <row r="27288" s="3161" customFormat="1" ht="12.75"/>
    <row r="27289" s="3161" customFormat="1" ht="12.75"/>
    <row r="27290" s="3161" customFormat="1" ht="12.75"/>
    <row r="27291" s="3161" customFormat="1" ht="12.75"/>
    <row r="27292" s="3161" customFormat="1" ht="12.75"/>
    <row r="27293" s="3161" customFormat="1" ht="12.75"/>
    <row r="27294" s="3161" customFormat="1" ht="12.75"/>
    <row r="27295" s="3161" customFormat="1" ht="12.75"/>
    <row r="27296" s="3161" customFormat="1" ht="12.75"/>
    <row r="27297" s="3161" customFormat="1" ht="12.75"/>
    <row r="27298" s="3161" customFormat="1" ht="12.75"/>
    <row r="27299" s="3161" customFormat="1" ht="12.75"/>
    <row r="27300" s="3161" customFormat="1" ht="12.75"/>
    <row r="27301" s="3161" customFormat="1" ht="12.75"/>
    <row r="27302" s="3161" customFormat="1" ht="12.75"/>
    <row r="27303" s="3161" customFormat="1" ht="12.75"/>
    <row r="27304" s="3161" customFormat="1" ht="12.75"/>
    <row r="27305" s="3161" customFormat="1" ht="12.75"/>
    <row r="27306" s="3161" customFormat="1" ht="12.75"/>
    <row r="27307" s="3161" customFormat="1" ht="12.75"/>
    <row r="27308" s="3161" customFormat="1" ht="12.75"/>
    <row r="27309" s="3161" customFormat="1" ht="12.75"/>
    <row r="27310" s="3161" customFormat="1" ht="12.75"/>
    <row r="27311" s="3161" customFormat="1" ht="12.75"/>
    <row r="27312" s="3161" customFormat="1" ht="12.75"/>
    <row r="27313" s="3161" customFormat="1" ht="12.75"/>
    <row r="27314" s="3161" customFormat="1" ht="12.75"/>
    <row r="27315" s="3161" customFormat="1" ht="12.75"/>
    <row r="27316" s="3161" customFormat="1" ht="12.75"/>
    <row r="27317" s="3161" customFormat="1" ht="12.75"/>
    <row r="27318" s="3161" customFormat="1" ht="12.75"/>
    <row r="27319" s="3161" customFormat="1" ht="12.75"/>
    <row r="27320" s="3161" customFormat="1" ht="12.75"/>
    <row r="27321" s="3161" customFormat="1" ht="12.75"/>
    <row r="27322" s="3161" customFormat="1" ht="12.75"/>
    <row r="27323" s="3161" customFormat="1" ht="12.75"/>
    <row r="27324" s="3161" customFormat="1" ht="12.75"/>
    <row r="27325" s="3161" customFormat="1" ht="12.75"/>
    <row r="27326" s="3161" customFormat="1" ht="12.75"/>
    <row r="27327" s="3161" customFormat="1" ht="12.75"/>
    <row r="27328" s="3161" customFormat="1" ht="12.75"/>
    <row r="27329" s="3161" customFormat="1" ht="12.75"/>
    <row r="27330" s="3161" customFormat="1" ht="12.75"/>
    <row r="27331" s="3161" customFormat="1" ht="12.75"/>
    <row r="27332" s="3161" customFormat="1" ht="12.75"/>
    <row r="27333" s="3161" customFormat="1" ht="12.75"/>
    <row r="27334" s="3161" customFormat="1" ht="12.75"/>
    <row r="27335" s="3161" customFormat="1" ht="12.75"/>
    <row r="27336" s="3161" customFormat="1" ht="12.75"/>
    <row r="27337" s="3161" customFormat="1" ht="12.75"/>
    <row r="27338" s="3161" customFormat="1" ht="12.75"/>
    <row r="27339" s="3161" customFormat="1" ht="12.75"/>
    <row r="27340" s="3161" customFormat="1" ht="12.75"/>
    <row r="27341" s="3161" customFormat="1" ht="12.75"/>
    <row r="27342" s="3161" customFormat="1" ht="12.75"/>
    <row r="27343" s="3161" customFormat="1" ht="12.75"/>
    <row r="27344" s="3161" customFormat="1" ht="12.75"/>
    <row r="27345" s="3161" customFormat="1" ht="12.75"/>
    <row r="27346" s="3161" customFormat="1" ht="12.75"/>
    <row r="27347" s="3161" customFormat="1" ht="12.75"/>
    <row r="27348" s="3161" customFormat="1" ht="12.75"/>
    <row r="27349" s="3161" customFormat="1" ht="12.75"/>
    <row r="27350" s="3161" customFormat="1" ht="12.75"/>
    <row r="27351" s="3161" customFormat="1" ht="12.75"/>
    <row r="27352" s="3161" customFormat="1" ht="12.75"/>
    <row r="27353" s="3161" customFormat="1" ht="12.75"/>
    <row r="27354" s="3161" customFormat="1" ht="12.75"/>
    <row r="27355" s="3161" customFormat="1" ht="12.75"/>
    <row r="27356" s="3161" customFormat="1" ht="12.75"/>
    <row r="27357" s="3161" customFormat="1" ht="12.75"/>
    <row r="27358" s="3161" customFormat="1" ht="12.75"/>
    <row r="27359" s="3161" customFormat="1" ht="12.75"/>
    <row r="27360" s="3161" customFormat="1" ht="12.75"/>
    <row r="27361" s="3161" customFormat="1" ht="12.75"/>
    <row r="27362" s="3161" customFormat="1" ht="12.75"/>
    <row r="27363" s="3161" customFormat="1" ht="12.75"/>
    <row r="27364" s="3161" customFormat="1" ht="12.75"/>
    <row r="27365" s="3161" customFormat="1" ht="12.75"/>
    <row r="27366" s="3161" customFormat="1" ht="12.75"/>
    <row r="27367" s="3161" customFormat="1" ht="12.75"/>
    <row r="27368" s="3161" customFormat="1" ht="12.75"/>
    <row r="27369" s="3161" customFormat="1" ht="12.75"/>
    <row r="27370" s="3161" customFormat="1" ht="12.75"/>
    <row r="27371" s="3161" customFormat="1" ht="12.75"/>
    <row r="27372" s="3161" customFormat="1" ht="12.75"/>
    <row r="27373" s="3161" customFormat="1" ht="12.75"/>
    <row r="27374" s="3161" customFormat="1" ht="12.75"/>
    <row r="27375" s="3161" customFormat="1" ht="12.75"/>
    <row r="27376" s="3161" customFormat="1" ht="12.75"/>
    <row r="27377" s="3161" customFormat="1" ht="12.75"/>
    <row r="27378" s="3161" customFormat="1" ht="12.75"/>
    <row r="27379" s="3161" customFormat="1" ht="12.75"/>
    <row r="27380" s="3161" customFormat="1" ht="12.75"/>
    <row r="27381" s="3161" customFormat="1" ht="12.75"/>
    <row r="27382" s="3161" customFormat="1" ht="12.75"/>
    <row r="27383" s="3161" customFormat="1" ht="12.75"/>
    <row r="27384" s="3161" customFormat="1" ht="12.75"/>
    <row r="27385" s="3161" customFormat="1" ht="12.75"/>
    <row r="27386" s="3161" customFormat="1" ht="12.75"/>
    <row r="27387" s="3161" customFormat="1" ht="12.75"/>
    <row r="27388" s="3161" customFormat="1" ht="12.75"/>
    <row r="27389" s="3161" customFormat="1" ht="12.75"/>
    <row r="27390" s="3161" customFormat="1" ht="12.75"/>
    <row r="27391" s="3161" customFormat="1" ht="12.75"/>
    <row r="27392" s="3161" customFormat="1" ht="12.75"/>
    <row r="27393" s="3161" customFormat="1" ht="12.75"/>
    <row r="27394" s="3161" customFormat="1" ht="12.75"/>
    <row r="27395" s="3161" customFormat="1" ht="12.75"/>
    <row r="27396" s="3161" customFormat="1" ht="12.75"/>
    <row r="27397" s="3161" customFormat="1" ht="12.75"/>
    <row r="27398" s="3161" customFormat="1" ht="12.75"/>
    <row r="27399" s="3161" customFormat="1" ht="12.75"/>
    <row r="27400" s="3161" customFormat="1" ht="12.75"/>
    <row r="27401" s="3161" customFormat="1" ht="12.75"/>
    <row r="27402" s="3161" customFormat="1" ht="12.75"/>
    <row r="27403" s="3161" customFormat="1" ht="12.75"/>
    <row r="27404" s="3161" customFormat="1" ht="12.75"/>
    <row r="27405" s="3161" customFormat="1" ht="12.75"/>
    <row r="27406" s="3161" customFormat="1" ht="12.75"/>
    <row r="27407" s="3161" customFormat="1" ht="12.75"/>
    <row r="27408" s="3161" customFormat="1" ht="12.75"/>
    <row r="27409" s="3161" customFormat="1" ht="12.75"/>
    <row r="27410" s="3161" customFormat="1" ht="12.75"/>
    <row r="27411" s="3161" customFormat="1" ht="12.75"/>
    <row r="27412" s="3161" customFormat="1" ht="12.75"/>
    <row r="27413" s="3161" customFormat="1" ht="12.75"/>
    <row r="27414" s="3161" customFormat="1" ht="12.75"/>
    <row r="27415" s="3161" customFormat="1" ht="12.75"/>
    <row r="27416" s="3161" customFormat="1" ht="12.75"/>
    <row r="27417" s="3161" customFormat="1" ht="12.75"/>
    <row r="27418" s="3161" customFormat="1" ht="12.75"/>
    <row r="27419" s="3161" customFormat="1" ht="12.75"/>
    <row r="27420" s="3161" customFormat="1" ht="12.75"/>
    <row r="27421" s="3161" customFormat="1" ht="12.75"/>
    <row r="27422" s="3161" customFormat="1" ht="12.75"/>
    <row r="27423" s="3161" customFormat="1" ht="12.75"/>
    <row r="27424" s="3161" customFormat="1" ht="12.75"/>
    <row r="27425" s="3161" customFormat="1" ht="12.75"/>
    <row r="27426" s="3161" customFormat="1" ht="12.75"/>
    <row r="27427" s="3161" customFormat="1" ht="12.75"/>
    <row r="27428" s="3161" customFormat="1" ht="12.75"/>
    <row r="27429" s="3161" customFormat="1" ht="12.75"/>
    <row r="27430" s="3161" customFormat="1" ht="12.75"/>
    <row r="27431" s="3161" customFormat="1" ht="12.75"/>
    <row r="27432" s="3161" customFormat="1" ht="12.75"/>
    <row r="27433" s="3161" customFormat="1" ht="12.75"/>
    <row r="27434" s="3161" customFormat="1" ht="12.75"/>
    <row r="27435" s="3161" customFormat="1" ht="12.75"/>
    <row r="27436" s="3161" customFormat="1" ht="12.75"/>
    <row r="27437" s="3161" customFormat="1" ht="12.75"/>
    <row r="27438" s="3161" customFormat="1" ht="12.75"/>
    <row r="27439" s="3161" customFormat="1" ht="12.75"/>
    <row r="27440" s="3161" customFormat="1" ht="12.75"/>
    <row r="27441" s="3161" customFormat="1" ht="12.75"/>
    <row r="27442" s="3161" customFormat="1" ht="12.75"/>
    <row r="27443" s="3161" customFormat="1" ht="12.75"/>
    <row r="27444" s="3161" customFormat="1" ht="12.75"/>
    <row r="27445" s="3161" customFormat="1" ht="12.75"/>
    <row r="27446" s="3161" customFormat="1" ht="12.75"/>
    <row r="27447" s="3161" customFormat="1" ht="12.75"/>
    <row r="27448" s="3161" customFormat="1" ht="12.75"/>
    <row r="27449" s="3161" customFormat="1" ht="12.75"/>
    <row r="27450" s="3161" customFormat="1" ht="12.75"/>
    <row r="27451" s="3161" customFormat="1" ht="12.75"/>
    <row r="27452" s="3161" customFormat="1" ht="12.75"/>
    <row r="27453" s="3161" customFormat="1" ht="12.75"/>
    <row r="27454" s="3161" customFormat="1" ht="12.75"/>
    <row r="27455" s="3161" customFormat="1" ht="12.75"/>
    <row r="27456" s="3161" customFormat="1" ht="12.75"/>
    <row r="27457" s="3161" customFormat="1" ht="12.75"/>
    <row r="27458" s="3161" customFormat="1" ht="12.75"/>
    <row r="27459" s="3161" customFormat="1" ht="12.75"/>
    <row r="27460" s="3161" customFormat="1" ht="12.75"/>
    <row r="27461" s="3161" customFormat="1" ht="12.75"/>
    <row r="27462" s="3161" customFormat="1" ht="12.75"/>
    <row r="27463" s="3161" customFormat="1" ht="12.75"/>
    <row r="27464" s="3161" customFormat="1" ht="12.75"/>
    <row r="27465" s="3161" customFormat="1" ht="12.75"/>
    <row r="27466" s="3161" customFormat="1" ht="12.75"/>
    <row r="27467" s="3161" customFormat="1" ht="12.75"/>
    <row r="27468" s="3161" customFormat="1" ht="12.75"/>
    <row r="27469" s="3161" customFormat="1" ht="12.75"/>
    <row r="27470" s="3161" customFormat="1" ht="12.75"/>
    <row r="27471" s="3161" customFormat="1" ht="12.75"/>
    <row r="27472" s="3161" customFormat="1" ht="12.75"/>
    <row r="27473" s="3161" customFormat="1" ht="12.75"/>
    <row r="27474" s="3161" customFormat="1" ht="12.75"/>
    <row r="27475" s="3161" customFormat="1" ht="12.75"/>
    <row r="27476" s="3161" customFormat="1" ht="12.75"/>
    <row r="27477" s="3161" customFormat="1" ht="12.75"/>
    <row r="27478" s="3161" customFormat="1" ht="12.75"/>
    <row r="27479" s="3161" customFormat="1" ht="12.75"/>
    <row r="27480" s="3161" customFormat="1" ht="12.75"/>
    <row r="27481" s="3161" customFormat="1" ht="12.75"/>
    <row r="27482" s="3161" customFormat="1" ht="12.75"/>
    <row r="27483" s="3161" customFormat="1" ht="12.75"/>
    <row r="27484" s="3161" customFormat="1" ht="12.75"/>
    <row r="27485" s="3161" customFormat="1" ht="12.75"/>
    <row r="27486" s="3161" customFormat="1" ht="12.75"/>
    <row r="27487" s="3161" customFormat="1" ht="12.75"/>
    <row r="27488" s="3161" customFormat="1" ht="12.75"/>
    <row r="27489" s="3161" customFormat="1" ht="12.75"/>
    <row r="27490" s="3161" customFormat="1" ht="12.75"/>
    <row r="27491" s="3161" customFormat="1" ht="12.75"/>
    <row r="27492" s="3161" customFormat="1" ht="12.75"/>
    <row r="27493" s="3161" customFormat="1" ht="12.75"/>
    <row r="27494" s="3161" customFormat="1" ht="12.75"/>
    <row r="27495" s="3161" customFormat="1" ht="12.75"/>
    <row r="27496" s="3161" customFormat="1" ht="12.75"/>
    <row r="27497" s="3161" customFormat="1" ht="12.75"/>
    <row r="27498" s="3161" customFormat="1" ht="12.75"/>
    <row r="27499" s="3161" customFormat="1" ht="12.75"/>
    <row r="27500" s="3161" customFormat="1" ht="12.75"/>
    <row r="27501" s="3161" customFormat="1" ht="12.75"/>
    <row r="27502" s="3161" customFormat="1" ht="12.75"/>
    <row r="27503" s="3161" customFormat="1" ht="12.75"/>
    <row r="27504" s="3161" customFormat="1" ht="12.75"/>
    <row r="27505" s="3161" customFormat="1" ht="12.75"/>
    <row r="27506" s="3161" customFormat="1" ht="12.75"/>
    <row r="27507" s="3161" customFormat="1" ht="12.75"/>
    <row r="27508" s="3161" customFormat="1" ht="12.75"/>
    <row r="27509" s="3161" customFormat="1" ht="12.75"/>
    <row r="27510" s="3161" customFormat="1" ht="12.75"/>
    <row r="27511" s="3161" customFormat="1" ht="12.75"/>
    <row r="27512" s="3161" customFormat="1" ht="12.75"/>
    <row r="27513" s="3161" customFormat="1" ht="12.75"/>
    <row r="27514" s="3161" customFormat="1" ht="12.75"/>
    <row r="27515" s="3161" customFormat="1" ht="12.75"/>
    <row r="27516" s="3161" customFormat="1" ht="12.75"/>
    <row r="27517" s="3161" customFormat="1" ht="12.75"/>
    <row r="27518" s="3161" customFormat="1" ht="12.75"/>
    <row r="27519" s="3161" customFormat="1" ht="12.75"/>
    <row r="27520" s="3161" customFormat="1" ht="12.75"/>
    <row r="27521" s="3161" customFormat="1" ht="12.75"/>
    <row r="27522" s="3161" customFormat="1" ht="12.75"/>
    <row r="27523" s="3161" customFormat="1" ht="12.75"/>
    <row r="27524" s="3161" customFormat="1" ht="12.75"/>
    <row r="27525" s="3161" customFormat="1" ht="12.75"/>
    <row r="27526" s="3161" customFormat="1" ht="12.75"/>
    <row r="27527" s="3161" customFormat="1" ht="12.75"/>
    <row r="27528" s="3161" customFormat="1" ht="12.75"/>
    <row r="27529" s="3161" customFormat="1" ht="12.75"/>
    <row r="27530" s="3161" customFormat="1" ht="12.75"/>
    <row r="27531" s="3161" customFormat="1" ht="12.75"/>
    <row r="27532" s="3161" customFormat="1" ht="12.75"/>
    <row r="27533" s="3161" customFormat="1" ht="12.75"/>
    <row r="27534" s="3161" customFormat="1" ht="12.75"/>
    <row r="27535" s="3161" customFormat="1" ht="12.75"/>
    <row r="27536" s="3161" customFormat="1" ht="12.75"/>
    <row r="27537" s="3161" customFormat="1" ht="12.75"/>
    <row r="27538" s="3161" customFormat="1" ht="12.75"/>
    <row r="27539" s="3161" customFormat="1" ht="12.75"/>
    <row r="27540" s="3161" customFormat="1" ht="12.75"/>
    <row r="27541" s="3161" customFormat="1" ht="12.75"/>
    <row r="27542" s="3161" customFormat="1" ht="12.75"/>
    <row r="27543" s="3161" customFormat="1" ht="12.75"/>
    <row r="27544" s="3161" customFormat="1" ht="12.75"/>
    <row r="27545" s="3161" customFormat="1" ht="12.75"/>
    <row r="27546" s="3161" customFormat="1" ht="12.75"/>
    <row r="27547" s="3161" customFormat="1" ht="12.75"/>
    <row r="27548" s="3161" customFormat="1" ht="12.75"/>
    <row r="27549" s="3161" customFormat="1" ht="12.75"/>
    <row r="27550" s="3161" customFormat="1" ht="12.75"/>
    <row r="27551" s="3161" customFormat="1" ht="12.75"/>
    <row r="27552" s="3161" customFormat="1" ht="12.75"/>
    <row r="27553" s="3161" customFormat="1" ht="12.75"/>
    <row r="27554" s="3161" customFormat="1" ht="12.75"/>
    <row r="27555" s="3161" customFormat="1" ht="12.75"/>
    <row r="27556" s="3161" customFormat="1" ht="12.75"/>
    <row r="27557" s="3161" customFormat="1" ht="12.75"/>
    <row r="27558" s="3161" customFormat="1" ht="12.75"/>
    <row r="27559" s="3161" customFormat="1" ht="12.75"/>
    <row r="27560" s="3161" customFormat="1" ht="12.75"/>
    <row r="27561" s="3161" customFormat="1" ht="12.75"/>
    <row r="27562" s="3161" customFormat="1" ht="12.75"/>
    <row r="27563" s="3161" customFormat="1" ht="12.75"/>
    <row r="27564" s="3161" customFormat="1" ht="12.75"/>
    <row r="27565" s="3161" customFormat="1" ht="12.75"/>
    <row r="27566" s="3161" customFormat="1" ht="12.75"/>
    <row r="27567" s="3161" customFormat="1" ht="12.75"/>
    <row r="27568" s="3161" customFormat="1" ht="12.75"/>
    <row r="27569" s="3161" customFormat="1" ht="12.75"/>
    <row r="27570" s="3161" customFormat="1" ht="12.75"/>
    <row r="27571" s="3161" customFormat="1" ht="12.75"/>
    <row r="27572" s="3161" customFormat="1" ht="12.75"/>
    <row r="27573" s="3161" customFormat="1" ht="12.75"/>
    <row r="27574" s="3161" customFormat="1" ht="12.75"/>
    <row r="27575" s="3161" customFormat="1" ht="12.75"/>
    <row r="27576" s="3161" customFormat="1" ht="12.75"/>
    <row r="27577" s="3161" customFormat="1" ht="12.75"/>
    <row r="27578" s="3161" customFormat="1" ht="12.75"/>
    <row r="27579" s="3161" customFormat="1" ht="12.75"/>
    <row r="27580" s="3161" customFormat="1" ht="12.75"/>
    <row r="27581" s="3161" customFormat="1" ht="12.75"/>
    <row r="27582" s="3161" customFormat="1" ht="12.75"/>
    <row r="27583" s="3161" customFormat="1" ht="12.75"/>
    <row r="27584" s="3161" customFormat="1" ht="12.75"/>
    <row r="27585" s="3161" customFormat="1" ht="12.75"/>
    <row r="27586" s="3161" customFormat="1" ht="12.75"/>
    <row r="27587" s="3161" customFormat="1" ht="12.75"/>
    <row r="27588" s="3161" customFormat="1" ht="12.75"/>
    <row r="27589" s="3161" customFormat="1" ht="12.75"/>
    <row r="27590" s="3161" customFormat="1" ht="12.75"/>
    <row r="27591" s="3161" customFormat="1" ht="12.75"/>
    <row r="27592" s="3161" customFormat="1" ht="12.75"/>
    <row r="27593" s="3161" customFormat="1" ht="12.75"/>
    <row r="27594" s="3161" customFormat="1" ht="12.75"/>
    <row r="27595" s="3161" customFormat="1" ht="12.75"/>
    <row r="27596" s="3161" customFormat="1" ht="12.75"/>
    <row r="27597" s="3161" customFormat="1" ht="12.75"/>
    <row r="27598" s="3161" customFormat="1" ht="12.75"/>
    <row r="27599" s="3161" customFormat="1" ht="12.75"/>
    <row r="27600" s="3161" customFormat="1" ht="12.75"/>
    <row r="27601" s="3161" customFormat="1" ht="12.75"/>
    <row r="27602" s="3161" customFormat="1" ht="12.75"/>
    <row r="27603" s="3161" customFormat="1" ht="12.75"/>
    <row r="27604" s="3161" customFormat="1" ht="12.75"/>
    <row r="27605" s="3161" customFormat="1" ht="12.75"/>
    <row r="27606" s="3161" customFormat="1" ht="12.75"/>
    <row r="27607" s="3161" customFormat="1" ht="12.75"/>
    <row r="27608" s="3161" customFormat="1" ht="12.75"/>
    <row r="27609" s="3161" customFormat="1" ht="12.75"/>
    <row r="27610" s="3161" customFormat="1" ht="12.75"/>
    <row r="27611" s="3161" customFormat="1" ht="12.75"/>
    <row r="27612" s="3161" customFormat="1" ht="12.75"/>
    <row r="27613" s="3161" customFormat="1" ht="12.75"/>
    <row r="27614" s="3161" customFormat="1" ht="12.75"/>
    <row r="27615" s="3161" customFormat="1" ht="12.75"/>
    <row r="27616" s="3161" customFormat="1" ht="12.75"/>
    <row r="27617" s="3161" customFormat="1" ht="12.75"/>
    <row r="27618" s="3161" customFormat="1" ht="12.75"/>
    <row r="27619" s="3161" customFormat="1" ht="12.75"/>
    <row r="27620" s="3161" customFormat="1" ht="12.75"/>
    <row r="27621" s="3161" customFormat="1" ht="12.75"/>
    <row r="27622" s="3161" customFormat="1" ht="12.75"/>
    <row r="27623" s="3161" customFormat="1" ht="12.75"/>
    <row r="27624" s="3161" customFormat="1" ht="12.75"/>
    <row r="27625" s="3161" customFormat="1" ht="12.75"/>
    <row r="27626" s="3161" customFormat="1" ht="12.75"/>
    <row r="27627" s="3161" customFormat="1" ht="12.75"/>
    <row r="27628" s="3161" customFormat="1" ht="12.75"/>
    <row r="27629" s="3161" customFormat="1" ht="12.75"/>
    <row r="27630" s="3161" customFormat="1" ht="12.75"/>
    <row r="27631" s="3161" customFormat="1" ht="12.75"/>
    <row r="27632" s="3161" customFormat="1" ht="12.75"/>
    <row r="27633" s="3161" customFormat="1" ht="12.75"/>
    <row r="27634" s="3161" customFormat="1" ht="12.75"/>
    <row r="27635" s="3161" customFormat="1" ht="12.75"/>
    <row r="27636" s="3161" customFormat="1" ht="12.75"/>
    <row r="27637" s="3161" customFormat="1" ht="12.75"/>
    <row r="27638" s="3161" customFormat="1" ht="12.75"/>
    <row r="27639" s="3161" customFormat="1" ht="12.75"/>
    <row r="27640" s="3161" customFormat="1" ht="12.75"/>
    <row r="27641" s="3161" customFormat="1" ht="12.75"/>
    <row r="27642" s="3161" customFormat="1" ht="12.75"/>
    <row r="27643" s="3161" customFormat="1" ht="12.75"/>
    <row r="27644" s="3161" customFormat="1" ht="12.75"/>
    <row r="27645" s="3161" customFormat="1" ht="12.75"/>
    <row r="27646" s="3161" customFormat="1" ht="12.75"/>
    <row r="27647" s="3161" customFormat="1" ht="12.75"/>
    <row r="27648" s="3161" customFormat="1" ht="12.75"/>
    <row r="27649" s="3161" customFormat="1" ht="12.75"/>
    <row r="27650" s="3161" customFormat="1" ht="12.75"/>
    <row r="27651" s="3161" customFormat="1" ht="12.75"/>
    <row r="27652" s="3161" customFormat="1" ht="12.75"/>
    <row r="27653" s="3161" customFormat="1" ht="12.75"/>
    <row r="27654" s="3161" customFormat="1" ht="12.75"/>
    <row r="27655" s="3161" customFormat="1" ht="12.75"/>
    <row r="27656" s="3161" customFormat="1" ht="12.75"/>
    <row r="27657" s="3161" customFormat="1" ht="12.75"/>
    <row r="27658" s="3161" customFormat="1" ht="12.75"/>
    <row r="27659" s="3161" customFormat="1" ht="12.75"/>
    <row r="27660" s="3161" customFormat="1" ht="12.75"/>
    <row r="27661" s="3161" customFormat="1" ht="12.75"/>
    <row r="27662" s="3161" customFormat="1" ht="12.75"/>
    <row r="27663" s="3161" customFormat="1" ht="12.75"/>
    <row r="27664" s="3161" customFormat="1" ht="12.75"/>
    <row r="27665" s="3161" customFormat="1" ht="12.75"/>
    <row r="27666" s="3161" customFormat="1" ht="12.75"/>
    <row r="27667" s="3161" customFormat="1" ht="12.75"/>
    <row r="27668" s="3161" customFormat="1" ht="12.75"/>
    <row r="27669" s="3161" customFormat="1" ht="12.75"/>
    <row r="27670" s="3161" customFormat="1" ht="12.75"/>
    <row r="27671" s="3161" customFormat="1" ht="12.75"/>
    <row r="27672" s="3161" customFormat="1" ht="12.75"/>
    <row r="27673" s="3161" customFormat="1" ht="12.75"/>
    <row r="27674" s="3161" customFormat="1" ht="12.75"/>
    <row r="27675" s="3161" customFormat="1" ht="12.75"/>
    <row r="27676" s="3161" customFormat="1" ht="12.75"/>
    <row r="27677" s="3161" customFormat="1" ht="12.75"/>
    <row r="27678" s="3161" customFormat="1" ht="12.75"/>
    <row r="27679" s="3161" customFormat="1" ht="12.75"/>
    <row r="27680" s="3161" customFormat="1" ht="12.75"/>
    <row r="27681" s="3161" customFormat="1" ht="12.75"/>
    <row r="27682" s="3161" customFormat="1" ht="12.75"/>
    <row r="27683" s="3161" customFormat="1" ht="12.75"/>
    <row r="27684" s="3161" customFormat="1" ht="12.75"/>
    <row r="27685" s="3161" customFormat="1" ht="12.75"/>
    <row r="27686" s="3161" customFormat="1" ht="12.75"/>
    <row r="27687" s="3161" customFormat="1" ht="12.75"/>
    <row r="27688" s="3161" customFormat="1" ht="12.75"/>
    <row r="27689" s="3161" customFormat="1" ht="12.75"/>
    <row r="27690" s="3161" customFormat="1" ht="12.75"/>
    <row r="27691" s="3161" customFormat="1" ht="12.75"/>
    <row r="27692" s="3161" customFormat="1" ht="12.75"/>
    <row r="27693" s="3161" customFormat="1" ht="12.75"/>
    <row r="27694" s="3161" customFormat="1" ht="12.75"/>
    <row r="27695" s="3161" customFormat="1" ht="12.75"/>
    <row r="27696" s="3161" customFormat="1" ht="12.75"/>
    <row r="27697" s="3161" customFormat="1" ht="12.75"/>
    <row r="27698" s="3161" customFormat="1" ht="12.75"/>
    <row r="27699" s="3161" customFormat="1" ht="12.75"/>
    <row r="27700" s="3161" customFormat="1" ht="12.75"/>
    <row r="27701" s="3161" customFormat="1" ht="12.75"/>
    <row r="27702" s="3161" customFormat="1" ht="12.75"/>
    <row r="27703" s="3161" customFormat="1" ht="12.75"/>
    <row r="27704" s="3161" customFormat="1" ht="12.75"/>
    <row r="27705" s="3161" customFormat="1" ht="12.75"/>
    <row r="27706" s="3161" customFormat="1" ht="12.75"/>
    <row r="27707" s="3161" customFormat="1" ht="12.75"/>
    <row r="27708" s="3161" customFormat="1" ht="12.75"/>
    <row r="27709" s="3161" customFormat="1" ht="12.75"/>
    <row r="27710" s="3161" customFormat="1" ht="12.75"/>
    <row r="27711" s="3161" customFormat="1" ht="12.75"/>
    <row r="27712" s="3161" customFormat="1" ht="12.75"/>
    <row r="27713" s="3161" customFormat="1" ht="12.75"/>
    <row r="27714" s="3161" customFormat="1" ht="12.75"/>
    <row r="27715" s="3161" customFormat="1" ht="12.75"/>
    <row r="27716" s="3161" customFormat="1" ht="12.75"/>
    <row r="27717" s="3161" customFormat="1" ht="12.75"/>
    <row r="27718" s="3161" customFormat="1" ht="12.75"/>
    <row r="27719" s="3161" customFormat="1" ht="12.75"/>
    <row r="27720" s="3161" customFormat="1" ht="12.75"/>
    <row r="27721" s="3161" customFormat="1" ht="12.75"/>
    <row r="27722" s="3161" customFormat="1" ht="12.75"/>
    <row r="27723" s="3161" customFormat="1" ht="12.75"/>
    <row r="27724" s="3161" customFormat="1" ht="12.75"/>
    <row r="27725" s="3161" customFormat="1" ht="12.75"/>
    <row r="27726" s="3161" customFormat="1" ht="12.75"/>
    <row r="27727" s="3161" customFormat="1" ht="12.75"/>
    <row r="27728" s="3161" customFormat="1" ht="12.75"/>
    <row r="27729" s="3161" customFormat="1" ht="12.75"/>
    <row r="27730" s="3161" customFormat="1" ht="12.75"/>
    <row r="27731" s="3161" customFormat="1" ht="12.75"/>
    <row r="27732" s="3161" customFormat="1" ht="12.75"/>
    <row r="27733" s="3161" customFormat="1" ht="12.75"/>
    <row r="27734" s="3161" customFormat="1" ht="12.75"/>
    <row r="27735" s="3161" customFormat="1" ht="12.75"/>
    <row r="27736" s="3161" customFormat="1" ht="12.75"/>
    <row r="27737" s="3161" customFormat="1" ht="12.75"/>
    <row r="27738" s="3161" customFormat="1" ht="12.75"/>
    <row r="27739" s="3161" customFormat="1" ht="12.75"/>
    <row r="27740" s="3161" customFormat="1" ht="12.75"/>
    <row r="27741" s="3161" customFormat="1" ht="12.75"/>
    <row r="27742" s="3161" customFormat="1" ht="12.75"/>
    <row r="27743" s="3161" customFormat="1" ht="12.75"/>
    <row r="27744" s="3161" customFormat="1" ht="12.75"/>
    <row r="27745" s="3161" customFormat="1" ht="12.75"/>
    <row r="27746" s="3161" customFormat="1" ht="12.75"/>
    <row r="27747" s="3161" customFormat="1" ht="12.75"/>
    <row r="27748" s="3161" customFormat="1" ht="12.75"/>
    <row r="27749" s="3161" customFormat="1" ht="12.75"/>
    <row r="27750" s="3161" customFormat="1" ht="12.75"/>
    <row r="27751" s="3161" customFormat="1" ht="12.75"/>
    <row r="27752" s="3161" customFormat="1" ht="12.75"/>
    <row r="27753" s="3161" customFormat="1" ht="12.75"/>
    <row r="27754" s="3161" customFormat="1" ht="12.75"/>
    <row r="27755" s="3161" customFormat="1" ht="12.75"/>
    <row r="27756" s="3161" customFormat="1" ht="12.75"/>
    <row r="27757" s="3161" customFormat="1" ht="12.75"/>
    <row r="27758" s="3161" customFormat="1" ht="12.75"/>
    <row r="27759" s="3161" customFormat="1" ht="12.75"/>
    <row r="27760" s="3161" customFormat="1" ht="12.75"/>
    <row r="27761" s="3161" customFormat="1" ht="12.75"/>
    <row r="27762" s="3161" customFormat="1" ht="12.75"/>
    <row r="27763" s="3161" customFormat="1" ht="12.75"/>
    <row r="27764" s="3161" customFormat="1" ht="12.75"/>
    <row r="27765" s="3161" customFormat="1" ht="12.75"/>
    <row r="27766" s="3161" customFormat="1" ht="12.75"/>
    <row r="27767" s="3161" customFormat="1" ht="12.75"/>
    <row r="27768" s="3161" customFormat="1" ht="12.75"/>
    <row r="27769" s="3161" customFormat="1" ht="12.75"/>
    <row r="27770" s="3161" customFormat="1" ht="12.75"/>
    <row r="27771" s="3161" customFormat="1" ht="12.75"/>
    <row r="27772" s="3161" customFormat="1" ht="12.75"/>
    <row r="27773" s="3161" customFormat="1" ht="12.75"/>
    <row r="27774" s="3161" customFormat="1" ht="12.75"/>
    <row r="27775" s="3161" customFormat="1" ht="12.75"/>
    <row r="27776" s="3161" customFormat="1" ht="12.75"/>
    <row r="27777" s="3161" customFormat="1" ht="12.75"/>
    <row r="27778" s="3161" customFormat="1" ht="12.75"/>
    <row r="27779" s="3161" customFormat="1" ht="12.75"/>
    <row r="27780" s="3161" customFormat="1" ht="12.75"/>
    <row r="27781" s="3161" customFormat="1" ht="12.75"/>
    <row r="27782" s="3161" customFormat="1" ht="12.75"/>
    <row r="27783" s="3161" customFormat="1" ht="12.75"/>
    <row r="27784" s="3161" customFormat="1" ht="12.75"/>
    <row r="27785" s="3161" customFormat="1" ht="12.75"/>
    <row r="27786" s="3161" customFormat="1" ht="12.75"/>
    <row r="27787" s="3161" customFormat="1" ht="12.75"/>
    <row r="27788" s="3161" customFormat="1" ht="12.75"/>
    <row r="27789" s="3161" customFormat="1" ht="12.75"/>
    <row r="27790" s="3161" customFormat="1" ht="12.75"/>
    <row r="27791" s="3161" customFormat="1" ht="12.75"/>
    <row r="27792" s="3161" customFormat="1" ht="12.75"/>
    <row r="27793" s="3161" customFormat="1" ht="12.75"/>
    <row r="27794" s="3161" customFormat="1" ht="12.75"/>
    <row r="27795" s="3161" customFormat="1" ht="12.75"/>
    <row r="27796" s="3161" customFormat="1" ht="12.75"/>
    <row r="27797" s="3161" customFormat="1" ht="12.75"/>
    <row r="27798" s="3161" customFormat="1" ht="12.75"/>
    <row r="27799" s="3161" customFormat="1" ht="12.75"/>
    <row r="27800" s="3161" customFormat="1" ht="12.75"/>
    <row r="27801" s="3161" customFormat="1" ht="12.75"/>
    <row r="27802" s="3161" customFormat="1" ht="12.75"/>
    <row r="27803" s="3161" customFormat="1" ht="12.75"/>
    <row r="27804" s="3161" customFormat="1" ht="12.75"/>
    <row r="27805" s="3161" customFormat="1" ht="12.75"/>
    <row r="27806" s="3161" customFormat="1" ht="12.75"/>
    <row r="27807" s="3161" customFormat="1" ht="12.75"/>
    <row r="27808" s="3161" customFormat="1" ht="12.75"/>
    <row r="27809" s="3161" customFormat="1" ht="12.75"/>
    <row r="27810" s="3161" customFormat="1" ht="12.75"/>
    <row r="27811" s="3161" customFormat="1" ht="12.75"/>
    <row r="27812" s="3161" customFormat="1" ht="12.75"/>
    <row r="27813" s="3161" customFormat="1" ht="12.75"/>
    <row r="27814" s="3161" customFormat="1" ht="12.75"/>
    <row r="27815" s="3161" customFormat="1" ht="12.75"/>
    <row r="27816" s="3161" customFormat="1" ht="12.75"/>
    <row r="27817" s="3161" customFormat="1" ht="12.75"/>
    <row r="27818" s="3161" customFormat="1" ht="12.75"/>
    <row r="27819" s="3161" customFormat="1" ht="12.75"/>
    <row r="27820" s="3161" customFormat="1" ht="12.75"/>
    <row r="27821" s="3161" customFormat="1" ht="12.75"/>
    <row r="27822" s="3161" customFormat="1" ht="12.75"/>
    <row r="27823" s="3161" customFormat="1" ht="12.75"/>
    <row r="27824" s="3161" customFormat="1" ht="12.75"/>
    <row r="27825" s="3161" customFormat="1" ht="12.75"/>
    <row r="27826" s="3161" customFormat="1" ht="12.75"/>
    <row r="27827" s="3161" customFormat="1" ht="12.75"/>
    <row r="27828" s="3161" customFormat="1" ht="12.75"/>
    <row r="27829" s="3161" customFormat="1" ht="12.75"/>
    <row r="27830" s="3161" customFormat="1" ht="12.75"/>
    <row r="27831" s="3161" customFormat="1" ht="12.75"/>
    <row r="27832" s="3161" customFormat="1" ht="12.75"/>
    <row r="27833" s="3161" customFormat="1" ht="12.75"/>
    <row r="27834" s="3161" customFormat="1" ht="12.75"/>
    <row r="27835" s="3161" customFormat="1" ht="12.75"/>
    <row r="27836" s="3161" customFormat="1" ht="12.75"/>
    <row r="27837" s="3161" customFormat="1" ht="12.75"/>
    <row r="27838" s="3161" customFormat="1" ht="12.75"/>
    <row r="27839" s="3161" customFormat="1" ht="12.75"/>
    <row r="27840" s="3161" customFormat="1" ht="12.75"/>
    <row r="27841" s="3161" customFormat="1" ht="12.75"/>
    <row r="27842" s="3161" customFormat="1" ht="12.75"/>
    <row r="27843" s="3161" customFormat="1" ht="12.75"/>
    <row r="27844" s="3161" customFormat="1" ht="12.75"/>
    <row r="27845" s="3161" customFormat="1" ht="12.75"/>
    <row r="27846" s="3161" customFormat="1" ht="12.75"/>
    <row r="27847" s="3161" customFormat="1" ht="12.75"/>
    <row r="27848" s="3161" customFormat="1" ht="12.75"/>
    <row r="27849" s="3161" customFormat="1" ht="12.75"/>
    <row r="27850" s="3161" customFormat="1" ht="12.75"/>
    <row r="27851" s="3161" customFormat="1" ht="12.75"/>
    <row r="27852" s="3161" customFormat="1" ht="12.75"/>
    <row r="27853" s="3161" customFormat="1" ht="12.75"/>
    <row r="27854" s="3161" customFormat="1" ht="12.75"/>
    <row r="27855" s="3161" customFormat="1" ht="12.75"/>
    <row r="27856" s="3161" customFormat="1" ht="12.75"/>
    <row r="27857" s="3161" customFormat="1" ht="12.75"/>
    <row r="27858" s="3161" customFormat="1" ht="12.75"/>
    <row r="27859" s="3161" customFormat="1" ht="12.75"/>
    <row r="27860" s="3161" customFormat="1" ht="12.75"/>
    <row r="27861" s="3161" customFormat="1" ht="12.75"/>
    <row r="27862" s="3161" customFormat="1" ht="12.75"/>
    <row r="27863" s="3161" customFormat="1" ht="12.75"/>
    <row r="27864" s="3161" customFormat="1" ht="12.75"/>
    <row r="27865" s="3161" customFormat="1" ht="12.75"/>
    <row r="27866" s="3161" customFormat="1" ht="12.75"/>
    <row r="27867" s="3161" customFormat="1" ht="12.75"/>
    <row r="27868" s="3161" customFormat="1" ht="12.75"/>
    <row r="27869" s="3161" customFormat="1" ht="12.75"/>
    <row r="27870" s="3161" customFormat="1" ht="12.75"/>
    <row r="27871" s="3161" customFormat="1" ht="12.75"/>
    <row r="27872" s="3161" customFormat="1" ht="12.75"/>
    <row r="27873" s="3161" customFormat="1" ht="12.75"/>
    <row r="27874" s="3161" customFormat="1" ht="12.75"/>
    <row r="27875" s="3161" customFormat="1" ht="12.75"/>
    <row r="27876" s="3161" customFormat="1" ht="12.75"/>
    <row r="27877" s="3161" customFormat="1" ht="12.75"/>
    <row r="27878" s="3161" customFormat="1" ht="12.75"/>
    <row r="27879" s="3161" customFormat="1" ht="12.75"/>
    <row r="27880" s="3161" customFormat="1" ht="12.75"/>
    <row r="27881" s="3161" customFormat="1" ht="12.75"/>
    <row r="27882" s="3161" customFormat="1" ht="12.75"/>
    <row r="27883" s="3161" customFormat="1" ht="12.75"/>
    <row r="27884" s="3161" customFormat="1" ht="12.75"/>
    <row r="27885" s="3161" customFormat="1" ht="12.75"/>
    <row r="27886" s="3161" customFormat="1" ht="12.75"/>
    <row r="27887" s="3161" customFormat="1" ht="12.75"/>
    <row r="27888" s="3161" customFormat="1" ht="12.75"/>
    <row r="27889" s="3161" customFormat="1" ht="12.75"/>
    <row r="27890" s="3161" customFormat="1" ht="12.75"/>
    <row r="27891" s="3161" customFormat="1" ht="12.75"/>
    <row r="27892" s="3161" customFormat="1" ht="12.75"/>
    <row r="27893" s="3161" customFormat="1" ht="12.75"/>
    <row r="27894" s="3161" customFormat="1" ht="12.75"/>
    <row r="27895" s="3161" customFormat="1" ht="12.75"/>
    <row r="27896" s="3161" customFormat="1" ht="12.75"/>
    <row r="27897" s="3161" customFormat="1" ht="12.75"/>
    <row r="27898" s="3161" customFormat="1" ht="12.75"/>
    <row r="27899" s="3161" customFormat="1" ht="12.75"/>
    <row r="27900" s="3161" customFormat="1" ht="12.75"/>
    <row r="27901" s="3161" customFormat="1" ht="12.75"/>
    <row r="27902" s="3161" customFormat="1" ht="12.75"/>
    <row r="27903" s="3161" customFormat="1" ht="12.75"/>
    <row r="27904" s="3161" customFormat="1" ht="12.75"/>
    <row r="27905" s="3161" customFormat="1" ht="12.75"/>
    <row r="27906" s="3161" customFormat="1" ht="12.75"/>
    <row r="27907" s="3161" customFormat="1" ht="12.75"/>
    <row r="27908" s="3161" customFormat="1" ht="12.75"/>
    <row r="27909" s="3161" customFormat="1" ht="12.75"/>
    <row r="27910" s="3161" customFormat="1" ht="12.75"/>
    <row r="27911" s="3161" customFormat="1" ht="12.75"/>
    <row r="27912" s="3161" customFormat="1" ht="12.75"/>
    <row r="27913" s="3161" customFormat="1" ht="12.75"/>
    <row r="27914" s="3161" customFormat="1" ht="12.75"/>
    <row r="27915" s="3161" customFormat="1" ht="12.75"/>
    <row r="27916" s="3161" customFormat="1" ht="12.75"/>
    <row r="27917" s="3161" customFormat="1" ht="12.75"/>
    <row r="27918" s="3161" customFormat="1" ht="12.75"/>
    <row r="27919" s="3161" customFormat="1" ht="12.75"/>
    <row r="27920" s="3161" customFormat="1" ht="12.75"/>
    <row r="27921" s="3161" customFormat="1" ht="12.75"/>
    <row r="27922" s="3161" customFormat="1" ht="12.75"/>
    <row r="27923" s="3161" customFormat="1" ht="12.75"/>
    <row r="27924" s="3161" customFormat="1" ht="12.75"/>
    <row r="27925" s="3161" customFormat="1" ht="12.75"/>
    <row r="27926" s="3161" customFormat="1" ht="12.75"/>
    <row r="27927" s="3161" customFormat="1" ht="12.75"/>
    <row r="27928" s="3161" customFormat="1" ht="12.75"/>
    <row r="27929" s="3161" customFormat="1" ht="12.75"/>
    <row r="27930" s="3161" customFormat="1" ht="12.75"/>
    <row r="27931" s="3161" customFormat="1" ht="12.75"/>
    <row r="27932" s="3161" customFormat="1" ht="12.75"/>
    <row r="27933" s="3161" customFormat="1" ht="12.75"/>
    <row r="27934" s="3161" customFormat="1" ht="12.75"/>
    <row r="27935" s="3161" customFormat="1" ht="12.75"/>
    <row r="27936" s="3161" customFormat="1" ht="12.75"/>
    <row r="27937" s="3161" customFormat="1" ht="12.75"/>
    <row r="27938" s="3161" customFormat="1" ht="12.75"/>
    <row r="27939" s="3161" customFormat="1" ht="12.75"/>
    <row r="27940" s="3161" customFormat="1" ht="12.75"/>
    <row r="27941" s="3161" customFormat="1" ht="12.75"/>
    <row r="27942" s="3161" customFormat="1" ht="12.75"/>
    <row r="27943" s="3161" customFormat="1" ht="12.75"/>
    <row r="27944" s="3161" customFormat="1" ht="12.75"/>
    <row r="27945" s="3161" customFormat="1" ht="12.75"/>
    <row r="27946" s="3161" customFormat="1" ht="12.75"/>
    <row r="27947" s="3161" customFormat="1" ht="12.75"/>
    <row r="27948" s="3161" customFormat="1" ht="12.75"/>
    <row r="27949" s="3161" customFormat="1" ht="12.75"/>
    <row r="27950" s="3161" customFormat="1" ht="12.75"/>
    <row r="27951" s="3161" customFormat="1" ht="12.75"/>
    <row r="27952" s="3161" customFormat="1" ht="12.75"/>
    <row r="27953" s="3161" customFormat="1" ht="12.75"/>
    <row r="27954" s="3161" customFormat="1" ht="12.75"/>
    <row r="27955" s="3161" customFormat="1" ht="12.75"/>
    <row r="27956" s="3161" customFormat="1" ht="12.75"/>
    <row r="27957" s="3161" customFormat="1" ht="12.75"/>
    <row r="27958" s="3161" customFormat="1" ht="12.75"/>
    <row r="27959" s="3161" customFormat="1" ht="12.75"/>
    <row r="27960" s="3161" customFormat="1" ht="12.75"/>
    <row r="27961" s="3161" customFormat="1" ht="12.75"/>
    <row r="27962" s="3161" customFormat="1" ht="12.75"/>
    <row r="27963" s="3161" customFormat="1" ht="12.75"/>
    <row r="27964" s="3161" customFormat="1" ht="12.75"/>
    <row r="27965" s="3161" customFormat="1" ht="12.75"/>
    <row r="27966" s="3161" customFormat="1" ht="12.75"/>
    <row r="27967" s="3161" customFormat="1" ht="12.75"/>
    <row r="27968" s="3161" customFormat="1" ht="12.75"/>
    <row r="27969" s="3161" customFormat="1" ht="12.75"/>
    <row r="27970" s="3161" customFormat="1" ht="12.75"/>
    <row r="27971" s="3161" customFormat="1" ht="12.75"/>
    <row r="27972" s="3161" customFormat="1" ht="12.75"/>
    <row r="27973" s="3161" customFormat="1" ht="12.75"/>
    <row r="27974" s="3161" customFormat="1" ht="12.75"/>
    <row r="27975" s="3161" customFormat="1" ht="12.75"/>
    <row r="27976" s="3161" customFormat="1" ht="12.75"/>
    <row r="27977" s="3161" customFormat="1" ht="12.75"/>
    <row r="27978" s="3161" customFormat="1" ht="12.75"/>
    <row r="27979" s="3161" customFormat="1" ht="12.75"/>
    <row r="27980" s="3161" customFormat="1" ht="12.75"/>
    <row r="27981" s="3161" customFormat="1" ht="12.75"/>
    <row r="27982" s="3161" customFormat="1" ht="12.75"/>
    <row r="27983" s="3161" customFormat="1" ht="12.75"/>
    <row r="27984" s="3161" customFormat="1" ht="12.75"/>
    <row r="27985" s="3161" customFormat="1" ht="12.75"/>
    <row r="27986" s="3161" customFormat="1" ht="12.75"/>
    <row r="27987" s="3161" customFormat="1" ht="12.75"/>
    <row r="27988" s="3161" customFormat="1" ht="12.75"/>
    <row r="27989" s="3161" customFormat="1" ht="12.75"/>
    <row r="27990" s="3161" customFormat="1" ht="12.75"/>
    <row r="27991" s="3161" customFormat="1" ht="12.75"/>
    <row r="27992" s="3161" customFormat="1" ht="12.75"/>
    <row r="27993" s="3161" customFormat="1" ht="12.75"/>
    <row r="27994" s="3161" customFormat="1" ht="12.75"/>
    <row r="27995" s="3161" customFormat="1" ht="12.75"/>
    <row r="27996" s="3161" customFormat="1" ht="12.75"/>
    <row r="27997" s="3161" customFormat="1" ht="12.75"/>
    <row r="27998" s="3161" customFormat="1" ht="12.75"/>
    <row r="27999" s="3161" customFormat="1" ht="12.75"/>
    <row r="28000" s="3161" customFormat="1" ht="12.75"/>
    <row r="28001" s="3161" customFormat="1" ht="12.75"/>
    <row r="28002" s="3161" customFormat="1" ht="12.75"/>
    <row r="28003" s="3161" customFormat="1" ht="12.75"/>
    <row r="28004" s="3161" customFormat="1" ht="12.75"/>
    <row r="28005" s="3161" customFormat="1" ht="12.75"/>
    <row r="28006" s="3161" customFormat="1" ht="12.75"/>
    <row r="28007" s="3161" customFormat="1" ht="12.75"/>
    <row r="28008" s="3161" customFormat="1" ht="12.75"/>
    <row r="28009" s="3161" customFormat="1" ht="12.75"/>
    <row r="28010" s="3161" customFormat="1" ht="12.75"/>
    <row r="28011" s="3161" customFormat="1" ht="12.75"/>
    <row r="28012" s="3161" customFormat="1" ht="12.75"/>
    <row r="28013" s="3161" customFormat="1" ht="12.75"/>
    <row r="28014" s="3161" customFormat="1" ht="12.75"/>
    <row r="28015" s="3161" customFormat="1" ht="12.75"/>
    <row r="28016" s="3161" customFormat="1" ht="12.75"/>
    <row r="28017" s="3161" customFormat="1" ht="12.75"/>
    <row r="28018" s="3161" customFormat="1" ht="12.75"/>
    <row r="28019" s="3161" customFormat="1" ht="12.75"/>
    <row r="28020" s="3161" customFormat="1" ht="12.75"/>
    <row r="28021" s="3161" customFormat="1" ht="12.75"/>
    <row r="28022" s="3161" customFormat="1" ht="12.75"/>
    <row r="28023" s="3161" customFormat="1" ht="12.75"/>
    <row r="28024" s="3161" customFormat="1" ht="12.75"/>
    <row r="28025" s="3161" customFormat="1" ht="12.75"/>
    <row r="28026" s="3161" customFormat="1" ht="12.75"/>
    <row r="28027" s="3161" customFormat="1" ht="12.75"/>
    <row r="28028" s="3161" customFormat="1" ht="12.75"/>
    <row r="28029" s="3161" customFormat="1" ht="12.75"/>
    <row r="28030" s="3161" customFormat="1" ht="12.75"/>
    <row r="28031" s="3161" customFormat="1" ht="12.75"/>
    <row r="28032" s="3161" customFormat="1" ht="12.75"/>
    <row r="28033" s="3161" customFormat="1" ht="12.75"/>
    <row r="28034" s="3161" customFormat="1" ht="12.75"/>
    <row r="28035" s="3161" customFormat="1" ht="12.75"/>
    <row r="28036" s="3161" customFormat="1" ht="12.75"/>
    <row r="28037" s="3161" customFormat="1" ht="12.75"/>
    <row r="28038" s="3161" customFormat="1" ht="12.75"/>
    <row r="28039" s="3161" customFormat="1" ht="12.75"/>
    <row r="28040" s="3161" customFormat="1" ht="12.75"/>
    <row r="28041" s="3161" customFormat="1" ht="12.75"/>
    <row r="28042" s="3161" customFormat="1" ht="12.75"/>
    <row r="28043" s="3161" customFormat="1" ht="12.75"/>
    <row r="28044" s="3161" customFormat="1" ht="12.75"/>
    <row r="28045" s="3161" customFormat="1" ht="12.75"/>
    <row r="28046" s="3161" customFormat="1" ht="12.75"/>
    <row r="28047" s="3161" customFormat="1" ht="12.75"/>
    <row r="28048" s="3161" customFormat="1" ht="12.75"/>
    <row r="28049" s="3161" customFormat="1" ht="12.75"/>
    <row r="28050" s="3161" customFormat="1" ht="12.75"/>
    <row r="28051" s="3161" customFormat="1" ht="12.75"/>
    <row r="28052" s="3161" customFormat="1" ht="12.75"/>
    <row r="28053" s="3161" customFormat="1" ht="12.75"/>
    <row r="28054" s="3161" customFormat="1" ht="12.75"/>
    <row r="28055" s="3161" customFormat="1" ht="12.75"/>
    <row r="28056" s="3161" customFormat="1" ht="12.75"/>
    <row r="28057" s="3161" customFormat="1" ht="12.75"/>
    <row r="28058" s="3161" customFormat="1" ht="12.75"/>
    <row r="28059" s="3161" customFormat="1" ht="12.75"/>
    <row r="28060" s="3161" customFormat="1" ht="12.75"/>
    <row r="28061" s="3161" customFormat="1" ht="12.75"/>
    <row r="28062" s="3161" customFormat="1" ht="12.75"/>
    <row r="28063" s="3161" customFormat="1" ht="12.75"/>
    <row r="28064" s="3161" customFormat="1" ht="12.75"/>
    <row r="28065" s="3161" customFormat="1" ht="12.75"/>
    <row r="28066" s="3161" customFormat="1" ht="12.75"/>
    <row r="28067" s="3161" customFormat="1" ht="12.75"/>
    <row r="28068" s="3161" customFormat="1" ht="12.75"/>
    <row r="28069" s="3161" customFormat="1" ht="12.75"/>
    <row r="28070" s="3161" customFormat="1" ht="12.75"/>
    <row r="28071" s="3161" customFormat="1" ht="12.75"/>
    <row r="28072" s="3161" customFormat="1" ht="12.75"/>
    <row r="28073" s="3161" customFormat="1" ht="12.75"/>
    <row r="28074" s="3161" customFormat="1" ht="12.75"/>
    <row r="28075" s="3161" customFormat="1" ht="12.75"/>
    <row r="28076" s="3161" customFormat="1" ht="12.75"/>
    <row r="28077" s="3161" customFormat="1" ht="12.75"/>
    <row r="28078" s="3161" customFormat="1" ht="12.75"/>
    <row r="28079" s="3161" customFormat="1" ht="12.75"/>
    <row r="28080" s="3161" customFormat="1" ht="12.75"/>
    <row r="28081" s="3161" customFormat="1" ht="12.75"/>
    <row r="28082" s="3161" customFormat="1" ht="12.75"/>
    <row r="28083" s="3161" customFormat="1" ht="12.75"/>
    <row r="28084" s="3161" customFormat="1" ht="12.75"/>
    <row r="28085" s="3161" customFormat="1" ht="12.75"/>
    <row r="28086" s="3161" customFormat="1" ht="12.75"/>
    <row r="28087" s="3161" customFormat="1" ht="12.75"/>
    <row r="28088" s="3161" customFormat="1" ht="12.75"/>
    <row r="28089" s="3161" customFormat="1" ht="12.75"/>
    <row r="28090" s="3161" customFormat="1" ht="12.75"/>
    <row r="28091" s="3161" customFormat="1" ht="12.75"/>
    <row r="28092" s="3161" customFormat="1" ht="12.75"/>
    <row r="28093" s="3161" customFormat="1" ht="12.75"/>
    <row r="28094" s="3161" customFormat="1" ht="12.75"/>
    <row r="28095" s="3161" customFormat="1" ht="12.75"/>
    <row r="28096" s="3161" customFormat="1" ht="12.75"/>
    <row r="28097" s="3161" customFormat="1" ht="12.75"/>
    <row r="28098" s="3161" customFormat="1" ht="12.75"/>
    <row r="28099" s="3161" customFormat="1" ht="12.75"/>
    <row r="28100" s="3161" customFormat="1" ht="12.75"/>
    <row r="28101" s="3161" customFormat="1" ht="12.75"/>
    <row r="28102" s="3161" customFormat="1" ht="12.75"/>
    <row r="28103" s="3161" customFormat="1" ht="12.75"/>
    <row r="28104" s="3161" customFormat="1" ht="12.75"/>
    <row r="28105" s="3161" customFormat="1" ht="12.75"/>
    <row r="28106" s="3161" customFormat="1" ht="12.75"/>
    <row r="28107" s="3161" customFormat="1" ht="12.75"/>
    <row r="28108" s="3161" customFormat="1" ht="12.75"/>
    <row r="28109" s="3161" customFormat="1" ht="12.75"/>
    <row r="28110" s="3161" customFormat="1" ht="12.75"/>
    <row r="28111" s="3161" customFormat="1" ht="12.75"/>
    <row r="28112" s="3161" customFormat="1" ht="12.75"/>
    <row r="28113" s="3161" customFormat="1" ht="12.75"/>
    <row r="28114" s="3161" customFormat="1" ht="12.75"/>
    <row r="28115" s="3161" customFormat="1" ht="12.75"/>
    <row r="28116" s="3161" customFormat="1" ht="12.75"/>
    <row r="28117" s="3161" customFormat="1" ht="12.75"/>
    <row r="28118" s="3161" customFormat="1" ht="12.75"/>
    <row r="28119" s="3161" customFormat="1" ht="12.75"/>
    <row r="28120" s="3161" customFormat="1" ht="12.75"/>
    <row r="28121" s="3161" customFormat="1" ht="12.75"/>
    <row r="28122" s="3161" customFormat="1" ht="12.75"/>
    <row r="28123" s="3161" customFormat="1" ht="12.75"/>
    <row r="28124" s="3161" customFormat="1" ht="12.75"/>
    <row r="28125" s="3161" customFormat="1" ht="12.75"/>
    <row r="28126" s="3161" customFormat="1" ht="12.75"/>
    <row r="28127" s="3161" customFormat="1" ht="12.75"/>
    <row r="28128" s="3161" customFormat="1" ht="12.75"/>
    <row r="28129" s="3161" customFormat="1" ht="12.75"/>
    <row r="28130" s="3161" customFormat="1" ht="12.75"/>
    <row r="28131" s="3161" customFormat="1" ht="12.75"/>
    <row r="28132" s="3161" customFormat="1" ht="12.75"/>
    <row r="28133" s="3161" customFormat="1" ht="12.75"/>
    <row r="28134" s="3161" customFormat="1" ht="12.75"/>
    <row r="28135" s="3161" customFormat="1" ht="12.75"/>
    <row r="28136" s="3161" customFormat="1" ht="12.75"/>
    <row r="28137" s="3161" customFormat="1" ht="12.75"/>
    <row r="28138" s="3161" customFormat="1" ht="12.75"/>
    <row r="28139" s="3161" customFormat="1" ht="12.75"/>
    <row r="28140" s="3161" customFormat="1" ht="12.75"/>
    <row r="28141" s="3161" customFormat="1" ht="12.75"/>
    <row r="28142" s="3161" customFormat="1" ht="12.75"/>
    <row r="28143" s="3161" customFormat="1" ht="12.75"/>
    <row r="28144" s="3161" customFormat="1" ht="12.75"/>
    <row r="28145" s="3161" customFormat="1" ht="12.75"/>
    <row r="28146" s="3161" customFormat="1" ht="12.75"/>
    <row r="28147" s="3161" customFormat="1" ht="12.75"/>
    <row r="28148" s="3161" customFormat="1" ht="12.75"/>
    <row r="28149" s="3161" customFormat="1" ht="12.75"/>
    <row r="28150" s="3161" customFormat="1" ht="12.75"/>
    <row r="28151" s="3161" customFormat="1" ht="12.75"/>
    <row r="28152" s="3161" customFormat="1" ht="12.75"/>
    <row r="28153" s="3161" customFormat="1" ht="12.75"/>
    <row r="28154" s="3161" customFormat="1" ht="12.75"/>
    <row r="28155" s="3161" customFormat="1" ht="12.75"/>
    <row r="28156" s="3161" customFormat="1" ht="12.75"/>
    <row r="28157" s="3161" customFormat="1" ht="12.75"/>
    <row r="28158" s="3161" customFormat="1" ht="12.75"/>
    <row r="28159" s="3161" customFormat="1" ht="12.75"/>
    <row r="28160" s="3161" customFormat="1" ht="12.75"/>
    <row r="28161" s="3161" customFormat="1" ht="12.75"/>
    <row r="28162" s="3161" customFormat="1" ht="12.75"/>
    <row r="28163" s="3161" customFormat="1" ht="12.75"/>
    <row r="28164" s="3161" customFormat="1" ht="12.75"/>
    <row r="28165" s="3161" customFormat="1" ht="12.75"/>
    <row r="28166" s="3161" customFormat="1" ht="12.75"/>
    <row r="28167" s="3161" customFormat="1" ht="12.75"/>
    <row r="28168" s="3161" customFormat="1" ht="12.75"/>
    <row r="28169" s="3161" customFormat="1" ht="12.75"/>
    <row r="28170" s="3161" customFormat="1" ht="12.75"/>
    <row r="28171" s="3161" customFormat="1" ht="12.75"/>
    <row r="28172" s="3161" customFormat="1" ht="12.75"/>
    <row r="28173" s="3161" customFormat="1" ht="12.75"/>
    <row r="28174" s="3161" customFormat="1" ht="12.75"/>
    <row r="28175" s="3161" customFormat="1" ht="12.75"/>
    <row r="28176" s="3161" customFormat="1" ht="12.75"/>
    <row r="28177" s="3161" customFormat="1" ht="12.75"/>
    <row r="28178" s="3161" customFormat="1" ht="12.75"/>
    <row r="28179" s="3161" customFormat="1" ht="12.75"/>
    <row r="28180" s="3161" customFormat="1" ht="12.75"/>
    <row r="28181" s="3161" customFormat="1" ht="12.75"/>
    <row r="28182" s="3161" customFormat="1" ht="12.75"/>
    <row r="28183" s="3161" customFormat="1" ht="12.75"/>
    <row r="28184" s="3161" customFormat="1" ht="12.75"/>
    <row r="28185" s="3161" customFormat="1" ht="12.75"/>
    <row r="28186" s="3161" customFormat="1" ht="12.75"/>
    <row r="28187" s="3161" customFormat="1" ht="12.75"/>
    <row r="28188" s="3161" customFormat="1" ht="12.75"/>
    <row r="28189" s="3161" customFormat="1" ht="12.75"/>
    <row r="28190" s="3161" customFormat="1" ht="12.75"/>
    <row r="28191" s="3161" customFormat="1" ht="12.75"/>
    <row r="28192" s="3161" customFormat="1" ht="12.75"/>
    <row r="28193" s="3161" customFormat="1" ht="12.75"/>
    <row r="28194" s="3161" customFormat="1" ht="12.75"/>
    <row r="28195" s="3161" customFormat="1" ht="12.75"/>
    <row r="28196" s="3161" customFormat="1" ht="12.75"/>
    <row r="28197" s="3161" customFormat="1" ht="12.75"/>
    <row r="28198" s="3161" customFormat="1" ht="12.75"/>
    <row r="28199" s="3161" customFormat="1" ht="12.75"/>
    <row r="28200" s="3161" customFormat="1" ht="12.75"/>
    <row r="28201" s="3161" customFormat="1" ht="12.75"/>
    <row r="28202" s="3161" customFormat="1" ht="12.75"/>
    <row r="28203" s="3161" customFormat="1" ht="12.75"/>
    <row r="28204" s="3161" customFormat="1" ht="12.75"/>
    <row r="28205" s="3161" customFormat="1" ht="12.75"/>
    <row r="28206" s="3161" customFormat="1" ht="12.75"/>
    <row r="28207" s="3161" customFormat="1" ht="12.75"/>
    <row r="28208" s="3161" customFormat="1" ht="12.75"/>
    <row r="28209" s="3161" customFormat="1" ht="12.75"/>
    <row r="28210" s="3161" customFormat="1" ht="12.75"/>
    <row r="28211" s="3161" customFormat="1" ht="12.75"/>
    <row r="28212" s="3161" customFormat="1" ht="12.75"/>
    <row r="28213" s="3161" customFormat="1" ht="12.75"/>
    <row r="28214" s="3161" customFormat="1" ht="12.75"/>
    <row r="28215" s="3161" customFormat="1" ht="12.75"/>
    <row r="28216" s="3161" customFormat="1" ht="12.75"/>
    <row r="28217" s="3161" customFormat="1" ht="12.75"/>
    <row r="28218" s="3161" customFormat="1" ht="12.75"/>
    <row r="28219" s="3161" customFormat="1" ht="12.75"/>
    <row r="28220" s="3161" customFormat="1" ht="12.75"/>
    <row r="28221" s="3161" customFormat="1" ht="12.75"/>
    <row r="28222" s="3161" customFormat="1" ht="12.75"/>
    <row r="28223" s="3161" customFormat="1" ht="12.75"/>
    <row r="28224" s="3161" customFormat="1" ht="12.75"/>
    <row r="28225" s="3161" customFormat="1" ht="12.75"/>
    <row r="28226" s="3161" customFormat="1" ht="12.75"/>
    <row r="28227" s="3161" customFormat="1" ht="12.75"/>
    <row r="28228" s="3161" customFormat="1" ht="12.75"/>
    <row r="28229" s="3161" customFormat="1" ht="12.75"/>
    <row r="28230" s="3161" customFormat="1" ht="12.75"/>
    <row r="28231" s="3161" customFormat="1" ht="12.75"/>
    <row r="28232" s="3161" customFormat="1" ht="12.75"/>
    <row r="28233" s="3161" customFormat="1" ht="12.75"/>
    <row r="28234" s="3161" customFormat="1" ht="12.75"/>
    <row r="28235" s="3161" customFormat="1" ht="12.75"/>
    <row r="28236" s="3161" customFormat="1" ht="12.75"/>
    <row r="28237" s="3161" customFormat="1" ht="12.75"/>
    <row r="28238" s="3161" customFormat="1" ht="12.75"/>
    <row r="28239" s="3161" customFormat="1" ht="12.75"/>
    <row r="28240" s="3161" customFormat="1" ht="12.75"/>
    <row r="28241" s="3161" customFormat="1" ht="12.75"/>
    <row r="28242" s="3161" customFormat="1" ht="12.75"/>
    <row r="28243" s="3161" customFormat="1" ht="12.75"/>
    <row r="28244" s="3161" customFormat="1" ht="12.75"/>
    <row r="28245" s="3161" customFormat="1" ht="12.75"/>
    <row r="28246" s="3161" customFormat="1" ht="12.75"/>
    <row r="28247" s="3161" customFormat="1" ht="12.75"/>
    <row r="28248" s="3161" customFormat="1" ht="12.75"/>
    <row r="28249" s="3161" customFormat="1" ht="12.75"/>
    <row r="28250" s="3161" customFormat="1" ht="12.75"/>
    <row r="28251" s="3161" customFormat="1" ht="12.75"/>
    <row r="28252" s="3161" customFormat="1" ht="12.75"/>
    <row r="28253" s="3161" customFormat="1" ht="12.75"/>
    <row r="28254" s="3161" customFormat="1" ht="12.75"/>
    <row r="28255" s="3161" customFormat="1" ht="12.75"/>
    <row r="28256" s="3161" customFormat="1" ht="12.75"/>
    <row r="28257" s="3161" customFormat="1" ht="12.75"/>
    <row r="28258" s="3161" customFormat="1" ht="12.75"/>
    <row r="28259" s="3161" customFormat="1" ht="12.75"/>
    <row r="28260" s="3161" customFormat="1" ht="12.75"/>
    <row r="28261" s="3161" customFormat="1" ht="12.75"/>
    <row r="28262" s="3161" customFormat="1" ht="12.75"/>
    <row r="28263" s="3161" customFormat="1" ht="12.75"/>
    <row r="28264" s="3161" customFormat="1" ht="12.75"/>
    <row r="28265" s="3161" customFormat="1" ht="12.75"/>
    <row r="28266" s="3161" customFormat="1" ht="12.75"/>
    <row r="28267" s="3161" customFormat="1" ht="12.75"/>
    <row r="28268" s="3161" customFormat="1" ht="12.75"/>
    <row r="28269" s="3161" customFormat="1" ht="12.75"/>
    <row r="28270" s="3161" customFormat="1" ht="12.75"/>
    <row r="28271" s="3161" customFormat="1" ht="12.75"/>
    <row r="28272" s="3161" customFormat="1" ht="12.75"/>
    <row r="28273" s="3161" customFormat="1" ht="12.75"/>
    <row r="28274" s="3161" customFormat="1" ht="12.75"/>
    <row r="28275" s="3161" customFormat="1" ht="12.75"/>
    <row r="28276" s="3161" customFormat="1" ht="12.75"/>
    <row r="28277" s="3161" customFormat="1" ht="12.75"/>
    <row r="28278" s="3161" customFormat="1" ht="12.75"/>
    <row r="28279" s="3161" customFormat="1" ht="12.75"/>
    <row r="28280" s="3161" customFormat="1" ht="12.75"/>
    <row r="28281" s="3161" customFormat="1" ht="12.75"/>
    <row r="28282" s="3161" customFormat="1" ht="12.75"/>
    <row r="28283" s="3161" customFormat="1" ht="12.75"/>
    <row r="28284" s="3161" customFormat="1" ht="12.75"/>
    <row r="28285" s="3161" customFormat="1" ht="12.75"/>
    <row r="28286" s="3161" customFormat="1" ht="12.75"/>
    <row r="28287" s="3161" customFormat="1" ht="12.75"/>
    <row r="28288" s="3161" customFormat="1" ht="12.75"/>
    <row r="28289" s="3161" customFormat="1" ht="12.75"/>
    <row r="28290" s="3161" customFormat="1" ht="12.75"/>
    <row r="28291" s="3161" customFormat="1" ht="12.75"/>
    <row r="28292" s="3161" customFormat="1" ht="12.75"/>
    <row r="28293" s="3161" customFormat="1" ht="12.75"/>
    <row r="28294" s="3161" customFormat="1" ht="12.75"/>
    <row r="28295" s="3161" customFormat="1" ht="12.75"/>
    <row r="28296" s="3161" customFormat="1" ht="12.75"/>
    <row r="28297" s="3161" customFormat="1" ht="12.75"/>
    <row r="28298" s="3161" customFormat="1" ht="12.75"/>
    <row r="28299" s="3161" customFormat="1" ht="12.75"/>
    <row r="28300" s="3161" customFormat="1" ht="12.75"/>
    <row r="28301" s="3161" customFormat="1" ht="12.75"/>
    <row r="28302" s="3161" customFormat="1" ht="12.75"/>
    <row r="28303" s="3161" customFormat="1" ht="12.75"/>
    <row r="28304" s="3161" customFormat="1" ht="12.75"/>
    <row r="28305" s="3161" customFormat="1" ht="12.75"/>
    <row r="28306" s="3161" customFormat="1" ht="12.75"/>
    <row r="28307" s="3161" customFormat="1" ht="12.75"/>
    <row r="28308" s="3161" customFormat="1" ht="12.75"/>
    <row r="28309" s="3161" customFormat="1" ht="12.75"/>
    <row r="28310" s="3161" customFormat="1" ht="12.75"/>
    <row r="28311" s="3161" customFormat="1" ht="12.75"/>
    <row r="28312" s="3161" customFormat="1" ht="12.75"/>
    <row r="28313" s="3161" customFormat="1" ht="12.75"/>
    <row r="28314" s="3161" customFormat="1" ht="12.75"/>
    <row r="28315" s="3161" customFormat="1" ht="12.75"/>
    <row r="28316" s="3161" customFormat="1" ht="12.75"/>
    <row r="28317" s="3161" customFormat="1" ht="12.75"/>
    <row r="28318" s="3161" customFormat="1" ht="12.75"/>
    <row r="28319" s="3161" customFormat="1" ht="12.75"/>
    <row r="28320" s="3161" customFormat="1" ht="12.75"/>
    <row r="28321" s="3161" customFormat="1" ht="12.75"/>
    <row r="28322" s="3161" customFormat="1" ht="12.75"/>
    <row r="28323" s="3161" customFormat="1" ht="12.75"/>
    <row r="28324" s="3161" customFormat="1" ht="12.75"/>
    <row r="28325" s="3161" customFormat="1" ht="12.75"/>
    <row r="28326" s="3161" customFormat="1" ht="12.75"/>
    <row r="28327" s="3161" customFormat="1" ht="12.75"/>
    <row r="28328" s="3161" customFormat="1" ht="12.75"/>
    <row r="28329" s="3161" customFormat="1" ht="12.75"/>
    <row r="28330" s="3161" customFormat="1" ht="12.75"/>
    <row r="28331" s="3161" customFormat="1" ht="12.75"/>
    <row r="28332" s="3161" customFormat="1" ht="12.75"/>
    <row r="28333" s="3161" customFormat="1" ht="12.75"/>
    <row r="28334" s="3161" customFormat="1" ht="12.75"/>
    <row r="28335" s="3161" customFormat="1" ht="12.75"/>
    <row r="28336" s="3161" customFormat="1" ht="12.75"/>
    <row r="28337" s="3161" customFormat="1" ht="12.75"/>
    <row r="28338" s="3161" customFormat="1" ht="12.75"/>
    <row r="28339" s="3161" customFormat="1" ht="12.75"/>
    <row r="28340" s="3161" customFormat="1" ht="12.75"/>
    <row r="28341" s="3161" customFormat="1" ht="12.75"/>
    <row r="28342" s="3161" customFormat="1" ht="12.75"/>
    <row r="28343" s="3161" customFormat="1" ht="12.75"/>
    <row r="28344" s="3161" customFormat="1" ht="12.75"/>
    <row r="28345" s="3161" customFormat="1" ht="12.75"/>
    <row r="28346" s="3161" customFormat="1" ht="12.75"/>
    <row r="28347" s="3161" customFormat="1" ht="12.75"/>
    <row r="28348" s="3161" customFormat="1" ht="12.75"/>
    <row r="28349" s="3161" customFormat="1" ht="12.75"/>
    <row r="28350" s="3161" customFormat="1" ht="12.75"/>
    <row r="28351" s="3161" customFormat="1" ht="12.75"/>
    <row r="28352" s="3161" customFormat="1" ht="12.75"/>
    <row r="28353" s="3161" customFormat="1" ht="12.75"/>
    <row r="28354" s="3161" customFormat="1" ht="12.75"/>
    <row r="28355" s="3161" customFormat="1" ht="12.75"/>
    <row r="28356" s="3161" customFormat="1" ht="12.75"/>
    <row r="28357" s="3161" customFormat="1" ht="12.75"/>
    <row r="28358" s="3161" customFormat="1" ht="12.75"/>
    <row r="28359" s="3161" customFormat="1" ht="12.75"/>
    <row r="28360" s="3161" customFormat="1" ht="12.75"/>
    <row r="28361" s="3161" customFormat="1" ht="12.75"/>
    <row r="28362" s="3161" customFormat="1" ht="12.75"/>
    <row r="28363" s="3161" customFormat="1" ht="12.75"/>
    <row r="28364" s="3161" customFormat="1" ht="12.75"/>
    <row r="28365" s="3161" customFormat="1" ht="12.75"/>
    <row r="28366" s="3161" customFormat="1" ht="12.75"/>
    <row r="28367" s="3161" customFormat="1" ht="12.75"/>
    <row r="28368" s="3161" customFormat="1" ht="12.75"/>
    <row r="28369" s="3161" customFormat="1" ht="12.75"/>
    <row r="28370" s="3161" customFormat="1" ht="12.75"/>
    <row r="28371" s="3161" customFormat="1" ht="12.75"/>
    <row r="28372" s="3161" customFormat="1" ht="12.75"/>
    <row r="28373" s="3161" customFormat="1" ht="12.75"/>
    <row r="28374" s="3161" customFormat="1" ht="12.75"/>
    <row r="28375" s="3161" customFormat="1" ht="12.75"/>
    <row r="28376" s="3161" customFormat="1" ht="12.75"/>
    <row r="28377" s="3161" customFormat="1" ht="12.75"/>
    <row r="28378" s="3161" customFormat="1" ht="12.75"/>
    <row r="28379" s="3161" customFormat="1" ht="12.75"/>
    <row r="28380" s="3161" customFormat="1" ht="12.75"/>
    <row r="28381" s="3161" customFormat="1" ht="12.75"/>
    <row r="28382" s="3161" customFormat="1" ht="12.75"/>
    <row r="28383" s="3161" customFormat="1" ht="12.75"/>
    <row r="28384" s="3161" customFormat="1" ht="12.75"/>
    <row r="28385" s="3161" customFormat="1" ht="12.75"/>
    <row r="28386" s="3161" customFormat="1" ht="12.75"/>
    <row r="28387" s="3161" customFormat="1" ht="12.75"/>
    <row r="28388" s="3161" customFormat="1" ht="12.75"/>
    <row r="28389" s="3161" customFormat="1" ht="12.75"/>
    <row r="28390" s="3161" customFormat="1" ht="12.75"/>
    <row r="28391" s="3161" customFormat="1" ht="12.75"/>
    <row r="28392" s="3161" customFormat="1" ht="12.75"/>
    <row r="28393" s="3161" customFormat="1" ht="12.75"/>
    <row r="28394" s="3161" customFormat="1" ht="12.75"/>
    <row r="28395" s="3161" customFormat="1" ht="12.75"/>
    <row r="28396" s="3161" customFormat="1" ht="12.75"/>
    <row r="28397" s="3161" customFormat="1" ht="12.75"/>
    <row r="28398" s="3161" customFormat="1" ht="12.75"/>
    <row r="28399" s="3161" customFormat="1" ht="12.75"/>
    <row r="28400" s="3161" customFormat="1" ht="12.75"/>
    <row r="28401" s="3161" customFormat="1" ht="12.75"/>
    <row r="28402" s="3161" customFormat="1" ht="12.75"/>
    <row r="28403" s="3161" customFormat="1" ht="12.75"/>
    <row r="28404" s="3161" customFormat="1" ht="12.75"/>
    <row r="28405" s="3161" customFormat="1" ht="12.75"/>
    <row r="28406" s="3161" customFormat="1" ht="12.75"/>
    <row r="28407" s="3161" customFormat="1" ht="12.75"/>
    <row r="28408" s="3161" customFormat="1" ht="12.75"/>
    <row r="28409" s="3161" customFormat="1" ht="12.75"/>
    <row r="28410" s="3161" customFormat="1" ht="12.75"/>
    <row r="28411" s="3161" customFormat="1" ht="12.75"/>
    <row r="28412" s="3161" customFormat="1" ht="12.75"/>
    <row r="28413" s="3161" customFormat="1" ht="12.75"/>
    <row r="28414" s="3161" customFormat="1" ht="12.75"/>
    <row r="28415" s="3161" customFormat="1" ht="12.75"/>
    <row r="28416" s="3161" customFormat="1" ht="12.75"/>
    <row r="28417" s="3161" customFormat="1" ht="12.75"/>
    <row r="28418" s="3161" customFormat="1" ht="12.75"/>
    <row r="28419" s="3161" customFormat="1" ht="12.75"/>
    <row r="28420" s="3161" customFormat="1" ht="12.75"/>
    <row r="28421" s="3161" customFormat="1" ht="12.75"/>
    <row r="28422" s="3161" customFormat="1" ht="12.75"/>
    <row r="28423" s="3161" customFormat="1" ht="12.75"/>
    <row r="28424" s="3161" customFormat="1" ht="12.75"/>
    <row r="28425" s="3161" customFormat="1" ht="12.75"/>
    <row r="28426" s="3161" customFormat="1" ht="12.75"/>
    <row r="28427" s="3161" customFormat="1" ht="12.75"/>
    <row r="28428" s="3161" customFormat="1" ht="12.75"/>
    <row r="28429" s="3161" customFormat="1" ht="12.75"/>
    <row r="28430" s="3161" customFormat="1" ht="12.75"/>
    <row r="28431" s="3161" customFormat="1" ht="12.75"/>
    <row r="28432" s="3161" customFormat="1" ht="12.75"/>
    <row r="28433" s="3161" customFormat="1" ht="12.75"/>
    <row r="28434" s="3161" customFormat="1" ht="12.75"/>
    <row r="28435" s="3161" customFormat="1" ht="12.75"/>
    <row r="28436" s="3161" customFormat="1" ht="12.75"/>
    <row r="28437" s="3161" customFormat="1" ht="12.75"/>
    <row r="28438" s="3161" customFormat="1" ht="12.75"/>
    <row r="28439" s="3161" customFormat="1" ht="12.75"/>
    <row r="28440" s="3161" customFormat="1" ht="12.75"/>
    <row r="28441" s="3161" customFormat="1" ht="12.75"/>
    <row r="28442" s="3161" customFormat="1" ht="12.75"/>
    <row r="28443" s="3161" customFormat="1" ht="12.75"/>
    <row r="28444" s="3161" customFormat="1" ht="12.75"/>
    <row r="28445" s="3161" customFormat="1" ht="12.75"/>
    <row r="28446" s="3161" customFormat="1" ht="12.75"/>
    <row r="28447" s="3161" customFormat="1" ht="12.75"/>
    <row r="28448" s="3161" customFormat="1" ht="12.75"/>
    <row r="28449" s="3161" customFormat="1" ht="12.75"/>
    <row r="28450" s="3161" customFormat="1" ht="12.75"/>
    <row r="28451" s="3161" customFormat="1" ht="12.75"/>
    <row r="28452" s="3161" customFormat="1" ht="12.75"/>
    <row r="28453" s="3161" customFormat="1" ht="12.75"/>
    <row r="28454" s="3161" customFormat="1" ht="12.75"/>
    <row r="28455" s="3161" customFormat="1" ht="12.75"/>
    <row r="28456" s="3161" customFormat="1" ht="12.75"/>
    <row r="28457" s="3161" customFormat="1" ht="12.75"/>
    <row r="28458" s="3161" customFormat="1" ht="12.75"/>
    <row r="28459" s="3161" customFormat="1" ht="12.75"/>
    <row r="28460" s="3161" customFormat="1" ht="12.75"/>
    <row r="28461" s="3161" customFormat="1" ht="12.75"/>
    <row r="28462" s="3161" customFormat="1" ht="12.75"/>
    <row r="28463" s="3161" customFormat="1" ht="12.75"/>
    <row r="28464" s="3161" customFormat="1" ht="12.75"/>
    <row r="28465" s="3161" customFormat="1" ht="12.75"/>
    <row r="28466" s="3161" customFormat="1" ht="12.75"/>
    <row r="28467" s="3161" customFormat="1" ht="12.75"/>
    <row r="28468" s="3161" customFormat="1" ht="12.75"/>
    <row r="28469" s="3161" customFormat="1" ht="12.75"/>
    <row r="28470" s="3161" customFormat="1" ht="12.75"/>
    <row r="28471" s="3161" customFormat="1" ht="12.75"/>
    <row r="28472" s="3161" customFormat="1" ht="12.75"/>
    <row r="28473" s="3161" customFormat="1" ht="12.75"/>
    <row r="28474" s="3161" customFormat="1" ht="12.75"/>
    <row r="28475" s="3161" customFormat="1" ht="12.75"/>
    <row r="28476" s="3161" customFormat="1" ht="12.75"/>
    <row r="28477" s="3161" customFormat="1" ht="12.75"/>
    <row r="28478" s="3161" customFormat="1" ht="12.75"/>
    <row r="28479" s="3161" customFormat="1" ht="12.75"/>
    <row r="28480" s="3161" customFormat="1" ht="12.75"/>
    <row r="28481" s="3161" customFormat="1" ht="12.75"/>
    <row r="28482" s="3161" customFormat="1" ht="12.75"/>
    <row r="28483" s="3161" customFormat="1" ht="12.75"/>
    <row r="28484" s="3161" customFormat="1" ht="12.75"/>
    <row r="28485" s="3161" customFormat="1" ht="12.75"/>
    <row r="28486" s="3161" customFormat="1" ht="12.75"/>
    <row r="28487" s="3161" customFormat="1" ht="12.75"/>
    <row r="28488" s="3161" customFormat="1" ht="12.75"/>
    <row r="28489" s="3161" customFormat="1" ht="12.75"/>
    <row r="28490" s="3161" customFormat="1" ht="12.75"/>
    <row r="28491" s="3161" customFormat="1" ht="12.75"/>
    <row r="28492" s="3161" customFormat="1" ht="12.75"/>
    <row r="28493" s="3161" customFormat="1" ht="12.75"/>
    <row r="28494" s="3161" customFormat="1" ht="12.75"/>
    <row r="28495" s="3161" customFormat="1" ht="12.75"/>
    <row r="28496" s="3161" customFormat="1" ht="12.75"/>
    <row r="28497" s="3161" customFormat="1" ht="12.75"/>
    <row r="28498" s="3161" customFormat="1" ht="12.75"/>
    <row r="28499" s="3161" customFormat="1" ht="12.75"/>
    <row r="28500" s="3161" customFormat="1" ht="12.75"/>
    <row r="28501" s="3161" customFormat="1" ht="12.75"/>
    <row r="28502" s="3161" customFormat="1" ht="12.75"/>
    <row r="28503" s="3161" customFormat="1" ht="12.75"/>
    <row r="28504" s="3161" customFormat="1" ht="12.75"/>
    <row r="28505" s="3161" customFormat="1" ht="12.75"/>
    <row r="28506" s="3161" customFormat="1" ht="12.75"/>
    <row r="28507" s="3161" customFormat="1" ht="12.75"/>
    <row r="28508" s="3161" customFormat="1" ht="12.75"/>
    <row r="28509" s="3161" customFormat="1" ht="12.75"/>
    <row r="28510" s="3161" customFormat="1" ht="12.75"/>
    <row r="28511" s="3161" customFormat="1" ht="12.75"/>
    <row r="28512" s="3161" customFormat="1" ht="12.75"/>
    <row r="28513" s="3161" customFormat="1" ht="12.75"/>
    <row r="28514" s="3161" customFormat="1" ht="12.75"/>
    <row r="28515" s="3161" customFormat="1" ht="12.75"/>
    <row r="28516" s="3161" customFormat="1" ht="12.75"/>
    <row r="28517" s="3161" customFormat="1" ht="12.75"/>
    <row r="28518" s="3161" customFormat="1" ht="12.75"/>
    <row r="28519" s="3161" customFormat="1" ht="12.75"/>
    <row r="28520" s="3161" customFormat="1" ht="12.75"/>
    <row r="28521" s="3161" customFormat="1" ht="12.75"/>
    <row r="28522" s="3161" customFormat="1" ht="12.75"/>
    <row r="28523" s="3161" customFormat="1" ht="12.75"/>
    <row r="28524" s="3161" customFormat="1" ht="12.75"/>
    <row r="28525" s="3161" customFormat="1" ht="12.75"/>
    <row r="28526" s="3161" customFormat="1" ht="12.75"/>
    <row r="28527" s="3161" customFormat="1" ht="12.75"/>
    <row r="28528" s="3161" customFormat="1" ht="12.75"/>
    <row r="28529" s="3161" customFormat="1" ht="12.75"/>
    <row r="28530" s="3161" customFormat="1" ht="12.75"/>
    <row r="28531" s="3161" customFormat="1" ht="12.75"/>
    <row r="28532" s="3161" customFormat="1" ht="12.75"/>
    <row r="28533" s="3161" customFormat="1" ht="12.75"/>
    <row r="28534" s="3161" customFormat="1" ht="12.75"/>
    <row r="28535" s="3161" customFormat="1" ht="12.75"/>
    <row r="28536" s="3161" customFormat="1" ht="12.75"/>
    <row r="28537" s="3161" customFormat="1" ht="12.75"/>
    <row r="28538" s="3161" customFormat="1" ht="12.75"/>
    <row r="28539" s="3161" customFormat="1" ht="12.75"/>
    <row r="28540" s="3161" customFormat="1" ht="12.75"/>
    <row r="28541" s="3161" customFormat="1" ht="12.75"/>
    <row r="28542" s="3161" customFormat="1" ht="12.75"/>
    <row r="28543" s="3161" customFormat="1" ht="12.75"/>
    <row r="28544" s="3161" customFormat="1" ht="12.75"/>
    <row r="28545" s="3161" customFormat="1" ht="12.75"/>
    <row r="28546" s="3161" customFormat="1" ht="12.75"/>
    <row r="28547" s="3161" customFormat="1" ht="12.75"/>
    <row r="28548" s="3161" customFormat="1" ht="12.75"/>
    <row r="28549" s="3161" customFormat="1" ht="12.75"/>
    <row r="28550" s="3161" customFormat="1" ht="12.75"/>
    <row r="28551" s="3161" customFormat="1" ht="12.75"/>
    <row r="28552" s="3161" customFormat="1" ht="12.75"/>
    <row r="28553" s="3161" customFormat="1" ht="12.75"/>
    <row r="28554" s="3161" customFormat="1" ht="12.75"/>
    <row r="28555" s="3161" customFormat="1" ht="12.75"/>
    <row r="28556" s="3161" customFormat="1" ht="12.75"/>
    <row r="28557" s="3161" customFormat="1" ht="12.75"/>
    <row r="28558" s="3161" customFormat="1" ht="12.75"/>
    <row r="28559" s="3161" customFormat="1" ht="12.75"/>
    <row r="28560" s="3161" customFormat="1" ht="12.75"/>
    <row r="28561" s="3161" customFormat="1" ht="12.75"/>
    <row r="28562" s="3161" customFormat="1" ht="12.75"/>
    <row r="28563" s="3161" customFormat="1" ht="12.75"/>
    <row r="28564" s="3161" customFormat="1" ht="12.75"/>
    <row r="28565" s="3161" customFormat="1" ht="12.75"/>
    <row r="28566" s="3161" customFormat="1" ht="12.75"/>
    <row r="28567" s="3161" customFormat="1" ht="12.75"/>
    <row r="28568" s="3161" customFormat="1" ht="12.75"/>
    <row r="28569" s="3161" customFormat="1" ht="12.75"/>
    <row r="28570" s="3161" customFormat="1" ht="12.75"/>
    <row r="28571" s="3161" customFormat="1" ht="12.75"/>
    <row r="28572" s="3161" customFormat="1" ht="12.75"/>
    <row r="28573" s="3161" customFormat="1" ht="12.75"/>
    <row r="28574" s="3161" customFormat="1" ht="12.75"/>
    <row r="28575" s="3161" customFormat="1" ht="12.75"/>
    <row r="28576" s="3161" customFormat="1" ht="12.75"/>
    <row r="28577" s="3161" customFormat="1" ht="12.75"/>
    <row r="28578" s="3161" customFormat="1" ht="12.75"/>
    <row r="28579" s="3161" customFormat="1" ht="12.75"/>
    <row r="28580" s="3161" customFormat="1" ht="12.75"/>
    <row r="28581" s="3161" customFormat="1" ht="12.75"/>
    <row r="28582" s="3161" customFormat="1" ht="12.75"/>
    <row r="28583" s="3161" customFormat="1" ht="12.75"/>
    <row r="28584" s="3161" customFormat="1" ht="12.75"/>
    <row r="28585" s="3161" customFormat="1" ht="12.75"/>
    <row r="28586" s="3161" customFormat="1" ht="12.75"/>
    <row r="28587" s="3161" customFormat="1" ht="12.75"/>
    <row r="28588" s="3161" customFormat="1" ht="12.75"/>
    <row r="28589" s="3161" customFormat="1" ht="12.75"/>
    <row r="28590" s="3161" customFormat="1" ht="12.75"/>
    <row r="28591" s="3161" customFormat="1" ht="12.75"/>
    <row r="28592" s="3161" customFormat="1" ht="12.75"/>
    <row r="28593" s="3161" customFormat="1" ht="12.75"/>
    <row r="28594" s="3161" customFormat="1" ht="12.75"/>
    <row r="28595" s="3161" customFormat="1" ht="12.75"/>
    <row r="28596" s="3161" customFormat="1" ht="12.75"/>
    <row r="28597" s="3161" customFormat="1" ht="12.75"/>
    <row r="28598" s="3161" customFormat="1" ht="12.75"/>
    <row r="28599" s="3161" customFormat="1" ht="12.75"/>
    <row r="28600" s="3161" customFormat="1" ht="12.75"/>
    <row r="28601" s="3161" customFormat="1" ht="12.75"/>
    <row r="28602" s="3161" customFormat="1" ht="12.75"/>
    <row r="28603" s="3161" customFormat="1" ht="12.75"/>
    <row r="28604" s="3161" customFormat="1" ht="12.75"/>
    <row r="28605" s="3161" customFormat="1" ht="12.75"/>
    <row r="28606" s="3161" customFormat="1" ht="12.75"/>
    <row r="28607" s="3161" customFormat="1" ht="12.75"/>
    <row r="28608" s="3161" customFormat="1" ht="12.75"/>
    <row r="28609" s="3161" customFormat="1" ht="12.75"/>
    <row r="28610" s="3161" customFormat="1" ht="12.75"/>
    <row r="28611" s="3161" customFormat="1" ht="12.75"/>
    <row r="28612" s="3161" customFormat="1" ht="12.75"/>
    <row r="28613" s="3161" customFormat="1" ht="12.75"/>
    <row r="28614" s="3161" customFormat="1" ht="12.75"/>
    <row r="28615" s="3161" customFormat="1" ht="12.75"/>
    <row r="28616" s="3161" customFormat="1" ht="12.75"/>
    <row r="28617" s="3161" customFormat="1" ht="12.75"/>
    <row r="28618" s="3161" customFormat="1" ht="12.75"/>
    <row r="28619" s="3161" customFormat="1" ht="12.75"/>
    <row r="28620" s="3161" customFormat="1" ht="12.75"/>
    <row r="28621" s="3161" customFormat="1" ht="12.75"/>
    <row r="28622" s="3161" customFormat="1" ht="12.75"/>
    <row r="28623" s="3161" customFormat="1" ht="12.75"/>
    <row r="28624" s="3161" customFormat="1" ht="12.75"/>
    <row r="28625" s="3161" customFormat="1" ht="12.75"/>
    <row r="28626" s="3161" customFormat="1" ht="12.75"/>
    <row r="28627" s="3161" customFormat="1" ht="12.75"/>
    <row r="28628" s="3161" customFormat="1" ht="12.75"/>
    <row r="28629" s="3161" customFormat="1" ht="12.75"/>
    <row r="28630" s="3161" customFormat="1" ht="12.75"/>
    <row r="28631" s="3161" customFormat="1" ht="12.75"/>
    <row r="28632" s="3161" customFormat="1" ht="12.75"/>
    <row r="28633" s="3161" customFormat="1" ht="12.75"/>
    <row r="28634" s="3161" customFormat="1" ht="12.75"/>
    <row r="28635" s="3161" customFormat="1" ht="12.75"/>
    <row r="28636" s="3161" customFormat="1" ht="12.75"/>
    <row r="28637" s="3161" customFormat="1" ht="12.75"/>
    <row r="28638" s="3161" customFormat="1" ht="12.75"/>
    <row r="28639" s="3161" customFormat="1" ht="12.75"/>
    <row r="28640" s="3161" customFormat="1" ht="12.75"/>
    <row r="28641" s="3161" customFormat="1" ht="12.75"/>
    <row r="28642" s="3161" customFormat="1" ht="12.75"/>
    <row r="28643" s="3161" customFormat="1" ht="12.75"/>
    <row r="28644" s="3161" customFormat="1" ht="12.75"/>
    <row r="28645" s="3161" customFormat="1" ht="12.75"/>
    <row r="28646" s="3161" customFormat="1" ht="12.75"/>
    <row r="28647" s="3161" customFormat="1" ht="12.75"/>
    <row r="28648" s="3161" customFormat="1" ht="12.75"/>
    <row r="28649" s="3161" customFormat="1" ht="12.75"/>
    <row r="28650" s="3161" customFormat="1" ht="12.75"/>
    <row r="28651" s="3161" customFormat="1" ht="12.75"/>
    <row r="28652" s="3161" customFormat="1" ht="12.75"/>
    <row r="28653" s="3161" customFormat="1" ht="12.75"/>
    <row r="28654" s="3161" customFormat="1" ht="12.75"/>
    <row r="28655" s="3161" customFormat="1" ht="12.75"/>
    <row r="28656" s="3161" customFormat="1" ht="12.75"/>
    <row r="28657" s="3161" customFormat="1" ht="12.75"/>
    <row r="28658" s="3161" customFormat="1" ht="12.75"/>
    <row r="28659" s="3161" customFormat="1" ht="12.75"/>
    <row r="28660" s="3161" customFormat="1" ht="12.75"/>
    <row r="28661" s="3161" customFormat="1" ht="12.75"/>
    <row r="28662" s="3161" customFormat="1" ht="12.75"/>
    <row r="28663" s="3161" customFormat="1" ht="12.75"/>
    <row r="28664" s="3161" customFormat="1" ht="12.75"/>
    <row r="28665" s="3161" customFormat="1" ht="12.75"/>
    <row r="28666" s="3161" customFormat="1" ht="12.75"/>
    <row r="28667" s="3161" customFormat="1" ht="12.75"/>
    <row r="28668" s="3161" customFormat="1" ht="12.75"/>
    <row r="28669" s="3161" customFormat="1" ht="12.75"/>
    <row r="28670" s="3161" customFormat="1" ht="12.75"/>
    <row r="28671" s="3161" customFormat="1" ht="12.75"/>
    <row r="28672" s="3161" customFormat="1" ht="12.75"/>
    <row r="28673" s="3161" customFormat="1" ht="12.75"/>
    <row r="28674" s="3161" customFormat="1" ht="12.75"/>
    <row r="28675" s="3161" customFormat="1" ht="12.75"/>
    <row r="28676" s="3161" customFormat="1" ht="12.75"/>
    <row r="28677" s="3161" customFormat="1" ht="12.75"/>
    <row r="28678" s="3161" customFormat="1" ht="12.75"/>
    <row r="28679" s="3161" customFormat="1" ht="12.75"/>
    <row r="28680" s="3161" customFormat="1" ht="12.75"/>
    <row r="28681" s="3161" customFormat="1" ht="12.75"/>
    <row r="28682" s="3161" customFormat="1" ht="12.75"/>
    <row r="28683" s="3161" customFormat="1" ht="12.75"/>
    <row r="28684" s="3161" customFormat="1" ht="12.75"/>
    <row r="28685" s="3161" customFormat="1" ht="12.75"/>
    <row r="28686" s="3161" customFormat="1" ht="12.75"/>
    <row r="28687" s="3161" customFormat="1" ht="12.75"/>
    <row r="28688" s="3161" customFormat="1" ht="12.75"/>
    <row r="28689" s="3161" customFormat="1" ht="12.75"/>
    <row r="28690" s="3161" customFormat="1" ht="12.75"/>
    <row r="28691" s="3161" customFormat="1" ht="12.75"/>
    <row r="28692" s="3161" customFormat="1" ht="12.75"/>
    <row r="28693" s="3161" customFormat="1" ht="12.75"/>
    <row r="28694" s="3161" customFormat="1" ht="12.75"/>
    <row r="28695" s="3161" customFormat="1" ht="12.75"/>
    <row r="28696" s="3161" customFormat="1" ht="12.75"/>
    <row r="28697" s="3161" customFormat="1" ht="12.75"/>
    <row r="28698" s="3161" customFormat="1" ht="12.75"/>
    <row r="28699" s="3161" customFormat="1" ht="12.75"/>
    <row r="28700" s="3161" customFormat="1" ht="12.75"/>
    <row r="28701" s="3161" customFormat="1" ht="12.75"/>
    <row r="28702" s="3161" customFormat="1" ht="12.75"/>
    <row r="28703" s="3161" customFormat="1" ht="12.75"/>
    <row r="28704" s="3161" customFormat="1" ht="12.75"/>
    <row r="28705" s="3161" customFormat="1" ht="12.75"/>
    <row r="28706" s="3161" customFormat="1" ht="12.75"/>
    <row r="28707" s="3161" customFormat="1" ht="12.75"/>
    <row r="28708" s="3161" customFormat="1" ht="12.75"/>
    <row r="28709" s="3161" customFormat="1" ht="12.75"/>
    <row r="28710" s="3161" customFormat="1" ht="12.75"/>
    <row r="28711" s="3161" customFormat="1" ht="12.75"/>
    <row r="28712" s="3161" customFormat="1" ht="12.75"/>
    <row r="28713" s="3161" customFormat="1" ht="12.75"/>
    <row r="28714" s="3161" customFormat="1" ht="12.75"/>
    <row r="28715" s="3161" customFormat="1" ht="12.75"/>
    <row r="28716" s="3161" customFormat="1" ht="12.75"/>
    <row r="28717" s="3161" customFormat="1" ht="12.75"/>
    <row r="28718" s="3161" customFormat="1" ht="12.75"/>
    <row r="28719" s="3161" customFormat="1" ht="12.75"/>
    <row r="28720" s="3161" customFormat="1" ht="12.75"/>
    <row r="28721" s="3161" customFormat="1" ht="12.75"/>
    <row r="28722" s="3161" customFormat="1" ht="12.75"/>
    <row r="28723" s="3161" customFormat="1" ht="12.75"/>
    <row r="28724" s="3161" customFormat="1" ht="12.75"/>
    <row r="28725" s="3161" customFormat="1" ht="12.75"/>
    <row r="28726" s="3161" customFormat="1" ht="12.75"/>
    <row r="28727" s="3161" customFormat="1" ht="12.75"/>
    <row r="28728" s="3161" customFormat="1" ht="12.75"/>
    <row r="28729" s="3161" customFormat="1" ht="12.75"/>
    <row r="28730" s="3161" customFormat="1" ht="12.75"/>
    <row r="28731" s="3161" customFormat="1" ht="12.75"/>
    <row r="28732" s="3161" customFormat="1" ht="12.75"/>
    <row r="28733" s="3161" customFormat="1" ht="12.75"/>
    <row r="28734" s="3161" customFormat="1" ht="12.75"/>
    <row r="28735" s="3161" customFormat="1" ht="12.75"/>
    <row r="28736" s="3161" customFormat="1" ht="12.75"/>
    <row r="28737" s="3161" customFormat="1" ht="12.75"/>
    <row r="28738" s="3161" customFormat="1" ht="12.75"/>
    <row r="28739" s="3161" customFormat="1" ht="12.75"/>
    <row r="28740" s="3161" customFormat="1" ht="12.75"/>
    <row r="28741" s="3161" customFormat="1" ht="12.75"/>
    <row r="28742" s="3161" customFormat="1" ht="12.75"/>
    <row r="28743" s="3161" customFormat="1" ht="12.75"/>
    <row r="28744" s="3161" customFormat="1" ht="12.75"/>
    <row r="28745" s="3161" customFormat="1" ht="12.75"/>
    <row r="28746" s="3161" customFormat="1" ht="12.75"/>
    <row r="28747" s="3161" customFormat="1" ht="12.75"/>
    <row r="28748" s="3161" customFormat="1" ht="12.75"/>
    <row r="28749" s="3161" customFormat="1" ht="12.75"/>
    <row r="28750" s="3161" customFormat="1" ht="12.75"/>
    <row r="28751" s="3161" customFormat="1" ht="12.75"/>
    <row r="28752" s="3161" customFormat="1" ht="12.75"/>
    <row r="28753" s="3161" customFormat="1" ht="12.75"/>
    <row r="28754" s="3161" customFormat="1" ht="12.75"/>
    <row r="28755" s="3161" customFormat="1" ht="12.75"/>
    <row r="28756" s="3161" customFormat="1" ht="12.75"/>
    <row r="28757" s="3161" customFormat="1" ht="12.75"/>
    <row r="28758" s="3161" customFormat="1" ht="12.75"/>
    <row r="28759" s="3161" customFormat="1" ht="12.75"/>
    <row r="28760" s="3161" customFormat="1" ht="12.75"/>
    <row r="28761" s="3161" customFormat="1" ht="12.75"/>
    <row r="28762" s="3161" customFormat="1" ht="12.75"/>
    <row r="28763" s="3161" customFormat="1" ht="12.75"/>
    <row r="28764" s="3161" customFormat="1" ht="12.75"/>
    <row r="28765" s="3161" customFormat="1" ht="12.75"/>
    <row r="28766" s="3161" customFormat="1" ht="12.75"/>
    <row r="28767" s="3161" customFormat="1" ht="12.75"/>
    <row r="28768" s="3161" customFormat="1" ht="12.75"/>
    <row r="28769" s="3161" customFormat="1" ht="12.75"/>
    <row r="28770" s="3161" customFormat="1" ht="12.75"/>
    <row r="28771" s="3161" customFormat="1" ht="12.75"/>
    <row r="28772" s="3161" customFormat="1" ht="12.75"/>
    <row r="28773" s="3161" customFormat="1" ht="12.75"/>
    <row r="28774" s="3161" customFormat="1" ht="12.75"/>
    <row r="28775" s="3161" customFormat="1" ht="12.75"/>
    <row r="28776" s="3161" customFormat="1" ht="12.75"/>
    <row r="28777" s="3161" customFormat="1" ht="12.75"/>
    <row r="28778" s="3161" customFormat="1" ht="12.75"/>
    <row r="28779" s="3161" customFormat="1" ht="12.75"/>
    <row r="28780" s="3161" customFormat="1" ht="12.75"/>
    <row r="28781" s="3161" customFormat="1" ht="12.75"/>
    <row r="28782" s="3161" customFormat="1" ht="12.75"/>
    <row r="28783" s="3161" customFormat="1" ht="12.75"/>
    <row r="28784" s="3161" customFormat="1" ht="12.75"/>
    <row r="28785" s="3161" customFormat="1" ht="12.75"/>
    <row r="28786" s="3161" customFormat="1" ht="12.75"/>
    <row r="28787" s="3161" customFormat="1" ht="12.75"/>
    <row r="28788" s="3161" customFormat="1" ht="12.75"/>
    <row r="28789" s="3161" customFormat="1" ht="12.75"/>
    <row r="28790" s="3161" customFormat="1" ht="12.75"/>
    <row r="28791" s="3161" customFormat="1" ht="12.75"/>
    <row r="28792" s="3161" customFormat="1" ht="12.75"/>
    <row r="28793" s="3161" customFormat="1" ht="12.75"/>
    <row r="28794" s="3161" customFormat="1" ht="12.75"/>
    <row r="28795" s="3161" customFormat="1" ht="12.75"/>
    <row r="28796" s="3161" customFormat="1" ht="12.75"/>
    <row r="28797" s="3161" customFormat="1" ht="12.75"/>
    <row r="28798" s="3161" customFormat="1" ht="12.75"/>
    <row r="28799" s="3161" customFormat="1" ht="12.75"/>
    <row r="28800" s="3161" customFormat="1" ht="12.75"/>
    <row r="28801" s="3161" customFormat="1" ht="12.75"/>
    <row r="28802" s="3161" customFormat="1" ht="12.75"/>
    <row r="28803" s="3161" customFormat="1" ht="12.75"/>
    <row r="28804" s="3161" customFormat="1" ht="12.75"/>
    <row r="28805" s="3161" customFormat="1" ht="12.75"/>
    <row r="28806" s="3161" customFormat="1" ht="12.75"/>
    <row r="28807" s="3161" customFormat="1" ht="12.75"/>
    <row r="28808" s="3161" customFormat="1" ht="12.75"/>
    <row r="28809" s="3161" customFormat="1" ht="12.75"/>
    <row r="28810" s="3161" customFormat="1" ht="12.75"/>
    <row r="28811" s="3161" customFormat="1" ht="12.75"/>
    <row r="28812" s="3161" customFormat="1" ht="12.75"/>
    <row r="28813" s="3161" customFormat="1" ht="12.75"/>
    <row r="28814" s="3161" customFormat="1" ht="12.75"/>
    <row r="28815" s="3161" customFormat="1" ht="12.75"/>
    <row r="28816" s="3161" customFormat="1" ht="12.75"/>
    <row r="28817" s="3161" customFormat="1" ht="12.75"/>
    <row r="28818" s="3161" customFormat="1" ht="12.75"/>
    <row r="28819" s="3161" customFormat="1" ht="12.75"/>
    <row r="28820" s="3161" customFormat="1" ht="12.75"/>
    <row r="28821" s="3161" customFormat="1" ht="12.75"/>
    <row r="28822" s="3161" customFormat="1" ht="12.75"/>
    <row r="28823" s="3161" customFormat="1" ht="12.75"/>
    <row r="28824" s="3161" customFormat="1" ht="12.75"/>
    <row r="28825" s="3161" customFormat="1" ht="12.75"/>
    <row r="28826" s="3161" customFormat="1" ht="12.75"/>
    <row r="28827" s="3161" customFormat="1" ht="12.75"/>
    <row r="28828" s="3161" customFormat="1" ht="12.75"/>
    <row r="28829" s="3161" customFormat="1" ht="12.75"/>
    <row r="28830" s="3161" customFormat="1" ht="12.75"/>
    <row r="28831" s="3161" customFormat="1" ht="12.75"/>
    <row r="28832" s="3161" customFormat="1" ht="12.75"/>
    <row r="28833" s="3161" customFormat="1" ht="12.75"/>
    <row r="28834" s="3161" customFormat="1" ht="12.75"/>
    <row r="28835" s="3161" customFormat="1" ht="12.75"/>
    <row r="28836" s="3161" customFormat="1" ht="12.75"/>
    <row r="28837" s="3161" customFormat="1" ht="12.75"/>
    <row r="28838" s="3161" customFormat="1" ht="12.75"/>
    <row r="28839" s="3161" customFormat="1" ht="12.75"/>
    <row r="28840" s="3161" customFormat="1" ht="12.75"/>
    <row r="28841" s="3161" customFormat="1" ht="12.75"/>
    <row r="28842" s="3161" customFormat="1" ht="12.75"/>
    <row r="28843" s="3161" customFormat="1" ht="12.75"/>
    <row r="28844" s="3161" customFormat="1" ht="12.75"/>
    <row r="28845" s="3161" customFormat="1" ht="12.75"/>
    <row r="28846" s="3161" customFormat="1" ht="12.75"/>
    <row r="28847" s="3161" customFormat="1" ht="12.75"/>
    <row r="28848" s="3161" customFormat="1" ht="12.75"/>
    <row r="28849" s="3161" customFormat="1" ht="12.75"/>
    <row r="28850" s="3161" customFormat="1" ht="12.75"/>
    <row r="28851" s="3161" customFormat="1" ht="12.75"/>
    <row r="28852" s="3161" customFormat="1" ht="12.75"/>
    <row r="28853" s="3161" customFormat="1" ht="12.75"/>
    <row r="28854" s="3161" customFormat="1" ht="12.75"/>
    <row r="28855" s="3161" customFormat="1" ht="12.75"/>
    <row r="28856" s="3161" customFormat="1" ht="12.75"/>
    <row r="28857" s="3161" customFormat="1" ht="12.75"/>
    <row r="28858" s="3161" customFormat="1" ht="12.75"/>
    <row r="28859" s="3161" customFormat="1" ht="12.75"/>
    <row r="28860" s="3161" customFormat="1" ht="12.75"/>
    <row r="28861" s="3161" customFormat="1" ht="12.75"/>
    <row r="28862" s="3161" customFormat="1" ht="12.75"/>
    <row r="28863" s="3161" customFormat="1" ht="12.75"/>
    <row r="28864" s="3161" customFormat="1" ht="12.75"/>
    <row r="28865" s="3161" customFormat="1" ht="12.75"/>
    <row r="28866" s="3161" customFormat="1" ht="12.75"/>
    <row r="28867" s="3161" customFormat="1" ht="12.75"/>
    <row r="28868" s="3161" customFormat="1" ht="12.75"/>
    <row r="28869" s="3161" customFormat="1" ht="12.75"/>
    <row r="28870" s="3161" customFormat="1" ht="12.75"/>
    <row r="28871" s="3161" customFormat="1" ht="12.75"/>
    <row r="28872" s="3161" customFormat="1" ht="12.75"/>
    <row r="28873" s="3161" customFormat="1" ht="12.75"/>
    <row r="28874" s="3161" customFormat="1" ht="12.75"/>
    <row r="28875" s="3161" customFormat="1" ht="12.75"/>
    <row r="28876" s="3161" customFormat="1" ht="12.75"/>
    <row r="28877" s="3161" customFormat="1" ht="12.75"/>
    <row r="28878" s="3161" customFormat="1" ht="12.75"/>
    <row r="28879" s="3161" customFormat="1" ht="12.75"/>
    <row r="28880" s="3161" customFormat="1" ht="12.75"/>
    <row r="28881" s="3161" customFormat="1" ht="12.75"/>
    <row r="28882" s="3161" customFormat="1" ht="12.75"/>
    <row r="28883" s="3161" customFormat="1" ht="12.75"/>
    <row r="28884" s="3161" customFormat="1" ht="12.75"/>
    <row r="28885" s="3161" customFormat="1" ht="12.75"/>
    <row r="28886" s="3161" customFormat="1" ht="12.75"/>
    <row r="28887" s="3161" customFormat="1" ht="12.75"/>
    <row r="28888" s="3161" customFormat="1" ht="12.75"/>
    <row r="28889" s="3161" customFormat="1" ht="12.75"/>
    <row r="28890" s="3161" customFormat="1" ht="12.75"/>
    <row r="28891" s="3161" customFormat="1" ht="12.75"/>
    <row r="28892" s="3161" customFormat="1" ht="12.75"/>
    <row r="28893" s="3161" customFormat="1" ht="12.75"/>
    <row r="28894" s="3161" customFormat="1" ht="12.75"/>
    <row r="28895" s="3161" customFormat="1" ht="12.75"/>
    <row r="28896" s="3161" customFormat="1" ht="12.75"/>
    <row r="28897" s="3161" customFormat="1" ht="12.75"/>
    <row r="28898" s="3161" customFormat="1" ht="12.75"/>
    <row r="28899" s="3161" customFormat="1" ht="12.75"/>
    <row r="28900" s="3161" customFormat="1" ht="12.75"/>
    <row r="28901" s="3161" customFormat="1" ht="12.75"/>
    <row r="28902" s="3161" customFormat="1" ht="12.75"/>
    <row r="28903" s="3161" customFormat="1" ht="12.75"/>
    <row r="28904" s="3161" customFormat="1" ht="12.75"/>
    <row r="28905" s="3161" customFormat="1" ht="12.75"/>
    <row r="28906" s="3161" customFormat="1" ht="12.75"/>
    <row r="28907" s="3161" customFormat="1" ht="12.75"/>
    <row r="28908" s="3161" customFormat="1" ht="12.75"/>
    <row r="28909" s="3161" customFormat="1" ht="12.75"/>
    <row r="28910" s="3161" customFormat="1" ht="12.75"/>
    <row r="28911" s="3161" customFormat="1" ht="12.75"/>
    <row r="28912" s="3161" customFormat="1" ht="12.75"/>
    <row r="28913" s="3161" customFormat="1" ht="12.75"/>
    <row r="28914" s="3161" customFormat="1" ht="12.75"/>
    <row r="28915" s="3161" customFormat="1" ht="12.75"/>
    <row r="28916" s="3161" customFormat="1" ht="12.75"/>
    <row r="28917" s="3161" customFormat="1" ht="12.75"/>
    <row r="28918" s="3161" customFormat="1" ht="12.75"/>
    <row r="28919" s="3161" customFormat="1" ht="12.75"/>
    <row r="28920" s="3161" customFormat="1" ht="12.75"/>
    <row r="28921" s="3161" customFormat="1" ht="12.75"/>
    <row r="28922" s="3161" customFormat="1" ht="12.75"/>
    <row r="28923" s="3161" customFormat="1" ht="12.75"/>
    <row r="28924" s="3161" customFormat="1" ht="12.75"/>
    <row r="28925" s="3161" customFormat="1" ht="12.75"/>
    <row r="28926" s="3161" customFormat="1" ht="12.75"/>
    <row r="28927" s="3161" customFormat="1" ht="12.75"/>
    <row r="28928" s="3161" customFormat="1" ht="12.75"/>
    <row r="28929" s="3161" customFormat="1" ht="12.75"/>
    <row r="28930" s="3161" customFormat="1" ht="12.75"/>
    <row r="28931" s="3161" customFormat="1" ht="12.75"/>
    <row r="28932" s="3161" customFormat="1" ht="12.75"/>
    <row r="28933" s="3161" customFormat="1" ht="12.75"/>
    <row r="28934" s="3161" customFormat="1" ht="12.75"/>
    <row r="28935" s="3161" customFormat="1" ht="12.75"/>
    <row r="28936" s="3161" customFormat="1" ht="12.75"/>
    <row r="28937" s="3161" customFormat="1" ht="12.75"/>
    <row r="28938" s="3161" customFormat="1" ht="12.75"/>
    <row r="28939" s="3161" customFormat="1" ht="12.75"/>
    <row r="28940" s="3161" customFormat="1" ht="12.75"/>
    <row r="28941" s="3161" customFormat="1" ht="12.75"/>
    <row r="28942" s="3161" customFormat="1" ht="12.75"/>
    <row r="28943" s="3161" customFormat="1" ht="12.75"/>
    <row r="28944" s="3161" customFormat="1" ht="12.75"/>
    <row r="28945" s="3161" customFormat="1" ht="12.75"/>
    <row r="28946" s="3161" customFormat="1" ht="12.75"/>
    <row r="28947" s="3161" customFormat="1" ht="12.75"/>
    <row r="28948" s="3161" customFormat="1" ht="12.75"/>
    <row r="28949" s="3161" customFormat="1" ht="12.75"/>
    <row r="28950" s="3161" customFormat="1" ht="12.75"/>
    <row r="28951" s="3161" customFormat="1" ht="12.75"/>
    <row r="28952" s="3161" customFormat="1" ht="12.75"/>
    <row r="28953" s="3161" customFormat="1" ht="12.75"/>
    <row r="28954" s="3161" customFormat="1" ht="12.75"/>
    <row r="28955" s="3161" customFormat="1" ht="12.75"/>
    <row r="28956" s="3161" customFormat="1" ht="12.75"/>
    <row r="28957" s="3161" customFormat="1" ht="12.75"/>
    <row r="28958" s="3161" customFormat="1" ht="12.75"/>
    <row r="28959" s="3161" customFormat="1" ht="12.75"/>
    <row r="28960" s="3161" customFormat="1" ht="12.75"/>
    <row r="28961" s="3161" customFormat="1" ht="12.75"/>
    <row r="28962" s="3161" customFormat="1" ht="12.75"/>
    <row r="28963" s="3161" customFormat="1" ht="12.75"/>
    <row r="28964" s="3161" customFormat="1" ht="12.75"/>
    <row r="28965" s="3161" customFormat="1" ht="12.75"/>
    <row r="28966" s="3161" customFormat="1" ht="12.75"/>
    <row r="28967" s="3161" customFormat="1" ht="12.75"/>
    <row r="28968" s="3161" customFormat="1" ht="12.75"/>
    <row r="28969" s="3161" customFormat="1" ht="12.75"/>
    <row r="28970" s="3161" customFormat="1" ht="12.75"/>
    <row r="28971" s="3161" customFormat="1" ht="12.75"/>
    <row r="28972" s="3161" customFormat="1" ht="12.75"/>
    <row r="28973" s="3161" customFormat="1" ht="12.75"/>
    <row r="28974" s="3161" customFormat="1" ht="12.75"/>
    <row r="28975" s="3161" customFormat="1" ht="12.75"/>
    <row r="28976" s="3161" customFormat="1" ht="12.75"/>
    <row r="28977" s="3161" customFormat="1" ht="12.75"/>
    <row r="28978" s="3161" customFormat="1" ht="12.75"/>
    <row r="28979" s="3161" customFormat="1" ht="12.75"/>
    <row r="28980" s="3161" customFormat="1" ht="12.75"/>
    <row r="28981" s="3161" customFormat="1" ht="12.75"/>
    <row r="28982" s="3161" customFormat="1" ht="12.75"/>
    <row r="28983" s="3161" customFormat="1" ht="12.75"/>
    <row r="28984" s="3161" customFormat="1" ht="12.75"/>
    <row r="28985" s="3161" customFormat="1" ht="12.75"/>
    <row r="28986" s="3161" customFormat="1" ht="12.75"/>
    <row r="28987" s="3161" customFormat="1" ht="12.75"/>
    <row r="28988" s="3161" customFormat="1" ht="12.75"/>
    <row r="28989" s="3161" customFormat="1" ht="12.75"/>
    <row r="28990" s="3161" customFormat="1" ht="12.75"/>
    <row r="28991" s="3161" customFormat="1" ht="12.75"/>
    <row r="28992" s="3161" customFormat="1" ht="12.75"/>
    <row r="28993" s="3161" customFormat="1" ht="12.75"/>
    <row r="28994" s="3161" customFormat="1" ht="12.75"/>
    <row r="28995" s="3161" customFormat="1" ht="12.75"/>
    <row r="28996" s="3161" customFormat="1" ht="12.75"/>
    <row r="28997" s="3161" customFormat="1" ht="12.75"/>
    <row r="28998" s="3161" customFormat="1" ht="12.75"/>
    <row r="28999" s="3161" customFormat="1" ht="12.75"/>
    <row r="29000" s="3161" customFormat="1" ht="12.75"/>
    <row r="29001" s="3161" customFormat="1" ht="12.75"/>
    <row r="29002" s="3161" customFormat="1" ht="12.75"/>
    <row r="29003" s="3161" customFormat="1" ht="12.75"/>
    <row r="29004" s="3161" customFormat="1" ht="12.75"/>
    <row r="29005" s="3161" customFormat="1" ht="12.75"/>
    <row r="29006" s="3161" customFormat="1" ht="12.75"/>
    <row r="29007" s="3161" customFormat="1" ht="12.75"/>
    <row r="29008" s="3161" customFormat="1" ht="12.75"/>
    <row r="29009" s="3161" customFormat="1" ht="12.75"/>
    <row r="29010" s="3161" customFormat="1" ht="12.75"/>
    <row r="29011" s="3161" customFormat="1" ht="12.75"/>
    <row r="29012" s="3161" customFormat="1" ht="12.75"/>
    <row r="29013" s="3161" customFormat="1" ht="12.75"/>
    <row r="29014" s="3161" customFormat="1" ht="12.75"/>
    <row r="29015" s="3161" customFormat="1" ht="12.75"/>
    <row r="29016" s="3161" customFormat="1" ht="12.75"/>
    <row r="29017" s="3161" customFormat="1" ht="12.75"/>
    <row r="29018" s="3161" customFormat="1" ht="12.75"/>
    <row r="29019" s="3161" customFormat="1" ht="12.75"/>
    <row r="29020" s="3161" customFormat="1" ht="12.75"/>
    <row r="29021" s="3161" customFormat="1" ht="12.75"/>
    <row r="29022" s="3161" customFormat="1" ht="12.75"/>
    <row r="29023" s="3161" customFormat="1" ht="12.75"/>
    <row r="29024" s="3161" customFormat="1" ht="12.75"/>
    <row r="29025" s="3161" customFormat="1" ht="12.75"/>
    <row r="29026" s="3161" customFormat="1" ht="12.75"/>
    <row r="29027" s="3161" customFormat="1" ht="12.75"/>
    <row r="29028" s="3161" customFormat="1" ht="12.75"/>
    <row r="29029" s="3161" customFormat="1" ht="12.75"/>
    <row r="29030" s="3161" customFormat="1" ht="12.75"/>
    <row r="29031" s="3161" customFormat="1" ht="12.75"/>
    <row r="29032" s="3161" customFormat="1" ht="12.75"/>
    <row r="29033" s="3161" customFormat="1" ht="12.75"/>
    <row r="29034" s="3161" customFormat="1" ht="12.75"/>
    <row r="29035" s="3161" customFormat="1" ht="12.75"/>
    <row r="29036" s="3161" customFormat="1" ht="12.75"/>
    <row r="29037" s="3161" customFormat="1" ht="12.75"/>
    <row r="29038" s="3161" customFormat="1" ht="12.75"/>
    <row r="29039" s="3161" customFormat="1" ht="12.75"/>
    <row r="29040" s="3161" customFormat="1" ht="12.75"/>
    <row r="29041" s="3161" customFormat="1" ht="12.75"/>
    <row r="29042" s="3161" customFormat="1" ht="12.75"/>
    <row r="29043" s="3161" customFormat="1" ht="12.75"/>
    <row r="29044" s="3161" customFormat="1" ht="12.75"/>
    <row r="29045" s="3161" customFormat="1" ht="12.75"/>
    <row r="29046" s="3161" customFormat="1" ht="12.75"/>
    <row r="29047" s="3161" customFormat="1" ht="12.75"/>
    <row r="29048" s="3161" customFormat="1" ht="12.75"/>
    <row r="29049" s="3161" customFormat="1" ht="12.75"/>
    <row r="29050" s="3161" customFormat="1" ht="12.75"/>
    <row r="29051" s="3161" customFormat="1" ht="12.75"/>
    <row r="29052" s="3161" customFormat="1" ht="12.75"/>
    <row r="29053" s="3161" customFormat="1" ht="12.75"/>
    <row r="29054" s="3161" customFormat="1" ht="12.75"/>
    <row r="29055" s="3161" customFormat="1" ht="12.75"/>
    <row r="29056" s="3161" customFormat="1" ht="12.75"/>
    <row r="29057" s="3161" customFormat="1" ht="12.75"/>
    <row r="29058" s="3161" customFormat="1" ht="12.75"/>
    <row r="29059" s="3161" customFormat="1" ht="12.75"/>
    <row r="29060" s="3161" customFormat="1" ht="12.75"/>
    <row r="29061" s="3161" customFormat="1" ht="12.75"/>
    <row r="29062" s="3161" customFormat="1" ht="12.75"/>
    <row r="29063" s="3161" customFormat="1" ht="12.75"/>
    <row r="29064" s="3161" customFormat="1" ht="12.75"/>
    <row r="29065" s="3161" customFormat="1" ht="12.75"/>
    <row r="29066" s="3161" customFormat="1" ht="12.75"/>
    <row r="29067" s="3161" customFormat="1" ht="12.75"/>
    <row r="29068" s="3161" customFormat="1" ht="12.75"/>
    <row r="29069" s="3161" customFormat="1" ht="12.75"/>
    <row r="29070" s="3161" customFormat="1" ht="12.75"/>
    <row r="29071" s="3161" customFormat="1" ht="12.75"/>
    <row r="29072" s="3161" customFormat="1" ht="12.75"/>
    <row r="29073" s="3161" customFormat="1" ht="12.75"/>
    <row r="29074" s="3161" customFormat="1" ht="12.75"/>
    <row r="29075" s="3161" customFormat="1" ht="12.75"/>
    <row r="29076" s="3161" customFormat="1" ht="12.75"/>
    <row r="29077" s="3161" customFormat="1" ht="12.75"/>
    <row r="29078" s="3161" customFormat="1" ht="12.75"/>
    <row r="29079" s="3161" customFormat="1" ht="12.75"/>
    <row r="29080" s="3161" customFormat="1" ht="12.75"/>
    <row r="29081" s="3161" customFormat="1" ht="12.75"/>
    <row r="29082" s="3161" customFormat="1" ht="12.75"/>
    <row r="29083" s="3161" customFormat="1" ht="12.75"/>
    <row r="29084" s="3161" customFormat="1" ht="12.75"/>
    <row r="29085" s="3161" customFormat="1" ht="12.75"/>
    <row r="29086" s="3161" customFormat="1" ht="12.75"/>
    <row r="29087" s="3161" customFormat="1" ht="12.75"/>
    <row r="29088" s="3161" customFormat="1" ht="12.75"/>
    <row r="29089" s="3161" customFormat="1" ht="12.75"/>
    <row r="29090" s="3161" customFormat="1" ht="12.75"/>
    <row r="29091" s="3161" customFormat="1" ht="12.75"/>
    <row r="29092" s="3161" customFormat="1" ht="12.75"/>
    <row r="29093" s="3161" customFormat="1" ht="12.75"/>
    <row r="29094" s="3161" customFormat="1" ht="12.75"/>
    <row r="29095" s="3161" customFormat="1" ht="12.75"/>
    <row r="29096" s="3161" customFormat="1" ht="12.75"/>
    <row r="29097" s="3161" customFormat="1" ht="12.75"/>
    <row r="29098" s="3161" customFormat="1" ht="12.75"/>
    <row r="29099" s="3161" customFormat="1" ht="12.75"/>
    <row r="29100" s="3161" customFormat="1" ht="12.75"/>
    <row r="29101" s="3161" customFormat="1" ht="12.75"/>
    <row r="29102" s="3161" customFormat="1" ht="12.75"/>
    <row r="29103" s="3161" customFormat="1" ht="12.75"/>
    <row r="29104" s="3161" customFormat="1" ht="12.75"/>
    <row r="29105" s="3161" customFormat="1" ht="12.75"/>
    <row r="29106" s="3161" customFormat="1" ht="12.75"/>
    <row r="29107" s="3161" customFormat="1" ht="12.75"/>
    <row r="29108" s="3161" customFormat="1" ht="12.75"/>
    <row r="29109" s="3161" customFormat="1" ht="12.75"/>
    <row r="29110" s="3161" customFormat="1" ht="12.75"/>
    <row r="29111" s="3161" customFormat="1" ht="12.75"/>
    <row r="29112" s="3161" customFormat="1" ht="12.75"/>
    <row r="29113" s="3161" customFormat="1" ht="12.75"/>
    <row r="29114" s="3161" customFormat="1" ht="12.75"/>
    <row r="29115" s="3161" customFormat="1" ht="12.75"/>
    <row r="29116" s="3161" customFormat="1" ht="12.75"/>
    <row r="29117" s="3161" customFormat="1" ht="12.75"/>
    <row r="29118" s="3161" customFormat="1" ht="12.75"/>
    <row r="29119" s="3161" customFormat="1" ht="12.75"/>
    <row r="29120" s="3161" customFormat="1" ht="12.75"/>
    <row r="29121" s="3161" customFormat="1" ht="12.75"/>
    <row r="29122" s="3161" customFormat="1" ht="12.75"/>
    <row r="29123" s="3161" customFormat="1" ht="12.75"/>
    <row r="29124" s="3161" customFormat="1" ht="12.75"/>
    <row r="29125" s="3161" customFormat="1" ht="12.75"/>
    <row r="29126" s="3161" customFormat="1" ht="12.75"/>
    <row r="29127" s="3161" customFormat="1" ht="12.75"/>
    <row r="29128" s="3161" customFormat="1" ht="12.75"/>
    <row r="29129" s="3161" customFormat="1" ht="12.75"/>
    <row r="29130" s="3161" customFormat="1" ht="12.75"/>
    <row r="29131" s="3161" customFormat="1" ht="12.75"/>
    <row r="29132" s="3161" customFormat="1" ht="12.75"/>
    <row r="29133" s="3161" customFormat="1" ht="12.75"/>
    <row r="29134" s="3161" customFormat="1" ht="12.75"/>
    <row r="29135" s="3161" customFormat="1" ht="12.75"/>
    <row r="29136" s="3161" customFormat="1" ht="12.75"/>
    <row r="29137" s="3161" customFormat="1" ht="12.75"/>
    <row r="29138" s="3161" customFormat="1" ht="12.75"/>
    <row r="29139" s="3161" customFormat="1" ht="12.75"/>
    <row r="29140" s="3161" customFormat="1" ht="12.75"/>
    <row r="29141" s="3161" customFormat="1" ht="12.75"/>
    <row r="29142" s="3161" customFormat="1" ht="12.75"/>
    <row r="29143" s="3161" customFormat="1" ht="12.75"/>
    <row r="29144" s="3161" customFormat="1" ht="12.75"/>
    <row r="29145" s="3161" customFormat="1" ht="12.75"/>
    <row r="29146" s="3161" customFormat="1" ht="12.75"/>
    <row r="29147" s="3161" customFormat="1" ht="12.75"/>
    <row r="29148" s="3161" customFormat="1" ht="12.75"/>
    <row r="29149" s="3161" customFormat="1" ht="12.75"/>
    <row r="29150" s="3161" customFormat="1" ht="12.75"/>
    <row r="29151" s="3161" customFormat="1" ht="12.75"/>
    <row r="29152" s="3161" customFormat="1" ht="12.75"/>
    <row r="29153" s="3161" customFormat="1" ht="12.75"/>
    <row r="29154" s="3161" customFormat="1" ht="12.75"/>
    <row r="29155" s="3161" customFormat="1" ht="12.75"/>
    <row r="29156" s="3161" customFormat="1" ht="12.75"/>
    <row r="29157" s="3161" customFormat="1" ht="12.75"/>
    <row r="29158" s="3161" customFormat="1" ht="12.75"/>
    <row r="29159" s="3161" customFormat="1" ht="12.75"/>
    <row r="29160" s="3161" customFormat="1" ht="12.75"/>
    <row r="29161" s="3161" customFormat="1" ht="12.75"/>
    <row r="29162" s="3161" customFormat="1" ht="12.75"/>
    <row r="29163" s="3161" customFormat="1" ht="12.75"/>
    <row r="29164" s="3161" customFormat="1" ht="12.75"/>
    <row r="29165" s="3161" customFormat="1" ht="12.75"/>
    <row r="29166" s="3161" customFormat="1" ht="12.75"/>
    <row r="29167" s="3161" customFormat="1" ht="12.75"/>
    <row r="29168" s="3161" customFormat="1" ht="12.75"/>
    <row r="29169" s="3161" customFormat="1" ht="12.75"/>
    <row r="29170" s="3161" customFormat="1" ht="12.75"/>
    <row r="29171" s="3161" customFormat="1" ht="12.75"/>
    <row r="29172" s="3161" customFormat="1" ht="12.75"/>
    <row r="29173" s="3161" customFormat="1" ht="12.75"/>
    <row r="29174" s="3161" customFormat="1" ht="12.75"/>
    <row r="29175" s="3161" customFormat="1" ht="12.75"/>
    <row r="29176" s="3161" customFormat="1" ht="12.75"/>
    <row r="29177" s="3161" customFormat="1" ht="12.75"/>
    <row r="29178" s="3161" customFormat="1" ht="12.75"/>
    <row r="29179" s="3161" customFormat="1" ht="12.75"/>
    <row r="29180" s="3161" customFormat="1" ht="12.75"/>
    <row r="29181" s="3161" customFormat="1" ht="12.75"/>
    <row r="29182" s="3161" customFormat="1" ht="12.75"/>
    <row r="29183" s="3161" customFormat="1" ht="12.75"/>
    <row r="29184" s="3161" customFormat="1" ht="12.75"/>
    <row r="29185" s="3161" customFormat="1" ht="12.75"/>
    <row r="29186" s="3161" customFormat="1" ht="12.75"/>
    <row r="29187" s="3161" customFormat="1" ht="12.75"/>
    <row r="29188" s="3161" customFormat="1" ht="12.75"/>
    <row r="29189" s="3161" customFormat="1" ht="12.75"/>
    <row r="29190" s="3161" customFormat="1" ht="12.75"/>
    <row r="29191" s="3161" customFormat="1" ht="12.75"/>
    <row r="29192" s="3161" customFormat="1" ht="12.75"/>
    <row r="29193" s="3161" customFormat="1" ht="12.75"/>
    <row r="29194" s="3161" customFormat="1" ht="12.75"/>
    <row r="29195" s="3161" customFormat="1" ht="12.75"/>
    <row r="29196" s="3161" customFormat="1" ht="12.75"/>
    <row r="29197" s="3161" customFormat="1" ht="12.75"/>
    <row r="29198" s="3161" customFormat="1" ht="12.75"/>
    <row r="29199" s="3161" customFormat="1" ht="12.75"/>
    <row r="29200" s="3161" customFormat="1" ht="12.75"/>
    <row r="29201" s="3161" customFormat="1" ht="12.75"/>
    <row r="29202" s="3161" customFormat="1" ht="12.75"/>
    <row r="29203" s="3161" customFormat="1" ht="12.75"/>
    <row r="29204" s="3161" customFormat="1" ht="12.75"/>
    <row r="29205" s="3161" customFormat="1" ht="12.75"/>
    <row r="29206" s="3161" customFormat="1" ht="12.75"/>
    <row r="29207" s="3161" customFormat="1" ht="12.75"/>
    <row r="29208" s="3161" customFormat="1" ht="12.75"/>
    <row r="29209" s="3161" customFormat="1" ht="12.75"/>
    <row r="29210" s="3161" customFormat="1" ht="12.75"/>
    <row r="29211" s="3161" customFormat="1" ht="12.75"/>
    <row r="29212" s="3161" customFormat="1" ht="12.75"/>
    <row r="29213" s="3161" customFormat="1" ht="12.75"/>
    <row r="29214" s="3161" customFormat="1" ht="12.75"/>
    <row r="29215" s="3161" customFormat="1" ht="12.75"/>
    <row r="29216" s="3161" customFormat="1" ht="12.75"/>
    <row r="29217" s="3161" customFormat="1" ht="12.75"/>
    <row r="29218" s="3161" customFormat="1" ht="12.75"/>
    <row r="29219" s="3161" customFormat="1" ht="12.75"/>
    <row r="29220" s="3161" customFormat="1" ht="12.75"/>
    <row r="29221" s="3161" customFormat="1" ht="12.75"/>
    <row r="29222" s="3161" customFormat="1" ht="12.75"/>
    <row r="29223" s="3161" customFormat="1" ht="12.75"/>
    <row r="29224" s="3161" customFormat="1" ht="12.75"/>
    <row r="29225" s="3161" customFormat="1" ht="12.75"/>
    <row r="29226" s="3161" customFormat="1" ht="12.75"/>
    <row r="29227" s="3161" customFormat="1" ht="12.75"/>
    <row r="29228" s="3161" customFormat="1" ht="12.75"/>
    <row r="29229" s="3161" customFormat="1" ht="12.75"/>
    <row r="29230" s="3161" customFormat="1" ht="12.75"/>
    <row r="29231" s="3161" customFormat="1" ht="12.75"/>
    <row r="29232" s="3161" customFormat="1" ht="12.75"/>
    <row r="29233" s="3161" customFormat="1" ht="12.75"/>
    <row r="29234" s="3161" customFormat="1" ht="12.75"/>
    <row r="29235" s="3161" customFormat="1" ht="12.75"/>
    <row r="29236" s="3161" customFormat="1" ht="12.75"/>
    <row r="29237" s="3161" customFormat="1" ht="12.75"/>
    <row r="29238" s="3161" customFormat="1" ht="12.75"/>
    <row r="29239" s="3161" customFormat="1" ht="12.75"/>
    <row r="29240" s="3161" customFormat="1" ht="12.75"/>
    <row r="29241" s="3161" customFormat="1" ht="12.75"/>
    <row r="29242" s="3161" customFormat="1" ht="12.75"/>
    <row r="29243" s="3161" customFormat="1" ht="12.75"/>
    <row r="29244" s="3161" customFormat="1" ht="12.75"/>
    <row r="29245" s="3161" customFormat="1" ht="12.75"/>
    <row r="29246" s="3161" customFormat="1" ht="12.75"/>
    <row r="29247" s="3161" customFormat="1" ht="12.75"/>
    <row r="29248" s="3161" customFormat="1" ht="12.75"/>
    <row r="29249" s="3161" customFormat="1" ht="12.75"/>
    <row r="29250" s="3161" customFormat="1" ht="12.75"/>
    <row r="29251" s="3161" customFormat="1" ht="12.75"/>
    <row r="29252" s="3161" customFormat="1" ht="12.75"/>
    <row r="29253" s="3161" customFormat="1" ht="12.75"/>
    <row r="29254" s="3161" customFormat="1" ht="12.75"/>
    <row r="29255" s="3161" customFormat="1" ht="12.75"/>
    <row r="29256" s="3161" customFormat="1" ht="12.75"/>
    <row r="29257" s="3161" customFormat="1" ht="12.75"/>
    <row r="29258" s="3161" customFormat="1" ht="12.75"/>
    <row r="29259" s="3161" customFormat="1" ht="12.75"/>
    <row r="29260" s="3161" customFormat="1" ht="12.75"/>
    <row r="29261" s="3161" customFormat="1" ht="12.75"/>
    <row r="29262" s="3161" customFormat="1" ht="12.75"/>
    <row r="29263" s="3161" customFormat="1" ht="12.75"/>
    <row r="29264" s="3161" customFormat="1" ht="12.75"/>
    <row r="29265" s="3161" customFormat="1" ht="12.75"/>
    <row r="29266" s="3161" customFormat="1" ht="12.75"/>
    <row r="29267" s="3161" customFormat="1" ht="12.75"/>
    <row r="29268" s="3161" customFormat="1" ht="12.75"/>
    <row r="29269" s="3161" customFormat="1" ht="12.75"/>
    <row r="29270" s="3161" customFormat="1" ht="12.75"/>
    <row r="29271" s="3161" customFormat="1" ht="12.75"/>
    <row r="29272" s="3161" customFormat="1" ht="12.75"/>
    <row r="29273" s="3161" customFormat="1" ht="12.75"/>
    <row r="29274" s="3161" customFormat="1" ht="12.75"/>
    <row r="29275" s="3161" customFormat="1" ht="12.75"/>
    <row r="29276" s="3161" customFormat="1" ht="12.75"/>
    <row r="29277" s="3161" customFormat="1" ht="12.75"/>
    <row r="29278" s="3161" customFormat="1" ht="12.75"/>
    <row r="29279" s="3161" customFormat="1" ht="12.75"/>
    <row r="29280" s="3161" customFormat="1" ht="12.75"/>
    <row r="29281" s="3161" customFormat="1" ht="12.75"/>
    <row r="29282" s="3161" customFormat="1" ht="12.75"/>
    <row r="29283" s="3161" customFormat="1" ht="12.75"/>
    <row r="29284" s="3161" customFormat="1" ht="12.75"/>
    <row r="29285" s="3161" customFormat="1" ht="12.75"/>
    <row r="29286" s="3161" customFormat="1" ht="12.75"/>
    <row r="29287" s="3161" customFormat="1" ht="12.75"/>
    <row r="29288" s="3161" customFormat="1" ht="12.75"/>
    <row r="29289" s="3161" customFormat="1" ht="12.75"/>
    <row r="29290" s="3161" customFormat="1" ht="12.75"/>
    <row r="29291" s="3161" customFormat="1" ht="12.75"/>
    <row r="29292" s="3161" customFormat="1" ht="12.75"/>
    <row r="29293" s="3161" customFormat="1" ht="12.75"/>
    <row r="29294" s="3161" customFormat="1" ht="12.75"/>
    <row r="29295" s="3161" customFormat="1" ht="12.75"/>
    <row r="29296" s="3161" customFormat="1" ht="12.75"/>
    <row r="29297" s="3161" customFormat="1" ht="12.75"/>
    <row r="29298" s="3161" customFormat="1" ht="12.75"/>
    <row r="29299" s="3161" customFormat="1" ht="12.75"/>
    <row r="29300" s="3161" customFormat="1" ht="12.75"/>
    <row r="29301" s="3161" customFormat="1" ht="12.75"/>
    <row r="29302" s="3161" customFormat="1" ht="12.75"/>
    <row r="29303" s="3161" customFormat="1" ht="12.75"/>
    <row r="29304" s="3161" customFormat="1" ht="12.75"/>
    <row r="29305" s="3161" customFormat="1" ht="12.75"/>
    <row r="29306" s="3161" customFormat="1" ht="12.75"/>
    <row r="29307" s="3161" customFormat="1" ht="12.75"/>
    <row r="29308" s="3161" customFormat="1" ht="12.75"/>
    <row r="29309" s="3161" customFormat="1" ht="12.75"/>
    <row r="29310" s="3161" customFormat="1" ht="12.75"/>
    <row r="29311" s="3161" customFormat="1" ht="12.75"/>
    <row r="29312" s="3161" customFormat="1" ht="12.75"/>
    <row r="29313" s="3161" customFormat="1" ht="12.75"/>
    <row r="29314" s="3161" customFormat="1" ht="12.75"/>
    <row r="29315" s="3161" customFormat="1" ht="12.75"/>
    <row r="29316" s="3161" customFormat="1" ht="12.75"/>
    <row r="29317" s="3161" customFormat="1" ht="12.75"/>
    <row r="29318" s="3161" customFormat="1" ht="12.75"/>
    <row r="29319" s="3161" customFormat="1" ht="12.75"/>
    <row r="29320" s="3161" customFormat="1" ht="12.75"/>
    <row r="29321" s="3161" customFormat="1" ht="12.75"/>
    <row r="29322" s="3161" customFormat="1" ht="12.75"/>
    <row r="29323" s="3161" customFormat="1" ht="12.75"/>
    <row r="29324" s="3161" customFormat="1" ht="12.75"/>
    <row r="29325" s="3161" customFormat="1" ht="12.75"/>
    <row r="29326" s="3161" customFormat="1" ht="12.75"/>
    <row r="29327" s="3161" customFormat="1" ht="12.75"/>
    <row r="29328" s="3161" customFormat="1" ht="12.75"/>
    <row r="29329" s="3161" customFormat="1" ht="12.75"/>
    <row r="29330" s="3161" customFormat="1" ht="12.75"/>
    <row r="29331" s="3161" customFormat="1" ht="12.75"/>
    <row r="29332" s="3161" customFormat="1" ht="12.75"/>
    <row r="29333" s="3161" customFormat="1" ht="12.75"/>
    <row r="29334" s="3161" customFormat="1" ht="12.75"/>
    <row r="29335" s="3161" customFormat="1" ht="12.75"/>
    <row r="29336" s="3161" customFormat="1" ht="12.75"/>
    <row r="29337" s="3161" customFormat="1" ht="12.75"/>
    <row r="29338" s="3161" customFormat="1" ht="12.75"/>
    <row r="29339" s="3161" customFormat="1" ht="12.75"/>
    <row r="29340" s="3161" customFormat="1" ht="12.75"/>
    <row r="29341" s="3161" customFormat="1" ht="12.75"/>
    <row r="29342" s="3161" customFormat="1" ht="12.75"/>
    <row r="29343" s="3161" customFormat="1" ht="12.75"/>
    <row r="29344" s="3161" customFormat="1" ht="12.75"/>
    <row r="29345" s="3161" customFormat="1" ht="12.75"/>
    <row r="29346" s="3161" customFormat="1" ht="12.75"/>
    <row r="29347" s="3161" customFormat="1" ht="12.75"/>
    <row r="29348" s="3161" customFormat="1" ht="12.75"/>
    <row r="29349" s="3161" customFormat="1" ht="12.75"/>
    <row r="29350" s="3161" customFormat="1" ht="12.75"/>
    <row r="29351" s="3161" customFormat="1" ht="12.75"/>
    <row r="29352" s="3161" customFormat="1" ht="12.75"/>
    <row r="29353" s="3161" customFormat="1" ht="12.75"/>
    <row r="29354" s="3161" customFormat="1" ht="12.75"/>
    <row r="29355" s="3161" customFormat="1" ht="12.75"/>
    <row r="29356" s="3161" customFormat="1" ht="12.75"/>
    <row r="29357" s="3161" customFormat="1" ht="12.75"/>
    <row r="29358" s="3161" customFormat="1" ht="12.75"/>
    <row r="29359" s="3161" customFormat="1" ht="12.75"/>
    <row r="29360" s="3161" customFormat="1" ht="12.75"/>
    <row r="29361" s="3161" customFormat="1" ht="12.75"/>
    <row r="29362" s="3161" customFormat="1" ht="12.75"/>
    <row r="29363" s="3161" customFormat="1" ht="12.75"/>
    <row r="29364" s="3161" customFormat="1" ht="12.75"/>
    <row r="29365" s="3161" customFormat="1" ht="12.75"/>
    <row r="29366" s="3161" customFormat="1" ht="12.75"/>
    <row r="29367" s="3161" customFormat="1" ht="12.75"/>
    <row r="29368" s="3161" customFormat="1" ht="12.75"/>
    <row r="29369" s="3161" customFormat="1" ht="12.75"/>
    <row r="29370" s="3161" customFormat="1" ht="12.75"/>
    <row r="29371" s="3161" customFormat="1" ht="12.75"/>
    <row r="29372" s="3161" customFormat="1" ht="12.75"/>
    <row r="29373" s="3161" customFormat="1" ht="12.75"/>
    <row r="29374" s="3161" customFormat="1" ht="12.75"/>
    <row r="29375" s="3161" customFormat="1" ht="12.75"/>
    <row r="29376" s="3161" customFormat="1" ht="12.75"/>
    <row r="29377" s="3161" customFormat="1" ht="12.75"/>
    <row r="29378" s="3161" customFormat="1" ht="12.75"/>
    <row r="29379" s="3161" customFormat="1" ht="12.75"/>
    <row r="29380" s="3161" customFormat="1" ht="12.75"/>
    <row r="29381" s="3161" customFormat="1" ht="12.75"/>
    <row r="29382" s="3161" customFormat="1" ht="12.75"/>
    <row r="29383" s="3161" customFormat="1" ht="12.75"/>
    <row r="29384" s="3161" customFormat="1" ht="12.75"/>
    <row r="29385" s="3161" customFormat="1" ht="12.75"/>
    <row r="29386" s="3161" customFormat="1" ht="12.75"/>
    <row r="29387" s="3161" customFormat="1" ht="12.75"/>
    <row r="29388" s="3161" customFormat="1" ht="12.75"/>
    <row r="29389" s="3161" customFormat="1" ht="12.75"/>
    <row r="29390" s="3161" customFormat="1" ht="12.75"/>
    <row r="29391" s="3161" customFormat="1" ht="12.75"/>
    <row r="29392" s="3161" customFormat="1" ht="12.75"/>
    <row r="29393" s="3161" customFormat="1" ht="12.75"/>
    <row r="29394" s="3161" customFormat="1" ht="12.75"/>
    <row r="29395" s="3161" customFormat="1" ht="12.75"/>
    <row r="29396" s="3161" customFormat="1" ht="12.75"/>
    <row r="29397" s="3161" customFormat="1" ht="12.75"/>
    <row r="29398" s="3161" customFormat="1" ht="12.75"/>
    <row r="29399" s="3161" customFormat="1" ht="12.75"/>
    <row r="29400" s="3161" customFormat="1" ht="12.75"/>
    <row r="29401" s="3161" customFormat="1" ht="12.75"/>
    <row r="29402" s="3161" customFormat="1" ht="12.75"/>
    <row r="29403" s="3161" customFormat="1" ht="12.75"/>
    <row r="29404" s="3161" customFormat="1" ht="12.75"/>
    <row r="29405" s="3161" customFormat="1" ht="12.75"/>
    <row r="29406" s="3161" customFormat="1" ht="12.75"/>
    <row r="29407" s="3161" customFormat="1" ht="12.75"/>
    <row r="29408" s="3161" customFormat="1" ht="12.75"/>
    <row r="29409" s="3161" customFormat="1" ht="12.75"/>
    <row r="29410" s="3161" customFormat="1" ht="12.75"/>
    <row r="29411" s="3161" customFormat="1" ht="12.75"/>
    <row r="29412" s="3161" customFormat="1" ht="12.75"/>
    <row r="29413" s="3161" customFormat="1" ht="12.75"/>
    <row r="29414" s="3161" customFormat="1" ht="12.75"/>
    <row r="29415" s="3161" customFormat="1" ht="12.75"/>
    <row r="29416" s="3161" customFormat="1" ht="12.75"/>
    <row r="29417" s="3161" customFormat="1" ht="12.75"/>
    <row r="29418" s="3161" customFormat="1" ht="12.75"/>
    <row r="29419" s="3161" customFormat="1" ht="12.75"/>
    <row r="29420" s="3161" customFormat="1" ht="12.75"/>
    <row r="29421" s="3161" customFormat="1" ht="12.75"/>
    <row r="29422" s="3161" customFormat="1" ht="12.75"/>
    <row r="29423" s="3161" customFormat="1" ht="12.75"/>
    <row r="29424" s="3161" customFormat="1" ht="12.75"/>
    <row r="29425" s="3161" customFormat="1" ht="12.75"/>
    <row r="29426" s="3161" customFormat="1" ht="12.75"/>
    <row r="29427" s="3161" customFormat="1" ht="12.75"/>
    <row r="29428" s="3161" customFormat="1" ht="12.75"/>
    <row r="29429" s="3161" customFormat="1" ht="12.75"/>
    <row r="29430" s="3161" customFormat="1" ht="12.75"/>
    <row r="29431" s="3161" customFormat="1" ht="12.75"/>
    <row r="29432" s="3161" customFormat="1" ht="12.75"/>
    <row r="29433" s="3161" customFormat="1" ht="12.75"/>
    <row r="29434" s="3161" customFormat="1" ht="12.75"/>
    <row r="29435" s="3161" customFormat="1" ht="12.75"/>
    <row r="29436" s="3161" customFormat="1" ht="12.75"/>
    <row r="29437" s="3161" customFormat="1" ht="12.75"/>
    <row r="29438" s="3161" customFormat="1" ht="12.75"/>
    <row r="29439" s="3161" customFormat="1" ht="12.75"/>
    <row r="29440" s="3161" customFormat="1" ht="12.75"/>
    <row r="29441" s="3161" customFormat="1" ht="12.75"/>
    <row r="29442" s="3161" customFormat="1" ht="12.75"/>
    <row r="29443" s="3161" customFormat="1" ht="12.75"/>
    <row r="29444" s="3161" customFormat="1" ht="12.75"/>
    <row r="29445" s="3161" customFormat="1" ht="12.75"/>
    <row r="29446" s="3161" customFormat="1" ht="12.75"/>
    <row r="29447" s="3161" customFormat="1" ht="12.75"/>
    <row r="29448" s="3161" customFormat="1" ht="12.75"/>
    <row r="29449" s="3161" customFormat="1" ht="12.75"/>
    <row r="29450" s="3161" customFormat="1" ht="12.75"/>
    <row r="29451" s="3161" customFormat="1" ht="12.75"/>
    <row r="29452" s="3161" customFormat="1" ht="12.75"/>
    <row r="29453" s="3161" customFormat="1" ht="12.75"/>
    <row r="29454" s="3161" customFormat="1" ht="12.75"/>
    <row r="29455" s="3161" customFormat="1" ht="12.75"/>
    <row r="29456" s="3161" customFormat="1" ht="12.75"/>
    <row r="29457" s="3161" customFormat="1" ht="12.75"/>
    <row r="29458" s="3161" customFormat="1" ht="12.75"/>
    <row r="29459" s="3161" customFormat="1" ht="12.75"/>
    <row r="29460" s="3161" customFormat="1" ht="12.75"/>
    <row r="29461" s="3161" customFormat="1" ht="12.75"/>
    <row r="29462" s="3161" customFormat="1" ht="12.75"/>
    <row r="29463" s="3161" customFormat="1" ht="12.75"/>
    <row r="29464" s="3161" customFormat="1" ht="12.75"/>
    <row r="29465" s="3161" customFormat="1" ht="12.75"/>
    <row r="29466" s="3161" customFormat="1" ht="12.75"/>
    <row r="29467" s="3161" customFormat="1" ht="12.75"/>
    <row r="29468" s="3161" customFormat="1" ht="12.75"/>
    <row r="29469" s="3161" customFormat="1" ht="12.75"/>
    <row r="29470" s="3161" customFormat="1" ht="12.75"/>
    <row r="29471" s="3161" customFormat="1" ht="12.75"/>
    <row r="29472" s="3161" customFormat="1" ht="12.75"/>
    <row r="29473" s="3161" customFormat="1" ht="12.75"/>
    <row r="29474" s="3161" customFormat="1" ht="12.75"/>
    <row r="29475" s="3161" customFormat="1" ht="12.75"/>
    <row r="29476" s="3161" customFormat="1" ht="12.75"/>
    <row r="29477" s="3161" customFormat="1" ht="12.75"/>
    <row r="29478" s="3161" customFormat="1" ht="12.75"/>
    <row r="29479" s="3161" customFormat="1" ht="12.75"/>
    <row r="29480" s="3161" customFormat="1" ht="12.75"/>
    <row r="29481" s="3161" customFormat="1" ht="12.75"/>
    <row r="29482" s="3161" customFormat="1" ht="12.75"/>
    <row r="29483" s="3161" customFormat="1" ht="12.75"/>
    <row r="29484" s="3161" customFormat="1" ht="12.75"/>
    <row r="29485" s="3161" customFormat="1" ht="12.75"/>
    <row r="29486" s="3161" customFormat="1" ht="12.75"/>
    <row r="29487" s="3161" customFormat="1" ht="12.75"/>
    <row r="29488" s="3161" customFormat="1" ht="12.75"/>
    <row r="29489" s="3161" customFormat="1" ht="12.75"/>
    <row r="29490" s="3161" customFormat="1" ht="12.75"/>
    <row r="29491" s="3161" customFormat="1" ht="12.75"/>
    <row r="29492" s="3161" customFormat="1" ht="12.75"/>
    <row r="29493" s="3161" customFormat="1" ht="12.75"/>
    <row r="29494" s="3161" customFormat="1" ht="12.75"/>
    <row r="29495" s="3161" customFormat="1" ht="12.75"/>
    <row r="29496" s="3161" customFormat="1" ht="12.75"/>
    <row r="29497" s="3161" customFormat="1" ht="12.75"/>
    <row r="29498" s="3161" customFormat="1" ht="12.75"/>
    <row r="29499" s="3161" customFormat="1" ht="12.75"/>
    <row r="29500" s="3161" customFormat="1" ht="12.75"/>
    <row r="29501" s="3161" customFormat="1" ht="12.75"/>
    <row r="29502" s="3161" customFormat="1" ht="12.75"/>
    <row r="29503" s="3161" customFormat="1" ht="12.75"/>
    <row r="29504" s="3161" customFormat="1" ht="12.75"/>
    <row r="29505" s="3161" customFormat="1" ht="12.75"/>
    <row r="29506" s="3161" customFormat="1" ht="12.75"/>
    <row r="29507" s="3161" customFormat="1" ht="12.75"/>
    <row r="29508" s="3161" customFormat="1" ht="12.75"/>
    <row r="29509" s="3161" customFormat="1" ht="12.75"/>
    <row r="29510" s="3161" customFormat="1" ht="12.75"/>
    <row r="29511" s="3161" customFormat="1" ht="12.75"/>
    <row r="29512" s="3161" customFormat="1" ht="12.75"/>
    <row r="29513" s="3161" customFormat="1" ht="12.75"/>
    <row r="29514" s="3161" customFormat="1" ht="12.75"/>
    <row r="29515" s="3161" customFormat="1" ht="12.75"/>
    <row r="29516" s="3161" customFormat="1" ht="12.75"/>
    <row r="29517" s="3161" customFormat="1" ht="12.75"/>
    <row r="29518" s="3161" customFormat="1" ht="12.75"/>
    <row r="29519" s="3161" customFormat="1" ht="12.75"/>
    <row r="29520" s="3161" customFormat="1" ht="12.75"/>
    <row r="29521" s="3161" customFormat="1" ht="12.75"/>
    <row r="29522" s="3161" customFormat="1" ht="12.75"/>
    <row r="29523" s="3161" customFormat="1" ht="12.75"/>
    <row r="29524" s="3161" customFormat="1" ht="12.75"/>
    <row r="29525" s="3161" customFormat="1" ht="12.75"/>
    <row r="29526" s="3161" customFormat="1" ht="12.75"/>
    <row r="29527" s="3161" customFormat="1" ht="12.75"/>
    <row r="29528" s="3161" customFormat="1" ht="12.75"/>
    <row r="29529" s="3161" customFormat="1" ht="12.75"/>
    <row r="29530" s="3161" customFormat="1" ht="12.75"/>
    <row r="29531" s="3161" customFormat="1" ht="12.75"/>
    <row r="29532" s="3161" customFormat="1" ht="12.75"/>
    <row r="29533" s="3161" customFormat="1" ht="12.75"/>
    <row r="29534" s="3161" customFormat="1" ht="12.75"/>
    <row r="29535" s="3161" customFormat="1" ht="12.75"/>
    <row r="29536" s="3161" customFormat="1" ht="12.75"/>
    <row r="29537" s="3161" customFormat="1" ht="12.75"/>
    <row r="29538" s="3161" customFormat="1" ht="12.75"/>
    <row r="29539" s="3161" customFormat="1" ht="12.75"/>
    <row r="29540" s="3161" customFormat="1" ht="12.75"/>
    <row r="29541" s="3161" customFormat="1" ht="12.75"/>
    <row r="29542" s="3161" customFormat="1" ht="12.75"/>
    <row r="29543" s="3161" customFormat="1" ht="12.75"/>
    <row r="29544" s="3161" customFormat="1" ht="12.75"/>
    <row r="29545" s="3161" customFormat="1" ht="12.75"/>
    <row r="29546" s="3161" customFormat="1" ht="12.75"/>
    <row r="29547" s="3161" customFormat="1" ht="12.75"/>
    <row r="29548" s="3161" customFormat="1" ht="12.75"/>
    <row r="29549" s="3161" customFormat="1" ht="12.75"/>
    <row r="29550" s="3161" customFormat="1" ht="12.75"/>
    <row r="29551" s="3161" customFormat="1" ht="12.75"/>
    <row r="29552" s="3161" customFormat="1" ht="12.75"/>
    <row r="29553" s="3161" customFormat="1" ht="12.75"/>
    <row r="29554" s="3161" customFormat="1" ht="12.75"/>
    <row r="29555" s="3161" customFormat="1" ht="12.75"/>
    <row r="29556" s="3161" customFormat="1" ht="12.75"/>
    <row r="29557" s="3161" customFormat="1" ht="12.75"/>
    <row r="29558" s="3161" customFormat="1" ht="12.75"/>
    <row r="29559" s="3161" customFormat="1" ht="12.75"/>
    <row r="29560" s="3161" customFormat="1" ht="12.75"/>
    <row r="29561" s="3161" customFormat="1" ht="12.75"/>
    <row r="29562" s="3161" customFormat="1" ht="12.75"/>
    <row r="29563" s="3161" customFormat="1" ht="12.75"/>
    <row r="29564" s="3161" customFormat="1" ht="12.75"/>
    <row r="29565" s="3161" customFormat="1" ht="12.75"/>
    <row r="29566" s="3161" customFormat="1" ht="12.75"/>
    <row r="29567" s="3161" customFormat="1" ht="12.75"/>
    <row r="29568" s="3161" customFormat="1" ht="12.75"/>
    <row r="29569" s="3161" customFormat="1" ht="12.75"/>
    <row r="29570" s="3161" customFormat="1" ht="12.75"/>
    <row r="29571" s="3161" customFormat="1" ht="12.75"/>
    <row r="29572" s="3161" customFormat="1" ht="12.75"/>
    <row r="29573" s="3161" customFormat="1" ht="12.75"/>
    <row r="29574" s="3161" customFormat="1" ht="12.75"/>
    <row r="29575" s="3161" customFormat="1" ht="12.75"/>
    <row r="29576" s="3161" customFormat="1" ht="12.75"/>
    <row r="29577" s="3161" customFormat="1" ht="12.75"/>
    <row r="29578" s="3161" customFormat="1" ht="12.75"/>
    <row r="29579" s="3161" customFormat="1" ht="12.75"/>
    <row r="29580" s="3161" customFormat="1" ht="12.75"/>
    <row r="29581" s="3161" customFormat="1" ht="12.75"/>
    <row r="29582" s="3161" customFormat="1" ht="12.75"/>
    <row r="29583" s="3161" customFormat="1" ht="12.75"/>
    <row r="29584" s="3161" customFormat="1" ht="12.75"/>
    <row r="29585" s="3161" customFormat="1" ht="12.75"/>
    <row r="29586" s="3161" customFormat="1" ht="12.75"/>
    <row r="29587" s="3161" customFormat="1" ht="12.75"/>
    <row r="29588" s="3161" customFormat="1" ht="12.75"/>
    <row r="29589" s="3161" customFormat="1" ht="12.75"/>
    <row r="29590" s="3161" customFormat="1" ht="12.75"/>
    <row r="29591" s="3161" customFormat="1" ht="12.75"/>
    <row r="29592" s="3161" customFormat="1" ht="12.75"/>
    <row r="29593" s="3161" customFormat="1" ht="12.75"/>
    <row r="29594" s="3161" customFormat="1" ht="12.75"/>
    <row r="29595" s="3161" customFormat="1" ht="12.75"/>
    <row r="29596" s="3161" customFormat="1" ht="12.75"/>
    <row r="29597" s="3161" customFormat="1" ht="12.75"/>
    <row r="29598" s="3161" customFormat="1" ht="12.75"/>
    <row r="29599" s="3161" customFormat="1" ht="12.75"/>
    <row r="29600" s="3161" customFormat="1" ht="12.75"/>
    <row r="29601" s="3161" customFormat="1" ht="12.75"/>
    <row r="29602" s="3161" customFormat="1" ht="12.75"/>
    <row r="29603" s="3161" customFormat="1" ht="12.75"/>
    <row r="29604" s="3161" customFormat="1" ht="12.75"/>
    <row r="29605" s="3161" customFormat="1" ht="12.75"/>
    <row r="29606" s="3161" customFormat="1" ht="12.75"/>
    <row r="29607" s="3161" customFormat="1" ht="12.75"/>
    <row r="29608" s="3161" customFormat="1" ht="12.75"/>
    <row r="29609" s="3161" customFormat="1" ht="12.75"/>
    <row r="29610" s="3161" customFormat="1" ht="12.75"/>
    <row r="29611" s="3161" customFormat="1" ht="12.75"/>
    <row r="29612" s="3161" customFormat="1" ht="12.75"/>
    <row r="29613" s="3161" customFormat="1" ht="12.75"/>
    <row r="29614" s="3161" customFormat="1" ht="12.75"/>
    <row r="29615" s="3161" customFormat="1" ht="12.75"/>
    <row r="29616" s="3161" customFormat="1" ht="12.75"/>
    <row r="29617" s="3161" customFormat="1" ht="12.75"/>
    <row r="29618" s="3161" customFormat="1" ht="12.75"/>
    <row r="29619" s="3161" customFormat="1" ht="12.75"/>
    <row r="29620" s="3161" customFormat="1" ht="12.75"/>
    <row r="29621" s="3161" customFormat="1" ht="12.75"/>
    <row r="29622" s="3161" customFormat="1" ht="12.75"/>
    <row r="29623" s="3161" customFormat="1" ht="12.75"/>
    <row r="29624" s="3161" customFormat="1" ht="12.75"/>
    <row r="29625" s="3161" customFormat="1" ht="12.75"/>
    <row r="29626" s="3161" customFormat="1" ht="12.75"/>
    <row r="29627" s="3161" customFormat="1" ht="12.75"/>
    <row r="29628" s="3161" customFormat="1" ht="12.75"/>
    <row r="29629" s="3161" customFormat="1" ht="12.75"/>
    <row r="29630" s="3161" customFormat="1" ht="12.75"/>
    <row r="29631" s="3161" customFormat="1" ht="12.75"/>
    <row r="29632" s="3161" customFormat="1" ht="12.75"/>
    <row r="29633" s="3161" customFormat="1" ht="12.75"/>
    <row r="29634" s="3161" customFormat="1" ht="12.75"/>
    <row r="29635" s="3161" customFormat="1" ht="12.75"/>
    <row r="29636" s="3161" customFormat="1" ht="12.75"/>
    <row r="29637" s="3161" customFormat="1" ht="12.75"/>
    <row r="29638" s="3161" customFormat="1" ht="12.75"/>
    <row r="29639" s="3161" customFormat="1" ht="12.75"/>
    <row r="29640" s="3161" customFormat="1" ht="12.75"/>
    <row r="29641" s="3161" customFormat="1" ht="12.75"/>
    <row r="29642" s="3161" customFormat="1" ht="12.75"/>
    <row r="29643" s="3161" customFormat="1" ht="12.75"/>
    <row r="29644" s="3161" customFormat="1" ht="12.75"/>
    <row r="29645" s="3161" customFormat="1" ht="12.75"/>
    <row r="29646" s="3161" customFormat="1" ht="12.75"/>
    <row r="29647" s="3161" customFormat="1" ht="12.75"/>
    <row r="29648" s="3161" customFormat="1" ht="12.75"/>
    <row r="29649" s="3161" customFormat="1" ht="12.75"/>
    <row r="29650" s="3161" customFormat="1" ht="12.75"/>
    <row r="29651" s="3161" customFormat="1" ht="12.75"/>
    <row r="29652" s="3161" customFormat="1" ht="12.75"/>
    <row r="29653" s="3161" customFormat="1" ht="12.75"/>
    <row r="29654" s="3161" customFormat="1" ht="12.75"/>
    <row r="29655" s="3161" customFormat="1" ht="12.75"/>
    <row r="29656" s="3161" customFormat="1" ht="12.75"/>
    <row r="29657" s="3161" customFormat="1" ht="12.75"/>
    <row r="29658" s="3161" customFormat="1" ht="12.75"/>
    <row r="29659" s="3161" customFormat="1" ht="12.75"/>
    <row r="29660" s="3161" customFormat="1" ht="12.75"/>
    <row r="29661" s="3161" customFormat="1" ht="12.75"/>
    <row r="29662" s="3161" customFormat="1" ht="12.75"/>
    <row r="29663" s="3161" customFormat="1" ht="12.75"/>
    <row r="29664" s="3161" customFormat="1" ht="12.75"/>
    <row r="29665" s="3161" customFormat="1" ht="12.75"/>
    <row r="29666" s="3161" customFormat="1" ht="12.75"/>
    <row r="29667" s="3161" customFormat="1" ht="12.75"/>
    <row r="29668" s="3161" customFormat="1" ht="12.75"/>
    <row r="29669" s="3161" customFormat="1" ht="12.75"/>
    <row r="29670" s="3161" customFormat="1" ht="12.75"/>
    <row r="29671" s="3161" customFormat="1" ht="12.75"/>
    <row r="29672" s="3161" customFormat="1" ht="12.75"/>
    <row r="29673" s="3161" customFormat="1" ht="12.75"/>
    <row r="29674" s="3161" customFormat="1" ht="12.75"/>
    <row r="29675" s="3161" customFormat="1" ht="12.75"/>
    <row r="29676" s="3161" customFormat="1" ht="12.75"/>
    <row r="29677" s="3161" customFormat="1" ht="12.75"/>
    <row r="29678" s="3161" customFormat="1" ht="12.75"/>
    <row r="29679" s="3161" customFormat="1" ht="12.75"/>
    <row r="29680" s="3161" customFormat="1" ht="12.75"/>
    <row r="29681" s="3161" customFormat="1" ht="12.75"/>
    <row r="29682" s="3161" customFormat="1" ht="12.75"/>
    <row r="29683" s="3161" customFormat="1" ht="12.75"/>
    <row r="29684" s="3161" customFormat="1" ht="12.75"/>
    <row r="29685" s="3161" customFormat="1" ht="12.75"/>
    <row r="29686" s="3161" customFormat="1" ht="12.75"/>
    <row r="29687" s="3161" customFormat="1" ht="12.75"/>
    <row r="29688" s="3161" customFormat="1" ht="12.75"/>
    <row r="29689" s="3161" customFormat="1" ht="12.75"/>
    <row r="29690" s="3161" customFormat="1" ht="12.75"/>
    <row r="29691" s="3161" customFormat="1" ht="12.75"/>
    <row r="29692" s="3161" customFormat="1" ht="12.75"/>
    <row r="29693" s="3161" customFormat="1" ht="12.75"/>
    <row r="29694" s="3161" customFormat="1" ht="12.75"/>
    <row r="29695" s="3161" customFormat="1" ht="12.75"/>
    <row r="29696" s="3161" customFormat="1" ht="12.75"/>
    <row r="29697" s="3161" customFormat="1" ht="12.75"/>
    <row r="29698" s="3161" customFormat="1" ht="12.75"/>
    <row r="29699" s="3161" customFormat="1" ht="12.75"/>
    <row r="29700" s="3161" customFormat="1" ht="12.75"/>
    <row r="29701" s="3161" customFormat="1" ht="12.75"/>
    <row r="29702" s="3161" customFormat="1" ht="12.75"/>
    <row r="29703" s="3161" customFormat="1" ht="12.75"/>
    <row r="29704" s="3161" customFormat="1" ht="12.75"/>
    <row r="29705" s="3161" customFormat="1" ht="12.75"/>
    <row r="29706" s="3161" customFormat="1" ht="12.75"/>
    <row r="29707" s="3161" customFormat="1" ht="12.75"/>
    <row r="29708" s="3161" customFormat="1" ht="12.75"/>
    <row r="29709" s="3161" customFormat="1" ht="12.75"/>
    <row r="29710" s="3161" customFormat="1" ht="12.75"/>
    <row r="29711" s="3161" customFormat="1" ht="12.75"/>
    <row r="29712" s="3161" customFormat="1" ht="12.75"/>
    <row r="29713" s="3161" customFormat="1" ht="12.75"/>
    <row r="29714" s="3161" customFormat="1" ht="12.75"/>
    <row r="29715" s="3161" customFormat="1" ht="12.75"/>
    <row r="29716" s="3161" customFormat="1" ht="12.75"/>
    <row r="29717" s="3161" customFormat="1" ht="12.75"/>
    <row r="29718" s="3161" customFormat="1" ht="12.75"/>
    <row r="29719" s="3161" customFormat="1" ht="12.75"/>
    <row r="29720" s="3161" customFormat="1" ht="12.75"/>
    <row r="29721" s="3161" customFormat="1" ht="12.75"/>
    <row r="29722" s="3161" customFormat="1" ht="12.75"/>
    <row r="29723" s="3161" customFormat="1" ht="12.75"/>
    <row r="29724" s="3161" customFormat="1" ht="12.75"/>
    <row r="29725" s="3161" customFormat="1" ht="12.75"/>
    <row r="29726" s="3161" customFormat="1" ht="12.75"/>
    <row r="29727" s="3161" customFormat="1" ht="12.75"/>
    <row r="29728" s="3161" customFormat="1" ht="12.75"/>
    <row r="29729" s="3161" customFormat="1" ht="12.75"/>
    <row r="29730" s="3161" customFormat="1" ht="12.75"/>
    <row r="29731" s="3161" customFormat="1" ht="12.75"/>
    <row r="29732" s="3161" customFormat="1" ht="12.75"/>
    <row r="29733" s="3161" customFormat="1" ht="12.75"/>
    <row r="29734" s="3161" customFormat="1" ht="12.75"/>
    <row r="29735" s="3161" customFormat="1" ht="12.75"/>
    <row r="29736" s="3161" customFormat="1" ht="12.75"/>
    <row r="29737" s="3161" customFormat="1" ht="12.75"/>
    <row r="29738" s="3161" customFormat="1" ht="12.75"/>
    <row r="29739" s="3161" customFormat="1" ht="12.75"/>
    <row r="29740" s="3161" customFormat="1" ht="12.75"/>
    <row r="29741" s="3161" customFormat="1" ht="12.75"/>
    <row r="29742" s="3161" customFormat="1" ht="12.75"/>
    <row r="29743" s="3161" customFormat="1" ht="12.75"/>
    <row r="29744" s="3161" customFormat="1" ht="12.75"/>
    <row r="29745" s="3161" customFormat="1" ht="12.75"/>
    <row r="29746" s="3161" customFormat="1" ht="12.75"/>
    <row r="29747" s="3161" customFormat="1" ht="12.75"/>
    <row r="29748" s="3161" customFormat="1" ht="12.75"/>
    <row r="29749" s="3161" customFormat="1" ht="12.75"/>
    <row r="29750" s="3161" customFormat="1" ht="12.75"/>
    <row r="29751" s="3161" customFormat="1" ht="12.75"/>
    <row r="29752" s="3161" customFormat="1" ht="12.75"/>
    <row r="29753" s="3161" customFormat="1" ht="12.75"/>
    <row r="29754" s="3161" customFormat="1" ht="12.75"/>
    <row r="29755" s="3161" customFormat="1" ht="12.75"/>
    <row r="29756" s="3161" customFormat="1" ht="12.75"/>
    <row r="29757" s="3161" customFormat="1" ht="12.75"/>
    <row r="29758" s="3161" customFormat="1" ht="12.75"/>
    <row r="29759" s="3161" customFormat="1" ht="12.75"/>
    <row r="29760" s="3161" customFormat="1" ht="12.75"/>
    <row r="29761" s="3161" customFormat="1" ht="12.75"/>
    <row r="29762" s="3161" customFormat="1" ht="12.75"/>
    <row r="29763" s="3161" customFormat="1" ht="12.75"/>
    <row r="29764" s="3161" customFormat="1" ht="12.75"/>
    <row r="29765" s="3161" customFormat="1" ht="12.75"/>
    <row r="29766" s="3161" customFormat="1" ht="12.75"/>
    <row r="29767" s="3161" customFormat="1" ht="12.75"/>
    <row r="29768" s="3161" customFormat="1" ht="12.75"/>
    <row r="29769" s="3161" customFormat="1" ht="12.75"/>
    <row r="29770" s="3161" customFormat="1" ht="12.75"/>
    <row r="29771" s="3161" customFormat="1" ht="12.75"/>
    <row r="29772" s="3161" customFormat="1" ht="12.75"/>
    <row r="29773" s="3161" customFormat="1" ht="12.75"/>
    <row r="29774" s="3161" customFormat="1" ht="12.75"/>
    <row r="29775" s="3161" customFormat="1" ht="12.75"/>
    <row r="29776" s="3161" customFormat="1" ht="12.75"/>
    <row r="29777" s="3161" customFormat="1" ht="12.75"/>
    <row r="29778" s="3161" customFormat="1" ht="12.75"/>
    <row r="29779" s="3161" customFormat="1" ht="12.75"/>
    <row r="29780" s="3161" customFormat="1" ht="12.75"/>
    <row r="29781" s="3161" customFormat="1" ht="12.75"/>
    <row r="29782" s="3161" customFormat="1" ht="12.75"/>
    <row r="29783" s="3161" customFormat="1" ht="12.75"/>
    <row r="29784" s="3161" customFormat="1" ht="12.75"/>
    <row r="29785" s="3161" customFormat="1" ht="12.75"/>
    <row r="29786" s="3161" customFormat="1" ht="12.75"/>
    <row r="29787" s="3161" customFormat="1" ht="12.75"/>
    <row r="29788" s="3161" customFormat="1" ht="12.75"/>
    <row r="29789" s="3161" customFormat="1" ht="12.75"/>
    <row r="29790" s="3161" customFormat="1" ht="12.75"/>
    <row r="29791" s="3161" customFormat="1" ht="12.75"/>
    <row r="29792" s="3161" customFormat="1" ht="12.75"/>
    <row r="29793" s="3161" customFormat="1" ht="12.75"/>
    <row r="29794" s="3161" customFormat="1" ht="12.75"/>
    <row r="29795" s="3161" customFormat="1" ht="12.75"/>
    <row r="29796" s="3161" customFormat="1" ht="12.75"/>
    <row r="29797" s="3161" customFormat="1" ht="12.75"/>
    <row r="29798" s="3161" customFormat="1" ht="12.75"/>
    <row r="29799" s="3161" customFormat="1" ht="12.75"/>
    <row r="29800" s="3161" customFormat="1" ht="12.75"/>
    <row r="29801" s="3161" customFormat="1" ht="12.75"/>
    <row r="29802" s="3161" customFormat="1" ht="12.75"/>
    <row r="29803" s="3161" customFormat="1" ht="12.75"/>
    <row r="29804" s="3161" customFormat="1" ht="12.75"/>
    <row r="29805" s="3161" customFormat="1" ht="12.75"/>
    <row r="29806" s="3161" customFormat="1" ht="12.75"/>
    <row r="29807" s="3161" customFormat="1" ht="12.75"/>
    <row r="29808" s="3161" customFormat="1" ht="12.75"/>
    <row r="29809" s="3161" customFormat="1" ht="12.75"/>
    <row r="29810" s="3161" customFormat="1" ht="12.75"/>
    <row r="29811" s="3161" customFormat="1" ht="12.75"/>
    <row r="29812" s="3161" customFormat="1" ht="12.75"/>
    <row r="29813" s="3161" customFormat="1" ht="12.75"/>
    <row r="29814" s="3161" customFormat="1" ht="12.75"/>
    <row r="29815" s="3161" customFormat="1" ht="12.75"/>
    <row r="29816" s="3161" customFormat="1" ht="12.75"/>
    <row r="29817" s="3161" customFormat="1" ht="12.75"/>
    <row r="29818" s="3161" customFormat="1" ht="12.75"/>
    <row r="29819" s="3161" customFormat="1" ht="12.75"/>
    <row r="29820" s="3161" customFormat="1" ht="12.75"/>
    <row r="29821" s="3161" customFormat="1" ht="12.75"/>
    <row r="29822" s="3161" customFormat="1" ht="12.75"/>
    <row r="29823" s="3161" customFormat="1" ht="12.75"/>
    <row r="29824" s="3161" customFormat="1" ht="12.75"/>
    <row r="29825" s="3161" customFormat="1" ht="12.75"/>
    <row r="29826" s="3161" customFormat="1" ht="12.75"/>
    <row r="29827" s="3161" customFormat="1" ht="12.75"/>
    <row r="29828" s="3161" customFormat="1" ht="12.75"/>
    <row r="29829" s="3161" customFormat="1" ht="12.75"/>
    <row r="29830" s="3161" customFormat="1" ht="12.75"/>
    <row r="29831" s="3161" customFormat="1" ht="12.75"/>
    <row r="29832" s="3161" customFormat="1" ht="12.75"/>
    <row r="29833" s="3161" customFormat="1" ht="12.75"/>
    <row r="29834" s="3161" customFormat="1" ht="12.75"/>
    <row r="29835" s="3161" customFormat="1" ht="12.75"/>
    <row r="29836" s="3161" customFormat="1" ht="12.75"/>
    <row r="29837" s="3161" customFormat="1" ht="12.75"/>
    <row r="29838" s="3161" customFormat="1" ht="12.75"/>
    <row r="29839" s="3161" customFormat="1" ht="12.75"/>
    <row r="29840" s="3161" customFormat="1" ht="12.75"/>
    <row r="29841" s="3161" customFormat="1" ht="12.75"/>
    <row r="29842" s="3161" customFormat="1" ht="12.75"/>
    <row r="29843" s="3161" customFormat="1" ht="12.75"/>
    <row r="29844" s="3161" customFormat="1" ht="12.75"/>
    <row r="29845" s="3161" customFormat="1" ht="12.75"/>
    <row r="29846" s="3161" customFormat="1" ht="12.75"/>
    <row r="29847" s="3161" customFormat="1" ht="12.75"/>
    <row r="29848" s="3161" customFormat="1" ht="12.75"/>
    <row r="29849" s="3161" customFormat="1" ht="12.75"/>
    <row r="29850" s="3161" customFormat="1" ht="12.75"/>
    <row r="29851" s="3161" customFormat="1" ht="12.75"/>
    <row r="29852" s="3161" customFormat="1" ht="12.75"/>
    <row r="29853" s="3161" customFormat="1" ht="12.75"/>
    <row r="29854" s="3161" customFormat="1" ht="12.75"/>
    <row r="29855" s="3161" customFormat="1" ht="12.75"/>
    <row r="29856" s="3161" customFormat="1" ht="12.75"/>
    <row r="29857" s="3161" customFormat="1" ht="12.75"/>
    <row r="29858" s="3161" customFormat="1" ht="12.75"/>
    <row r="29859" s="3161" customFormat="1" ht="12.75"/>
    <row r="29860" s="3161" customFormat="1" ht="12.75"/>
    <row r="29861" s="3161" customFormat="1" ht="12.75"/>
    <row r="29862" s="3161" customFormat="1" ht="12.75"/>
    <row r="29863" s="3161" customFormat="1" ht="12.75"/>
    <row r="29864" s="3161" customFormat="1" ht="12.75"/>
    <row r="29865" s="3161" customFormat="1" ht="12.75"/>
    <row r="29866" s="3161" customFormat="1" ht="12.75"/>
    <row r="29867" s="3161" customFormat="1" ht="12.75"/>
    <row r="29868" s="3161" customFormat="1" ht="12.75"/>
    <row r="29869" s="3161" customFormat="1" ht="12.75"/>
    <row r="29870" s="3161" customFormat="1" ht="12.75"/>
    <row r="29871" s="3161" customFormat="1" ht="12.75"/>
    <row r="29872" s="3161" customFormat="1" ht="12.75"/>
    <row r="29873" s="3161" customFormat="1" ht="12.75"/>
    <row r="29874" s="3161" customFormat="1" ht="12.75"/>
    <row r="29875" s="3161" customFormat="1" ht="12.75"/>
    <row r="29876" s="3161" customFormat="1" ht="12.75"/>
    <row r="29877" s="3161" customFormat="1" ht="12.75"/>
    <row r="29878" s="3161" customFormat="1" ht="12.75"/>
    <row r="29879" s="3161" customFormat="1" ht="12.75"/>
    <row r="29880" s="3161" customFormat="1" ht="12.75"/>
    <row r="29881" s="3161" customFormat="1" ht="12.75"/>
    <row r="29882" s="3161" customFormat="1" ht="12.75"/>
    <row r="29883" s="3161" customFormat="1" ht="12.75"/>
    <row r="29884" s="3161" customFormat="1" ht="12.75"/>
    <row r="29885" s="3161" customFormat="1" ht="12.75"/>
    <row r="29886" s="3161" customFormat="1" ht="12.75"/>
    <row r="29887" s="3161" customFormat="1" ht="12.75"/>
    <row r="29888" s="3161" customFormat="1" ht="12.75"/>
    <row r="29889" s="3161" customFormat="1" ht="12.75"/>
    <row r="29890" s="3161" customFormat="1" ht="12.75"/>
    <row r="29891" s="3161" customFormat="1" ht="12.75"/>
    <row r="29892" s="3161" customFormat="1" ht="12.75"/>
    <row r="29893" s="3161" customFormat="1" ht="12.75"/>
    <row r="29894" s="3161" customFormat="1" ht="12.75"/>
    <row r="29895" s="3161" customFormat="1" ht="12.75"/>
    <row r="29896" s="3161" customFormat="1" ht="12.75"/>
    <row r="29897" s="3161" customFormat="1" ht="12.75"/>
    <row r="29898" s="3161" customFormat="1" ht="12.75"/>
    <row r="29899" s="3161" customFormat="1" ht="12.75"/>
    <row r="29900" s="3161" customFormat="1" ht="12.75"/>
    <row r="29901" s="3161" customFormat="1" ht="12.75"/>
    <row r="29902" s="3161" customFormat="1" ht="12.75"/>
    <row r="29903" s="3161" customFormat="1" ht="12.75"/>
    <row r="29904" s="3161" customFormat="1" ht="12.75"/>
    <row r="29905" s="3161" customFormat="1" ht="12.75"/>
    <row r="29906" s="3161" customFormat="1" ht="12.75"/>
    <row r="29907" s="3161" customFormat="1" ht="12.75"/>
    <row r="29908" s="3161" customFormat="1" ht="12.75"/>
    <row r="29909" s="3161" customFormat="1" ht="12.75"/>
    <row r="29910" s="3161" customFormat="1" ht="12.75"/>
    <row r="29911" s="3161" customFormat="1" ht="12.75"/>
    <row r="29912" s="3161" customFormat="1" ht="12.75"/>
    <row r="29913" s="3161" customFormat="1" ht="12.75"/>
    <row r="29914" s="3161" customFormat="1" ht="12.75"/>
    <row r="29915" s="3161" customFormat="1" ht="12.75"/>
    <row r="29916" s="3161" customFormat="1" ht="12.75"/>
    <row r="29917" s="3161" customFormat="1" ht="12.75"/>
    <row r="29918" s="3161" customFormat="1" ht="12.75"/>
    <row r="29919" s="3161" customFormat="1" ht="12.75"/>
    <row r="29920" s="3161" customFormat="1" ht="12.75"/>
    <row r="29921" s="3161" customFormat="1" ht="12.75"/>
    <row r="29922" s="3161" customFormat="1" ht="12.75"/>
    <row r="29923" s="3161" customFormat="1" ht="12.75"/>
    <row r="29924" s="3161" customFormat="1" ht="12.75"/>
    <row r="29925" s="3161" customFormat="1" ht="12.75"/>
    <row r="29926" s="3161" customFormat="1" ht="12.75"/>
    <row r="29927" s="3161" customFormat="1" ht="12.75"/>
    <row r="29928" s="3161" customFormat="1" ht="12.75"/>
    <row r="29929" s="3161" customFormat="1" ht="12.75"/>
    <row r="29930" s="3161" customFormat="1" ht="12.75"/>
    <row r="29931" s="3161" customFormat="1" ht="12.75"/>
    <row r="29932" s="3161" customFormat="1" ht="12.75"/>
    <row r="29933" s="3161" customFormat="1" ht="12.75"/>
    <row r="29934" s="3161" customFormat="1" ht="12.75"/>
    <row r="29935" s="3161" customFormat="1" ht="12.75"/>
    <row r="29936" s="3161" customFormat="1" ht="12.75"/>
    <row r="29937" s="3161" customFormat="1" ht="12.75"/>
    <row r="29938" s="3161" customFormat="1" ht="12.75"/>
    <row r="29939" s="3161" customFormat="1" ht="12.75"/>
    <row r="29940" s="3161" customFormat="1" ht="12.75"/>
    <row r="29941" s="3161" customFormat="1" ht="12.75"/>
    <row r="29942" s="3161" customFormat="1" ht="12.75"/>
    <row r="29943" s="3161" customFormat="1" ht="12.75"/>
    <row r="29944" s="3161" customFormat="1" ht="12.75"/>
    <row r="29945" s="3161" customFormat="1" ht="12.75"/>
    <row r="29946" s="3161" customFormat="1" ht="12.75"/>
    <row r="29947" s="3161" customFormat="1" ht="12.75"/>
    <row r="29948" s="3161" customFormat="1" ht="12.75"/>
    <row r="29949" s="3161" customFormat="1" ht="12.75"/>
    <row r="29950" s="3161" customFormat="1" ht="12.75"/>
    <row r="29951" s="3161" customFormat="1" ht="12.75"/>
    <row r="29952" s="3161" customFormat="1" ht="12.75"/>
    <row r="29953" s="3161" customFormat="1" ht="12.75"/>
    <row r="29954" s="3161" customFormat="1" ht="12.75"/>
    <row r="29955" s="3161" customFormat="1" ht="12.75"/>
    <row r="29956" s="3161" customFormat="1" ht="12.75"/>
    <row r="29957" s="3161" customFormat="1" ht="12.75"/>
    <row r="29958" s="3161" customFormat="1" ht="12.75"/>
    <row r="29959" s="3161" customFormat="1" ht="12.75"/>
    <row r="29960" s="3161" customFormat="1" ht="12.75"/>
    <row r="29961" s="3161" customFormat="1" ht="12.75"/>
    <row r="29962" s="3161" customFormat="1" ht="12.75"/>
    <row r="29963" s="3161" customFormat="1" ht="12.75"/>
    <row r="29964" s="3161" customFormat="1" ht="12.75"/>
    <row r="29965" s="3161" customFormat="1" ht="12.75"/>
    <row r="29966" s="3161" customFormat="1" ht="12.75"/>
    <row r="29967" s="3161" customFormat="1" ht="12.75"/>
    <row r="29968" s="3161" customFormat="1" ht="12.75"/>
    <row r="29969" s="3161" customFormat="1" ht="12.75"/>
    <row r="29970" s="3161" customFormat="1" ht="12.75"/>
    <row r="29971" s="3161" customFormat="1" ht="12.75"/>
    <row r="29972" s="3161" customFormat="1" ht="12.75"/>
    <row r="29973" s="3161" customFormat="1" ht="12.75"/>
    <row r="29974" s="3161" customFormat="1" ht="12.75"/>
    <row r="29975" s="3161" customFormat="1" ht="12.75"/>
    <row r="29976" s="3161" customFormat="1" ht="12.75"/>
    <row r="29977" s="3161" customFormat="1" ht="12.75"/>
    <row r="29978" s="3161" customFormat="1" ht="12.75"/>
    <row r="29979" s="3161" customFormat="1" ht="12.75"/>
    <row r="29980" s="3161" customFormat="1" ht="12.75"/>
    <row r="29981" s="3161" customFormat="1" ht="12.75"/>
    <row r="29982" s="3161" customFormat="1" ht="12.75"/>
    <row r="29983" s="3161" customFormat="1" ht="12.75"/>
    <row r="29984" s="3161" customFormat="1" ht="12.75"/>
    <row r="29985" s="3161" customFormat="1" ht="12.75"/>
    <row r="29986" s="3161" customFormat="1" ht="12.75"/>
    <row r="29987" s="3161" customFormat="1" ht="12.75"/>
    <row r="29988" s="3161" customFormat="1" ht="12.75"/>
    <row r="29989" s="3161" customFormat="1" ht="12.75"/>
    <row r="29990" s="3161" customFormat="1" ht="12.75"/>
    <row r="29991" s="3161" customFormat="1" ht="12.75"/>
    <row r="29992" s="3161" customFormat="1" ht="12.75"/>
    <row r="29993" s="3161" customFormat="1" ht="12.75"/>
    <row r="29994" s="3161" customFormat="1" ht="12.75"/>
    <row r="29995" s="3161" customFormat="1" ht="12.75"/>
    <row r="29996" s="3161" customFormat="1" ht="12.75"/>
    <row r="29997" s="3161" customFormat="1" ht="12.75"/>
    <row r="29998" s="3161" customFormat="1" ht="12.75"/>
    <row r="29999" s="3161" customFormat="1" ht="12.75"/>
    <row r="30000" s="3161" customFormat="1" ht="12.75"/>
    <row r="30001" s="3161" customFormat="1" ht="12.75"/>
    <row r="30002" s="3161" customFormat="1" ht="12.75"/>
    <row r="30003" s="3161" customFormat="1" ht="12.75"/>
    <row r="30004" s="3161" customFormat="1" ht="12.75"/>
    <row r="30005" s="3161" customFormat="1" ht="12.75"/>
    <row r="30006" s="3161" customFormat="1" ht="12.75"/>
    <row r="30007" s="3161" customFormat="1" ht="12.75"/>
    <row r="30008" s="3161" customFormat="1" ht="12.75"/>
    <row r="30009" s="3161" customFormat="1" ht="12.75"/>
    <row r="30010" s="3161" customFormat="1" ht="12.75"/>
    <row r="30011" s="3161" customFormat="1" ht="12.75"/>
    <row r="30012" s="3161" customFormat="1" ht="12.75"/>
    <row r="30013" s="3161" customFormat="1" ht="12.75"/>
    <row r="30014" s="3161" customFormat="1" ht="12.75"/>
    <row r="30015" s="3161" customFormat="1" ht="12.75"/>
    <row r="30016" s="3161" customFormat="1" ht="12.75"/>
    <row r="30017" s="3161" customFormat="1" ht="12.75"/>
    <row r="30018" s="3161" customFormat="1" ht="12.75"/>
    <row r="30019" s="3161" customFormat="1" ht="12.75"/>
    <row r="30020" s="3161" customFormat="1" ht="12.75"/>
    <row r="30021" s="3161" customFormat="1" ht="12.75"/>
    <row r="30022" s="3161" customFormat="1" ht="12.75"/>
    <row r="30023" s="3161" customFormat="1" ht="12.75"/>
    <row r="30024" s="3161" customFormat="1" ht="12.75"/>
    <row r="30025" s="3161" customFormat="1" ht="12.75"/>
    <row r="30026" s="3161" customFormat="1" ht="12.75"/>
    <row r="30027" s="3161" customFormat="1" ht="12.75"/>
    <row r="30028" s="3161" customFormat="1" ht="12.75"/>
    <row r="30029" s="3161" customFormat="1" ht="12.75"/>
    <row r="30030" s="3161" customFormat="1" ht="12.75"/>
    <row r="30031" s="3161" customFormat="1" ht="12.75"/>
    <row r="30032" s="3161" customFormat="1" ht="12.75"/>
    <row r="30033" s="3161" customFormat="1" ht="12.75"/>
    <row r="30034" s="3161" customFormat="1" ht="12.75"/>
    <row r="30035" s="3161" customFormat="1" ht="12.75"/>
    <row r="30036" s="3161" customFormat="1" ht="12.75"/>
    <row r="30037" s="3161" customFormat="1" ht="12.75"/>
    <row r="30038" s="3161" customFormat="1" ht="12.75"/>
    <row r="30039" s="3161" customFormat="1" ht="12.75"/>
    <row r="30040" s="3161" customFormat="1" ht="12.75"/>
    <row r="30041" s="3161" customFormat="1" ht="12.75"/>
    <row r="30042" s="3161" customFormat="1" ht="12.75"/>
    <row r="30043" s="3161" customFormat="1" ht="12.75"/>
    <row r="30044" s="3161" customFormat="1" ht="12.75"/>
    <row r="30045" s="3161" customFormat="1" ht="12.75"/>
    <row r="30046" s="3161" customFormat="1" ht="12.75"/>
    <row r="30047" s="3161" customFormat="1" ht="12.75"/>
    <row r="30048" s="3161" customFormat="1" ht="12.75"/>
    <row r="30049" s="3161" customFormat="1" ht="12.75"/>
    <row r="30050" s="3161" customFormat="1" ht="12.75"/>
    <row r="30051" s="3161" customFormat="1" ht="12.75"/>
    <row r="30052" s="3161" customFormat="1" ht="12.75"/>
    <row r="30053" s="3161" customFormat="1" ht="12.75"/>
    <row r="30054" s="3161" customFormat="1" ht="12.75"/>
    <row r="30055" s="3161" customFormat="1" ht="12.75"/>
    <row r="30056" s="3161" customFormat="1" ht="12.75"/>
    <row r="30057" s="3161" customFormat="1" ht="12.75"/>
    <row r="30058" s="3161" customFormat="1" ht="12.75"/>
    <row r="30059" s="3161" customFormat="1" ht="12.75"/>
    <row r="30060" s="3161" customFormat="1" ht="12.75"/>
    <row r="30061" s="3161" customFormat="1" ht="12.75"/>
    <row r="30062" s="3161" customFormat="1" ht="12.75"/>
    <row r="30063" s="3161" customFormat="1" ht="12.75"/>
    <row r="30064" s="3161" customFormat="1" ht="12.75"/>
    <row r="30065" s="3161" customFormat="1" ht="12.75"/>
    <row r="30066" s="3161" customFormat="1" ht="12.75"/>
    <row r="30067" s="3161" customFormat="1" ht="12.75"/>
    <row r="30068" s="3161" customFormat="1" ht="12.75"/>
    <row r="30069" s="3161" customFormat="1" ht="12.75"/>
    <row r="30070" s="3161" customFormat="1" ht="12.75"/>
    <row r="30071" s="3161" customFormat="1" ht="12.75"/>
    <row r="30072" s="3161" customFormat="1" ht="12.75"/>
    <row r="30073" s="3161" customFormat="1" ht="12.75"/>
    <row r="30074" s="3161" customFormat="1" ht="12.75"/>
    <row r="30075" s="3161" customFormat="1" ht="12.75"/>
    <row r="30076" s="3161" customFormat="1" ht="12.75"/>
    <row r="30077" s="3161" customFormat="1" ht="12.75"/>
    <row r="30078" s="3161" customFormat="1" ht="12.75"/>
    <row r="30079" s="3161" customFormat="1" ht="12.75"/>
    <row r="30080" s="3161" customFormat="1" ht="12.75"/>
    <row r="30081" s="3161" customFormat="1" ht="12.75"/>
    <row r="30082" s="3161" customFormat="1" ht="12.75"/>
    <row r="30083" s="3161" customFormat="1" ht="12.75"/>
    <row r="30084" s="3161" customFormat="1" ht="12.75"/>
    <row r="30085" s="3161" customFormat="1" ht="12.75"/>
    <row r="30086" s="3161" customFormat="1" ht="12.75"/>
    <row r="30087" s="3161" customFormat="1" ht="12.75"/>
    <row r="30088" s="3161" customFormat="1" ht="12.75"/>
    <row r="30089" s="3161" customFormat="1" ht="12.75"/>
    <row r="30090" s="3161" customFormat="1" ht="12.75"/>
    <row r="30091" s="3161" customFormat="1" ht="12.75"/>
    <row r="30092" s="3161" customFormat="1" ht="12.75"/>
    <row r="30093" s="3161" customFormat="1" ht="12.75"/>
    <row r="30094" s="3161" customFormat="1" ht="12.75"/>
    <row r="30095" s="3161" customFormat="1" ht="12.75"/>
    <row r="30096" s="3161" customFormat="1" ht="12.75"/>
    <row r="30097" s="3161" customFormat="1" ht="12.75"/>
    <row r="30098" s="3161" customFormat="1" ht="12.75"/>
    <row r="30099" s="3161" customFormat="1" ht="12.75"/>
    <row r="30100" s="3161" customFormat="1" ht="12.75"/>
    <row r="30101" s="3161" customFormat="1" ht="12.75"/>
    <row r="30102" s="3161" customFormat="1" ht="12.75"/>
    <row r="30103" s="3161" customFormat="1" ht="12.75"/>
    <row r="30104" s="3161" customFormat="1" ht="12.75"/>
    <row r="30105" s="3161" customFormat="1" ht="12.75"/>
    <row r="30106" s="3161" customFormat="1" ht="12.75"/>
    <row r="30107" s="3161" customFormat="1" ht="12.75"/>
    <row r="30108" s="3161" customFormat="1" ht="12.75"/>
    <row r="30109" s="3161" customFormat="1" ht="12.75"/>
    <row r="30110" s="3161" customFormat="1" ht="12.75"/>
    <row r="30111" s="3161" customFormat="1" ht="12.75"/>
    <row r="30112" s="3161" customFormat="1" ht="12.75"/>
    <row r="30113" s="3161" customFormat="1" ht="12.75"/>
    <row r="30114" s="3161" customFormat="1" ht="12.75"/>
    <row r="30115" s="3161" customFormat="1" ht="12.75"/>
    <row r="30116" s="3161" customFormat="1" ht="12.75"/>
    <row r="30117" s="3161" customFormat="1" ht="12.75"/>
    <row r="30118" s="3161" customFormat="1" ht="12.75"/>
    <row r="30119" s="3161" customFormat="1" ht="12.75"/>
    <row r="30120" s="3161" customFormat="1" ht="12.75"/>
    <row r="30121" s="3161" customFormat="1" ht="12.75"/>
    <row r="30122" s="3161" customFormat="1" ht="12.75"/>
    <row r="30123" s="3161" customFormat="1" ht="12.75"/>
    <row r="30124" s="3161" customFormat="1" ht="12.75"/>
    <row r="30125" s="3161" customFormat="1" ht="12.75"/>
    <row r="30126" s="3161" customFormat="1" ht="12.75"/>
    <row r="30127" s="3161" customFormat="1" ht="12.75"/>
    <row r="30128" s="3161" customFormat="1" ht="12.75"/>
    <row r="30129" s="3161" customFormat="1" ht="12.75"/>
    <row r="30130" s="3161" customFormat="1" ht="12.75"/>
    <row r="30131" s="3161" customFormat="1" ht="12.75"/>
    <row r="30132" s="3161" customFormat="1" ht="12.75"/>
    <row r="30133" s="3161" customFormat="1" ht="12.75"/>
    <row r="30134" s="3161" customFormat="1" ht="12.75"/>
    <row r="30135" s="3161" customFormat="1" ht="12.75"/>
    <row r="30136" s="3161" customFormat="1" ht="12.75"/>
    <row r="30137" s="3161" customFormat="1" ht="12.75"/>
    <row r="30138" s="3161" customFormat="1" ht="12.75"/>
    <row r="30139" s="3161" customFormat="1" ht="12.75"/>
    <row r="30140" s="3161" customFormat="1" ht="12.75"/>
    <row r="30141" s="3161" customFormat="1" ht="12.75"/>
    <row r="30142" s="3161" customFormat="1" ht="12.75"/>
    <row r="30143" s="3161" customFormat="1" ht="12.75"/>
    <row r="30144" s="3161" customFormat="1" ht="12.75"/>
    <row r="30145" s="3161" customFormat="1" ht="12.75"/>
    <row r="30146" s="3161" customFormat="1" ht="12.75"/>
    <row r="30147" s="3161" customFormat="1" ht="12.75"/>
    <row r="30148" s="3161" customFormat="1" ht="12.75"/>
    <row r="30149" s="3161" customFormat="1" ht="12.75"/>
    <row r="30150" s="3161" customFormat="1" ht="12.75"/>
    <row r="30151" s="3161" customFormat="1" ht="12.75"/>
    <row r="30152" s="3161" customFormat="1" ht="12.75"/>
    <row r="30153" s="3161" customFormat="1" ht="12.75"/>
    <row r="30154" s="3161" customFormat="1" ht="12.75"/>
    <row r="30155" s="3161" customFormat="1" ht="12.75"/>
    <row r="30156" s="3161" customFormat="1" ht="12.75"/>
    <row r="30157" s="3161" customFormat="1" ht="12.75"/>
    <row r="30158" s="3161" customFormat="1" ht="12.75"/>
    <row r="30159" s="3161" customFormat="1" ht="12.75"/>
    <row r="30160" s="3161" customFormat="1" ht="12.75"/>
    <row r="30161" s="3161" customFormat="1" ht="12.75"/>
    <row r="30162" s="3161" customFormat="1" ht="12.75"/>
    <row r="30163" s="3161" customFormat="1" ht="12.75"/>
    <row r="30164" s="3161" customFormat="1" ht="12.75"/>
    <row r="30165" s="3161" customFormat="1" ht="12.75"/>
    <row r="30166" s="3161" customFormat="1" ht="12.75"/>
    <row r="30167" s="3161" customFormat="1" ht="12.75"/>
    <row r="30168" s="3161" customFormat="1" ht="12.75"/>
    <row r="30169" s="3161" customFormat="1" ht="12.75"/>
    <row r="30170" s="3161" customFormat="1" ht="12.75"/>
    <row r="30171" s="3161" customFormat="1" ht="12.75"/>
    <row r="30172" s="3161" customFormat="1" ht="12.75"/>
    <row r="30173" s="3161" customFormat="1" ht="12.75"/>
    <row r="30174" s="3161" customFormat="1" ht="12.75"/>
    <row r="30175" s="3161" customFormat="1" ht="12.75"/>
    <row r="30176" s="3161" customFormat="1" ht="12.75"/>
    <row r="30177" s="3161" customFormat="1" ht="12.75"/>
    <row r="30178" s="3161" customFormat="1" ht="12.75"/>
    <row r="30179" s="3161" customFormat="1" ht="12.75"/>
    <row r="30180" s="3161" customFormat="1" ht="12.75"/>
    <row r="30181" s="3161" customFormat="1" ht="12.75"/>
    <row r="30182" s="3161" customFormat="1" ht="12.75"/>
    <row r="30183" s="3161" customFormat="1" ht="12.75"/>
    <row r="30184" s="3161" customFormat="1" ht="12.75"/>
    <row r="30185" s="3161" customFormat="1" ht="12.75"/>
    <row r="30186" s="3161" customFormat="1" ht="12.75"/>
    <row r="30187" s="3161" customFormat="1" ht="12.75"/>
    <row r="30188" s="3161" customFormat="1" ht="12.75"/>
    <row r="30189" s="3161" customFormat="1" ht="12.75"/>
    <row r="30190" s="3161" customFormat="1" ht="12.75"/>
    <row r="30191" s="3161" customFormat="1" ht="12.75"/>
    <row r="30192" s="3161" customFormat="1" ht="12.75"/>
    <row r="30193" s="3161" customFormat="1" ht="12.75"/>
    <row r="30194" s="3161" customFormat="1" ht="12.75"/>
    <row r="30195" s="3161" customFormat="1" ht="12.75"/>
    <row r="30196" s="3161" customFormat="1" ht="12.75"/>
    <row r="30197" s="3161" customFormat="1" ht="12.75"/>
    <row r="30198" s="3161" customFormat="1" ht="12.75"/>
    <row r="30199" s="3161" customFormat="1" ht="12.75"/>
    <row r="30200" s="3161" customFormat="1" ht="12.75"/>
    <row r="30201" s="3161" customFormat="1" ht="12.75"/>
    <row r="30202" s="3161" customFormat="1" ht="12.75"/>
    <row r="30203" s="3161" customFormat="1" ht="12.75"/>
    <row r="30204" s="3161" customFormat="1" ht="12.75"/>
    <row r="30205" s="3161" customFormat="1" ht="12.75"/>
    <row r="30206" s="3161" customFormat="1" ht="12.75"/>
    <row r="30207" s="3161" customFormat="1" ht="12.75"/>
    <row r="30208" s="3161" customFormat="1" ht="12.75"/>
    <row r="30209" s="3161" customFormat="1" ht="12.75"/>
    <row r="30210" s="3161" customFormat="1" ht="12.75"/>
    <row r="30211" s="3161" customFormat="1" ht="12.75"/>
    <row r="30212" s="3161" customFormat="1" ht="12.75"/>
    <row r="30213" s="3161" customFormat="1" ht="12.75"/>
    <row r="30214" s="3161" customFormat="1" ht="12.75"/>
    <row r="30215" s="3161" customFormat="1" ht="12.75"/>
    <row r="30216" s="3161" customFormat="1" ht="12.75"/>
    <row r="30217" s="3161" customFormat="1" ht="12.75"/>
    <row r="30218" s="3161" customFormat="1" ht="12.75"/>
    <row r="30219" s="3161" customFormat="1" ht="12.75"/>
    <row r="30220" s="3161" customFormat="1" ht="12.75"/>
    <row r="30221" s="3161" customFormat="1" ht="12.75"/>
    <row r="30222" s="3161" customFormat="1" ht="12.75"/>
    <row r="30223" s="3161" customFormat="1" ht="12.75"/>
    <row r="30224" s="3161" customFormat="1" ht="12.75"/>
    <row r="30225" s="3161" customFormat="1" ht="12.75"/>
    <row r="30226" s="3161" customFormat="1" ht="12.75"/>
    <row r="30227" s="3161" customFormat="1" ht="12.75"/>
    <row r="30228" s="3161" customFormat="1" ht="12.75"/>
    <row r="30229" s="3161" customFormat="1" ht="12.75"/>
    <row r="30230" s="3161" customFormat="1" ht="12.75"/>
    <row r="30231" s="3161" customFormat="1" ht="12.75"/>
    <row r="30232" s="3161" customFormat="1" ht="12.75"/>
    <row r="30233" s="3161" customFormat="1" ht="12.75"/>
    <row r="30234" s="3161" customFormat="1" ht="12.75"/>
    <row r="30235" s="3161" customFormat="1" ht="12.75"/>
    <row r="30236" s="3161" customFormat="1" ht="12.75"/>
    <row r="30237" s="3161" customFormat="1" ht="12.75"/>
    <row r="30238" s="3161" customFormat="1" ht="12.75"/>
    <row r="30239" s="3161" customFormat="1" ht="12.75"/>
    <row r="30240" s="3161" customFormat="1" ht="12.75"/>
    <row r="30241" s="3161" customFormat="1" ht="12.75"/>
    <row r="30242" s="3161" customFormat="1" ht="12.75"/>
    <row r="30243" s="3161" customFormat="1" ht="12.75"/>
    <row r="30244" s="3161" customFormat="1" ht="12.75"/>
    <row r="30245" s="3161" customFormat="1" ht="12.75"/>
    <row r="30246" s="3161" customFormat="1" ht="12.75"/>
    <row r="30247" s="3161" customFormat="1" ht="12.75"/>
    <row r="30248" s="3161" customFormat="1" ht="12.75"/>
    <row r="30249" s="3161" customFormat="1" ht="12.75"/>
    <row r="30250" s="3161" customFormat="1" ht="12.75"/>
    <row r="30251" s="3161" customFormat="1" ht="12.75"/>
    <row r="30252" s="3161" customFormat="1" ht="12.75"/>
    <row r="30253" s="3161" customFormat="1" ht="12.75"/>
    <row r="30254" s="3161" customFormat="1" ht="12.75"/>
    <row r="30255" s="3161" customFormat="1" ht="12.75"/>
    <row r="30256" s="3161" customFormat="1" ht="12.75"/>
    <row r="30257" s="3161" customFormat="1" ht="12.75"/>
    <row r="30258" s="3161" customFormat="1" ht="12.75"/>
    <row r="30259" s="3161" customFormat="1" ht="12.75"/>
    <row r="30260" s="3161" customFormat="1" ht="12.75"/>
    <row r="30261" s="3161" customFormat="1" ht="12.75"/>
    <row r="30262" s="3161" customFormat="1" ht="12.75"/>
    <row r="30263" s="3161" customFormat="1" ht="12.75"/>
    <row r="30264" s="3161" customFormat="1" ht="12.75"/>
    <row r="30265" s="3161" customFormat="1" ht="12.75"/>
    <row r="30266" s="3161" customFormat="1" ht="12.75"/>
    <row r="30267" s="3161" customFormat="1" ht="12.75"/>
    <row r="30268" s="3161" customFormat="1" ht="12.75"/>
    <row r="30269" s="3161" customFormat="1" ht="12.75"/>
    <row r="30270" s="3161" customFormat="1" ht="12.75"/>
    <row r="30271" s="3161" customFormat="1" ht="12.75"/>
    <row r="30272" s="3161" customFormat="1" ht="12.75"/>
    <row r="30273" s="3161" customFormat="1" ht="12.75"/>
    <row r="30274" s="3161" customFormat="1" ht="12.75"/>
    <row r="30275" s="3161" customFormat="1" ht="12.75"/>
    <row r="30276" s="3161" customFormat="1" ht="12.75"/>
    <row r="30277" s="3161" customFormat="1" ht="12.75"/>
    <row r="30278" s="3161" customFormat="1" ht="12.75"/>
    <row r="30279" s="3161" customFormat="1" ht="12.75"/>
    <row r="30280" s="3161" customFormat="1" ht="12.75"/>
    <row r="30281" s="3161" customFormat="1" ht="12.75"/>
    <row r="30282" s="3161" customFormat="1" ht="12.75"/>
    <row r="30283" s="3161" customFormat="1" ht="12.75"/>
    <row r="30284" s="3161" customFormat="1" ht="12.75"/>
    <row r="30285" s="3161" customFormat="1" ht="12.75"/>
    <row r="30286" s="3161" customFormat="1" ht="12.75"/>
    <row r="30287" s="3161" customFormat="1" ht="12.75"/>
    <row r="30288" s="3161" customFormat="1" ht="12.75"/>
    <row r="30289" s="3161" customFormat="1" ht="12.75"/>
    <row r="30290" s="3161" customFormat="1" ht="12.75"/>
    <row r="30291" s="3161" customFormat="1" ht="12.75"/>
    <row r="30292" s="3161" customFormat="1" ht="12.75"/>
    <row r="30293" s="3161" customFormat="1" ht="12.75"/>
    <row r="30294" s="3161" customFormat="1" ht="12.75"/>
    <row r="30295" s="3161" customFormat="1" ht="12.75"/>
    <row r="30296" s="3161" customFormat="1" ht="12.75"/>
    <row r="30297" s="3161" customFormat="1" ht="12.75"/>
    <row r="30298" s="3161" customFormat="1" ht="12.75"/>
    <row r="30299" s="3161" customFormat="1" ht="12.75"/>
    <row r="30300" s="3161" customFormat="1" ht="12.75"/>
    <row r="30301" s="3161" customFormat="1" ht="12.75"/>
    <row r="30302" s="3161" customFormat="1" ht="12.75"/>
    <row r="30303" s="3161" customFormat="1" ht="12.75"/>
    <row r="30304" s="3161" customFormat="1" ht="12.75"/>
    <row r="30305" s="3161" customFormat="1" ht="12.75"/>
    <row r="30306" s="3161" customFormat="1" ht="12.75"/>
    <row r="30307" s="3161" customFormat="1" ht="12.75"/>
    <row r="30308" s="3161" customFormat="1" ht="12.75"/>
    <row r="30309" s="3161" customFormat="1" ht="12.75"/>
    <row r="30310" s="3161" customFormat="1" ht="12.75"/>
    <row r="30311" s="3161" customFormat="1" ht="12.75"/>
    <row r="30312" s="3161" customFormat="1" ht="12.75"/>
    <row r="30313" s="3161" customFormat="1" ht="12.75"/>
    <row r="30314" s="3161" customFormat="1" ht="12.75"/>
    <row r="30315" s="3161" customFormat="1" ht="12.75"/>
    <row r="30316" s="3161" customFormat="1" ht="12.75"/>
    <row r="30317" s="3161" customFormat="1" ht="12.75"/>
    <row r="30318" s="3161" customFormat="1" ht="12.75"/>
    <row r="30319" s="3161" customFormat="1" ht="12.75"/>
    <row r="30320" s="3161" customFormat="1" ht="12.75"/>
    <row r="30321" s="3161" customFormat="1" ht="12.75"/>
    <row r="30322" s="3161" customFormat="1" ht="12.75"/>
    <row r="30323" s="3161" customFormat="1" ht="12.75"/>
    <row r="30324" s="3161" customFormat="1" ht="12.75"/>
    <row r="30325" s="3161" customFormat="1" ht="12.75"/>
    <row r="30326" s="3161" customFormat="1" ht="12.75"/>
    <row r="30327" s="3161" customFormat="1" ht="12.75"/>
    <row r="30328" s="3161" customFormat="1" ht="12.75"/>
    <row r="30329" s="3161" customFormat="1" ht="12.75"/>
    <row r="30330" s="3161" customFormat="1" ht="12.75"/>
    <row r="30331" s="3161" customFormat="1" ht="12.75"/>
    <row r="30332" s="3161" customFormat="1" ht="12.75"/>
    <row r="30333" s="3161" customFormat="1" ht="12.75"/>
    <row r="30334" s="3161" customFormat="1" ht="12.75"/>
    <row r="30335" s="3161" customFormat="1" ht="12.75"/>
    <row r="30336" s="3161" customFormat="1" ht="12.75"/>
    <row r="30337" s="3161" customFormat="1" ht="12.75"/>
    <row r="30338" s="3161" customFormat="1" ht="12.75"/>
    <row r="30339" s="3161" customFormat="1" ht="12.75"/>
    <row r="30340" s="3161" customFormat="1" ht="12.75"/>
    <row r="30341" s="3161" customFormat="1" ht="12.75"/>
    <row r="30342" s="3161" customFormat="1" ht="12.75"/>
    <row r="30343" s="3161" customFormat="1" ht="12.75"/>
    <row r="30344" s="3161" customFormat="1" ht="12.75"/>
    <row r="30345" s="3161" customFormat="1" ht="12.75"/>
    <row r="30346" s="3161" customFormat="1" ht="12.75"/>
    <row r="30347" s="3161" customFormat="1" ht="12.75"/>
    <row r="30348" s="3161" customFormat="1" ht="12.75"/>
    <row r="30349" s="3161" customFormat="1" ht="12.75"/>
    <row r="30350" s="3161" customFormat="1" ht="12.75"/>
    <row r="30351" s="3161" customFormat="1" ht="12.75"/>
    <row r="30352" s="3161" customFormat="1" ht="12.75"/>
    <row r="30353" s="3161" customFormat="1" ht="12.75"/>
    <row r="30354" s="3161" customFormat="1" ht="12.75"/>
    <row r="30355" s="3161" customFormat="1" ht="12.75"/>
    <row r="30356" s="3161" customFormat="1" ht="12.75"/>
    <row r="30357" s="3161" customFormat="1" ht="12.75"/>
    <row r="30358" s="3161" customFormat="1" ht="12.75"/>
    <row r="30359" s="3161" customFormat="1" ht="12.75"/>
    <row r="30360" s="3161" customFormat="1" ht="12.75"/>
    <row r="30361" s="3161" customFormat="1" ht="12.75"/>
    <row r="30362" s="3161" customFormat="1" ht="12.75"/>
    <row r="30363" s="3161" customFormat="1" ht="12.75"/>
    <row r="30364" s="3161" customFormat="1" ht="12.75"/>
    <row r="30365" s="3161" customFormat="1" ht="12.75"/>
    <row r="30366" s="3161" customFormat="1" ht="12.75"/>
    <row r="30367" s="3161" customFormat="1" ht="12.75"/>
    <row r="30368" s="3161" customFormat="1" ht="12.75"/>
    <row r="30369" s="3161" customFormat="1" ht="12.75"/>
    <row r="30370" s="3161" customFormat="1" ht="12.75"/>
    <row r="30371" s="3161" customFormat="1" ht="12.75"/>
    <row r="30372" s="3161" customFormat="1" ht="12.75"/>
    <row r="30373" s="3161" customFormat="1" ht="12.75"/>
    <row r="30374" s="3161" customFormat="1" ht="12.75"/>
    <row r="30375" s="3161" customFormat="1" ht="12.75"/>
    <row r="30376" s="3161" customFormat="1" ht="12.75"/>
    <row r="30377" s="3161" customFormat="1" ht="12.75"/>
    <row r="30378" s="3161" customFormat="1" ht="12.75"/>
    <row r="30379" s="3161" customFormat="1" ht="12.75"/>
    <row r="30380" s="3161" customFormat="1" ht="12.75"/>
    <row r="30381" s="3161" customFormat="1" ht="12.75"/>
    <row r="30382" s="3161" customFormat="1" ht="12.75"/>
    <row r="30383" s="3161" customFormat="1" ht="12.75"/>
    <row r="30384" s="3161" customFormat="1" ht="12.75"/>
    <row r="30385" s="3161" customFormat="1" ht="12.75"/>
    <row r="30386" s="3161" customFormat="1" ht="12.75"/>
    <row r="30387" s="3161" customFormat="1" ht="12.75"/>
    <row r="30388" s="3161" customFormat="1" ht="12.75"/>
    <row r="30389" s="3161" customFormat="1" ht="12.75"/>
    <row r="30390" s="3161" customFormat="1" ht="12.75"/>
    <row r="30391" s="3161" customFormat="1" ht="12.75"/>
    <row r="30392" s="3161" customFormat="1" ht="12.75"/>
    <row r="30393" s="3161" customFormat="1" ht="12.75"/>
    <row r="30394" s="3161" customFormat="1" ht="12.75"/>
    <row r="30395" s="3161" customFormat="1" ht="12.75"/>
    <row r="30396" s="3161" customFormat="1" ht="12.75"/>
    <row r="30397" s="3161" customFormat="1" ht="12.75"/>
    <row r="30398" s="3161" customFormat="1" ht="12.75"/>
    <row r="30399" s="3161" customFormat="1" ht="12.75"/>
    <row r="30400" s="3161" customFormat="1" ht="12.75"/>
    <row r="30401" s="3161" customFormat="1" ht="12.75"/>
    <row r="30402" s="3161" customFormat="1" ht="12.75"/>
    <row r="30403" s="3161" customFormat="1" ht="12.75"/>
    <row r="30404" s="3161" customFormat="1" ht="12.75"/>
    <row r="30405" s="3161" customFormat="1" ht="12.75"/>
    <row r="30406" s="3161" customFormat="1" ht="12.75"/>
    <row r="30407" s="3161" customFormat="1" ht="12.75"/>
    <row r="30408" s="3161" customFormat="1" ht="12.75"/>
    <row r="30409" s="3161" customFormat="1" ht="12.75"/>
    <row r="30410" s="3161" customFormat="1" ht="12.75"/>
    <row r="30411" s="3161" customFormat="1" ht="12.75"/>
    <row r="30412" s="3161" customFormat="1" ht="12.75"/>
    <row r="30413" s="3161" customFormat="1" ht="12.75"/>
    <row r="30414" s="3161" customFormat="1" ht="12.75"/>
    <row r="30415" s="3161" customFormat="1" ht="12.75"/>
    <row r="30416" s="3161" customFormat="1" ht="12.75"/>
    <row r="30417" s="3161" customFormat="1" ht="12.75"/>
    <row r="30418" s="3161" customFormat="1" ht="12.75"/>
    <row r="30419" s="3161" customFormat="1" ht="12.75"/>
    <row r="30420" s="3161" customFormat="1" ht="12.75"/>
    <row r="30421" s="3161" customFormat="1" ht="12.75"/>
    <row r="30422" s="3161" customFormat="1" ht="12.75"/>
    <row r="30423" s="3161" customFormat="1" ht="12.75"/>
    <row r="30424" s="3161" customFormat="1" ht="12.75"/>
    <row r="30425" s="3161" customFormat="1" ht="12.75"/>
    <row r="30426" s="3161" customFormat="1" ht="12.75"/>
    <row r="30427" s="3161" customFormat="1" ht="12.75"/>
    <row r="30428" s="3161" customFormat="1" ht="12.75"/>
    <row r="30429" s="3161" customFormat="1" ht="12.75"/>
    <row r="30430" s="3161" customFormat="1" ht="12.75"/>
    <row r="30431" s="3161" customFormat="1" ht="12.75"/>
    <row r="30432" s="3161" customFormat="1" ht="12.75"/>
    <row r="30433" s="3161" customFormat="1" ht="12.75"/>
    <row r="30434" s="3161" customFormat="1" ht="12.75"/>
    <row r="30435" s="3161" customFormat="1" ht="12.75"/>
    <row r="30436" s="3161" customFormat="1" ht="12.75"/>
    <row r="30437" s="3161" customFormat="1" ht="12.75"/>
    <row r="30438" s="3161" customFormat="1" ht="12.75"/>
    <row r="30439" s="3161" customFormat="1" ht="12.75"/>
    <row r="30440" s="3161" customFormat="1" ht="12.75"/>
    <row r="30441" s="3161" customFormat="1" ht="12.75"/>
    <row r="30442" s="3161" customFormat="1" ht="12.75"/>
    <row r="30443" s="3161" customFormat="1" ht="12.75"/>
    <row r="30444" s="3161" customFormat="1" ht="12.75"/>
    <row r="30445" s="3161" customFormat="1" ht="12.75"/>
    <row r="30446" s="3161" customFormat="1" ht="12.75"/>
    <row r="30447" s="3161" customFormat="1" ht="12.75"/>
    <row r="30448" s="3161" customFormat="1" ht="12.75"/>
    <row r="30449" s="3161" customFormat="1" ht="12.75"/>
    <row r="30450" s="3161" customFormat="1" ht="12.75"/>
    <row r="30451" s="3161" customFormat="1" ht="12.75"/>
    <row r="30452" s="3161" customFormat="1" ht="12.75"/>
    <row r="30453" s="3161" customFormat="1" ht="12.75"/>
    <row r="30454" s="3161" customFormat="1" ht="12.75"/>
    <row r="30455" s="3161" customFormat="1" ht="12.75"/>
    <row r="30456" s="3161" customFormat="1" ht="12.75"/>
    <row r="30457" s="3161" customFormat="1" ht="12.75"/>
    <row r="30458" s="3161" customFormat="1" ht="12.75"/>
    <row r="30459" s="3161" customFormat="1" ht="12.75"/>
    <row r="30460" s="3161" customFormat="1" ht="12.75"/>
    <row r="30461" s="3161" customFormat="1" ht="12.75"/>
    <row r="30462" s="3161" customFormat="1" ht="12.75"/>
    <row r="30463" s="3161" customFormat="1" ht="12.75"/>
    <row r="30464" s="3161" customFormat="1" ht="12.75"/>
    <row r="30465" s="3161" customFormat="1" ht="12.75"/>
    <row r="30466" s="3161" customFormat="1" ht="12.75"/>
    <row r="30467" s="3161" customFormat="1" ht="12.75"/>
    <row r="30468" s="3161" customFormat="1" ht="12.75"/>
    <row r="30469" s="3161" customFormat="1" ht="12.75"/>
    <row r="30470" s="3161" customFormat="1" ht="12.75"/>
    <row r="30471" s="3161" customFormat="1" ht="12.75"/>
    <row r="30472" s="3161" customFormat="1" ht="12.75"/>
    <row r="30473" s="3161" customFormat="1" ht="12.75"/>
    <row r="30474" s="3161" customFormat="1" ht="12.75"/>
    <row r="30475" s="3161" customFormat="1" ht="12.75"/>
    <row r="30476" s="3161" customFormat="1" ht="12.75"/>
    <row r="30477" s="3161" customFormat="1" ht="12.75"/>
    <row r="30478" s="3161" customFormat="1" ht="12.75"/>
    <row r="30479" s="3161" customFormat="1" ht="12.75"/>
    <row r="30480" s="3161" customFormat="1" ht="12.75"/>
    <row r="30481" s="3161" customFormat="1" ht="12.75"/>
    <row r="30482" s="3161" customFormat="1" ht="12.75"/>
    <row r="30483" s="3161" customFormat="1" ht="12.75"/>
    <row r="30484" s="3161" customFormat="1" ht="12.75"/>
    <row r="30485" s="3161" customFormat="1" ht="12.75"/>
    <row r="30486" s="3161" customFormat="1" ht="12.75"/>
    <row r="30487" s="3161" customFormat="1" ht="12.75"/>
    <row r="30488" s="3161" customFormat="1" ht="12.75"/>
    <row r="30489" s="3161" customFormat="1" ht="12.75"/>
    <row r="30490" s="3161" customFormat="1" ht="12.75"/>
    <row r="30491" s="3161" customFormat="1" ht="12.75"/>
    <row r="30492" s="3161" customFormat="1" ht="12.75"/>
    <row r="30493" s="3161" customFormat="1" ht="12.75"/>
    <row r="30494" s="3161" customFormat="1" ht="12.75"/>
    <row r="30495" s="3161" customFormat="1" ht="12.75"/>
    <row r="30496" s="3161" customFormat="1" ht="12.75"/>
    <row r="30497" s="3161" customFormat="1" ht="12.75"/>
    <row r="30498" s="3161" customFormat="1" ht="12.75"/>
    <row r="30499" s="3161" customFormat="1" ht="12.75"/>
    <row r="30500" s="3161" customFormat="1" ht="12.75"/>
    <row r="30501" s="3161" customFormat="1" ht="12.75"/>
    <row r="30502" s="3161" customFormat="1" ht="12.75"/>
    <row r="30503" s="3161" customFormat="1" ht="12.75"/>
    <row r="30504" s="3161" customFormat="1" ht="12.75"/>
    <row r="30505" s="3161" customFormat="1" ht="12.75"/>
    <row r="30506" s="3161" customFormat="1" ht="12.75"/>
    <row r="30507" s="3161" customFormat="1" ht="12.75"/>
    <row r="30508" s="3161" customFormat="1" ht="12.75"/>
    <row r="30509" s="3161" customFormat="1" ht="12.75"/>
    <row r="30510" s="3161" customFormat="1" ht="12.75"/>
    <row r="30511" s="3161" customFormat="1" ht="12.75"/>
    <row r="30512" s="3161" customFormat="1" ht="12.75"/>
    <row r="30513" s="3161" customFormat="1" ht="12.75"/>
    <row r="30514" s="3161" customFormat="1" ht="12.75"/>
    <row r="30515" s="3161" customFormat="1" ht="12.75"/>
    <row r="30516" s="3161" customFormat="1" ht="12.75"/>
    <row r="30517" s="3161" customFormat="1" ht="12.75"/>
    <row r="30518" s="3161" customFormat="1" ht="12.75"/>
    <row r="30519" s="3161" customFormat="1" ht="12.75"/>
    <row r="30520" s="3161" customFormat="1" ht="12.75"/>
    <row r="30521" s="3161" customFormat="1" ht="12.75"/>
    <row r="30522" s="3161" customFormat="1" ht="12.75"/>
    <row r="30523" s="3161" customFormat="1" ht="12.75"/>
    <row r="30524" s="3161" customFormat="1" ht="12.75"/>
    <row r="30525" s="3161" customFormat="1" ht="12.75"/>
    <row r="30526" s="3161" customFormat="1" ht="12.75"/>
    <row r="30527" s="3161" customFormat="1" ht="12.75"/>
    <row r="30528" s="3161" customFormat="1" ht="12.75"/>
    <row r="30529" s="3161" customFormat="1" ht="12.75"/>
    <row r="30530" s="3161" customFormat="1" ht="12.75"/>
    <row r="30531" s="3161" customFormat="1" ht="12.75"/>
    <row r="30532" s="3161" customFormat="1" ht="12.75"/>
    <row r="30533" s="3161" customFormat="1" ht="12.75"/>
    <row r="30534" s="3161" customFormat="1" ht="12.75"/>
    <row r="30535" s="3161" customFormat="1" ht="12.75"/>
    <row r="30536" s="3161" customFormat="1" ht="12.75"/>
    <row r="30537" s="3161" customFormat="1" ht="12.75"/>
    <row r="30538" s="3161" customFormat="1" ht="12.75"/>
    <row r="30539" s="3161" customFormat="1" ht="12.75"/>
    <row r="30540" s="3161" customFormat="1" ht="12.75"/>
    <row r="30541" s="3161" customFormat="1" ht="12.75"/>
    <row r="30542" s="3161" customFormat="1" ht="12.75"/>
    <row r="30543" s="3161" customFormat="1" ht="12.75"/>
    <row r="30544" s="3161" customFormat="1" ht="12.75"/>
    <row r="30545" s="3161" customFormat="1" ht="12.75"/>
    <row r="30546" s="3161" customFormat="1" ht="12.75"/>
    <row r="30547" s="3161" customFormat="1" ht="12.75"/>
    <row r="30548" s="3161" customFormat="1" ht="12.75"/>
    <row r="30549" s="3161" customFormat="1" ht="12.75"/>
    <row r="30550" s="3161" customFormat="1" ht="12.75"/>
    <row r="30551" s="3161" customFormat="1" ht="12.75"/>
    <row r="30552" s="3161" customFormat="1" ht="12.75"/>
    <row r="30553" s="3161" customFormat="1" ht="12.75"/>
    <row r="30554" s="3161" customFormat="1" ht="12.75"/>
    <row r="30555" s="3161" customFormat="1" ht="12.75"/>
    <row r="30556" s="3161" customFormat="1" ht="12.75"/>
    <row r="30557" s="3161" customFormat="1" ht="12.75"/>
    <row r="30558" s="3161" customFormat="1" ht="12.75"/>
    <row r="30559" s="3161" customFormat="1" ht="12.75"/>
    <row r="30560" s="3161" customFormat="1" ht="12.75"/>
    <row r="30561" s="3161" customFormat="1" ht="12.75"/>
    <row r="30562" s="3161" customFormat="1" ht="12.75"/>
    <row r="30563" s="3161" customFormat="1" ht="12.75"/>
    <row r="30564" s="3161" customFormat="1" ht="12.75"/>
    <row r="30565" s="3161" customFormat="1" ht="12.75"/>
    <row r="30566" s="3161" customFormat="1" ht="12.75"/>
    <row r="30567" s="3161" customFormat="1" ht="12.75"/>
    <row r="30568" s="3161" customFormat="1" ht="12.75"/>
    <row r="30569" s="3161" customFormat="1" ht="12.75"/>
    <row r="30570" s="3161" customFormat="1" ht="12.75"/>
    <row r="30571" s="3161" customFormat="1" ht="12.75"/>
    <row r="30572" s="3161" customFormat="1" ht="12.75"/>
    <row r="30573" s="3161" customFormat="1" ht="12.75"/>
    <row r="30574" s="3161" customFormat="1" ht="12.75"/>
    <row r="30575" s="3161" customFormat="1" ht="12.75"/>
    <row r="30576" s="3161" customFormat="1" ht="12.75"/>
    <row r="30577" s="3161" customFormat="1" ht="12.75"/>
    <row r="30578" s="3161" customFormat="1" ht="12.75"/>
    <row r="30579" s="3161" customFormat="1" ht="12.75"/>
    <row r="30580" s="3161" customFormat="1" ht="12.75"/>
    <row r="30581" s="3161" customFormat="1" ht="12.75"/>
    <row r="30582" s="3161" customFormat="1" ht="12.75"/>
    <row r="30583" s="3161" customFormat="1" ht="12.75"/>
    <row r="30584" s="3161" customFormat="1" ht="12.75"/>
    <row r="30585" s="3161" customFormat="1" ht="12.75"/>
    <row r="30586" s="3161" customFormat="1" ht="12.75"/>
    <row r="30587" s="3161" customFormat="1" ht="12.75"/>
    <row r="30588" s="3161" customFormat="1" ht="12.75"/>
    <row r="30589" s="3161" customFormat="1" ht="12.75"/>
    <row r="30590" s="3161" customFormat="1" ht="12.75"/>
    <row r="30591" s="3161" customFormat="1" ht="12.75"/>
    <row r="30592" s="3161" customFormat="1" ht="12.75"/>
    <row r="30593" s="3161" customFormat="1" ht="12.75"/>
    <row r="30594" s="3161" customFormat="1" ht="12.75"/>
    <row r="30595" s="3161" customFormat="1" ht="12.75"/>
    <row r="30596" s="3161" customFormat="1" ht="12.75"/>
    <row r="30597" s="3161" customFormat="1" ht="12.75"/>
    <row r="30598" s="3161" customFormat="1" ht="12.75"/>
    <row r="30599" s="3161" customFormat="1" ht="12.75"/>
    <row r="30600" s="3161" customFormat="1" ht="12.75"/>
    <row r="30601" s="3161" customFormat="1" ht="12.75"/>
    <row r="30602" s="3161" customFormat="1" ht="12.75"/>
    <row r="30603" s="3161" customFormat="1" ht="12.75"/>
    <row r="30604" s="3161" customFormat="1" ht="12.75"/>
    <row r="30605" s="3161" customFormat="1" ht="12.75"/>
    <row r="30606" s="3161" customFormat="1" ht="12.75"/>
    <row r="30607" s="3161" customFormat="1" ht="12.75"/>
    <row r="30608" s="3161" customFormat="1" ht="12.75"/>
    <row r="30609" s="3161" customFormat="1" ht="12.75"/>
    <row r="30610" s="3161" customFormat="1" ht="12.75"/>
    <row r="30611" s="3161" customFormat="1" ht="12.75"/>
    <row r="30612" s="3161" customFormat="1" ht="12.75"/>
    <row r="30613" s="3161" customFormat="1" ht="12.75"/>
    <row r="30614" s="3161" customFormat="1" ht="12.75"/>
    <row r="30615" s="3161" customFormat="1" ht="12.75"/>
    <row r="30616" s="3161" customFormat="1" ht="12.75"/>
    <row r="30617" s="3161" customFormat="1" ht="12.75"/>
    <row r="30618" s="3161" customFormat="1" ht="12.75"/>
    <row r="30619" s="3161" customFormat="1" ht="12.75"/>
    <row r="30620" s="3161" customFormat="1" ht="12.75"/>
    <row r="30621" s="3161" customFormat="1" ht="12.75"/>
    <row r="30622" s="3161" customFormat="1" ht="12.75"/>
    <row r="30623" s="3161" customFormat="1" ht="12.75"/>
    <row r="30624" s="3161" customFormat="1" ht="12.75"/>
    <row r="30625" s="3161" customFormat="1" ht="12.75"/>
    <row r="30626" s="3161" customFormat="1" ht="12.75"/>
    <row r="30627" s="3161" customFormat="1" ht="12.75"/>
    <row r="30628" s="3161" customFormat="1" ht="12.75"/>
    <row r="30629" s="3161" customFormat="1" ht="12.75"/>
    <row r="30630" s="3161" customFormat="1" ht="12.75"/>
    <row r="30631" s="3161" customFormat="1" ht="12.75"/>
    <row r="30632" s="3161" customFormat="1" ht="12.75"/>
    <row r="30633" s="3161" customFormat="1" ht="12.75"/>
    <row r="30634" s="3161" customFormat="1" ht="12.75"/>
    <row r="30635" s="3161" customFormat="1" ht="12.75"/>
    <row r="30636" s="3161" customFormat="1" ht="12.75"/>
    <row r="30637" s="3161" customFormat="1" ht="12.75"/>
    <row r="30638" s="3161" customFormat="1" ht="12.75"/>
    <row r="30639" s="3161" customFormat="1" ht="12.75"/>
    <row r="30640" s="3161" customFormat="1" ht="12.75"/>
    <row r="30641" s="3161" customFormat="1" ht="12.75"/>
    <row r="30642" s="3161" customFormat="1" ht="12.75"/>
    <row r="30643" s="3161" customFormat="1" ht="12.75"/>
    <row r="30644" s="3161" customFormat="1" ht="12.75"/>
    <row r="30645" s="3161" customFormat="1" ht="12.75"/>
    <row r="30646" s="3161" customFormat="1" ht="12.75"/>
    <row r="30647" s="3161" customFormat="1" ht="12.75"/>
    <row r="30648" s="3161" customFormat="1" ht="12.75"/>
    <row r="30649" s="3161" customFormat="1" ht="12.75"/>
    <row r="30650" s="3161" customFormat="1" ht="12.75"/>
    <row r="30651" s="3161" customFormat="1" ht="12.75"/>
    <row r="30652" s="3161" customFormat="1" ht="12.75"/>
    <row r="30653" s="3161" customFormat="1" ht="12.75"/>
    <row r="30654" s="3161" customFormat="1" ht="12.75"/>
    <row r="30655" s="3161" customFormat="1" ht="12.75"/>
    <row r="30656" s="3161" customFormat="1" ht="12.75"/>
    <row r="30657" s="3161" customFormat="1" ht="12.75"/>
    <row r="30658" s="3161" customFormat="1" ht="12.75"/>
    <row r="30659" s="3161" customFormat="1" ht="12.75"/>
    <row r="30660" s="3161" customFormat="1" ht="12.75"/>
    <row r="30661" s="3161" customFormat="1" ht="12.75"/>
    <row r="30662" s="3161" customFormat="1" ht="12.75"/>
    <row r="30663" s="3161" customFormat="1" ht="12.75"/>
    <row r="30664" s="3161" customFormat="1" ht="12.75"/>
    <row r="30665" s="3161" customFormat="1" ht="12.75"/>
    <row r="30666" s="3161" customFormat="1" ht="12.75"/>
    <row r="30667" s="3161" customFormat="1" ht="12.75"/>
    <row r="30668" s="3161" customFormat="1" ht="12.75"/>
    <row r="30669" s="3161" customFormat="1" ht="12.75"/>
    <row r="30670" s="3161" customFormat="1" ht="12.75"/>
    <row r="30671" s="3161" customFormat="1" ht="12.75"/>
    <row r="30672" s="3161" customFormat="1" ht="12.75"/>
    <row r="30673" s="3161" customFormat="1" ht="12.75"/>
    <row r="30674" s="3161" customFormat="1" ht="12.75"/>
    <row r="30675" s="3161" customFormat="1" ht="12.75"/>
    <row r="30676" s="3161" customFormat="1" ht="12.75"/>
    <row r="30677" s="3161" customFormat="1" ht="12.75"/>
    <row r="30678" s="3161" customFormat="1" ht="12.75"/>
    <row r="30679" s="3161" customFormat="1" ht="12.75"/>
    <row r="30680" s="3161" customFormat="1" ht="12.75"/>
    <row r="30681" s="3161" customFormat="1" ht="12.75"/>
    <row r="30682" s="3161" customFormat="1" ht="12.75"/>
    <row r="30683" s="3161" customFormat="1" ht="12.75"/>
    <row r="30684" s="3161" customFormat="1" ht="12.75"/>
    <row r="30685" s="3161" customFormat="1" ht="12.75"/>
    <row r="30686" s="3161" customFormat="1" ht="12.75"/>
    <row r="30687" s="3161" customFormat="1" ht="12.75"/>
    <row r="30688" s="3161" customFormat="1" ht="12.75"/>
    <row r="30689" s="3161" customFormat="1" ht="12.75"/>
    <row r="30690" s="3161" customFormat="1" ht="12.75"/>
    <row r="30691" s="3161" customFormat="1" ht="12.75"/>
    <row r="30692" s="3161" customFormat="1" ht="12.75"/>
    <row r="30693" s="3161" customFormat="1" ht="12.75"/>
    <row r="30694" s="3161" customFormat="1" ht="12.75"/>
    <row r="30695" s="3161" customFormat="1" ht="12.75"/>
    <row r="30696" s="3161" customFormat="1" ht="12.75"/>
    <row r="30697" s="3161" customFormat="1" ht="12.75"/>
    <row r="30698" s="3161" customFormat="1" ht="12.75"/>
    <row r="30699" s="3161" customFormat="1" ht="12.75"/>
    <row r="30700" s="3161" customFormat="1" ht="12.75"/>
    <row r="30701" s="3161" customFormat="1" ht="12.75"/>
    <row r="30702" s="3161" customFormat="1" ht="12.75"/>
    <row r="30703" s="3161" customFormat="1" ht="12.75"/>
    <row r="30704" s="3161" customFormat="1" ht="12.75"/>
    <row r="30705" s="3161" customFormat="1" ht="12.75"/>
    <row r="30706" s="3161" customFormat="1" ht="12.75"/>
    <row r="30707" s="3161" customFormat="1" ht="12.75"/>
    <row r="30708" s="3161" customFormat="1" ht="12.75"/>
    <row r="30709" s="3161" customFormat="1" ht="12.75"/>
    <row r="30710" s="3161" customFormat="1" ht="12.75"/>
    <row r="30711" s="3161" customFormat="1" ht="12.75"/>
    <row r="30712" s="3161" customFormat="1" ht="12.75"/>
    <row r="30713" s="3161" customFormat="1" ht="12.75"/>
    <row r="30714" s="3161" customFormat="1" ht="12.75"/>
    <row r="30715" s="3161" customFormat="1" ht="12.75"/>
    <row r="30716" s="3161" customFormat="1" ht="12.75"/>
    <row r="30717" s="3161" customFormat="1" ht="12.75"/>
    <row r="30718" s="3161" customFormat="1" ht="12.75"/>
    <row r="30719" s="3161" customFormat="1" ht="12.75"/>
    <row r="30720" s="3161" customFormat="1" ht="12.75"/>
    <row r="30721" s="3161" customFormat="1" ht="12.75"/>
    <row r="30722" s="3161" customFormat="1" ht="12.75"/>
    <row r="30723" s="3161" customFormat="1" ht="12.75"/>
    <row r="30724" s="3161" customFormat="1" ht="12.75"/>
    <row r="30725" s="3161" customFormat="1" ht="12.75"/>
    <row r="30726" s="3161" customFormat="1" ht="12.75"/>
    <row r="30727" s="3161" customFormat="1" ht="12.75"/>
    <row r="30728" s="3161" customFormat="1" ht="12.75"/>
    <row r="30729" s="3161" customFormat="1" ht="12.75"/>
    <row r="30730" s="3161" customFormat="1" ht="12.75"/>
    <row r="30731" s="3161" customFormat="1" ht="12.75"/>
    <row r="30732" s="3161" customFormat="1" ht="12.75"/>
    <row r="30733" s="3161" customFormat="1" ht="12.75"/>
    <row r="30734" s="3161" customFormat="1" ht="12.75"/>
    <row r="30735" s="3161" customFormat="1" ht="12.75"/>
    <row r="30736" s="3161" customFormat="1" ht="12.75"/>
    <row r="30737" s="3161" customFormat="1" ht="12.75"/>
    <row r="30738" s="3161" customFormat="1" ht="12.75"/>
    <row r="30739" s="3161" customFormat="1" ht="12.75"/>
    <row r="30740" s="3161" customFormat="1" ht="12.75"/>
    <row r="30741" s="3161" customFormat="1" ht="12.75"/>
    <row r="30742" s="3161" customFormat="1" ht="12.75"/>
    <row r="30743" s="3161" customFormat="1" ht="12.75"/>
    <row r="30744" s="3161" customFormat="1" ht="12.75"/>
    <row r="30745" s="3161" customFormat="1" ht="12.75"/>
    <row r="30746" s="3161" customFormat="1" ht="12.75"/>
    <row r="30747" s="3161" customFormat="1" ht="12.75"/>
    <row r="30748" s="3161" customFormat="1" ht="12.75"/>
    <row r="30749" s="3161" customFormat="1" ht="12.75"/>
    <row r="30750" s="3161" customFormat="1" ht="12.75"/>
    <row r="30751" s="3161" customFormat="1" ht="12.75"/>
    <row r="30752" s="3161" customFormat="1" ht="12.75"/>
    <row r="30753" s="3161" customFormat="1" ht="12.75"/>
    <row r="30754" s="3161" customFormat="1" ht="12.75"/>
    <row r="30755" s="3161" customFormat="1" ht="12.75"/>
    <row r="30756" s="3161" customFormat="1" ht="12.75"/>
    <row r="30757" s="3161" customFormat="1" ht="12.75"/>
    <row r="30758" s="3161" customFormat="1" ht="12.75"/>
    <row r="30759" s="3161" customFormat="1" ht="12.75"/>
    <row r="30760" s="3161" customFormat="1" ht="12.75"/>
    <row r="30761" s="3161" customFormat="1" ht="12.75"/>
    <row r="30762" s="3161" customFormat="1" ht="12.75"/>
    <row r="30763" s="3161" customFormat="1" ht="12.75"/>
    <row r="30764" s="3161" customFormat="1" ht="12.75"/>
    <row r="30765" s="3161" customFormat="1" ht="12.75"/>
    <row r="30766" s="3161" customFormat="1" ht="12.75"/>
    <row r="30767" s="3161" customFormat="1" ht="12.75"/>
    <row r="30768" s="3161" customFormat="1" ht="12.75"/>
    <row r="30769" s="3161" customFormat="1" ht="12.75"/>
    <row r="30770" s="3161" customFormat="1" ht="12.75"/>
    <row r="30771" s="3161" customFormat="1" ht="12.75"/>
    <row r="30772" s="3161" customFormat="1" ht="12.75"/>
    <row r="30773" s="3161" customFormat="1" ht="12.75"/>
    <row r="30774" s="3161" customFormat="1" ht="12.75"/>
    <row r="30775" s="3161" customFormat="1" ht="12.75"/>
    <row r="30776" s="3161" customFormat="1" ht="12.75"/>
    <row r="30777" s="3161" customFormat="1" ht="12.75"/>
    <row r="30778" s="3161" customFormat="1" ht="12.75"/>
    <row r="30779" s="3161" customFormat="1" ht="12.75"/>
    <row r="30780" s="3161" customFormat="1" ht="12.75"/>
    <row r="30781" s="3161" customFormat="1" ht="12.75"/>
    <row r="30782" s="3161" customFormat="1" ht="12.75"/>
    <row r="30783" s="3161" customFormat="1" ht="12.75"/>
    <row r="30784" s="3161" customFormat="1" ht="12.75"/>
    <row r="30785" s="3161" customFormat="1" ht="12.75"/>
    <row r="30786" s="3161" customFormat="1" ht="12.75"/>
    <row r="30787" s="3161" customFormat="1" ht="12.75"/>
    <row r="30788" s="3161" customFormat="1" ht="12.75"/>
    <row r="30789" s="3161" customFormat="1" ht="12.75"/>
    <row r="30790" s="3161" customFormat="1" ht="12.75"/>
    <row r="30791" s="3161" customFormat="1" ht="12.75"/>
    <row r="30792" s="3161" customFormat="1" ht="12.75"/>
    <row r="30793" s="3161" customFormat="1" ht="12.75"/>
    <row r="30794" s="3161" customFormat="1" ht="12.75"/>
    <row r="30795" s="3161" customFormat="1" ht="12.75"/>
    <row r="30796" s="3161" customFormat="1" ht="12.75"/>
    <row r="30797" s="3161" customFormat="1" ht="12.75"/>
    <row r="30798" s="3161" customFormat="1" ht="12.75"/>
    <row r="30799" s="3161" customFormat="1" ht="12.75"/>
    <row r="30800" s="3161" customFormat="1" ht="12.75"/>
    <row r="30801" s="3161" customFormat="1" ht="12.75"/>
    <row r="30802" s="3161" customFormat="1" ht="12.75"/>
    <row r="30803" s="3161" customFormat="1" ht="12.75"/>
    <row r="30804" s="3161" customFormat="1" ht="12.75"/>
    <row r="30805" s="3161" customFormat="1" ht="12.75"/>
    <row r="30806" s="3161" customFormat="1" ht="12.75"/>
    <row r="30807" s="3161" customFormat="1" ht="12.75"/>
    <row r="30808" s="3161" customFormat="1" ht="12.75"/>
    <row r="30809" s="3161" customFormat="1" ht="12.75"/>
    <row r="30810" s="3161" customFormat="1" ht="12.75"/>
    <row r="30811" s="3161" customFormat="1" ht="12.75"/>
    <row r="30812" s="3161" customFormat="1" ht="12.75"/>
    <row r="30813" s="3161" customFormat="1" ht="12.75"/>
    <row r="30814" s="3161" customFormat="1" ht="12.75"/>
    <row r="30815" s="3161" customFormat="1" ht="12.75"/>
    <row r="30816" s="3161" customFormat="1" ht="12.75"/>
    <row r="30817" s="3161" customFormat="1" ht="12.75"/>
    <row r="30818" s="3161" customFormat="1" ht="12.75"/>
    <row r="30819" s="3161" customFormat="1" ht="12.75"/>
    <row r="30820" s="3161" customFormat="1" ht="12.75"/>
    <row r="30821" s="3161" customFormat="1" ht="12.75"/>
    <row r="30822" s="3161" customFormat="1" ht="12.75"/>
    <row r="30823" s="3161" customFormat="1" ht="12.75"/>
    <row r="30824" s="3161" customFormat="1" ht="12.75"/>
    <row r="30825" s="3161" customFormat="1" ht="12.75"/>
    <row r="30826" s="3161" customFormat="1" ht="12.75"/>
    <row r="30827" s="3161" customFormat="1" ht="12.75"/>
    <row r="30828" s="3161" customFormat="1" ht="12.75"/>
    <row r="30829" s="3161" customFormat="1" ht="12.75"/>
    <row r="30830" s="3161" customFormat="1" ht="12.75"/>
    <row r="30831" s="3161" customFormat="1" ht="12.75"/>
    <row r="30832" s="3161" customFormat="1" ht="12.75"/>
    <row r="30833" s="3161" customFormat="1" ht="12.75"/>
    <row r="30834" s="3161" customFormat="1" ht="12.75"/>
    <row r="30835" s="3161" customFormat="1" ht="12.75"/>
    <row r="30836" s="3161" customFormat="1" ht="12.75"/>
    <row r="30837" s="3161" customFormat="1" ht="12.75"/>
    <row r="30838" s="3161" customFormat="1" ht="12.75"/>
    <row r="30839" s="3161" customFormat="1" ht="12.75"/>
    <row r="30840" s="3161" customFormat="1" ht="12.75"/>
    <row r="30841" s="3161" customFormat="1" ht="12.75"/>
    <row r="30842" s="3161" customFormat="1" ht="12.75"/>
    <row r="30843" s="3161" customFormat="1" ht="12.75"/>
    <row r="30844" s="3161" customFormat="1" ht="12.75"/>
    <row r="30845" s="3161" customFormat="1" ht="12.75"/>
    <row r="30846" s="3161" customFormat="1" ht="12.75"/>
    <row r="30847" s="3161" customFormat="1" ht="12.75"/>
    <row r="30848" s="3161" customFormat="1" ht="12.75"/>
    <row r="30849" s="3161" customFormat="1" ht="12.75"/>
    <row r="30850" s="3161" customFormat="1" ht="12.75"/>
    <row r="30851" s="3161" customFormat="1" ht="12.75"/>
    <row r="30852" s="3161" customFormat="1" ht="12.75"/>
    <row r="30853" s="3161" customFormat="1" ht="12.75"/>
    <row r="30854" s="3161" customFormat="1" ht="12.75"/>
    <row r="30855" s="3161" customFormat="1" ht="12.75"/>
    <row r="30856" s="3161" customFormat="1" ht="12.75"/>
    <row r="30857" s="3161" customFormat="1" ht="12.75"/>
    <row r="30858" s="3161" customFormat="1" ht="12.75"/>
    <row r="30859" s="3161" customFormat="1" ht="12.75"/>
    <row r="30860" s="3161" customFormat="1" ht="12.75"/>
    <row r="30861" s="3161" customFormat="1" ht="12.75"/>
    <row r="30862" s="3161" customFormat="1" ht="12.75"/>
    <row r="30863" s="3161" customFormat="1" ht="12.75"/>
    <row r="30864" s="3161" customFormat="1" ht="12.75"/>
    <row r="30865" s="3161" customFormat="1" ht="12.75"/>
    <row r="30866" s="3161" customFormat="1" ht="12.75"/>
    <row r="30867" s="3161" customFormat="1" ht="12.75"/>
    <row r="30868" s="3161" customFormat="1" ht="12.75"/>
    <row r="30869" s="3161" customFormat="1" ht="12.75"/>
    <row r="30870" s="3161" customFormat="1" ht="12.75"/>
    <row r="30871" s="3161" customFormat="1" ht="12.75"/>
    <row r="30872" s="3161" customFormat="1" ht="12.75"/>
    <row r="30873" s="3161" customFormat="1" ht="12.75"/>
    <row r="30874" s="3161" customFormat="1" ht="12.75"/>
    <row r="30875" s="3161" customFormat="1" ht="12.75"/>
    <row r="30876" s="3161" customFormat="1" ht="12.75"/>
    <row r="30877" s="3161" customFormat="1" ht="12.75"/>
    <row r="30878" s="3161" customFormat="1" ht="12.75"/>
    <row r="30879" s="3161" customFormat="1" ht="12.75"/>
    <row r="30880" s="3161" customFormat="1" ht="12.75"/>
    <row r="30881" s="3161" customFormat="1" ht="12.75"/>
    <row r="30882" s="3161" customFormat="1" ht="12.75"/>
    <row r="30883" s="3161" customFormat="1" ht="12.75"/>
    <row r="30884" s="3161" customFormat="1" ht="12.75"/>
    <row r="30885" s="3161" customFormat="1" ht="12.75"/>
    <row r="30886" s="3161" customFormat="1" ht="12.75"/>
    <row r="30887" s="3161" customFormat="1" ht="12.75"/>
    <row r="30888" s="3161" customFormat="1" ht="12.75"/>
    <row r="30889" s="3161" customFormat="1" ht="12.75"/>
    <row r="30890" s="3161" customFormat="1" ht="12.75"/>
    <row r="30891" s="3161" customFormat="1" ht="12.75"/>
    <row r="30892" s="3161" customFormat="1" ht="12.75"/>
    <row r="30893" s="3161" customFormat="1" ht="12.75"/>
    <row r="30894" s="3161" customFormat="1" ht="12.75"/>
    <row r="30895" s="3161" customFormat="1" ht="12.75"/>
    <row r="30896" s="3161" customFormat="1" ht="12.75"/>
    <row r="30897" s="3161" customFormat="1" ht="12.75"/>
    <row r="30898" s="3161" customFormat="1" ht="12.75"/>
    <row r="30899" s="3161" customFormat="1" ht="12.75"/>
    <row r="30900" s="3161" customFormat="1" ht="12.75"/>
    <row r="30901" s="3161" customFormat="1" ht="12.75"/>
    <row r="30902" s="3161" customFormat="1" ht="12.75"/>
    <row r="30903" s="3161" customFormat="1" ht="12.75"/>
    <row r="30904" s="3161" customFormat="1" ht="12.75"/>
    <row r="30905" s="3161" customFormat="1" ht="12.75"/>
    <row r="30906" s="3161" customFormat="1" ht="12.75"/>
    <row r="30907" s="3161" customFormat="1" ht="12.75"/>
    <row r="30908" s="3161" customFormat="1" ht="12.75"/>
    <row r="30909" s="3161" customFormat="1" ht="12.75"/>
    <row r="30910" s="3161" customFormat="1" ht="12.75"/>
    <row r="30911" s="3161" customFormat="1" ht="12.75"/>
    <row r="30912" s="3161" customFormat="1" ht="12.75"/>
    <row r="30913" s="3161" customFormat="1" ht="12.75"/>
    <row r="30914" s="3161" customFormat="1" ht="12.75"/>
    <row r="30915" s="3161" customFormat="1" ht="12.75"/>
    <row r="30916" s="3161" customFormat="1" ht="12.75"/>
    <row r="30917" s="3161" customFormat="1" ht="12.75"/>
    <row r="30918" s="3161" customFormat="1" ht="12.75"/>
    <row r="30919" s="3161" customFormat="1" ht="12.75"/>
    <row r="30920" s="3161" customFormat="1" ht="12.75"/>
    <row r="30921" s="3161" customFormat="1" ht="12.75"/>
    <row r="30922" s="3161" customFormat="1" ht="12.75"/>
    <row r="30923" s="3161" customFormat="1" ht="12.75"/>
    <row r="30924" s="3161" customFormat="1" ht="12.75"/>
    <row r="30925" s="3161" customFormat="1" ht="12.75"/>
    <row r="30926" s="3161" customFormat="1" ht="12.75"/>
    <row r="30927" s="3161" customFormat="1" ht="12.75"/>
    <row r="30928" s="3161" customFormat="1" ht="12.75"/>
    <row r="30929" s="3161" customFormat="1" ht="12.75"/>
    <row r="30930" s="3161" customFormat="1" ht="12.75"/>
    <row r="30931" s="3161" customFormat="1" ht="12.75"/>
    <row r="30932" s="3161" customFormat="1" ht="12.75"/>
    <row r="30933" s="3161" customFormat="1" ht="12.75"/>
    <row r="30934" s="3161" customFormat="1" ht="12.75"/>
    <row r="30935" s="3161" customFormat="1" ht="12.75"/>
    <row r="30936" s="3161" customFormat="1" ht="12.75"/>
    <row r="30937" s="3161" customFormat="1" ht="12.75"/>
    <row r="30938" s="3161" customFormat="1" ht="12.75"/>
    <row r="30939" s="3161" customFormat="1" ht="12.75"/>
    <row r="30940" s="3161" customFormat="1" ht="12.75"/>
    <row r="30941" s="3161" customFormat="1" ht="12.75"/>
    <row r="30942" s="3161" customFormat="1" ht="12.75"/>
    <row r="30943" s="3161" customFormat="1" ht="12.75"/>
    <row r="30944" s="3161" customFormat="1" ht="12.75"/>
    <row r="30945" s="3161" customFormat="1" ht="12.75"/>
    <row r="30946" s="3161" customFormat="1" ht="12.75"/>
    <row r="30947" s="3161" customFormat="1" ht="12.75"/>
    <row r="30948" s="3161" customFormat="1" ht="12.75"/>
    <row r="30949" s="3161" customFormat="1" ht="12.75"/>
    <row r="30950" s="3161" customFormat="1" ht="12.75"/>
    <row r="30951" s="3161" customFormat="1" ht="12.75"/>
    <row r="30952" s="3161" customFormat="1" ht="12.75"/>
    <row r="30953" s="3161" customFormat="1" ht="12.75"/>
    <row r="30954" s="3161" customFormat="1" ht="12.75"/>
    <row r="30955" s="3161" customFormat="1" ht="12.75"/>
    <row r="30956" s="3161" customFormat="1" ht="12.75"/>
    <row r="30957" s="3161" customFormat="1" ht="12.75"/>
    <row r="30958" s="3161" customFormat="1" ht="12.75"/>
    <row r="30959" s="3161" customFormat="1" ht="12.75"/>
    <row r="30960" s="3161" customFormat="1" ht="12.75"/>
    <row r="30961" s="3161" customFormat="1" ht="12.75"/>
    <row r="30962" s="3161" customFormat="1" ht="12.75"/>
    <row r="30963" s="3161" customFormat="1" ht="12.75"/>
    <row r="30964" s="3161" customFormat="1" ht="12.75"/>
    <row r="30965" s="3161" customFormat="1" ht="12.75"/>
    <row r="30966" s="3161" customFormat="1" ht="12.75"/>
    <row r="30967" s="3161" customFormat="1" ht="12.75"/>
    <row r="30968" s="3161" customFormat="1" ht="12.75"/>
    <row r="30969" s="3161" customFormat="1" ht="12.75"/>
    <row r="30970" s="3161" customFormat="1" ht="12.75"/>
    <row r="30971" s="3161" customFormat="1" ht="12.75"/>
    <row r="30972" s="3161" customFormat="1" ht="12.75"/>
    <row r="30973" s="3161" customFormat="1" ht="12.75"/>
    <row r="30974" s="3161" customFormat="1" ht="12.75"/>
    <row r="30975" s="3161" customFormat="1" ht="12.75"/>
    <row r="30976" s="3161" customFormat="1" ht="12.75"/>
    <row r="30977" s="3161" customFormat="1" ht="12.75"/>
    <row r="30978" s="3161" customFormat="1" ht="12.75"/>
    <row r="30979" s="3161" customFormat="1" ht="12.75"/>
    <row r="30980" s="3161" customFormat="1" ht="12.75"/>
    <row r="30981" s="3161" customFormat="1" ht="12.75"/>
    <row r="30982" s="3161" customFormat="1" ht="12.75"/>
    <row r="30983" s="3161" customFormat="1" ht="12.75"/>
    <row r="30984" s="3161" customFormat="1" ht="12.75"/>
    <row r="30985" s="3161" customFormat="1" ht="12.75"/>
    <row r="30986" s="3161" customFormat="1" ht="12.75"/>
    <row r="30987" s="3161" customFormat="1" ht="12.75"/>
    <row r="30988" s="3161" customFormat="1" ht="12.75"/>
    <row r="30989" s="3161" customFormat="1" ht="12.75"/>
    <row r="30990" s="3161" customFormat="1" ht="12.75"/>
    <row r="30991" s="3161" customFormat="1" ht="12.75"/>
    <row r="30992" s="3161" customFormat="1" ht="12.75"/>
    <row r="30993" s="3161" customFormat="1" ht="12.75"/>
    <row r="30994" s="3161" customFormat="1" ht="12.75"/>
    <row r="30995" s="3161" customFormat="1" ht="12.75"/>
    <row r="30996" s="3161" customFormat="1" ht="12.75"/>
    <row r="30997" s="3161" customFormat="1" ht="12.75"/>
    <row r="30998" s="3161" customFormat="1" ht="12.75"/>
    <row r="30999" s="3161" customFormat="1" ht="12.75"/>
    <row r="31000" s="3161" customFormat="1" ht="12.75"/>
    <row r="31001" s="3161" customFormat="1" ht="12.75"/>
    <row r="31002" s="3161" customFormat="1" ht="12.75"/>
    <row r="31003" s="3161" customFormat="1" ht="12.75"/>
    <row r="31004" s="3161" customFormat="1" ht="12.75"/>
    <row r="31005" s="3161" customFormat="1" ht="12.75"/>
    <row r="31006" s="3161" customFormat="1" ht="12.75"/>
    <row r="31007" s="3161" customFormat="1" ht="12.75"/>
    <row r="31008" s="3161" customFormat="1" ht="12.75"/>
    <row r="31009" s="3161" customFormat="1" ht="12.75"/>
    <row r="31010" s="3161" customFormat="1" ht="12.75"/>
    <row r="31011" s="3161" customFormat="1" ht="12.75"/>
    <row r="31012" s="3161" customFormat="1" ht="12.75"/>
    <row r="31013" s="3161" customFormat="1" ht="12.75"/>
    <row r="31014" s="3161" customFormat="1" ht="12.75"/>
    <row r="31015" s="3161" customFormat="1" ht="12.75"/>
    <row r="31016" s="3161" customFormat="1" ht="12.75"/>
    <row r="31017" s="3161" customFormat="1" ht="12.75"/>
    <row r="31018" s="3161" customFormat="1" ht="12.75"/>
    <row r="31019" s="3161" customFormat="1" ht="12.75"/>
    <row r="31020" s="3161" customFormat="1" ht="12.75"/>
    <row r="31021" s="3161" customFormat="1" ht="12.75"/>
    <row r="31022" s="3161" customFormat="1" ht="12.75"/>
    <row r="31023" s="3161" customFormat="1" ht="12.75"/>
    <row r="31024" s="3161" customFormat="1" ht="12.75"/>
    <row r="31025" s="3161" customFormat="1" ht="12.75"/>
    <row r="31026" s="3161" customFormat="1" ht="12.75"/>
    <row r="31027" s="3161" customFormat="1" ht="12.75"/>
    <row r="31028" s="3161" customFormat="1" ht="12.75"/>
    <row r="31029" s="3161" customFormat="1" ht="12.75"/>
    <row r="31030" s="3161" customFormat="1" ht="12.75"/>
    <row r="31031" s="3161" customFormat="1" ht="12.75"/>
    <row r="31032" s="3161" customFormat="1" ht="12.75"/>
    <row r="31033" s="3161" customFormat="1" ht="12.75"/>
    <row r="31034" s="3161" customFormat="1" ht="12.75"/>
    <row r="31035" s="3161" customFormat="1" ht="12.75"/>
    <row r="31036" s="3161" customFormat="1" ht="12.75"/>
    <row r="31037" s="3161" customFormat="1" ht="12.75"/>
    <row r="31038" s="3161" customFormat="1" ht="12.75"/>
    <row r="31039" s="3161" customFormat="1" ht="12.75"/>
    <row r="31040" s="3161" customFormat="1" ht="12.75"/>
    <row r="31041" s="3161" customFormat="1" ht="12.75"/>
    <row r="31042" s="3161" customFormat="1" ht="12.75"/>
    <row r="31043" s="3161" customFormat="1" ht="12.75"/>
    <row r="31044" s="3161" customFormat="1" ht="12.75"/>
    <row r="31045" s="3161" customFormat="1" ht="12.75"/>
    <row r="31046" s="3161" customFormat="1" ht="12.75"/>
    <row r="31047" s="3161" customFormat="1" ht="12.75"/>
    <row r="31048" s="3161" customFormat="1" ht="12.75"/>
    <row r="31049" s="3161" customFormat="1" ht="12.75"/>
    <row r="31050" s="3161" customFormat="1" ht="12.75"/>
    <row r="31051" s="3161" customFormat="1" ht="12.75"/>
    <row r="31052" s="3161" customFormat="1" ht="12.75"/>
    <row r="31053" s="3161" customFormat="1" ht="12.75"/>
    <row r="31054" s="3161" customFormat="1" ht="12.75"/>
    <row r="31055" s="3161" customFormat="1" ht="12.75"/>
    <row r="31056" s="3161" customFormat="1" ht="12.75"/>
    <row r="31057" s="3161" customFormat="1" ht="12.75"/>
    <row r="31058" s="3161" customFormat="1" ht="12.75"/>
    <row r="31059" s="3161" customFormat="1" ht="12.75"/>
    <row r="31060" s="3161" customFormat="1" ht="12.75"/>
    <row r="31061" s="3161" customFormat="1" ht="12.75"/>
    <row r="31062" s="3161" customFormat="1" ht="12.75"/>
    <row r="31063" s="3161" customFormat="1" ht="12.75"/>
    <row r="31064" s="3161" customFormat="1" ht="12.75"/>
    <row r="31065" s="3161" customFormat="1" ht="12.75"/>
    <row r="31066" s="3161" customFormat="1" ht="12.75"/>
    <row r="31067" s="3161" customFormat="1" ht="12.75"/>
    <row r="31068" s="3161" customFormat="1" ht="12.75"/>
    <row r="31069" s="3161" customFormat="1" ht="12.75"/>
    <row r="31070" s="3161" customFormat="1" ht="12.75"/>
    <row r="31071" s="3161" customFormat="1" ht="12.75"/>
    <row r="31072" s="3161" customFormat="1" ht="12.75"/>
    <row r="31073" s="3161" customFormat="1" ht="12.75"/>
    <row r="31074" s="3161" customFormat="1" ht="12.75"/>
    <row r="31075" s="3161" customFormat="1" ht="12.75"/>
    <row r="31076" s="3161" customFormat="1" ht="12.75"/>
    <row r="31077" s="3161" customFormat="1" ht="12.75"/>
    <row r="31078" s="3161" customFormat="1" ht="12.75"/>
    <row r="31079" s="3161" customFormat="1" ht="12.75"/>
    <row r="31080" s="3161" customFormat="1" ht="12.75"/>
    <row r="31081" s="3161" customFormat="1" ht="12.75"/>
    <row r="31082" s="3161" customFormat="1" ht="12.75"/>
    <row r="31083" s="3161" customFormat="1" ht="12.75"/>
    <row r="31084" s="3161" customFormat="1" ht="12.75"/>
    <row r="31085" s="3161" customFormat="1" ht="12.75"/>
    <row r="31086" s="3161" customFormat="1" ht="12.75"/>
    <row r="31087" s="3161" customFormat="1" ht="12.75"/>
    <row r="31088" s="3161" customFormat="1" ht="12.75"/>
    <row r="31089" s="3161" customFormat="1" ht="12.75"/>
    <row r="31090" s="3161" customFormat="1" ht="12.75"/>
    <row r="31091" s="3161" customFormat="1" ht="12.75"/>
    <row r="31092" s="3161" customFormat="1" ht="12.75"/>
    <row r="31093" s="3161" customFormat="1" ht="12.75"/>
    <row r="31094" s="3161" customFormat="1" ht="12.75"/>
    <row r="31095" s="3161" customFormat="1" ht="12.75"/>
    <row r="31096" s="3161" customFormat="1" ht="12.75"/>
    <row r="31097" s="3161" customFormat="1" ht="12.75"/>
    <row r="31098" s="3161" customFormat="1" ht="12.75"/>
    <row r="31099" s="3161" customFormat="1" ht="12.75"/>
    <row r="31100" s="3161" customFormat="1" ht="12.75"/>
    <row r="31101" s="3161" customFormat="1" ht="12.75"/>
    <row r="31102" s="3161" customFormat="1" ht="12.75"/>
    <row r="31103" s="3161" customFormat="1" ht="12.75"/>
    <row r="31104" s="3161" customFormat="1" ht="12.75"/>
    <row r="31105" s="3161" customFormat="1" ht="12.75"/>
    <row r="31106" s="3161" customFormat="1" ht="12.75"/>
    <row r="31107" s="3161" customFormat="1" ht="12.75"/>
    <row r="31108" s="3161" customFormat="1" ht="12.75"/>
    <row r="31109" s="3161" customFormat="1" ht="12.75"/>
    <row r="31110" s="3161" customFormat="1" ht="12.75"/>
    <row r="31111" s="3161" customFormat="1" ht="12.75"/>
    <row r="31112" s="3161" customFormat="1" ht="12.75"/>
    <row r="31113" s="3161" customFormat="1" ht="12.75"/>
    <row r="31114" s="3161" customFormat="1" ht="12.75"/>
    <row r="31115" s="3161" customFormat="1" ht="12.75"/>
    <row r="31116" s="3161" customFormat="1" ht="12.75"/>
    <row r="31117" s="3161" customFormat="1" ht="12.75"/>
    <row r="31118" s="3161" customFormat="1" ht="12.75"/>
    <row r="31119" s="3161" customFormat="1" ht="12.75"/>
    <row r="31120" s="3161" customFormat="1" ht="12.75"/>
    <row r="31121" s="3161" customFormat="1" ht="12.75"/>
    <row r="31122" s="3161" customFormat="1" ht="12.75"/>
    <row r="31123" s="3161" customFormat="1" ht="12.75"/>
    <row r="31124" s="3161" customFormat="1" ht="12.75"/>
    <row r="31125" s="3161" customFormat="1" ht="12.75"/>
    <row r="31126" s="3161" customFormat="1" ht="12.75"/>
    <row r="31127" s="3161" customFormat="1" ht="12.75"/>
    <row r="31128" s="3161" customFormat="1" ht="12.75"/>
    <row r="31129" s="3161" customFormat="1" ht="12.75"/>
    <row r="31130" s="3161" customFormat="1" ht="12.75"/>
    <row r="31131" s="3161" customFormat="1" ht="12.75"/>
    <row r="31132" s="3161" customFormat="1" ht="12.75"/>
    <row r="31133" s="3161" customFormat="1" ht="12.75"/>
    <row r="31134" s="3161" customFormat="1" ht="12.75"/>
    <row r="31135" s="3161" customFormat="1" ht="12.75"/>
    <row r="31136" s="3161" customFormat="1" ht="12.75"/>
    <row r="31137" s="3161" customFormat="1" ht="12.75"/>
    <row r="31138" s="3161" customFormat="1" ht="12.75"/>
    <row r="31139" s="3161" customFormat="1" ht="12.75"/>
    <row r="31140" s="3161" customFormat="1" ht="12.75"/>
    <row r="31141" s="3161" customFormat="1" ht="12.75"/>
    <row r="31142" s="3161" customFormat="1" ht="12.75"/>
    <row r="31143" s="3161" customFormat="1" ht="12.75"/>
    <row r="31144" s="3161" customFormat="1" ht="12.75"/>
    <row r="31145" s="3161" customFormat="1" ht="12.75"/>
    <row r="31146" s="3161" customFormat="1" ht="12.75"/>
    <row r="31147" s="3161" customFormat="1" ht="12.75"/>
    <row r="31148" s="3161" customFormat="1" ht="12.75"/>
    <row r="31149" s="3161" customFormat="1" ht="12.75"/>
    <row r="31150" s="3161" customFormat="1" ht="12.75"/>
    <row r="31151" s="3161" customFormat="1" ht="12.75"/>
    <row r="31152" s="3161" customFormat="1" ht="12.75"/>
    <row r="31153" s="3161" customFormat="1" ht="12.75"/>
    <row r="31154" s="3161" customFormat="1" ht="12.75"/>
    <row r="31155" s="3161" customFormat="1" ht="12.75"/>
    <row r="31156" s="3161" customFormat="1" ht="12.75"/>
    <row r="31157" s="3161" customFormat="1" ht="12.75"/>
    <row r="31158" s="3161" customFormat="1" ht="12.75"/>
    <row r="31159" s="3161" customFormat="1" ht="12.75"/>
    <row r="31160" s="3161" customFormat="1" ht="12.75"/>
    <row r="31161" s="3161" customFormat="1" ht="12.75"/>
    <row r="31162" s="3161" customFormat="1" ht="12.75"/>
    <row r="31163" s="3161" customFormat="1" ht="12.75"/>
    <row r="31164" s="3161" customFormat="1" ht="12.75"/>
    <row r="31165" s="3161" customFormat="1" ht="12.75"/>
    <row r="31166" s="3161" customFormat="1" ht="12.75"/>
    <row r="31167" s="3161" customFormat="1" ht="12.75"/>
    <row r="31168" s="3161" customFormat="1" ht="12.75"/>
    <row r="31169" s="3161" customFormat="1" ht="12.75"/>
    <row r="31170" s="3161" customFormat="1" ht="12.75"/>
    <row r="31171" s="3161" customFormat="1" ht="12.75"/>
    <row r="31172" s="3161" customFormat="1" ht="12.75"/>
    <row r="31173" s="3161" customFormat="1" ht="12.75"/>
    <row r="31174" s="3161" customFormat="1" ht="12.75"/>
    <row r="31175" s="3161" customFormat="1" ht="12.75"/>
    <row r="31176" s="3161" customFormat="1" ht="12.75"/>
    <row r="31177" s="3161" customFormat="1" ht="12.75"/>
    <row r="31178" s="3161" customFormat="1" ht="12.75"/>
    <row r="31179" s="3161" customFormat="1" ht="12.75"/>
    <row r="31180" s="3161" customFormat="1" ht="12.75"/>
    <row r="31181" s="3161" customFormat="1" ht="12.75"/>
    <row r="31182" s="3161" customFormat="1" ht="12.75"/>
    <row r="31183" s="3161" customFormat="1" ht="12.75"/>
    <row r="31184" s="3161" customFormat="1" ht="12.75"/>
    <row r="31185" s="3161" customFormat="1" ht="12.75"/>
    <row r="31186" s="3161" customFormat="1" ht="12.75"/>
    <row r="31187" s="3161" customFormat="1" ht="12.75"/>
    <row r="31188" s="3161" customFormat="1" ht="12.75"/>
    <row r="31189" s="3161" customFormat="1" ht="12.75"/>
    <row r="31190" s="3161" customFormat="1" ht="12.75"/>
    <row r="31191" s="3161" customFormat="1" ht="12.75"/>
    <row r="31192" s="3161" customFormat="1" ht="12.75"/>
    <row r="31193" s="3161" customFormat="1" ht="12.75"/>
    <row r="31194" s="3161" customFormat="1" ht="12.75"/>
    <row r="31195" s="3161" customFormat="1" ht="12.75"/>
    <row r="31196" s="3161" customFormat="1" ht="12.75"/>
    <row r="31197" s="3161" customFormat="1" ht="12.75"/>
    <row r="31198" s="3161" customFormat="1" ht="12.75"/>
    <row r="31199" s="3161" customFormat="1" ht="12.75"/>
    <row r="31200" s="3161" customFormat="1" ht="12.75"/>
    <row r="31201" s="3161" customFormat="1" ht="12.75"/>
    <row r="31202" s="3161" customFormat="1" ht="12.75"/>
    <row r="31203" s="3161" customFormat="1" ht="12.75"/>
    <row r="31204" s="3161" customFormat="1" ht="12.75"/>
    <row r="31205" s="3161" customFormat="1" ht="12.75"/>
    <row r="31206" s="3161" customFormat="1" ht="12.75"/>
    <row r="31207" s="3161" customFormat="1" ht="12.75"/>
    <row r="31208" s="3161" customFormat="1" ht="12.75"/>
    <row r="31209" s="3161" customFormat="1" ht="12.75"/>
    <row r="31210" s="3161" customFormat="1" ht="12.75"/>
    <row r="31211" s="3161" customFormat="1" ht="12.75"/>
    <row r="31212" s="3161" customFormat="1" ht="12.75"/>
    <row r="31213" s="3161" customFormat="1" ht="12.75"/>
    <row r="31214" s="3161" customFormat="1" ht="12.75"/>
    <row r="31215" s="3161" customFormat="1" ht="12.75"/>
    <row r="31216" s="3161" customFormat="1" ht="12.75"/>
    <row r="31217" s="3161" customFormat="1" ht="12.75"/>
    <row r="31218" s="3161" customFormat="1" ht="12.75"/>
    <row r="31219" s="3161" customFormat="1" ht="12.75"/>
    <row r="31220" s="3161" customFormat="1" ht="12.75"/>
    <row r="31221" s="3161" customFormat="1" ht="12.75"/>
    <row r="31222" s="3161" customFormat="1" ht="12.75"/>
    <row r="31223" s="3161" customFormat="1" ht="12.75"/>
    <row r="31224" s="3161" customFormat="1" ht="12.75"/>
    <row r="31225" s="3161" customFormat="1" ht="12.75"/>
    <row r="31226" s="3161" customFormat="1" ht="12.75"/>
    <row r="31227" s="3161" customFormat="1" ht="12.75"/>
    <row r="31228" s="3161" customFormat="1" ht="12.75"/>
    <row r="31229" s="3161" customFormat="1" ht="12.75"/>
    <row r="31230" s="3161" customFormat="1" ht="12.75"/>
    <row r="31231" s="3161" customFormat="1" ht="12.75"/>
    <row r="31232" s="3161" customFormat="1" ht="12.75"/>
    <row r="31233" s="3161" customFormat="1" ht="12.75"/>
    <row r="31234" s="3161" customFormat="1" ht="12.75"/>
    <row r="31235" s="3161" customFormat="1" ht="12.75"/>
    <row r="31236" s="3161" customFormat="1" ht="12.75"/>
    <row r="31237" s="3161" customFormat="1" ht="12.75"/>
    <row r="31238" s="3161" customFormat="1" ht="12.75"/>
    <row r="31239" s="3161" customFormat="1" ht="12.75"/>
    <row r="31240" s="3161" customFormat="1" ht="12.75"/>
    <row r="31241" s="3161" customFormat="1" ht="12.75"/>
    <row r="31242" s="3161" customFormat="1" ht="12.75"/>
    <row r="31243" s="3161" customFormat="1" ht="12.75"/>
    <row r="31244" s="3161" customFormat="1" ht="12.75"/>
    <row r="31245" s="3161" customFormat="1" ht="12.75"/>
    <row r="31246" s="3161" customFormat="1" ht="12.75"/>
    <row r="31247" s="3161" customFormat="1" ht="12.75"/>
    <row r="31248" s="3161" customFormat="1" ht="12.75"/>
    <row r="31249" s="3161" customFormat="1" ht="12.75"/>
    <row r="31250" s="3161" customFormat="1" ht="12.75"/>
    <row r="31251" s="3161" customFormat="1" ht="12.75"/>
    <row r="31252" s="3161" customFormat="1" ht="12.75"/>
    <row r="31253" s="3161" customFormat="1" ht="12.75"/>
    <row r="31254" s="3161" customFormat="1" ht="12.75"/>
    <row r="31255" s="3161" customFormat="1" ht="12.75"/>
    <row r="31256" s="3161" customFormat="1" ht="12.75"/>
    <row r="31257" s="3161" customFormat="1" ht="12.75"/>
    <row r="31258" s="3161" customFormat="1" ht="12.75"/>
    <row r="31259" s="3161" customFormat="1" ht="12.75"/>
    <row r="31260" s="3161" customFormat="1" ht="12.75"/>
    <row r="31261" s="3161" customFormat="1" ht="12.75"/>
    <row r="31262" s="3161" customFormat="1" ht="12.75"/>
    <row r="31263" s="3161" customFormat="1" ht="12.75"/>
    <row r="31264" s="3161" customFormat="1" ht="12.75"/>
    <row r="31265" s="3161" customFormat="1" ht="12.75"/>
    <row r="31266" s="3161" customFormat="1" ht="12.75"/>
    <row r="31267" s="3161" customFormat="1" ht="12.75"/>
    <row r="31268" s="3161" customFormat="1" ht="12.75"/>
    <row r="31269" s="3161" customFormat="1" ht="12.75"/>
    <row r="31270" s="3161" customFormat="1" ht="12.75"/>
    <row r="31271" s="3161" customFormat="1" ht="12.75"/>
    <row r="31272" s="3161" customFormat="1" ht="12.75"/>
    <row r="31273" s="3161" customFormat="1" ht="12.75"/>
    <row r="31274" s="3161" customFormat="1" ht="12.75"/>
    <row r="31275" s="3161" customFormat="1" ht="12.75"/>
    <row r="31276" s="3161" customFormat="1" ht="12.75"/>
    <row r="31277" s="3161" customFormat="1" ht="12.75"/>
    <row r="31278" s="3161" customFormat="1" ht="12.75"/>
    <row r="31279" s="3161" customFormat="1" ht="12.75"/>
    <row r="31280" s="3161" customFormat="1" ht="12.75"/>
    <row r="31281" s="3161" customFormat="1" ht="12.75"/>
    <row r="31282" s="3161" customFormat="1" ht="12.75"/>
    <row r="31283" s="3161" customFormat="1" ht="12.75"/>
    <row r="31284" s="3161" customFormat="1" ht="12.75"/>
    <row r="31285" s="3161" customFormat="1" ht="12.75"/>
    <row r="31286" s="3161" customFormat="1" ht="12.75"/>
    <row r="31287" s="3161" customFormat="1" ht="12.75"/>
    <row r="31288" s="3161" customFormat="1" ht="12.75"/>
    <row r="31289" s="3161" customFormat="1" ht="12.75"/>
    <row r="31290" s="3161" customFormat="1" ht="12.75"/>
    <row r="31291" s="3161" customFormat="1" ht="12.75"/>
    <row r="31292" s="3161" customFormat="1" ht="12.75"/>
    <row r="31293" s="3161" customFormat="1" ht="12.75"/>
    <row r="31294" s="3161" customFormat="1" ht="12.75"/>
    <row r="31295" s="3161" customFormat="1" ht="12.75"/>
    <row r="31296" s="3161" customFormat="1" ht="12.75"/>
    <row r="31297" s="3161" customFormat="1" ht="12.75"/>
    <row r="31298" s="3161" customFormat="1" ht="12.75"/>
    <row r="31299" s="3161" customFormat="1" ht="12.75"/>
    <row r="31300" s="3161" customFormat="1" ht="12.75"/>
    <row r="31301" s="3161" customFormat="1" ht="12.75"/>
    <row r="31302" s="3161" customFormat="1" ht="12.75"/>
    <row r="31303" s="3161" customFormat="1" ht="12.75"/>
    <row r="31304" s="3161" customFormat="1" ht="12.75"/>
    <row r="31305" s="3161" customFormat="1" ht="12.75"/>
    <row r="31306" s="3161" customFormat="1" ht="12.75"/>
    <row r="31307" s="3161" customFormat="1" ht="12.75"/>
    <row r="31308" s="3161" customFormat="1" ht="12.75"/>
    <row r="31309" s="3161" customFormat="1" ht="12.75"/>
    <row r="31310" s="3161" customFormat="1" ht="12.75"/>
    <row r="31311" s="3161" customFormat="1" ht="12.75"/>
    <row r="31312" s="3161" customFormat="1" ht="12.75"/>
    <row r="31313" s="3161" customFormat="1" ht="12.75"/>
    <row r="31314" s="3161" customFormat="1" ht="12.75"/>
    <row r="31315" s="3161" customFormat="1" ht="12.75"/>
    <row r="31316" s="3161" customFormat="1" ht="12.75"/>
    <row r="31317" s="3161" customFormat="1" ht="12.75"/>
    <row r="31318" s="3161" customFormat="1" ht="12.75"/>
    <row r="31319" s="3161" customFormat="1" ht="12.75"/>
    <row r="31320" s="3161" customFormat="1" ht="12.75"/>
    <row r="31321" s="3161" customFormat="1" ht="12.75"/>
    <row r="31322" s="3161" customFormat="1" ht="12.75"/>
    <row r="31323" s="3161" customFormat="1" ht="12.75"/>
    <row r="31324" s="3161" customFormat="1" ht="12.75"/>
    <row r="31325" s="3161" customFormat="1" ht="12.75"/>
    <row r="31326" s="3161" customFormat="1" ht="12.75"/>
    <row r="31327" s="3161" customFormat="1" ht="12.75"/>
    <row r="31328" s="3161" customFormat="1" ht="12.75"/>
    <row r="31329" s="3161" customFormat="1" ht="12.75"/>
    <row r="31330" s="3161" customFormat="1" ht="12.75"/>
    <row r="31331" s="3161" customFormat="1" ht="12.75"/>
    <row r="31332" s="3161" customFormat="1" ht="12.75"/>
    <row r="31333" s="3161" customFormat="1" ht="12.75"/>
    <row r="31334" s="3161" customFormat="1" ht="12.75"/>
    <row r="31335" s="3161" customFormat="1" ht="12.75"/>
    <row r="31336" s="3161" customFormat="1" ht="12.75"/>
    <row r="31337" s="3161" customFormat="1" ht="12.75"/>
    <row r="31338" s="3161" customFormat="1" ht="12.75"/>
    <row r="31339" s="3161" customFormat="1" ht="12.75"/>
    <row r="31340" s="3161" customFormat="1" ht="12.75"/>
    <row r="31341" s="3161" customFormat="1" ht="12.75"/>
    <row r="31342" s="3161" customFormat="1" ht="12.75"/>
    <row r="31343" s="3161" customFormat="1" ht="12.75"/>
    <row r="31344" s="3161" customFormat="1" ht="12.75"/>
    <row r="31345" s="3161" customFormat="1" ht="12.75"/>
    <row r="31346" s="3161" customFormat="1" ht="12.75"/>
    <row r="31347" s="3161" customFormat="1" ht="12.75"/>
    <row r="31348" s="3161" customFormat="1" ht="12.75"/>
    <row r="31349" s="3161" customFormat="1" ht="12.75"/>
    <row r="31350" s="3161" customFormat="1" ht="12.75"/>
    <row r="31351" s="3161" customFormat="1" ht="12.75"/>
    <row r="31352" s="3161" customFormat="1" ht="12.75"/>
    <row r="31353" s="3161" customFormat="1" ht="12.75"/>
    <row r="31354" s="3161" customFormat="1" ht="12.75"/>
    <row r="31355" s="3161" customFormat="1" ht="12.75"/>
    <row r="31356" s="3161" customFormat="1" ht="12.75"/>
    <row r="31357" s="3161" customFormat="1" ht="12.75"/>
    <row r="31358" s="3161" customFormat="1" ht="12.75"/>
    <row r="31359" s="3161" customFormat="1" ht="12.75"/>
    <row r="31360" s="3161" customFormat="1" ht="12.75"/>
    <row r="31361" s="3161" customFormat="1" ht="12.75"/>
    <row r="31362" s="3161" customFormat="1" ht="12.75"/>
    <row r="31363" s="3161" customFormat="1" ht="12.75"/>
    <row r="31364" s="3161" customFormat="1" ht="12.75"/>
    <row r="31365" s="3161" customFormat="1" ht="12.75"/>
    <row r="31366" s="3161" customFormat="1" ht="12.75"/>
    <row r="31367" s="3161" customFormat="1" ht="12.75"/>
    <row r="31368" s="3161" customFormat="1" ht="12.75"/>
    <row r="31369" s="3161" customFormat="1" ht="12.75"/>
    <row r="31370" s="3161" customFormat="1" ht="12.75"/>
    <row r="31371" s="3161" customFormat="1" ht="12.75"/>
    <row r="31372" s="3161" customFormat="1" ht="12.75"/>
    <row r="31373" s="3161" customFormat="1" ht="12.75"/>
    <row r="31374" s="3161" customFormat="1" ht="12.75"/>
    <row r="31375" s="3161" customFormat="1" ht="12.75"/>
    <row r="31376" s="3161" customFormat="1" ht="12.75"/>
    <row r="31377" s="3161" customFormat="1" ht="12.75"/>
    <row r="31378" s="3161" customFormat="1" ht="12.75"/>
    <row r="31379" s="3161" customFormat="1" ht="12.75"/>
    <row r="31380" s="3161" customFormat="1" ht="12.75"/>
    <row r="31381" s="3161" customFormat="1" ht="12.75"/>
    <row r="31382" s="3161" customFormat="1" ht="12.75"/>
    <row r="31383" s="3161" customFormat="1" ht="12.75"/>
    <row r="31384" s="3161" customFormat="1" ht="12.75"/>
    <row r="31385" s="3161" customFormat="1" ht="12.75"/>
    <row r="31386" s="3161" customFormat="1" ht="12.75"/>
    <row r="31387" s="3161" customFormat="1" ht="12.75"/>
    <row r="31388" s="3161" customFormat="1" ht="12.75"/>
    <row r="31389" s="3161" customFormat="1" ht="12.75"/>
    <row r="31390" s="3161" customFormat="1" ht="12.75"/>
    <row r="31391" s="3161" customFormat="1" ht="12.75"/>
    <row r="31392" s="3161" customFormat="1" ht="12.75"/>
    <row r="31393" s="3161" customFormat="1" ht="12.75"/>
    <row r="31394" s="3161" customFormat="1" ht="12.75"/>
    <row r="31395" s="3161" customFormat="1" ht="12.75"/>
    <row r="31396" s="3161" customFormat="1" ht="12.75"/>
    <row r="31397" s="3161" customFormat="1" ht="12.75"/>
    <row r="31398" s="3161" customFormat="1" ht="12.75"/>
    <row r="31399" s="3161" customFormat="1" ht="12.75"/>
    <row r="31400" s="3161" customFormat="1" ht="12.75"/>
    <row r="31401" s="3161" customFormat="1" ht="12.75"/>
    <row r="31402" s="3161" customFormat="1" ht="12.75"/>
    <row r="31403" s="3161" customFormat="1" ht="12.75"/>
    <row r="31404" s="3161" customFormat="1" ht="12.75"/>
    <row r="31405" s="3161" customFormat="1" ht="12.75"/>
    <row r="31406" s="3161" customFormat="1" ht="12.75"/>
    <row r="31407" s="3161" customFormat="1" ht="12.75"/>
    <row r="31408" s="3161" customFormat="1" ht="12.75"/>
    <row r="31409" s="3161" customFormat="1" ht="12.75"/>
    <row r="31410" s="3161" customFormat="1" ht="12.75"/>
    <row r="31411" s="3161" customFormat="1" ht="12.75"/>
    <row r="31412" s="3161" customFormat="1" ht="12.75"/>
    <row r="31413" s="3161" customFormat="1" ht="12.75"/>
    <row r="31414" s="3161" customFormat="1" ht="12.75"/>
    <row r="31415" s="3161" customFormat="1" ht="12.75"/>
    <row r="31416" s="3161" customFormat="1" ht="12.75"/>
    <row r="31417" s="3161" customFormat="1" ht="12.75"/>
    <row r="31418" s="3161" customFormat="1" ht="12.75"/>
    <row r="31419" s="3161" customFormat="1" ht="12.75"/>
    <row r="31420" s="3161" customFormat="1" ht="12.75"/>
    <row r="31421" s="3161" customFormat="1" ht="12.75"/>
    <row r="31422" s="3161" customFormat="1" ht="12.75"/>
    <row r="31423" s="3161" customFormat="1" ht="12.75"/>
    <row r="31424" s="3161" customFormat="1" ht="12.75"/>
    <row r="31425" s="3161" customFormat="1" ht="12.75"/>
    <row r="31426" s="3161" customFormat="1" ht="12.75"/>
    <row r="31427" s="3161" customFormat="1" ht="12.75"/>
    <row r="31428" s="3161" customFormat="1" ht="12.75"/>
    <row r="31429" s="3161" customFormat="1" ht="12.75"/>
    <row r="31430" s="3161" customFormat="1" ht="12.75"/>
    <row r="31431" s="3161" customFormat="1" ht="12.75"/>
    <row r="31432" s="3161" customFormat="1" ht="12.75"/>
    <row r="31433" s="3161" customFormat="1" ht="12.75"/>
    <row r="31434" s="3161" customFormat="1" ht="12.75"/>
    <row r="31435" s="3161" customFormat="1" ht="12.75"/>
    <row r="31436" s="3161" customFormat="1" ht="12.75"/>
    <row r="31437" s="3161" customFormat="1" ht="12.75"/>
    <row r="31438" s="3161" customFormat="1" ht="12.75"/>
    <row r="31439" s="3161" customFormat="1" ht="12.75"/>
    <row r="31440" s="3161" customFormat="1" ht="12.75"/>
    <row r="31441" s="3161" customFormat="1" ht="12.75"/>
    <row r="31442" s="3161" customFormat="1" ht="12.75"/>
    <row r="31443" s="3161" customFormat="1" ht="12.75"/>
    <row r="31444" s="3161" customFormat="1" ht="12.75"/>
    <row r="31445" s="3161" customFormat="1" ht="12.75"/>
    <row r="31446" s="3161" customFormat="1" ht="12.75"/>
    <row r="31447" s="3161" customFormat="1" ht="12.75"/>
    <row r="31448" s="3161" customFormat="1" ht="12.75"/>
    <row r="31449" s="3161" customFormat="1" ht="12.75"/>
    <row r="31450" s="3161" customFormat="1" ht="12.75"/>
    <row r="31451" s="3161" customFormat="1" ht="12.75"/>
    <row r="31452" s="3161" customFormat="1" ht="12.75"/>
    <row r="31453" s="3161" customFormat="1" ht="12.75"/>
    <row r="31454" s="3161" customFormat="1" ht="12.75"/>
    <row r="31455" s="3161" customFormat="1" ht="12.75"/>
    <row r="31456" s="3161" customFormat="1" ht="12.75"/>
    <row r="31457" s="3161" customFormat="1" ht="12.75"/>
    <row r="31458" s="3161" customFormat="1" ht="12.75"/>
    <row r="31459" s="3161" customFormat="1" ht="12.75"/>
    <row r="31460" s="3161" customFormat="1" ht="12.75"/>
    <row r="31461" s="3161" customFormat="1" ht="12.75"/>
    <row r="31462" s="3161" customFormat="1" ht="12.75"/>
    <row r="31463" s="3161" customFormat="1" ht="12.75"/>
    <row r="31464" s="3161" customFormat="1" ht="12.75"/>
    <row r="31465" s="3161" customFormat="1" ht="12.75"/>
    <row r="31466" s="3161" customFormat="1" ht="12.75"/>
    <row r="31467" s="3161" customFormat="1" ht="12.75"/>
    <row r="31468" s="3161" customFormat="1" ht="12.75"/>
    <row r="31469" s="3161" customFormat="1" ht="12.75"/>
    <row r="31470" s="3161" customFormat="1" ht="12.75"/>
    <row r="31471" s="3161" customFormat="1" ht="12.75"/>
    <row r="31472" s="3161" customFormat="1" ht="12.75"/>
    <row r="31473" s="3161" customFormat="1" ht="12.75"/>
    <row r="31474" s="3161" customFormat="1" ht="12.75"/>
    <row r="31475" s="3161" customFormat="1" ht="12.75"/>
    <row r="31476" s="3161" customFormat="1" ht="12.75"/>
    <row r="31477" s="3161" customFormat="1" ht="12.75"/>
    <row r="31478" s="3161" customFormat="1" ht="12.75"/>
    <row r="31479" s="3161" customFormat="1" ht="12.75"/>
    <row r="31480" s="3161" customFormat="1" ht="12.75"/>
    <row r="31481" s="3161" customFormat="1" ht="12.75"/>
    <row r="31482" s="3161" customFormat="1" ht="12.75"/>
    <row r="31483" s="3161" customFormat="1" ht="12.75"/>
    <row r="31484" s="3161" customFormat="1" ht="12.75"/>
    <row r="31485" s="3161" customFormat="1" ht="12.75"/>
    <row r="31486" s="3161" customFormat="1" ht="12.75"/>
    <row r="31487" s="3161" customFormat="1" ht="12.75"/>
    <row r="31488" s="3161" customFormat="1" ht="12.75"/>
    <row r="31489" s="3161" customFormat="1" ht="12.75"/>
    <row r="31490" s="3161" customFormat="1" ht="12.75"/>
    <row r="31491" s="3161" customFormat="1" ht="12.75"/>
    <row r="31492" s="3161" customFormat="1" ht="12.75"/>
    <row r="31493" s="3161" customFormat="1" ht="12.75"/>
    <row r="31494" s="3161" customFormat="1" ht="12.75"/>
    <row r="31495" s="3161" customFormat="1" ht="12.75"/>
    <row r="31496" s="3161" customFormat="1" ht="12.75"/>
    <row r="31497" s="3161" customFormat="1" ht="12.75"/>
    <row r="31498" s="3161" customFormat="1" ht="12.75"/>
    <row r="31499" s="3161" customFormat="1" ht="12.75"/>
    <row r="31500" s="3161" customFormat="1" ht="12.75"/>
    <row r="31501" s="3161" customFormat="1" ht="12.75"/>
    <row r="31502" s="3161" customFormat="1" ht="12.75"/>
    <row r="31503" s="3161" customFormat="1" ht="12.75"/>
    <row r="31504" s="3161" customFormat="1" ht="12.75"/>
    <row r="31505" s="3161" customFormat="1" ht="12.75"/>
    <row r="31506" s="3161" customFormat="1" ht="12.75"/>
    <row r="31507" s="3161" customFormat="1" ht="12.75"/>
    <row r="31508" s="3161" customFormat="1" ht="12.75"/>
    <row r="31509" s="3161" customFormat="1" ht="12.75"/>
    <row r="31510" s="3161" customFormat="1" ht="12.75"/>
    <row r="31511" s="3161" customFormat="1" ht="12.75"/>
    <row r="31512" s="3161" customFormat="1" ht="12.75"/>
    <row r="31513" s="3161" customFormat="1" ht="12.75"/>
    <row r="31514" s="3161" customFormat="1" ht="12.75"/>
    <row r="31515" s="3161" customFormat="1" ht="12.75"/>
    <row r="31516" s="3161" customFormat="1" ht="12.75"/>
    <row r="31517" s="3161" customFormat="1" ht="12.75"/>
    <row r="31518" s="3161" customFormat="1" ht="12.75"/>
    <row r="31519" s="3161" customFormat="1" ht="12.75"/>
    <row r="31520" s="3161" customFormat="1" ht="12.75"/>
    <row r="31521" s="3161" customFormat="1" ht="12.75"/>
    <row r="31522" s="3161" customFormat="1" ht="12.75"/>
    <row r="31523" s="3161" customFormat="1" ht="12.75"/>
    <row r="31524" s="3161" customFormat="1" ht="12.75"/>
    <row r="31525" s="3161" customFormat="1" ht="12.75"/>
    <row r="31526" s="3161" customFormat="1" ht="12.75"/>
    <row r="31527" s="3161" customFormat="1" ht="12.75"/>
    <row r="31528" s="3161" customFormat="1" ht="12.75"/>
    <row r="31529" s="3161" customFormat="1" ht="12.75"/>
    <row r="31530" s="3161" customFormat="1" ht="12.75"/>
    <row r="31531" s="3161" customFormat="1" ht="12.75"/>
    <row r="31532" s="3161" customFormat="1" ht="12.75"/>
    <row r="31533" s="3161" customFormat="1" ht="12.75"/>
    <row r="31534" s="3161" customFormat="1" ht="12.75"/>
    <row r="31535" s="3161" customFormat="1" ht="12.75"/>
    <row r="31536" s="3161" customFormat="1" ht="12.75"/>
    <row r="31537" s="3161" customFormat="1" ht="12.75"/>
    <row r="31538" s="3161" customFormat="1" ht="12.75"/>
    <row r="31539" s="3161" customFormat="1" ht="12.75"/>
    <row r="31540" s="3161" customFormat="1" ht="12.75"/>
    <row r="31541" s="3161" customFormat="1" ht="12.75"/>
    <row r="31542" s="3161" customFormat="1" ht="12.75"/>
    <row r="31543" s="3161" customFormat="1" ht="12.75"/>
    <row r="31544" s="3161" customFormat="1" ht="12.75"/>
    <row r="31545" s="3161" customFormat="1" ht="12.75"/>
    <row r="31546" s="3161" customFormat="1" ht="12.75"/>
    <row r="31547" s="3161" customFormat="1" ht="12.75"/>
    <row r="31548" s="3161" customFormat="1" ht="12.75"/>
    <row r="31549" s="3161" customFormat="1" ht="12.75"/>
    <row r="31550" s="3161" customFormat="1" ht="12.75"/>
    <row r="31551" s="3161" customFormat="1" ht="12.75"/>
    <row r="31552" s="3161" customFormat="1" ht="12.75"/>
    <row r="31553" s="3161" customFormat="1" ht="12.75"/>
    <row r="31554" s="3161" customFormat="1" ht="12.75"/>
    <row r="31555" s="3161" customFormat="1" ht="12.75"/>
    <row r="31556" s="3161" customFormat="1" ht="12.75"/>
    <row r="31557" s="3161" customFormat="1" ht="12.75"/>
    <row r="31558" s="3161" customFormat="1" ht="12.75"/>
    <row r="31559" s="3161" customFormat="1" ht="12.75"/>
    <row r="31560" s="3161" customFormat="1" ht="12.75"/>
    <row r="31561" s="3161" customFormat="1" ht="12.75"/>
    <row r="31562" s="3161" customFormat="1" ht="12.75"/>
    <row r="31563" s="3161" customFormat="1" ht="12.75"/>
    <row r="31564" s="3161" customFormat="1" ht="12.75"/>
    <row r="31565" s="3161" customFormat="1" ht="12.75"/>
    <row r="31566" s="3161" customFormat="1" ht="12.75"/>
    <row r="31567" s="3161" customFormat="1" ht="12.75"/>
    <row r="31568" s="3161" customFormat="1" ht="12.75"/>
    <row r="31569" s="3161" customFormat="1" ht="12.75"/>
    <row r="31570" s="3161" customFormat="1" ht="12.75"/>
    <row r="31571" s="3161" customFormat="1" ht="12.75"/>
    <row r="31572" s="3161" customFormat="1" ht="12.75"/>
    <row r="31573" s="3161" customFormat="1" ht="12.75"/>
    <row r="31574" s="3161" customFormat="1" ht="12.75"/>
    <row r="31575" s="3161" customFormat="1" ht="12.75"/>
    <row r="31576" s="3161" customFormat="1" ht="12.75"/>
    <row r="31577" s="3161" customFormat="1" ht="12.75"/>
    <row r="31578" s="3161" customFormat="1" ht="12.75"/>
    <row r="31579" s="3161" customFormat="1" ht="12.75"/>
    <row r="31580" s="3161" customFormat="1" ht="12.75"/>
    <row r="31581" s="3161" customFormat="1" ht="12.75"/>
    <row r="31582" s="3161" customFormat="1" ht="12.75"/>
    <row r="31583" s="3161" customFormat="1" ht="12.75"/>
    <row r="31584" s="3161" customFormat="1" ht="12.75"/>
    <row r="31585" s="3161" customFormat="1" ht="12.75"/>
    <row r="31586" s="3161" customFormat="1" ht="12.75"/>
    <row r="31587" s="3161" customFormat="1" ht="12.75"/>
    <row r="31588" s="3161" customFormat="1" ht="12.75"/>
    <row r="31589" s="3161" customFormat="1" ht="12.75"/>
    <row r="31590" s="3161" customFormat="1" ht="12.75"/>
    <row r="31591" s="3161" customFormat="1" ht="12.75"/>
    <row r="31592" s="3161" customFormat="1" ht="12.75"/>
    <row r="31593" s="3161" customFormat="1" ht="12.75"/>
    <row r="31594" s="3161" customFormat="1" ht="12.75"/>
    <row r="31595" s="3161" customFormat="1" ht="12.75"/>
    <row r="31596" s="3161" customFormat="1" ht="12.75"/>
    <row r="31597" s="3161" customFormat="1" ht="12.75"/>
    <row r="31598" s="3161" customFormat="1" ht="12.75"/>
    <row r="31599" s="3161" customFormat="1" ht="12.75"/>
    <row r="31600" s="3161" customFormat="1" ht="12.75"/>
    <row r="31601" s="3161" customFormat="1" ht="12.75"/>
    <row r="31602" s="3161" customFormat="1" ht="12.75"/>
    <row r="31603" s="3161" customFormat="1" ht="12.75"/>
    <row r="31604" s="3161" customFormat="1" ht="12.75"/>
    <row r="31605" s="3161" customFormat="1" ht="12.75"/>
    <row r="31606" s="3161" customFormat="1" ht="12.75"/>
    <row r="31607" s="3161" customFormat="1" ht="12.75"/>
    <row r="31608" s="3161" customFormat="1" ht="12.75"/>
    <row r="31609" s="3161" customFormat="1" ht="12.75"/>
    <row r="31610" s="3161" customFormat="1" ht="12.75"/>
    <row r="31611" s="3161" customFormat="1" ht="12.75"/>
    <row r="31612" s="3161" customFormat="1" ht="12.75"/>
    <row r="31613" s="3161" customFormat="1" ht="12.75"/>
    <row r="31614" s="3161" customFormat="1" ht="12.75"/>
    <row r="31615" s="3161" customFormat="1" ht="12.75"/>
    <row r="31616" s="3161" customFormat="1" ht="12.75"/>
    <row r="31617" s="3161" customFormat="1" ht="12.75"/>
    <row r="31618" s="3161" customFormat="1" ht="12.75"/>
    <row r="31619" s="3161" customFormat="1" ht="12.75"/>
    <row r="31620" s="3161" customFormat="1" ht="12.75"/>
    <row r="31621" s="3161" customFormat="1" ht="12.75"/>
    <row r="31622" s="3161" customFormat="1" ht="12.75"/>
    <row r="31623" s="3161" customFormat="1" ht="12.75"/>
    <row r="31624" s="3161" customFormat="1" ht="12.75"/>
    <row r="31625" s="3161" customFormat="1" ht="12.75"/>
    <row r="31626" s="3161" customFormat="1" ht="12.75"/>
    <row r="31627" s="3161" customFormat="1" ht="12.75"/>
    <row r="31628" s="3161" customFormat="1" ht="12.75"/>
    <row r="31629" s="3161" customFormat="1" ht="12.75"/>
    <row r="31630" s="3161" customFormat="1" ht="12.75"/>
    <row r="31631" s="3161" customFormat="1" ht="12.75"/>
    <row r="31632" s="3161" customFormat="1" ht="12.75"/>
    <row r="31633" s="3161" customFormat="1" ht="12.75"/>
    <row r="31634" s="3161" customFormat="1" ht="12.75"/>
    <row r="31635" s="3161" customFormat="1" ht="12.75"/>
    <row r="31636" s="3161" customFormat="1" ht="12.75"/>
    <row r="31637" s="3161" customFormat="1" ht="12.75"/>
    <row r="31638" s="3161" customFormat="1" ht="12.75"/>
    <row r="31639" s="3161" customFormat="1" ht="12.75"/>
    <row r="31640" s="3161" customFormat="1" ht="12.75"/>
    <row r="31641" s="3161" customFormat="1" ht="12.75"/>
    <row r="31642" s="3161" customFormat="1" ht="12.75"/>
    <row r="31643" s="3161" customFormat="1" ht="12.75"/>
    <row r="31644" s="3161" customFormat="1" ht="12.75"/>
    <row r="31645" s="3161" customFormat="1" ht="12.75"/>
    <row r="31646" s="3161" customFormat="1" ht="12.75"/>
    <row r="31647" s="3161" customFormat="1" ht="12.75"/>
    <row r="31648" s="3161" customFormat="1" ht="12.75"/>
    <row r="31649" s="3161" customFormat="1" ht="12.75"/>
    <row r="31650" s="3161" customFormat="1" ht="12.75"/>
    <row r="31651" s="3161" customFormat="1" ht="12.75"/>
    <row r="31652" s="3161" customFormat="1" ht="12.75"/>
    <row r="31653" s="3161" customFormat="1" ht="12.75"/>
    <row r="31654" s="3161" customFormat="1" ht="12.75"/>
    <row r="31655" s="3161" customFormat="1" ht="12.75"/>
    <row r="31656" s="3161" customFormat="1" ht="12.75"/>
    <row r="31657" s="3161" customFormat="1" ht="12.75"/>
    <row r="31658" s="3161" customFormat="1" ht="12.75"/>
    <row r="31659" s="3161" customFormat="1" ht="12.75"/>
    <row r="31660" s="3161" customFormat="1" ht="12.75"/>
    <row r="31661" s="3161" customFormat="1" ht="12.75"/>
    <row r="31662" s="3161" customFormat="1" ht="12.75"/>
    <row r="31663" s="3161" customFormat="1" ht="12.75"/>
    <row r="31664" s="3161" customFormat="1" ht="12.75"/>
    <row r="31665" s="3161" customFormat="1" ht="12.75"/>
    <row r="31666" s="3161" customFormat="1" ht="12.75"/>
    <row r="31667" s="3161" customFormat="1" ht="12.75"/>
    <row r="31668" s="3161" customFormat="1" ht="12.75"/>
    <row r="31669" s="3161" customFormat="1" ht="12.75"/>
    <row r="31670" s="3161" customFormat="1" ht="12.75"/>
    <row r="31671" s="3161" customFormat="1" ht="12.75"/>
    <row r="31672" s="3161" customFormat="1" ht="12.75"/>
    <row r="31673" s="3161" customFormat="1" ht="12.75"/>
    <row r="31674" s="3161" customFormat="1" ht="12.75"/>
    <row r="31675" s="3161" customFormat="1" ht="12.75"/>
    <row r="31676" s="3161" customFormat="1" ht="12.75"/>
    <row r="31677" s="3161" customFormat="1" ht="12.75"/>
    <row r="31678" s="3161" customFormat="1" ht="12.75"/>
    <row r="31679" s="3161" customFormat="1" ht="12.75"/>
    <row r="31680" s="3161" customFormat="1" ht="12.75"/>
    <row r="31681" s="3161" customFormat="1" ht="12.75"/>
    <row r="31682" s="3161" customFormat="1" ht="12.75"/>
    <row r="31683" s="3161" customFormat="1" ht="12.75"/>
    <row r="31684" s="3161" customFormat="1" ht="12.75"/>
    <row r="31685" s="3161" customFormat="1" ht="12.75"/>
    <row r="31686" s="3161" customFormat="1" ht="12.75"/>
    <row r="31687" s="3161" customFormat="1" ht="12.75"/>
    <row r="31688" s="3161" customFormat="1" ht="12.75"/>
    <row r="31689" s="3161" customFormat="1" ht="12.75"/>
    <row r="31690" s="3161" customFormat="1" ht="12.75"/>
    <row r="31691" s="3161" customFormat="1" ht="12.75"/>
    <row r="31692" s="3161" customFormat="1" ht="12.75"/>
    <row r="31693" s="3161" customFormat="1" ht="12.75"/>
    <row r="31694" s="3161" customFormat="1" ht="12.75"/>
    <row r="31695" s="3161" customFormat="1" ht="12.75"/>
    <row r="31696" s="3161" customFormat="1" ht="12.75"/>
    <row r="31697" s="3161" customFormat="1" ht="12.75"/>
    <row r="31698" s="3161" customFormat="1" ht="12.75"/>
    <row r="31699" s="3161" customFormat="1" ht="12.75"/>
    <row r="31700" s="3161" customFormat="1" ht="12.75"/>
    <row r="31701" s="3161" customFormat="1" ht="12.75"/>
    <row r="31702" s="3161" customFormat="1" ht="12.75"/>
    <row r="31703" s="3161" customFormat="1" ht="12.75"/>
    <row r="31704" s="3161" customFormat="1" ht="12.75"/>
    <row r="31705" s="3161" customFormat="1" ht="12.75"/>
    <row r="31706" s="3161" customFormat="1" ht="12.75"/>
    <row r="31707" s="3161" customFormat="1" ht="12.75"/>
    <row r="31708" s="3161" customFormat="1" ht="12.75"/>
    <row r="31709" s="3161" customFormat="1" ht="12.75"/>
    <row r="31710" s="3161" customFormat="1" ht="12.75"/>
    <row r="31711" s="3161" customFormat="1" ht="12.75"/>
    <row r="31712" s="3161" customFormat="1" ht="12.75"/>
    <row r="31713" s="3161" customFormat="1" ht="12.75"/>
    <row r="31714" s="3161" customFormat="1" ht="12.75"/>
    <row r="31715" s="3161" customFormat="1" ht="12.75"/>
    <row r="31716" s="3161" customFormat="1" ht="12.75"/>
    <row r="31717" s="3161" customFormat="1" ht="12.75"/>
    <row r="31718" s="3161" customFormat="1" ht="12.75"/>
    <row r="31719" s="3161" customFormat="1" ht="12.75"/>
    <row r="31720" s="3161" customFormat="1" ht="12.75"/>
    <row r="31721" s="3161" customFormat="1" ht="12.75"/>
    <row r="31722" s="3161" customFormat="1" ht="12.75"/>
    <row r="31723" s="3161" customFormat="1" ht="12.75"/>
    <row r="31724" s="3161" customFormat="1" ht="12.75"/>
    <row r="31725" s="3161" customFormat="1" ht="12.75"/>
    <row r="31726" s="3161" customFormat="1" ht="12.75"/>
    <row r="31727" s="3161" customFormat="1" ht="12.75"/>
    <row r="31728" s="3161" customFormat="1" ht="12.75"/>
    <row r="31729" s="3161" customFormat="1" ht="12.75"/>
    <row r="31730" s="3161" customFormat="1" ht="12.75"/>
    <row r="31731" s="3161" customFormat="1" ht="12.75"/>
    <row r="31732" s="3161" customFormat="1" ht="12.75"/>
    <row r="31733" s="3161" customFormat="1" ht="12.75"/>
    <row r="31734" s="3161" customFormat="1" ht="12.75"/>
    <row r="31735" s="3161" customFormat="1" ht="12.75"/>
    <row r="31736" s="3161" customFormat="1" ht="12.75"/>
    <row r="31737" s="3161" customFormat="1" ht="12.75"/>
    <row r="31738" s="3161" customFormat="1" ht="12.75"/>
    <row r="31739" s="3161" customFormat="1" ht="12.75"/>
    <row r="31740" s="3161" customFormat="1" ht="12.75"/>
    <row r="31741" s="3161" customFormat="1" ht="12.75"/>
    <row r="31742" s="3161" customFormat="1" ht="12.75"/>
    <row r="31743" s="3161" customFormat="1" ht="12.75"/>
    <row r="31744" s="3161" customFormat="1" ht="12.75"/>
    <row r="31745" s="3161" customFormat="1" ht="12.75"/>
    <row r="31746" s="3161" customFormat="1" ht="12.75"/>
    <row r="31747" s="3161" customFormat="1" ht="12.75"/>
    <row r="31748" s="3161" customFormat="1" ht="12.75"/>
    <row r="31749" s="3161" customFormat="1" ht="12.75"/>
    <row r="31750" s="3161" customFormat="1" ht="12.75"/>
    <row r="31751" s="3161" customFormat="1" ht="12.75"/>
    <row r="31752" s="3161" customFormat="1" ht="12.75"/>
    <row r="31753" s="3161" customFormat="1" ht="12.75"/>
    <row r="31754" s="3161" customFormat="1" ht="12.75"/>
    <row r="31755" s="3161" customFormat="1" ht="12.75"/>
    <row r="31756" s="3161" customFormat="1" ht="12.75"/>
    <row r="31757" s="3161" customFormat="1" ht="12.75"/>
    <row r="31758" s="3161" customFormat="1" ht="12.75"/>
    <row r="31759" s="3161" customFormat="1" ht="12.75"/>
    <row r="31760" s="3161" customFormat="1" ht="12.75"/>
    <row r="31761" s="3161" customFormat="1" ht="12.75"/>
    <row r="31762" s="3161" customFormat="1" ht="12.75"/>
    <row r="31763" s="3161" customFormat="1" ht="12.75"/>
    <row r="31764" s="3161" customFormat="1" ht="12.75"/>
    <row r="31765" s="3161" customFormat="1" ht="12.75"/>
    <row r="31766" s="3161" customFormat="1" ht="12.75"/>
    <row r="31767" s="3161" customFormat="1" ht="12.75"/>
    <row r="31768" s="3161" customFormat="1" ht="12.75"/>
    <row r="31769" s="3161" customFormat="1" ht="12.75"/>
    <row r="31770" s="3161" customFormat="1" ht="12.75"/>
    <row r="31771" s="3161" customFormat="1" ht="12.75"/>
    <row r="31772" s="3161" customFormat="1" ht="12.75"/>
    <row r="31773" s="3161" customFormat="1" ht="12.75"/>
    <row r="31774" s="3161" customFormat="1" ht="12.75"/>
    <row r="31775" s="3161" customFormat="1" ht="12.75"/>
    <row r="31776" s="3161" customFormat="1" ht="12.75"/>
    <row r="31777" s="3161" customFormat="1" ht="12.75"/>
    <row r="31778" s="3161" customFormat="1" ht="12.75"/>
    <row r="31779" s="3161" customFormat="1" ht="12.75"/>
    <row r="31780" s="3161" customFormat="1" ht="12.75"/>
    <row r="31781" s="3161" customFormat="1" ht="12.75"/>
    <row r="31782" s="3161" customFormat="1" ht="12.75"/>
    <row r="31783" s="3161" customFormat="1" ht="12.75"/>
    <row r="31784" s="3161" customFormat="1" ht="12.75"/>
    <row r="31785" s="3161" customFormat="1" ht="12.75"/>
    <row r="31786" s="3161" customFormat="1" ht="12.75"/>
    <row r="31787" s="3161" customFormat="1" ht="12.75"/>
    <row r="31788" s="3161" customFormat="1" ht="12.75"/>
    <row r="31789" s="3161" customFormat="1" ht="12.75"/>
    <row r="31790" s="3161" customFormat="1" ht="12.75"/>
    <row r="31791" s="3161" customFormat="1" ht="12.75"/>
    <row r="31792" s="3161" customFormat="1" ht="12.75"/>
    <row r="31793" s="3161" customFormat="1" ht="12.75"/>
    <row r="31794" s="3161" customFormat="1" ht="12.75"/>
    <row r="31795" s="3161" customFormat="1" ht="12.75"/>
    <row r="31796" s="3161" customFormat="1" ht="12.75"/>
    <row r="31797" s="3161" customFormat="1" ht="12.75"/>
    <row r="31798" s="3161" customFormat="1" ht="12.75"/>
    <row r="31799" s="3161" customFormat="1" ht="12.75"/>
    <row r="31800" s="3161" customFormat="1" ht="12.75"/>
    <row r="31801" s="3161" customFormat="1" ht="12.75"/>
    <row r="31802" s="3161" customFormat="1" ht="12.75"/>
    <row r="31803" s="3161" customFormat="1" ht="12.75"/>
    <row r="31804" s="3161" customFormat="1" ht="12.75"/>
    <row r="31805" s="3161" customFormat="1" ht="12.75"/>
    <row r="31806" s="3161" customFormat="1" ht="12.75"/>
    <row r="31807" s="3161" customFormat="1" ht="12.75"/>
    <row r="31808" s="3161" customFormat="1" ht="12.75"/>
    <row r="31809" s="3161" customFormat="1" ht="12.75"/>
    <row r="31810" s="3161" customFormat="1" ht="12.75"/>
    <row r="31811" s="3161" customFormat="1" ht="12.75"/>
    <row r="31812" s="3161" customFormat="1" ht="12.75"/>
    <row r="31813" s="3161" customFormat="1" ht="12.75"/>
    <row r="31814" s="3161" customFormat="1" ht="12.75"/>
    <row r="31815" s="3161" customFormat="1" ht="12.75"/>
    <row r="31816" s="3161" customFormat="1" ht="12.75"/>
    <row r="31817" s="3161" customFormat="1" ht="12.75"/>
    <row r="31818" s="3161" customFormat="1" ht="12.75"/>
    <row r="31819" s="3161" customFormat="1" ht="12.75"/>
    <row r="31820" s="3161" customFormat="1" ht="12.75"/>
    <row r="31821" s="3161" customFormat="1" ht="12.75"/>
    <row r="31822" s="3161" customFormat="1" ht="12.75"/>
    <row r="31823" s="3161" customFormat="1" ht="12.75"/>
    <row r="31824" s="3161" customFormat="1" ht="12.75"/>
    <row r="31825" s="3161" customFormat="1" ht="12.75"/>
    <row r="31826" s="3161" customFormat="1" ht="12.75"/>
    <row r="31827" s="3161" customFormat="1" ht="12.75"/>
    <row r="31828" s="3161" customFormat="1" ht="12.75"/>
    <row r="31829" s="3161" customFormat="1" ht="12.75"/>
    <row r="31830" s="3161" customFormat="1" ht="12.75"/>
    <row r="31831" s="3161" customFormat="1" ht="12.75"/>
    <row r="31832" s="3161" customFormat="1" ht="12.75"/>
    <row r="31833" s="3161" customFormat="1" ht="12.75"/>
    <row r="31834" s="3161" customFormat="1" ht="12.75"/>
    <row r="31835" s="3161" customFormat="1" ht="12.75"/>
    <row r="31836" s="3161" customFormat="1" ht="12.75"/>
    <row r="31837" s="3161" customFormat="1" ht="12.75"/>
    <row r="31838" s="3161" customFormat="1" ht="12.75"/>
    <row r="31839" s="3161" customFormat="1" ht="12.75"/>
    <row r="31840" s="3161" customFormat="1" ht="12.75"/>
    <row r="31841" s="3161" customFormat="1" ht="12.75"/>
    <row r="31842" s="3161" customFormat="1" ht="12.75"/>
    <row r="31843" s="3161" customFormat="1" ht="12.75"/>
    <row r="31844" s="3161" customFormat="1" ht="12.75"/>
    <row r="31845" s="3161" customFormat="1" ht="12.75"/>
    <row r="31846" s="3161" customFormat="1" ht="12.75"/>
    <row r="31847" s="3161" customFormat="1" ht="12.75"/>
    <row r="31848" s="3161" customFormat="1" ht="12.75"/>
    <row r="31849" s="3161" customFormat="1" ht="12.75"/>
    <row r="31850" s="3161" customFormat="1" ht="12.75"/>
    <row r="31851" s="3161" customFormat="1" ht="12.75"/>
    <row r="31852" s="3161" customFormat="1" ht="12.75"/>
    <row r="31853" s="3161" customFormat="1" ht="12.75"/>
    <row r="31854" s="3161" customFormat="1" ht="12.75"/>
    <row r="31855" s="3161" customFormat="1" ht="12.75"/>
    <row r="31856" s="3161" customFormat="1" ht="12.75"/>
    <row r="31857" s="3161" customFormat="1" ht="12.75"/>
    <row r="31858" s="3161" customFormat="1" ht="12.75"/>
    <row r="31859" s="3161" customFormat="1" ht="12.75"/>
    <row r="31860" s="3161" customFormat="1" ht="12.75"/>
    <row r="31861" s="3161" customFormat="1" ht="12.75"/>
    <row r="31862" s="3161" customFormat="1" ht="12.75"/>
    <row r="31863" s="3161" customFormat="1" ht="12.75"/>
    <row r="31864" s="3161" customFormat="1" ht="12.75"/>
    <row r="31865" s="3161" customFormat="1" ht="12.75"/>
    <row r="31866" s="3161" customFormat="1" ht="12.75"/>
    <row r="31867" s="3161" customFormat="1" ht="12.75"/>
    <row r="31868" s="3161" customFormat="1" ht="12.75"/>
    <row r="31869" s="3161" customFormat="1" ht="12.75"/>
    <row r="31870" s="3161" customFormat="1" ht="12.75"/>
    <row r="31871" s="3161" customFormat="1" ht="12.75"/>
    <row r="31872" s="3161" customFormat="1" ht="12.75"/>
    <row r="31873" s="3161" customFormat="1" ht="12.75"/>
    <row r="31874" s="3161" customFormat="1" ht="12.75"/>
    <row r="31875" s="3161" customFormat="1" ht="12.75"/>
    <row r="31876" s="3161" customFormat="1" ht="12.75"/>
    <row r="31877" s="3161" customFormat="1" ht="12.75"/>
    <row r="31878" s="3161" customFormat="1" ht="12.75"/>
    <row r="31879" s="3161" customFormat="1" ht="12.75"/>
    <row r="31880" s="3161" customFormat="1" ht="12.75"/>
    <row r="31881" s="3161" customFormat="1" ht="12.75"/>
    <row r="31882" s="3161" customFormat="1" ht="12.75"/>
    <row r="31883" s="3161" customFormat="1" ht="12.75"/>
    <row r="31884" s="3161" customFormat="1" ht="12.75"/>
    <row r="31885" s="3161" customFormat="1" ht="12.75"/>
    <row r="31886" s="3161" customFormat="1" ht="12.75"/>
    <row r="31887" s="3161" customFormat="1" ht="12.75"/>
    <row r="31888" s="3161" customFormat="1" ht="12.75"/>
    <row r="31889" s="3161" customFormat="1" ht="12.75"/>
    <row r="31890" s="3161" customFormat="1" ht="12.75"/>
    <row r="31891" s="3161" customFormat="1" ht="12.75"/>
    <row r="31892" s="3161" customFormat="1" ht="12.75"/>
    <row r="31893" s="3161" customFormat="1" ht="12.75"/>
    <row r="31894" s="3161" customFormat="1" ht="12.75"/>
    <row r="31895" s="3161" customFormat="1" ht="12.75"/>
    <row r="31896" s="3161" customFormat="1" ht="12.75"/>
    <row r="31897" s="3161" customFormat="1" ht="12.75"/>
    <row r="31898" s="3161" customFormat="1" ht="12.75"/>
    <row r="31899" s="3161" customFormat="1" ht="12.75"/>
    <row r="31900" s="3161" customFormat="1" ht="12.75"/>
    <row r="31901" s="3161" customFormat="1" ht="12.75"/>
    <row r="31902" s="3161" customFormat="1" ht="12.75"/>
    <row r="31903" s="3161" customFormat="1" ht="12.75"/>
    <row r="31904" s="3161" customFormat="1" ht="12.75"/>
    <row r="31905" s="3161" customFormat="1" ht="12.75"/>
    <row r="31906" s="3161" customFormat="1" ht="12.75"/>
    <row r="31907" s="3161" customFormat="1" ht="12.75"/>
    <row r="31908" s="3161" customFormat="1" ht="12.75"/>
    <row r="31909" s="3161" customFormat="1" ht="12.75"/>
    <row r="31910" s="3161" customFormat="1" ht="12.75"/>
    <row r="31911" s="3161" customFormat="1" ht="12.75"/>
    <row r="31912" s="3161" customFormat="1" ht="12.75"/>
    <row r="31913" s="3161" customFormat="1" ht="12.75"/>
    <row r="31914" s="3161" customFormat="1" ht="12.75"/>
    <row r="31915" s="3161" customFormat="1" ht="12.75"/>
    <row r="31916" s="3161" customFormat="1" ht="12.75"/>
    <row r="31917" s="3161" customFormat="1" ht="12.75"/>
    <row r="31918" s="3161" customFormat="1" ht="12.75"/>
    <row r="31919" s="3161" customFormat="1" ht="12.75"/>
    <row r="31920" s="3161" customFormat="1" ht="12.75"/>
    <row r="31921" s="3161" customFormat="1" ht="12.75"/>
    <row r="31922" s="3161" customFormat="1" ht="12.75"/>
    <row r="31923" s="3161" customFormat="1" ht="12.75"/>
    <row r="31924" s="3161" customFormat="1" ht="12.75"/>
    <row r="31925" s="3161" customFormat="1" ht="12.75"/>
    <row r="31926" s="3161" customFormat="1" ht="12.75"/>
    <row r="31927" s="3161" customFormat="1" ht="12.75"/>
    <row r="31928" s="3161" customFormat="1" ht="12.75"/>
    <row r="31929" s="3161" customFormat="1" ht="12.75"/>
    <row r="31930" s="3161" customFormat="1" ht="12.75"/>
    <row r="31931" s="3161" customFormat="1" ht="12.75"/>
    <row r="31932" s="3161" customFormat="1" ht="12.75"/>
    <row r="31933" s="3161" customFormat="1" ht="12.75"/>
    <row r="31934" s="3161" customFormat="1" ht="12.75"/>
    <row r="31935" s="3161" customFormat="1" ht="12.75"/>
    <row r="31936" s="3161" customFormat="1" ht="12.75"/>
    <row r="31937" s="3161" customFormat="1" ht="12.75"/>
    <row r="31938" s="3161" customFormat="1" ht="12.75"/>
    <row r="31939" s="3161" customFormat="1" ht="12.75"/>
    <row r="31940" s="3161" customFormat="1" ht="12.75"/>
    <row r="31941" s="3161" customFormat="1" ht="12.75"/>
    <row r="31942" s="3161" customFormat="1" ht="12.75"/>
    <row r="31943" s="3161" customFormat="1" ht="12.75"/>
    <row r="31944" s="3161" customFormat="1" ht="12.75"/>
    <row r="31945" s="3161" customFormat="1" ht="12.75"/>
    <row r="31946" s="3161" customFormat="1" ht="12.75"/>
    <row r="31947" s="3161" customFormat="1" ht="12.75"/>
    <row r="31948" s="3161" customFormat="1" ht="12.75"/>
    <row r="31949" s="3161" customFormat="1" ht="12.75"/>
    <row r="31950" s="3161" customFormat="1" ht="12.75"/>
    <row r="31951" s="3161" customFormat="1" ht="12.75"/>
    <row r="31952" s="3161" customFormat="1" ht="12.75"/>
    <row r="31953" s="3161" customFormat="1" ht="12.75"/>
    <row r="31954" s="3161" customFormat="1" ht="12.75"/>
    <row r="31955" s="3161" customFormat="1" ht="12.75"/>
    <row r="31956" s="3161" customFormat="1" ht="12.75"/>
    <row r="31957" s="3161" customFormat="1" ht="12.75"/>
    <row r="31958" s="3161" customFormat="1" ht="12.75"/>
    <row r="31959" s="3161" customFormat="1" ht="12.75"/>
    <row r="31960" s="3161" customFormat="1" ht="12.75"/>
    <row r="31961" s="3161" customFormat="1" ht="12.75"/>
    <row r="31962" s="3161" customFormat="1" ht="12.75"/>
    <row r="31963" s="3161" customFormat="1" ht="12.75"/>
    <row r="31964" s="3161" customFormat="1" ht="12.75"/>
    <row r="31965" s="3161" customFormat="1" ht="12.75"/>
    <row r="31966" s="3161" customFormat="1" ht="12.75"/>
    <row r="31967" s="3161" customFormat="1" ht="12.75"/>
    <row r="31968" s="3161" customFormat="1" ht="12.75"/>
    <row r="31969" s="3161" customFormat="1" ht="12.75"/>
    <row r="31970" s="3161" customFormat="1" ht="12.75"/>
    <row r="31971" s="3161" customFormat="1" ht="12.75"/>
    <row r="31972" s="3161" customFormat="1" ht="12.75"/>
    <row r="31973" s="3161" customFormat="1" ht="12.75"/>
    <row r="31974" s="3161" customFormat="1" ht="12.75"/>
    <row r="31975" s="3161" customFormat="1" ht="12.75"/>
    <row r="31976" s="3161" customFormat="1" ht="12.75"/>
    <row r="31977" s="3161" customFormat="1" ht="12.75"/>
    <row r="31978" s="3161" customFormat="1" ht="12.75"/>
    <row r="31979" s="3161" customFormat="1" ht="12.75"/>
    <row r="31980" s="3161" customFormat="1" ht="12.75"/>
    <row r="31981" s="3161" customFormat="1" ht="12.75"/>
    <row r="31982" s="3161" customFormat="1" ht="12.75"/>
    <row r="31983" s="3161" customFormat="1" ht="12.75"/>
    <row r="31984" s="3161" customFormat="1" ht="12.75"/>
    <row r="31985" s="3161" customFormat="1" ht="12.75"/>
    <row r="31986" s="3161" customFormat="1" ht="12.75"/>
    <row r="31987" s="3161" customFormat="1" ht="12.75"/>
    <row r="31988" s="3161" customFormat="1" ht="12.75"/>
    <row r="31989" s="3161" customFormat="1" ht="12.75"/>
    <row r="31990" s="3161" customFormat="1" ht="12.75"/>
    <row r="31991" s="3161" customFormat="1" ht="12.75"/>
    <row r="31992" s="3161" customFormat="1" ht="12.75"/>
    <row r="31993" s="3161" customFormat="1" ht="12.75"/>
    <row r="31994" s="3161" customFormat="1" ht="12.75"/>
    <row r="31995" s="3161" customFormat="1" ht="12.75"/>
    <row r="31996" s="3161" customFormat="1" ht="12.75"/>
    <row r="31997" s="3161" customFormat="1" ht="12.75"/>
    <row r="31998" s="3161" customFormat="1" ht="12.75"/>
    <row r="31999" s="3161" customFormat="1" ht="12.75"/>
    <row r="32000" s="3161" customFormat="1" ht="12.75"/>
    <row r="32001" s="3161" customFormat="1" ht="12.75"/>
    <row r="32002" s="3161" customFormat="1" ht="12.75"/>
    <row r="32003" s="3161" customFormat="1" ht="12.75"/>
    <row r="32004" s="3161" customFormat="1" ht="12.75"/>
    <row r="32005" s="3161" customFormat="1" ht="12.75"/>
    <row r="32006" s="3161" customFormat="1" ht="12.75"/>
    <row r="32007" s="3161" customFormat="1" ht="12.75"/>
    <row r="32008" s="3161" customFormat="1" ht="12.75"/>
    <row r="32009" s="3161" customFormat="1" ht="12.75"/>
    <row r="32010" s="3161" customFormat="1" ht="12.75"/>
    <row r="32011" s="3161" customFormat="1" ht="12.75"/>
    <row r="32012" s="3161" customFormat="1" ht="12.75"/>
    <row r="32013" s="3161" customFormat="1" ht="12.75"/>
    <row r="32014" s="3161" customFormat="1" ht="12.75"/>
    <row r="32015" s="3161" customFormat="1" ht="12.75"/>
    <row r="32016" s="3161" customFormat="1" ht="12.75"/>
    <row r="32017" s="3161" customFormat="1" ht="12.75"/>
    <row r="32018" s="3161" customFormat="1" ht="12.75"/>
    <row r="32019" s="3161" customFormat="1" ht="12.75"/>
    <row r="32020" s="3161" customFormat="1" ht="12.75"/>
    <row r="32021" s="3161" customFormat="1" ht="12.75"/>
    <row r="32022" s="3161" customFormat="1" ht="12.75"/>
    <row r="32023" s="3161" customFormat="1" ht="12.75"/>
    <row r="32024" s="3161" customFormat="1" ht="12.75"/>
    <row r="32025" s="3161" customFormat="1" ht="12.75"/>
    <row r="32026" s="3161" customFormat="1" ht="12.75"/>
    <row r="32027" s="3161" customFormat="1" ht="12.75"/>
    <row r="32028" s="3161" customFormat="1" ht="12.75"/>
    <row r="32029" s="3161" customFormat="1" ht="12.75"/>
    <row r="32030" s="3161" customFormat="1" ht="12.75"/>
    <row r="32031" s="3161" customFormat="1" ht="12.75"/>
    <row r="32032" s="3161" customFormat="1" ht="12.75"/>
    <row r="32033" s="3161" customFormat="1" ht="12.75"/>
    <row r="32034" s="3161" customFormat="1" ht="12.75"/>
    <row r="32035" s="3161" customFormat="1" ht="12.75"/>
    <row r="32036" s="3161" customFormat="1" ht="12.75"/>
    <row r="32037" s="3161" customFormat="1" ht="12.75"/>
    <row r="32038" s="3161" customFormat="1" ht="12.75"/>
    <row r="32039" s="3161" customFormat="1" ht="12.75"/>
    <row r="32040" s="3161" customFormat="1" ht="12.75"/>
    <row r="32041" s="3161" customFormat="1" ht="12.75"/>
    <row r="32042" s="3161" customFormat="1" ht="12.75"/>
    <row r="32043" s="3161" customFormat="1" ht="12.75"/>
    <row r="32044" s="3161" customFormat="1" ht="12.75"/>
    <row r="32045" s="3161" customFormat="1" ht="12.75"/>
    <row r="32046" s="3161" customFormat="1" ht="12.75"/>
    <row r="32047" s="3161" customFormat="1" ht="12.75"/>
    <row r="32048" s="3161" customFormat="1" ht="12.75"/>
    <row r="32049" s="3161" customFormat="1" ht="12.75"/>
    <row r="32050" s="3161" customFormat="1" ht="12.75"/>
    <row r="32051" s="3161" customFormat="1" ht="12.75"/>
    <row r="32052" s="3161" customFormat="1" ht="12.75"/>
    <row r="32053" s="3161" customFormat="1" ht="12.75"/>
    <row r="32054" s="3161" customFormat="1" ht="12.75"/>
    <row r="32055" s="3161" customFormat="1" ht="12.75"/>
    <row r="32056" s="3161" customFormat="1" ht="12.75"/>
    <row r="32057" s="3161" customFormat="1" ht="12.75"/>
    <row r="32058" s="3161" customFormat="1" ht="12.75"/>
    <row r="32059" s="3161" customFormat="1" ht="12.75"/>
    <row r="32060" s="3161" customFormat="1" ht="12.75"/>
    <row r="32061" s="3161" customFormat="1" ht="12.75"/>
    <row r="32062" s="3161" customFormat="1" ht="12.75"/>
    <row r="32063" s="3161" customFormat="1" ht="12.75"/>
    <row r="32064" s="3161" customFormat="1" ht="12.75"/>
    <row r="32065" s="3161" customFormat="1" ht="12.75"/>
    <row r="32066" s="3161" customFormat="1" ht="12.75"/>
    <row r="32067" s="3161" customFormat="1" ht="12.75"/>
    <row r="32068" s="3161" customFormat="1" ht="12.75"/>
    <row r="32069" s="3161" customFormat="1" ht="12.75"/>
    <row r="32070" s="3161" customFormat="1" ht="12.75"/>
    <row r="32071" s="3161" customFormat="1" ht="12.75"/>
    <row r="32072" s="3161" customFormat="1" ht="12.75"/>
    <row r="32073" s="3161" customFormat="1" ht="12.75"/>
    <row r="32074" s="3161" customFormat="1" ht="12.75"/>
    <row r="32075" s="3161" customFormat="1" ht="12.75"/>
    <row r="32076" s="3161" customFormat="1" ht="12.75"/>
    <row r="32077" s="3161" customFormat="1" ht="12.75"/>
    <row r="32078" s="3161" customFormat="1" ht="12.75"/>
    <row r="32079" s="3161" customFormat="1" ht="12.75"/>
    <row r="32080" s="3161" customFormat="1" ht="12.75"/>
    <row r="32081" s="3161" customFormat="1" ht="12.75"/>
    <row r="32082" s="3161" customFormat="1" ht="12.75"/>
    <row r="32083" s="3161" customFormat="1" ht="12.75"/>
    <row r="32084" s="3161" customFormat="1" ht="12.75"/>
    <row r="32085" s="3161" customFormat="1" ht="12.75"/>
    <row r="32086" s="3161" customFormat="1" ht="12.75"/>
    <row r="32087" s="3161" customFormat="1" ht="12.75"/>
    <row r="32088" s="3161" customFormat="1" ht="12.75"/>
    <row r="32089" s="3161" customFormat="1" ht="12.75"/>
    <row r="32090" s="3161" customFormat="1" ht="12.75"/>
    <row r="32091" s="3161" customFormat="1" ht="12.75"/>
    <row r="32092" s="3161" customFormat="1" ht="12.75"/>
    <row r="32093" s="3161" customFormat="1" ht="12.75"/>
    <row r="32094" s="3161" customFormat="1" ht="12.75"/>
    <row r="32095" s="3161" customFormat="1" ht="12.75"/>
    <row r="32096" s="3161" customFormat="1" ht="12.75"/>
    <row r="32097" s="3161" customFormat="1" ht="12.75"/>
    <row r="32098" s="3161" customFormat="1" ht="12.75"/>
    <row r="32099" s="3161" customFormat="1" ht="12.75"/>
    <row r="32100" s="3161" customFormat="1" ht="12.75"/>
    <row r="32101" s="3161" customFormat="1" ht="12.75"/>
    <row r="32102" s="3161" customFormat="1" ht="12.75"/>
    <row r="32103" s="3161" customFormat="1" ht="12.75"/>
    <row r="32104" s="3161" customFormat="1" ht="12.75"/>
    <row r="32105" s="3161" customFormat="1" ht="12.75"/>
    <row r="32106" s="3161" customFormat="1" ht="12.75"/>
    <row r="32107" s="3161" customFormat="1" ht="12.75"/>
    <row r="32108" s="3161" customFormat="1" ht="12.75"/>
    <row r="32109" s="3161" customFormat="1" ht="12.75"/>
    <row r="32110" s="3161" customFormat="1" ht="12.75"/>
    <row r="32111" s="3161" customFormat="1" ht="12.75"/>
    <row r="32112" s="3161" customFormat="1" ht="12.75"/>
    <row r="32113" s="3161" customFormat="1" ht="12.75"/>
    <row r="32114" s="3161" customFormat="1" ht="12.75"/>
    <row r="32115" s="3161" customFormat="1" ht="12.75"/>
    <row r="32116" s="3161" customFormat="1" ht="12.75"/>
    <row r="32117" s="3161" customFormat="1" ht="12.75"/>
    <row r="32118" s="3161" customFormat="1" ht="12.75"/>
    <row r="32119" s="3161" customFormat="1" ht="12.75"/>
    <row r="32120" s="3161" customFormat="1" ht="12.75"/>
    <row r="32121" s="3161" customFormat="1" ht="12.75"/>
    <row r="32122" s="3161" customFormat="1" ht="12.75"/>
    <row r="32123" s="3161" customFormat="1" ht="12.75"/>
    <row r="32124" s="3161" customFormat="1" ht="12.75"/>
    <row r="32125" s="3161" customFormat="1" ht="12.75"/>
    <row r="32126" s="3161" customFormat="1" ht="12.75"/>
    <row r="32127" s="3161" customFormat="1" ht="12.75"/>
    <row r="32128" s="3161" customFormat="1" ht="12.75"/>
    <row r="32129" s="3161" customFormat="1" ht="12.75"/>
    <row r="32130" s="3161" customFormat="1" ht="12.75"/>
    <row r="32131" s="3161" customFormat="1" ht="12.75"/>
    <row r="32132" s="3161" customFormat="1" ht="12.75"/>
    <row r="32133" s="3161" customFormat="1" ht="12.75"/>
    <row r="32134" s="3161" customFormat="1" ht="12.75"/>
    <row r="32135" s="3161" customFormat="1" ht="12.75"/>
    <row r="32136" s="3161" customFormat="1" ht="12.75"/>
    <row r="32137" s="3161" customFormat="1" ht="12.75"/>
    <row r="32138" s="3161" customFormat="1" ht="12.75"/>
    <row r="32139" s="3161" customFormat="1" ht="12.75"/>
    <row r="32140" s="3161" customFormat="1" ht="12.75"/>
    <row r="32141" s="3161" customFormat="1" ht="12.75"/>
    <row r="32142" s="3161" customFormat="1" ht="12.75"/>
    <row r="32143" s="3161" customFormat="1" ht="12.75"/>
    <row r="32144" s="3161" customFormat="1" ht="12.75"/>
    <row r="32145" s="3161" customFormat="1" ht="12.75"/>
    <row r="32146" s="3161" customFormat="1" ht="12.75"/>
    <row r="32147" s="3161" customFormat="1" ht="12.75"/>
    <row r="32148" s="3161" customFormat="1" ht="12.75"/>
    <row r="32149" s="3161" customFormat="1" ht="12.75"/>
    <row r="32150" s="3161" customFormat="1" ht="12.75"/>
    <row r="32151" s="3161" customFormat="1" ht="12.75"/>
    <row r="32152" s="3161" customFormat="1" ht="12.75"/>
    <row r="32153" s="3161" customFormat="1" ht="12.75"/>
    <row r="32154" s="3161" customFormat="1" ht="12.75"/>
    <row r="32155" s="3161" customFormat="1" ht="12.75"/>
    <row r="32156" s="3161" customFormat="1" ht="12.75"/>
    <row r="32157" s="3161" customFormat="1" ht="12.75"/>
    <row r="32158" s="3161" customFormat="1" ht="12.75"/>
    <row r="32159" s="3161" customFormat="1" ht="12.75"/>
    <row r="32160" s="3161" customFormat="1" ht="12.75"/>
    <row r="32161" s="3161" customFormat="1" ht="12.75"/>
    <row r="32162" s="3161" customFormat="1" ht="12.75"/>
    <row r="32163" s="3161" customFormat="1" ht="12.75"/>
    <row r="32164" s="3161" customFormat="1" ht="12.75"/>
    <row r="32165" s="3161" customFormat="1" ht="12.75"/>
    <row r="32166" s="3161" customFormat="1" ht="12.75"/>
    <row r="32167" s="3161" customFormat="1" ht="12.75"/>
    <row r="32168" s="3161" customFormat="1" ht="12.75"/>
    <row r="32169" s="3161" customFormat="1" ht="12.75"/>
    <row r="32170" s="3161" customFormat="1" ht="12.75"/>
    <row r="32171" s="3161" customFormat="1" ht="12.75"/>
    <row r="32172" s="3161" customFormat="1" ht="12.75"/>
    <row r="32173" s="3161" customFormat="1" ht="12.75"/>
    <row r="32174" s="3161" customFormat="1" ht="12.75"/>
    <row r="32175" s="3161" customFormat="1" ht="12.75"/>
    <row r="32176" s="3161" customFormat="1" ht="12.75"/>
    <row r="32177" s="3161" customFormat="1" ht="12.75"/>
    <row r="32178" s="3161" customFormat="1" ht="12.75"/>
    <row r="32179" s="3161" customFormat="1" ht="12.75"/>
    <row r="32180" s="3161" customFormat="1" ht="12.75"/>
    <row r="32181" s="3161" customFormat="1" ht="12.75"/>
    <row r="32182" s="3161" customFormat="1" ht="12.75"/>
    <row r="32183" s="3161" customFormat="1" ht="12.75"/>
    <row r="32184" s="3161" customFormat="1" ht="12.75"/>
    <row r="32185" s="3161" customFormat="1" ht="12.75"/>
    <row r="32186" s="3161" customFormat="1" ht="12.75"/>
    <row r="32187" s="3161" customFormat="1" ht="12.75"/>
    <row r="32188" s="3161" customFormat="1" ht="12.75"/>
    <row r="32189" s="3161" customFormat="1" ht="12.75"/>
    <row r="32190" s="3161" customFormat="1" ht="12.75"/>
    <row r="32191" s="3161" customFormat="1" ht="12.75"/>
    <row r="32192" s="3161" customFormat="1" ht="12.75"/>
    <row r="32193" s="3161" customFormat="1" ht="12.75"/>
    <row r="32194" s="3161" customFormat="1" ht="12.75"/>
    <row r="32195" s="3161" customFormat="1" ht="12.75"/>
    <row r="32196" s="3161" customFormat="1" ht="12.75"/>
    <row r="32197" s="3161" customFormat="1" ht="12.75"/>
    <row r="32198" s="3161" customFormat="1" ht="12.75"/>
    <row r="32199" s="3161" customFormat="1" ht="12.75"/>
    <row r="32200" s="3161" customFormat="1" ht="12.75"/>
    <row r="32201" s="3161" customFormat="1" ht="12.75"/>
    <row r="32202" s="3161" customFormat="1" ht="12.75"/>
    <row r="32203" s="3161" customFormat="1" ht="12.75"/>
    <row r="32204" s="3161" customFormat="1" ht="12.75"/>
    <row r="32205" s="3161" customFormat="1" ht="12.75"/>
    <row r="32206" s="3161" customFormat="1" ht="12.75"/>
    <row r="32207" s="3161" customFormat="1" ht="12.75"/>
    <row r="32208" s="3161" customFormat="1" ht="12.75"/>
    <row r="32209" s="3161" customFormat="1" ht="12.75"/>
    <row r="32210" s="3161" customFormat="1" ht="12.75"/>
    <row r="32211" s="3161" customFormat="1" ht="12.75"/>
    <row r="32212" s="3161" customFormat="1" ht="12.75"/>
    <row r="32213" s="3161" customFormat="1" ht="12.75"/>
    <row r="32214" s="3161" customFormat="1" ht="12.75"/>
    <row r="32215" s="3161" customFormat="1" ht="12.75"/>
    <row r="32216" s="3161" customFormat="1" ht="12.75"/>
    <row r="32217" s="3161" customFormat="1" ht="12.75"/>
    <row r="32218" s="3161" customFormat="1" ht="12.75"/>
    <row r="32219" s="3161" customFormat="1" ht="12.75"/>
    <row r="32220" s="3161" customFormat="1" ht="12.75"/>
    <row r="32221" s="3161" customFormat="1" ht="12.75"/>
    <row r="32222" s="3161" customFormat="1" ht="12.75"/>
    <row r="32223" s="3161" customFormat="1" ht="12.75"/>
    <row r="32224" s="3161" customFormat="1" ht="12.75"/>
    <row r="32225" s="3161" customFormat="1" ht="12.75"/>
    <row r="32226" s="3161" customFormat="1" ht="12.75"/>
    <row r="32227" s="3161" customFormat="1" ht="12.75"/>
    <row r="32228" s="3161" customFormat="1" ht="12.75"/>
    <row r="32229" s="3161" customFormat="1" ht="12.75"/>
    <row r="32230" s="3161" customFormat="1" ht="12.75"/>
    <row r="32231" s="3161" customFormat="1" ht="12.75"/>
    <row r="32232" s="3161" customFormat="1" ht="12.75"/>
    <row r="32233" s="3161" customFormat="1" ht="12.75"/>
    <row r="32234" s="3161" customFormat="1" ht="12.75"/>
    <row r="32235" s="3161" customFormat="1" ht="12.75"/>
    <row r="32236" s="3161" customFormat="1" ht="12.75"/>
    <row r="32237" s="3161" customFormat="1" ht="12.75"/>
    <row r="32238" s="3161" customFormat="1" ht="12.75"/>
    <row r="32239" s="3161" customFormat="1" ht="12.75"/>
    <row r="32240" s="3161" customFormat="1" ht="12.75"/>
    <row r="32241" s="3161" customFormat="1" ht="12.75"/>
    <row r="32242" s="3161" customFormat="1" ht="12.75"/>
    <row r="32243" s="3161" customFormat="1" ht="12.75"/>
    <row r="32244" s="3161" customFormat="1" ht="12.75"/>
    <row r="32245" s="3161" customFormat="1" ht="12.75"/>
    <row r="32246" s="3161" customFormat="1" ht="12.75"/>
    <row r="32247" s="3161" customFormat="1" ht="12.75"/>
    <row r="32248" s="3161" customFormat="1" ht="12.75"/>
    <row r="32249" s="3161" customFormat="1" ht="12.75"/>
    <row r="32250" s="3161" customFormat="1" ht="12.75"/>
    <row r="32251" s="3161" customFormat="1" ht="12.75"/>
    <row r="32252" s="3161" customFormat="1" ht="12.75"/>
    <row r="32253" s="3161" customFormat="1" ht="12.75"/>
    <row r="32254" s="3161" customFormat="1" ht="12.75"/>
    <row r="32255" s="3161" customFormat="1" ht="12.75"/>
    <row r="32256" s="3161" customFormat="1" ht="12.75"/>
    <row r="32257" s="3161" customFormat="1" ht="12.75"/>
    <row r="32258" s="3161" customFormat="1" ht="12.75"/>
    <row r="32259" s="3161" customFormat="1" ht="12.75"/>
    <row r="32260" s="3161" customFormat="1" ht="12.75"/>
    <row r="32261" s="3161" customFormat="1" ht="12.75"/>
    <row r="32262" s="3161" customFormat="1" ht="12.75"/>
    <row r="32263" s="3161" customFormat="1" ht="12.75"/>
    <row r="32264" s="3161" customFormat="1" ht="12.75"/>
    <row r="32265" s="3161" customFormat="1" ht="12.75"/>
    <row r="32266" s="3161" customFormat="1" ht="12.75"/>
    <row r="32267" s="3161" customFormat="1" ht="12.75"/>
    <row r="32268" s="3161" customFormat="1" ht="12.75"/>
    <row r="32269" s="3161" customFormat="1" ht="12.75"/>
    <row r="32270" s="3161" customFormat="1" ht="12.75"/>
    <row r="32271" s="3161" customFormat="1" ht="12.75"/>
    <row r="32272" s="3161" customFormat="1" ht="12.75"/>
    <row r="32273" s="3161" customFormat="1" ht="12.75"/>
    <row r="32274" s="3161" customFormat="1" ht="12.75"/>
    <row r="32275" s="3161" customFormat="1" ht="12.75"/>
    <row r="32276" s="3161" customFormat="1" ht="12.75"/>
    <row r="32277" s="3161" customFormat="1" ht="12.75"/>
    <row r="32278" s="3161" customFormat="1" ht="12.75"/>
    <row r="32279" s="3161" customFormat="1" ht="12.75"/>
    <row r="32280" s="3161" customFormat="1" ht="12.75"/>
    <row r="32281" s="3161" customFormat="1" ht="12.75"/>
    <row r="32282" s="3161" customFormat="1" ht="12.75"/>
    <row r="32283" s="3161" customFormat="1" ht="12.75"/>
    <row r="32284" s="3161" customFormat="1" ht="12.75"/>
    <row r="32285" s="3161" customFormat="1" ht="12.75"/>
    <row r="32286" s="3161" customFormat="1" ht="12.75"/>
    <row r="32287" s="3161" customFormat="1" ht="12.75"/>
    <row r="32288" s="3161" customFormat="1" ht="12.75"/>
    <row r="32289" s="3161" customFormat="1" ht="12.75"/>
    <row r="32290" s="3161" customFormat="1" ht="12.75"/>
    <row r="32291" s="3161" customFormat="1" ht="12.75"/>
    <row r="32292" s="3161" customFormat="1" ht="12.75"/>
    <row r="32293" s="3161" customFormat="1" ht="12.75"/>
    <row r="32294" s="3161" customFormat="1" ht="12.75"/>
    <row r="32295" s="3161" customFormat="1" ht="12.75"/>
    <row r="32296" s="3161" customFormat="1" ht="12.75"/>
    <row r="32297" s="3161" customFormat="1" ht="12.75"/>
    <row r="32298" s="3161" customFormat="1" ht="12.75"/>
    <row r="32299" s="3161" customFormat="1" ht="12.75"/>
    <row r="32300" s="3161" customFormat="1" ht="12.75"/>
    <row r="32301" s="3161" customFormat="1" ht="12.75"/>
    <row r="32302" s="3161" customFormat="1" ht="12.75"/>
    <row r="32303" s="3161" customFormat="1" ht="12.75"/>
    <row r="32304" s="3161" customFormat="1" ht="12.75"/>
    <row r="32305" s="3161" customFormat="1" ht="12.75"/>
    <row r="32306" s="3161" customFormat="1" ht="12.75"/>
    <row r="32307" s="3161" customFormat="1" ht="12.75"/>
    <row r="32308" s="3161" customFormat="1" ht="12.75"/>
    <row r="32309" s="3161" customFormat="1" ht="12.75"/>
    <row r="32310" s="3161" customFormat="1" ht="12.75"/>
    <row r="32311" s="3161" customFormat="1" ht="12.75"/>
    <row r="32312" s="3161" customFormat="1" ht="12.75"/>
    <row r="32313" s="3161" customFormat="1" ht="12.75"/>
    <row r="32314" s="3161" customFormat="1" ht="12.75"/>
    <row r="32315" s="3161" customFormat="1" ht="12.75"/>
    <row r="32316" s="3161" customFormat="1" ht="12.75"/>
    <row r="32317" s="3161" customFormat="1" ht="12.75"/>
    <row r="32318" s="3161" customFormat="1" ht="12.75"/>
    <row r="32319" s="3161" customFormat="1" ht="12.75"/>
    <row r="32320" s="3161" customFormat="1" ht="12.75"/>
    <row r="32321" s="3161" customFormat="1" ht="12.75"/>
    <row r="32322" s="3161" customFormat="1" ht="12.75"/>
    <row r="32323" s="3161" customFormat="1" ht="12.75"/>
    <row r="32324" s="3161" customFormat="1" ht="12.75"/>
    <row r="32325" s="3161" customFormat="1" ht="12.75"/>
    <row r="32326" s="3161" customFormat="1" ht="12.75"/>
    <row r="32327" s="3161" customFormat="1" ht="12.75"/>
    <row r="32328" s="3161" customFormat="1" ht="12.75"/>
    <row r="32329" s="3161" customFormat="1" ht="12.75"/>
    <row r="32330" s="3161" customFormat="1" ht="12.75"/>
    <row r="32331" s="3161" customFormat="1" ht="12.75"/>
    <row r="32332" s="3161" customFormat="1" ht="12.75"/>
    <row r="32333" s="3161" customFormat="1" ht="12.75"/>
    <row r="32334" s="3161" customFormat="1" ht="12.75"/>
    <row r="32335" s="3161" customFormat="1" ht="12.75"/>
    <row r="32336" s="3161" customFormat="1" ht="12.75"/>
    <row r="32337" s="3161" customFormat="1" ht="12.75"/>
    <row r="32338" s="3161" customFormat="1" ht="12.75"/>
    <row r="32339" s="3161" customFormat="1" ht="12.75"/>
    <row r="32340" s="3161" customFormat="1" ht="12.75"/>
    <row r="32341" s="3161" customFormat="1" ht="12.75"/>
    <row r="32342" s="3161" customFormat="1" ht="12.75"/>
    <row r="32343" s="3161" customFormat="1" ht="12.75"/>
    <row r="32344" s="3161" customFormat="1" ht="12.75"/>
    <row r="32345" s="3161" customFormat="1" ht="12.75"/>
    <row r="32346" s="3161" customFormat="1" ht="12.75"/>
    <row r="32347" s="3161" customFormat="1" ht="12.75"/>
    <row r="32348" s="3161" customFormat="1" ht="12.75"/>
    <row r="32349" s="3161" customFormat="1" ht="12.75"/>
    <row r="32350" s="3161" customFormat="1" ht="12.75"/>
    <row r="32351" s="3161" customFormat="1" ht="12.75"/>
    <row r="32352" s="3161" customFormat="1" ht="12.75"/>
    <row r="32353" s="3161" customFormat="1" ht="12.75"/>
    <row r="32354" s="3161" customFormat="1" ht="12.75"/>
    <row r="32355" s="3161" customFormat="1" ht="12.75"/>
    <row r="32356" s="3161" customFormat="1" ht="12.75"/>
    <row r="32357" s="3161" customFormat="1" ht="12.75"/>
    <row r="32358" s="3161" customFormat="1" ht="12.75"/>
    <row r="32359" s="3161" customFormat="1" ht="12.75"/>
    <row r="32360" s="3161" customFormat="1" ht="12.75"/>
    <row r="32361" s="3161" customFormat="1" ht="12.75"/>
    <row r="32362" s="3161" customFormat="1" ht="12.75"/>
    <row r="32363" s="3161" customFormat="1" ht="12.75"/>
    <row r="32364" s="3161" customFormat="1" ht="12.75"/>
    <row r="32365" s="3161" customFormat="1" ht="12.75"/>
    <row r="32366" s="3161" customFormat="1" ht="12.75"/>
    <row r="32367" s="3161" customFormat="1" ht="12.75"/>
    <row r="32368" s="3161" customFormat="1" ht="12.75"/>
    <row r="32369" s="3161" customFormat="1" ht="12.75"/>
    <row r="32370" s="3161" customFormat="1" ht="12.75"/>
    <row r="32371" s="3161" customFormat="1" ht="12.75"/>
    <row r="32372" s="3161" customFormat="1" ht="12.75"/>
    <row r="32373" s="3161" customFormat="1" ht="12.75"/>
    <row r="32374" s="3161" customFormat="1" ht="12.75"/>
    <row r="32375" s="3161" customFormat="1" ht="12.75"/>
    <row r="32376" s="3161" customFormat="1" ht="12.75"/>
    <row r="32377" s="3161" customFormat="1" ht="12.75"/>
    <row r="32378" s="3161" customFormat="1" ht="12.75"/>
    <row r="32379" s="3161" customFormat="1" ht="12.75"/>
    <row r="32380" s="3161" customFormat="1" ht="12.75"/>
    <row r="32381" s="3161" customFormat="1" ht="12.75"/>
    <row r="32382" s="3161" customFormat="1" ht="12.75"/>
    <row r="32383" s="3161" customFormat="1" ht="12.75"/>
    <row r="32384" s="3161" customFormat="1" ht="12.75"/>
    <row r="32385" s="3161" customFormat="1" ht="12.75"/>
    <row r="32386" s="3161" customFormat="1" ht="12.75"/>
    <row r="32387" s="3161" customFormat="1" ht="12.75"/>
    <row r="32388" s="3161" customFormat="1" ht="12.75"/>
    <row r="32389" s="3161" customFormat="1" ht="12.75"/>
    <row r="32390" s="3161" customFormat="1" ht="12.75"/>
    <row r="32391" s="3161" customFormat="1" ht="12.75"/>
    <row r="32392" s="3161" customFormat="1" ht="12.75"/>
    <row r="32393" s="3161" customFormat="1" ht="12.75"/>
    <row r="32394" s="3161" customFormat="1" ht="12.75"/>
    <row r="32395" s="3161" customFormat="1" ht="12.75"/>
    <row r="32396" s="3161" customFormat="1" ht="12.75"/>
    <row r="32397" s="3161" customFormat="1" ht="12.75"/>
    <row r="32398" s="3161" customFormat="1" ht="12.75"/>
    <row r="32399" s="3161" customFormat="1" ht="12.75"/>
    <row r="32400" s="3161" customFormat="1" ht="12.75"/>
    <row r="32401" s="3161" customFormat="1" ht="12.75"/>
    <row r="32402" s="3161" customFormat="1" ht="12.75"/>
    <row r="32403" s="3161" customFormat="1" ht="12.75"/>
    <row r="32404" s="3161" customFormat="1" ht="12.75"/>
    <row r="32405" s="3161" customFormat="1" ht="12.75"/>
    <row r="32406" s="3161" customFormat="1" ht="12.75"/>
    <row r="32407" s="3161" customFormat="1" ht="12.75"/>
    <row r="32408" s="3161" customFormat="1" ht="12.75"/>
    <row r="32409" s="3161" customFormat="1" ht="12.75"/>
    <row r="32410" s="3161" customFormat="1" ht="12.75"/>
    <row r="32411" s="3161" customFormat="1" ht="12.75"/>
    <row r="32412" s="3161" customFormat="1" ht="12.75"/>
    <row r="32413" s="3161" customFormat="1" ht="12.75"/>
    <row r="32414" s="3161" customFormat="1" ht="12.75"/>
    <row r="32415" s="3161" customFormat="1" ht="12.75"/>
    <row r="32416" s="3161" customFormat="1" ht="12.75"/>
    <row r="32417" s="3161" customFormat="1" ht="12.75"/>
    <row r="32418" s="3161" customFormat="1" ht="12.75"/>
    <row r="32419" s="3161" customFormat="1" ht="12.75"/>
    <row r="32420" s="3161" customFormat="1" ht="12.75"/>
    <row r="32421" s="3161" customFormat="1" ht="12.75"/>
    <row r="32422" s="3161" customFormat="1" ht="12.75"/>
    <row r="32423" s="3161" customFormat="1" ht="12.75"/>
    <row r="32424" s="3161" customFormat="1" ht="12.75"/>
    <row r="32425" s="3161" customFormat="1" ht="12.75"/>
    <row r="32426" s="3161" customFormat="1" ht="12.75"/>
    <row r="32427" s="3161" customFormat="1" ht="12.75"/>
    <row r="32428" s="3161" customFormat="1" ht="12.75"/>
    <row r="32429" s="3161" customFormat="1" ht="12.75"/>
    <row r="32430" s="3161" customFormat="1" ht="12.75"/>
    <row r="32431" s="3161" customFormat="1" ht="12.75"/>
    <row r="32432" s="3161" customFormat="1" ht="12.75"/>
    <row r="32433" s="3161" customFormat="1" ht="12.75"/>
    <row r="32434" s="3161" customFormat="1" ht="12.75"/>
    <row r="32435" s="3161" customFormat="1" ht="12.75"/>
    <row r="32436" s="3161" customFormat="1" ht="12.75"/>
    <row r="32437" s="3161" customFormat="1" ht="12.75"/>
    <row r="32438" s="3161" customFormat="1" ht="12.75"/>
    <row r="32439" s="3161" customFormat="1" ht="12.75"/>
    <row r="32440" s="3161" customFormat="1" ht="12.75"/>
    <row r="32441" s="3161" customFormat="1" ht="12.75"/>
    <row r="32442" s="3161" customFormat="1" ht="12.75"/>
    <row r="32443" s="3161" customFormat="1" ht="12.75"/>
    <row r="32444" s="3161" customFormat="1" ht="12.75"/>
    <row r="32445" s="3161" customFormat="1" ht="12.75"/>
    <row r="32446" s="3161" customFormat="1" ht="12.75"/>
    <row r="32447" s="3161" customFormat="1" ht="12.75"/>
    <row r="32448" s="3161" customFormat="1" ht="12.75"/>
    <row r="32449" s="3161" customFormat="1" ht="12.75"/>
    <row r="32450" s="3161" customFormat="1" ht="12.75"/>
    <row r="32451" s="3161" customFormat="1" ht="12.75"/>
    <row r="32452" s="3161" customFormat="1" ht="12.75"/>
    <row r="32453" s="3161" customFormat="1" ht="12.75"/>
    <row r="32454" s="3161" customFormat="1" ht="12.75"/>
    <row r="32455" s="3161" customFormat="1" ht="12.75"/>
    <row r="32456" s="3161" customFormat="1" ht="12.75"/>
    <row r="32457" s="3161" customFormat="1" ht="12.75"/>
    <row r="32458" s="3161" customFormat="1" ht="12.75"/>
    <row r="32459" s="3161" customFormat="1" ht="12.75"/>
    <row r="32460" s="3161" customFormat="1" ht="12.75"/>
    <row r="32461" s="3161" customFormat="1" ht="12.75"/>
    <row r="32462" s="3161" customFormat="1" ht="12.75"/>
    <row r="32463" s="3161" customFormat="1" ht="12.75"/>
    <row r="32464" s="3161" customFormat="1" ht="12.75"/>
    <row r="32465" s="3161" customFormat="1" ht="12.75"/>
    <row r="32466" s="3161" customFormat="1" ht="12.75"/>
    <row r="32467" s="3161" customFormat="1" ht="12.75"/>
    <row r="32468" s="3161" customFormat="1" ht="12.75"/>
    <row r="32469" s="3161" customFormat="1" ht="12.75"/>
    <row r="32470" s="3161" customFormat="1" ht="12.75"/>
    <row r="32471" s="3161" customFormat="1" ht="12.75"/>
    <row r="32472" s="3161" customFormat="1" ht="12.75"/>
    <row r="32473" s="3161" customFormat="1" ht="12.75"/>
    <row r="32474" s="3161" customFormat="1" ht="12.75"/>
    <row r="32475" s="3161" customFormat="1" ht="12.75"/>
    <row r="32476" s="3161" customFormat="1" ht="12.75"/>
    <row r="32477" s="3161" customFormat="1" ht="12.75"/>
    <row r="32478" s="3161" customFormat="1" ht="12.75"/>
    <row r="32479" s="3161" customFormat="1" ht="12.75"/>
    <row r="32480" s="3161" customFormat="1" ht="12.75"/>
    <row r="32481" s="3161" customFormat="1" ht="12.75"/>
    <row r="32482" s="3161" customFormat="1" ht="12.75"/>
    <row r="32483" s="3161" customFormat="1" ht="12.75"/>
    <row r="32484" s="3161" customFormat="1" ht="12.75"/>
    <row r="32485" s="3161" customFormat="1" ht="12.75"/>
    <row r="32486" s="3161" customFormat="1" ht="12.75"/>
    <row r="32487" s="3161" customFormat="1" ht="12.75"/>
    <row r="32488" s="3161" customFormat="1" ht="12.75"/>
    <row r="32489" s="3161" customFormat="1" ht="12.75"/>
    <row r="32490" s="3161" customFormat="1" ht="12.75"/>
    <row r="32491" s="3161" customFormat="1" ht="12.75"/>
    <row r="32492" s="3161" customFormat="1" ht="12.75"/>
    <row r="32493" s="3161" customFormat="1" ht="12.75"/>
    <row r="32494" s="3161" customFormat="1" ht="12.75"/>
    <row r="32495" s="3161" customFormat="1" ht="12.75"/>
    <row r="32496" s="3161" customFormat="1" ht="12.75"/>
    <row r="32497" s="3161" customFormat="1" ht="12.75"/>
    <row r="32498" s="3161" customFormat="1" ht="12.75"/>
    <row r="32499" s="3161" customFormat="1" ht="12.75"/>
    <row r="32500" s="3161" customFormat="1" ht="12.75"/>
    <row r="32501" s="3161" customFormat="1" ht="12.75"/>
    <row r="32502" s="3161" customFormat="1" ht="12.75"/>
    <row r="32503" s="3161" customFormat="1" ht="12.75"/>
    <row r="32504" s="3161" customFormat="1" ht="12.75"/>
    <row r="32505" s="3161" customFormat="1" ht="12.75"/>
    <row r="32506" s="3161" customFormat="1" ht="12.75"/>
    <row r="32507" s="3161" customFormat="1" ht="12.75"/>
    <row r="32508" s="3161" customFormat="1" ht="12.75"/>
    <row r="32509" s="3161" customFormat="1" ht="12.75"/>
    <row r="32510" s="3161" customFormat="1" ht="12.75"/>
    <row r="32511" s="3161" customFormat="1" ht="12.75"/>
    <row r="32512" s="3161" customFormat="1" ht="12.75"/>
    <row r="32513" s="3161" customFormat="1" ht="12.75"/>
    <row r="32514" s="3161" customFormat="1" ht="12.75"/>
    <row r="32515" s="3161" customFormat="1" ht="12.75"/>
    <row r="32516" s="3161" customFormat="1" ht="12.75"/>
    <row r="32517" s="3161" customFormat="1" ht="12.75"/>
    <row r="32518" s="3161" customFormat="1" ht="12.75"/>
    <row r="32519" s="3161" customFormat="1" ht="12.75"/>
    <row r="32520" s="3161" customFormat="1" ht="12.75"/>
    <row r="32521" s="3161" customFormat="1" ht="12.75"/>
    <row r="32522" s="3161" customFormat="1" ht="12.75"/>
    <row r="32523" s="3161" customFormat="1" ht="12.75"/>
    <row r="32524" s="3161" customFormat="1" ht="12.75"/>
    <row r="32525" s="3161" customFormat="1" ht="12.75"/>
    <row r="32526" s="3161" customFormat="1" ht="12.75"/>
    <row r="32527" s="3161" customFormat="1" ht="12.75"/>
    <row r="32528" s="3161" customFormat="1" ht="12.75"/>
    <row r="32529" s="3161" customFormat="1" ht="12.75"/>
    <row r="32530" s="3161" customFormat="1" ht="12.75"/>
    <row r="32531" s="3161" customFormat="1" ht="12.75"/>
    <row r="32532" s="3161" customFormat="1" ht="12.75"/>
    <row r="32533" s="3161" customFormat="1" ht="12.75"/>
    <row r="32534" s="3161" customFormat="1" ht="12.75"/>
    <row r="32535" s="3161" customFormat="1" ht="12.75"/>
    <row r="32536" s="3161" customFormat="1" ht="12.75"/>
    <row r="32537" s="3161" customFormat="1" ht="12.75"/>
    <row r="32538" s="3161" customFormat="1" ht="12.75"/>
    <row r="32539" s="3161" customFormat="1" ht="12.75"/>
    <row r="32540" s="3161" customFormat="1" ht="12.75"/>
    <row r="32541" s="3161" customFormat="1" ht="12.75"/>
    <row r="32542" s="3161" customFormat="1" ht="12.75"/>
    <row r="32543" s="3161" customFormat="1" ht="12.75"/>
    <row r="32544" s="3161" customFormat="1" ht="12.75"/>
    <row r="32545" s="3161" customFormat="1" ht="12.75"/>
    <row r="32546" s="3161" customFormat="1" ht="12.75"/>
    <row r="32547" s="3161" customFormat="1" ht="12.75"/>
    <row r="32548" s="3161" customFormat="1" ht="12.75"/>
    <row r="32549" s="3161" customFormat="1" ht="12.75"/>
    <row r="32550" s="3161" customFormat="1" ht="12.75"/>
    <row r="32551" s="3161" customFormat="1" ht="12.75"/>
    <row r="32552" s="3161" customFormat="1" ht="12.75"/>
    <row r="32553" s="3161" customFormat="1" ht="12.75"/>
    <row r="32554" s="3161" customFormat="1" ht="12.75"/>
    <row r="32555" s="3161" customFormat="1" ht="12.75"/>
    <row r="32556" s="3161" customFormat="1" ht="12.75"/>
    <row r="32557" s="3161" customFormat="1" ht="12.75"/>
    <row r="32558" s="3161" customFormat="1" ht="12.75"/>
    <row r="32559" s="3161" customFormat="1" ht="12.75"/>
    <row r="32560" s="3161" customFormat="1" ht="12.75"/>
    <row r="32561" s="3161" customFormat="1" ht="12.75"/>
    <row r="32562" s="3161" customFormat="1" ht="12.75"/>
    <row r="32563" s="3161" customFormat="1" ht="12.75"/>
    <row r="32564" s="3161" customFormat="1" ht="12.75"/>
    <row r="32565" s="3161" customFormat="1" ht="12.75"/>
    <row r="32566" s="3161" customFormat="1" ht="12.75"/>
    <row r="32567" s="3161" customFormat="1" ht="12.75"/>
    <row r="32568" s="3161" customFormat="1" ht="12.75"/>
    <row r="32569" s="3161" customFormat="1" ht="12.75"/>
    <row r="32570" s="3161" customFormat="1" ht="12.75"/>
    <row r="32571" s="3161" customFormat="1" ht="12.75"/>
    <row r="32572" s="3161" customFormat="1" ht="12.75"/>
    <row r="32573" s="3161" customFormat="1" ht="12.75"/>
    <row r="32574" s="3161" customFormat="1" ht="12.75"/>
    <row r="32575" s="3161" customFormat="1" ht="12.75"/>
    <row r="32576" s="3161" customFormat="1" ht="12.75"/>
    <row r="32577" s="3161" customFormat="1" ht="12.75"/>
    <row r="32578" s="3161" customFormat="1" ht="12.75"/>
    <row r="32579" s="3161" customFormat="1" ht="12.75"/>
    <row r="32580" s="3161" customFormat="1" ht="12.75"/>
    <row r="32581" s="3161" customFormat="1" ht="12.75"/>
    <row r="32582" s="3161" customFormat="1" ht="12.75"/>
    <row r="32583" s="3161" customFormat="1" ht="12.75"/>
    <row r="32584" s="3161" customFormat="1" ht="12.75"/>
    <row r="32585" s="3161" customFormat="1" ht="12.75"/>
    <row r="32586" s="3161" customFormat="1" ht="12.75"/>
    <row r="32587" s="3161" customFormat="1" ht="12.75"/>
    <row r="32588" s="3161" customFormat="1" ht="12.75"/>
    <row r="32589" s="3161" customFormat="1" ht="12.75"/>
    <row r="32590" s="3161" customFormat="1" ht="12.75"/>
    <row r="32591" s="3161" customFormat="1" ht="12.75"/>
    <row r="32592" s="3161" customFormat="1" ht="12.75"/>
    <row r="32593" s="3161" customFormat="1" ht="12.75"/>
    <row r="32594" s="3161" customFormat="1" ht="12.75"/>
    <row r="32595" s="3161" customFormat="1" ht="12.75"/>
    <row r="32596" s="3161" customFormat="1" ht="12.75"/>
    <row r="32597" s="3161" customFormat="1" ht="12.75"/>
    <row r="32598" s="3161" customFormat="1" ht="12.75"/>
    <row r="32599" s="3161" customFormat="1" ht="12.75"/>
    <row r="32600" s="3161" customFormat="1" ht="12.75"/>
    <row r="32601" s="3161" customFormat="1" ht="12.75"/>
    <row r="32602" s="3161" customFormat="1" ht="12.75"/>
    <row r="32603" s="3161" customFormat="1" ht="12.75"/>
    <row r="32604" s="3161" customFormat="1" ht="12.75"/>
    <row r="32605" s="3161" customFormat="1" ht="12.75"/>
    <row r="32606" s="3161" customFormat="1" ht="12.75"/>
    <row r="32607" s="3161" customFormat="1" ht="12.75"/>
    <row r="32608" s="3161" customFormat="1" ht="12.75"/>
    <row r="32609" s="3161" customFormat="1" ht="12.75"/>
    <row r="32610" s="3161" customFormat="1" ht="12.75"/>
    <row r="32611" s="3161" customFormat="1" ht="12.75"/>
    <row r="32612" s="3161" customFormat="1" ht="12.75"/>
    <row r="32613" s="3161" customFormat="1" ht="12.75"/>
    <row r="32614" s="3161" customFormat="1" ht="12.75"/>
    <row r="32615" s="3161" customFormat="1" ht="12.75"/>
    <row r="32616" s="3161" customFormat="1" ht="12.75"/>
    <row r="32617" s="3161" customFormat="1" ht="12.75"/>
    <row r="32618" s="3161" customFormat="1" ht="12.75"/>
    <row r="32619" s="3161" customFormat="1" ht="12.75"/>
    <row r="32620" s="3161" customFormat="1" ht="12.75"/>
    <row r="32621" s="3161" customFormat="1" ht="12.75"/>
    <row r="32622" s="3161" customFormat="1" ht="12.75"/>
    <row r="32623" s="3161" customFormat="1" ht="12.75"/>
    <row r="32624" s="3161" customFormat="1" ht="12.75"/>
    <row r="32625" s="3161" customFormat="1" ht="12.75"/>
    <row r="32626" s="3161" customFormat="1" ht="12.75"/>
    <row r="32627" s="3161" customFormat="1" ht="12.75"/>
    <row r="32628" s="3161" customFormat="1" ht="12.75"/>
    <row r="32629" s="3161" customFormat="1" ht="12.75"/>
    <row r="32630" s="3161" customFormat="1" ht="12.75"/>
    <row r="32631" s="3161" customFormat="1" ht="12.75"/>
    <row r="32632" s="3161" customFormat="1" ht="12.75"/>
    <row r="32633" s="3161" customFormat="1" ht="12.75"/>
    <row r="32634" s="3161" customFormat="1" ht="12.75"/>
    <row r="32635" s="3161" customFormat="1" ht="12.75"/>
    <row r="32636" s="3161" customFormat="1" ht="12.75"/>
    <row r="32637" s="3161" customFormat="1" ht="12.75"/>
    <row r="32638" s="3161" customFormat="1" ht="12.75"/>
    <row r="32639" s="3161" customFormat="1" ht="12.75"/>
    <row r="32640" s="3161" customFormat="1" ht="12.75"/>
    <row r="32641" s="3161" customFormat="1" ht="12.75"/>
    <row r="32642" s="3161" customFormat="1" ht="12.75"/>
    <row r="32643" s="3161" customFormat="1" ht="12.75"/>
    <row r="32644" s="3161" customFormat="1" ht="12.75"/>
    <row r="32645" s="3161" customFormat="1" ht="12.75"/>
    <row r="32646" s="3161" customFormat="1" ht="12.75"/>
    <row r="32647" s="3161" customFormat="1" ht="12.75"/>
    <row r="32648" s="3161" customFormat="1" ht="12.75"/>
    <row r="32649" s="3161" customFormat="1" ht="12.75"/>
    <row r="32650" s="3161" customFormat="1" ht="12.75"/>
    <row r="32651" s="3161" customFormat="1" ht="12.75"/>
    <row r="32652" s="3161" customFormat="1" ht="12.75"/>
    <row r="32653" s="3161" customFormat="1" ht="12.75"/>
    <row r="32654" s="3161" customFormat="1" ht="12.75"/>
    <row r="32655" s="3161" customFormat="1" ht="12.75"/>
    <row r="32656" s="3161" customFormat="1" ht="12.75"/>
    <row r="32657" s="3161" customFormat="1" ht="12.75"/>
    <row r="32658" s="3161" customFormat="1" ht="12.75"/>
    <row r="32659" s="3161" customFormat="1" ht="12.75"/>
    <row r="32660" s="3161" customFormat="1" ht="12.75"/>
    <row r="32661" s="3161" customFormat="1" ht="12.75"/>
    <row r="32662" s="3161" customFormat="1" ht="12.75"/>
    <row r="32663" s="3161" customFormat="1" ht="12.75"/>
    <row r="32664" s="3161" customFormat="1" ht="12.75"/>
    <row r="32665" s="3161" customFormat="1" ht="12.75"/>
    <row r="32666" s="3161" customFormat="1" ht="12.75"/>
    <row r="32667" s="3161" customFormat="1" ht="12.75"/>
    <row r="32668" s="3161" customFormat="1" ht="12.75"/>
    <row r="32669" s="3161" customFormat="1" ht="12.75"/>
    <row r="32670" s="3161" customFormat="1" ht="12.75"/>
    <row r="32671" s="3161" customFormat="1" ht="12.75"/>
    <row r="32672" s="3161" customFormat="1" ht="12.75"/>
    <row r="32673" s="3161" customFormat="1" ht="12.75"/>
    <row r="32674" s="3161" customFormat="1" ht="12.75"/>
    <row r="32675" s="3161" customFormat="1" ht="12.75"/>
    <row r="32676" s="3161" customFormat="1" ht="12.75"/>
    <row r="32677" s="3161" customFormat="1" ht="12.75"/>
    <row r="32678" s="3161" customFormat="1" ht="12.75"/>
    <row r="32679" s="3161" customFormat="1" ht="12.75"/>
    <row r="32680" s="3161" customFormat="1" ht="12.75"/>
    <row r="32681" s="3161" customFormat="1" ht="12.75"/>
    <row r="32682" s="3161" customFormat="1" ht="12.75"/>
    <row r="32683" s="3161" customFormat="1" ht="12.75"/>
    <row r="32684" s="3161" customFormat="1" ht="12.75"/>
    <row r="32685" s="3161" customFormat="1" ht="12.75"/>
    <row r="32686" s="3161" customFormat="1" ht="12.75"/>
    <row r="32687" s="3161" customFormat="1" ht="12.75"/>
    <row r="32688" s="3161" customFormat="1" ht="12.75"/>
    <row r="32689" s="3161" customFormat="1" ht="12.75"/>
    <row r="32690" s="3161" customFormat="1" ht="12.75"/>
    <row r="32691" s="3161" customFormat="1" ht="12.75"/>
    <row r="32692" s="3161" customFormat="1" ht="12.75"/>
    <row r="32693" s="3161" customFormat="1" ht="12.75"/>
    <row r="32694" s="3161" customFormat="1" ht="12.75"/>
    <row r="32695" s="3161" customFormat="1" ht="12.75"/>
    <row r="32696" s="3161" customFormat="1" ht="12.75"/>
    <row r="32697" s="3161" customFormat="1" ht="12.75"/>
    <row r="32698" s="3161" customFormat="1" ht="12.75"/>
    <row r="32699" s="3161" customFormat="1" ht="12.75"/>
    <row r="32700" s="3161" customFormat="1" ht="12.75"/>
    <row r="32701" s="3161" customFormat="1" ht="12.75"/>
    <row r="32702" s="3161" customFormat="1" ht="12.75"/>
    <row r="32703" s="3161" customFormat="1" ht="12.75"/>
    <row r="32704" s="3161" customFormat="1" ht="12.75"/>
    <row r="32705" s="3161" customFormat="1" ht="12.75"/>
    <row r="32706" s="3161" customFormat="1" ht="12.75"/>
    <row r="32707" s="3161" customFormat="1" ht="12.75"/>
    <row r="32708" s="3161" customFormat="1" ht="12.75"/>
    <row r="32709" s="3161" customFormat="1" ht="12.75"/>
    <row r="32710" s="3161" customFormat="1" ht="12.75"/>
    <row r="32711" s="3161" customFormat="1" ht="12.75"/>
    <row r="32712" s="3161" customFormat="1" ht="12.75"/>
    <row r="32713" s="3161" customFormat="1" ht="12.75"/>
    <row r="32714" s="3161" customFormat="1" ht="12.75"/>
    <row r="32715" s="3161" customFormat="1" ht="12.75"/>
    <row r="32716" s="3161" customFormat="1" ht="12.75"/>
    <row r="32717" s="3161" customFormat="1" ht="12.75"/>
    <row r="32718" s="3161" customFormat="1" ht="12.75"/>
    <row r="32719" s="3161" customFormat="1" ht="12.75"/>
    <row r="32720" s="3161" customFormat="1" ht="12.75"/>
    <row r="32721" s="3161" customFormat="1" ht="12.75"/>
    <row r="32722" s="3161" customFormat="1" ht="12.75"/>
    <row r="32723" s="3161" customFormat="1" ht="12.75"/>
    <row r="32724" s="3161" customFormat="1" ht="12.75"/>
    <row r="32725" s="3161" customFormat="1" ht="12.75"/>
    <row r="32726" s="3161" customFormat="1" ht="12.75"/>
    <row r="32727" s="3161" customFormat="1" ht="12.75"/>
    <row r="32728" s="3161" customFormat="1" ht="12.75"/>
    <row r="32729" s="3161" customFormat="1" ht="12.75"/>
    <row r="32730" s="3161" customFormat="1" ht="12.75"/>
    <row r="32731" s="3161" customFormat="1" ht="12.75"/>
    <row r="32732" s="3161" customFormat="1" ht="12.75"/>
    <row r="32733" s="3161" customFormat="1" ht="12.75"/>
    <row r="32734" s="3161" customFormat="1" ht="12.75"/>
    <row r="32735" s="3161" customFormat="1" ht="12.75"/>
    <row r="32736" s="3161" customFormat="1" ht="12.75"/>
    <row r="32737" s="3161" customFormat="1" ht="12.75"/>
    <row r="32738" s="3161" customFormat="1" ht="12.75"/>
    <row r="32739" s="3161" customFormat="1" ht="12.75"/>
    <row r="32740" s="3161" customFormat="1" ht="12.75"/>
    <row r="32741" s="3161" customFormat="1" ht="12.75"/>
    <row r="32742" s="3161" customFormat="1" ht="12.75"/>
    <row r="32743" s="3161" customFormat="1" ht="12.75"/>
    <row r="32744" s="3161" customFormat="1" ht="12.75"/>
    <row r="32745" s="3161" customFormat="1" ht="12.75"/>
    <row r="32746" s="3161" customFormat="1" ht="12.75"/>
    <row r="32747" s="3161" customFormat="1" ht="12.75"/>
    <row r="32748" s="3161" customFormat="1" ht="12.75"/>
    <row r="32749" s="3161" customFormat="1" ht="12.75"/>
    <row r="32750" s="3161" customFormat="1" ht="12.75"/>
    <row r="32751" s="3161" customFormat="1" ht="12.75"/>
    <row r="32752" s="3161" customFormat="1" ht="12.75"/>
    <row r="32753" s="3161" customFormat="1" ht="12.75"/>
    <row r="32754" s="3161" customFormat="1" ht="12.75"/>
    <row r="32755" s="3161" customFormat="1" ht="12.75"/>
    <row r="32756" s="3161" customFormat="1" ht="12.75"/>
    <row r="32757" s="3161" customFormat="1" ht="12.75"/>
    <row r="32758" s="3161" customFormat="1" ht="12.75"/>
    <row r="32759" s="3161" customFormat="1" ht="12.75"/>
    <row r="32760" s="3161" customFormat="1" ht="12.75"/>
    <row r="32761" s="3161" customFormat="1" ht="12.75"/>
    <row r="32762" s="3161" customFormat="1" ht="12.75"/>
    <row r="32763" s="3161" customFormat="1" ht="12.75"/>
    <row r="32764" s="3161" customFormat="1" ht="12.75"/>
    <row r="32765" s="3161" customFormat="1" ht="12.75"/>
    <row r="32766" s="3161" customFormat="1" ht="12.75"/>
    <row r="32767" s="3161" customFormat="1" ht="12.75"/>
    <row r="32768" s="3161" customFormat="1" ht="12.75"/>
    <row r="32769" s="3161" customFormat="1" ht="12.75"/>
    <row r="32770" s="3161" customFormat="1" ht="12.75"/>
    <row r="32771" s="3161" customFormat="1" ht="12.75"/>
    <row r="32772" s="3161" customFormat="1" ht="12.75"/>
    <row r="32773" s="3161" customFormat="1" ht="12.75"/>
    <row r="32774" s="3161" customFormat="1" ht="12.75"/>
    <row r="32775" s="3161" customFormat="1" ht="12.75"/>
    <row r="32776" s="3161" customFormat="1" ht="12.75"/>
    <row r="32777" s="3161" customFormat="1" ht="12.75"/>
    <row r="32778" s="3161" customFormat="1" ht="12.75"/>
    <row r="32779" s="3161" customFormat="1" ht="12.75"/>
    <row r="32780" s="3161" customFormat="1" ht="12.75"/>
    <row r="32781" s="3161" customFormat="1" ht="12.75"/>
    <row r="32782" s="3161" customFormat="1" ht="12.75"/>
    <row r="32783" s="3161" customFormat="1" ht="12.75"/>
    <row r="32784" s="3161" customFormat="1" ht="12.75"/>
    <row r="32785" s="3161" customFormat="1" ht="12.75"/>
    <row r="32786" s="3161" customFormat="1" ht="12.75"/>
    <row r="32787" s="3161" customFormat="1" ht="12.75"/>
    <row r="32788" s="3161" customFormat="1" ht="12.75"/>
    <row r="32789" s="3161" customFormat="1" ht="12.75"/>
    <row r="32790" s="3161" customFormat="1" ht="12.75"/>
    <row r="32791" s="3161" customFormat="1" ht="12.75"/>
    <row r="32792" s="3161" customFormat="1" ht="12.75"/>
    <row r="32793" s="3161" customFormat="1" ht="12.75"/>
    <row r="32794" s="3161" customFormat="1" ht="12.75"/>
    <row r="32795" s="3161" customFormat="1" ht="12.75"/>
    <row r="32796" s="3161" customFormat="1" ht="12.75"/>
    <row r="32797" s="3161" customFormat="1" ht="12.75"/>
    <row r="32798" s="3161" customFormat="1" ht="12.75"/>
    <row r="32799" s="3161" customFormat="1" ht="12.75"/>
    <row r="32800" s="3161" customFormat="1" ht="12.75"/>
    <row r="32801" s="3161" customFormat="1" ht="12.75"/>
    <row r="32802" s="3161" customFormat="1" ht="12.75"/>
    <row r="32803" s="3161" customFormat="1" ht="12.75"/>
    <row r="32804" s="3161" customFormat="1" ht="12.75"/>
    <row r="32805" s="3161" customFormat="1" ht="12.75"/>
    <row r="32806" s="3161" customFormat="1" ht="12.75"/>
    <row r="32807" s="3161" customFormat="1" ht="12.75"/>
    <row r="32808" s="3161" customFormat="1" ht="12.75"/>
    <row r="32809" s="3161" customFormat="1" ht="12.75"/>
    <row r="32810" s="3161" customFormat="1" ht="12.75"/>
    <row r="32811" s="3161" customFormat="1" ht="12.75"/>
    <row r="32812" s="3161" customFormat="1" ht="12.75"/>
    <row r="32813" s="3161" customFormat="1" ht="12.75"/>
    <row r="32814" s="3161" customFormat="1" ht="12.75"/>
    <row r="32815" s="3161" customFormat="1" ht="12.75"/>
    <row r="32816" s="3161" customFormat="1" ht="12.75"/>
    <row r="32817" s="3161" customFormat="1" ht="12.75"/>
    <row r="32818" s="3161" customFormat="1" ht="12.75"/>
    <row r="32819" s="3161" customFormat="1" ht="12.75"/>
    <row r="32820" s="3161" customFormat="1" ht="12.75"/>
    <row r="32821" s="3161" customFormat="1" ht="12.75"/>
    <row r="32822" s="3161" customFormat="1" ht="12.75"/>
    <row r="32823" s="3161" customFormat="1" ht="12.75"/>
    <row r="32824" s="3161" customFormat="1" ht="12.75"/>
    <row r="32825" s="3161" customFormat="1" ht="12.75"/>
    <row r="32826" s="3161" customFormat="1" ht="12.75"/>
    <row r="32827" s="3161" customFormat="1" ht="12.75"/>
    <row r="32828" s="3161" customFormat="1" ht="12.75"/>
    <row r="32829" s="3161" customFormat="1" ht="12.75"/>
    <row r="32830" s="3161" customFormat="1" ht="12.75"/>
    <row r="32831" s="3161" customFormat="1" ht="12.75"/>
    <row r="32832" s="3161" customFormat="1" ht="12.75"/>
    <row r="32833" s="3161" customFormat="1" ht="12.75"/>
    <row r="32834" s="3161" customFormat="1" ht="12.75"/>
    <row r="32835" s="3161" customFormat="1" ht="12.75"/>
    <row r="32836" s="3161" customFormat="1" ht="12.75"/>
    <row r="32837" s="3161" customFormat="1" ht="12.75"/>
    <row r="32838" s="3161" customFormat="1" ht="12.75"/>
    <row r="32839" s="3161" customFormat="1" ht="12.75"/>
    <row r="32840" s="3161" customFormat="1" ht="12.75"/>
    <row r="32841" s="3161" customFormat="1" ht="12.75"/>
    <row r="32842" s="3161" customFormat="1" ht="12.75"/>
    <row r="32843" s="3161" customFormat="1" ht="12.75"/>
    <row r="32844" s="3161" customFormat="1" ht="12.75"/>
    <row r="32845" s="3161" customFormat="1" ht="12.75"/>
    <row r="32846" s="3161" customFormat="1" ht="12.75"/>
    <row r="32847" s="3161" customFormat="1" ht="12.75"/>
    <row r="32848" s="3161" customFormat="1" ht="12.75"/>
    <row r="32849" s="3161" customFormat="1" ht="12.75"/>
    <row r="32850" s="3161" customFormat="1" ht="12.75"/>
    <row r="32851" s="3161" customFormat="1" ht="12.75"/>
    <row r="32852" s="3161" customFormat="1" ht="12.75"/>
    <row r="32853" s="3161" customFormat="1" ht="12.75"/>
    <row r="32854" s="3161" customFormat="1" ht="12.75"/>
    <row r="32855" s="3161" customFormat="1" ht="12.75"/>
    <row r="32856" s="3161" customFormat="1" ht="12.75"/>
    <row r="32857" s="3161" customFormat="1" ht="12.75"/>
    <row r="32858" s="3161" customFormat="1" ht="12.75"/>
    <row r="32859" s="3161" customFormat="1" ht="12.75"/>
    <row r="32860" s="3161" customFormat="1" ht="12.75"/>
    <row r="32861" s="3161" customFormat="1" ht="12.75"/>
    <row r="32862" s="3161" customFormat="1" ht="12.75"/>
    <row r="32863" s="3161" customFormat="1" ht="12.75"/>
    <row r="32864" s="3161" customFormat="1" ht="12.75"/>
    <row r="32865" s="3161" customFormat="1" ht="12.75"/>
    <row r="32866" s="3161" customFormat="1" ht="12.75"/>
    <row r="32867" s="3161" customFormat="1" ht="12.75"/>
    <row r="32868" s="3161" customFormat="1" ht="12.75"/>
    <row r="32869" s="3161" customFormat="1" ht="12.75"/>
    <row r="32870" s="3161" customFormat="1" ht="12.75"/>
    <row r="32871" s="3161" customFormat="1" ht="12.75"/>
    <row r="32872" s="3161" customFormat="1" ht="12.75"/>
    <row r="32873" s="3161" customFormat="1" ht="12.75"/>
    <row r="32874" s="3161" customFormat="1" ht="12.75"/>
    <row r="32875" s="3161" customFormat="1" ht="12.75"/>
    <row r="32876" s="3161" customFormat="1" ht="12.75"/>
    <row r="32877" s="3161" customFormat="1" ht="12.75"/>
    <row r="32878" s="3161" customFormat="1" ht="12.75"/>
    <row r="32879" s="3161" customFormat="1" ht="12.75"/>
    <row r="32880" s="3161" customFormat="1" ht="12.75"/>
    <row r="32881" s="3161" customFormat="1" ht="12.75"/>
    <row r="32882" s="3161" customFormat="1" ht="12.75"/>
    <row r="32883" s="3161" customFormat="1" ht="12.75"/>
    <row r="32884" s="3161" customFormat="1" ht="12.75"/>
    <row r="32885" s="3161" customFormat="1" ht="12.75"/>
    <row r="32886" s="3161" customFormat="1" ht="12.75"/>
    <row r="32887" s="3161" customFormat="1" ht="12.75"/>
    <row r="32888" s="3161" customFormat="1" ht="12.75"/>
    <row r="32889" s="3161" customFormat="1" ht="12.75"/>
    <row r="32890" s="3161" customFormat="1" ht="12.75"/>
    <row r="32891" s="3161" customFormat="1" ht="12.75"/>
    <row r="32892" s="3161" customFormat="1" ht="12.75"/>
    <row r="32893" s="3161" customFormat="1" ht="12.75"/>
    <row r="32894" s="3161" customFormat="1" ht="12.75"/>
    <row r="32895" s="3161" customFormat="1" ht="12.75"/>
    <row r="32896" s="3161" customFormat="1" ht="12.75"/>
    <row r="32897" s="3161" customFormat="1" ht="12.75"/>
    <row r="32898" s="3161" customFormat="1" ht="12.75"/>
    <row r="32899" s="3161" customFormat="1" ht="12.75"/>
    <row r="32900" s="3161" customFormat="1" ht="12.75"/>
    <row r="32901" s="3161" customFormat="1" ht="12.75"/>
    <row r="32902" s="3161" customFormat="1" ht="12.75"/>
    <row r="32903" s="3161" customFormat="1" ht="12.75"/>
    <row r="32904" s="3161" customFormat="1" ht="12.75"/>
    <row r="32905" s="3161" customFormat="1" ht="12.75"/>
    <row r="32906" s="3161" customFormat="1" ht="12.75"/>
    <row r="32907" s="3161" customFormat="1" ht="12.75"/>
    <row r="32908" s="3161" customFormat="1" ht="12.75"/>
    <row r="32909" s="3161" customFormat="1" ht="12.75"/>
    <row r="32910" s="3161" customFormat="1" ht="12.75"/>
    <row r="32911" s="3161" customFormat="1" ht="12.75"/>
    <row r="32912" s="3161" customFormat="1" ht="12.75"/>
    <row r="32913" s="3161" customFormat="1" ht="12.75"/>
    <row r="32914" s="3161" customFormat="1" ht="12.75"/>
    <row r="32915" s="3161" customFormat="1" ht="12.75"/>
    <row r="32916" s="3161" customFormat="1" ht="12.75"/>
    <row r="32917" s="3161" customFormat="1" ht="12.75"/>
    <row r="32918" s="3161" customFormat="1" ht="12.75"/>
    <row r="32919" s="3161" customFormat="1" ht="12.75"/>
    <row r="32920" s="3161" customFormat="1" ht="12.75"/>
    <row r="32921" s="3161" customFormat="1" ht="12.75"/>
    <row r="32922" s="3161" customFormat="1" ht="12.75"/>
    <row r="32923" s="3161" customFormat="1" ht="12.75"/>
    <row r="32924" s="3161" customFormat="1" ht="12.75"/>
    <row r="32925" s="3161" customFormat="1" ht="12.75"/>
    <row r="32926" s="3161" customFormat="1" ht="12.75"/>
    <row r="32927" s="3161" customFormat="1" ht="12.75"/>
    <row r="32928" s="3161" customFormat="1" ht="12.75"/>
    <row r="32929" s="3161" customFormat="1" ht="12.75"/>
    <row r="32930" s="3161" customFormat="1" ht="12.75"/>
    <row r="32931" s="3161" customFormat="1" ht="12.75"/>
    <row r="32932" s="3161" customFormat="1" ht="12.75"/>
    <row r="32933" s="3161" customFormat="1" ht="12.75"/>
    <row r="32934" s="3161" customFormat="1" ht="12.75"/>
    <row r="32935" s="3161" customFormat="1" ht="12.75"/>
    <row r="32936" s="3161" customFormat="1" ht="12.75"/>
    <row r="32937" s="3161" customFormat="1" ht="12.75"/>
    <row r="32938" s="3161" customFormat="1" ht="12.75"/>
    <row r="32939" s="3161" customFormat="1" ht="12.75"/>
    <row r="32940" s="3161" customFormat="1" ht="12.75"/>
    <row r="32941" s="3161" customFormat="1" ht="12.75"/>
    <row r="32942" s="3161" customFormat="1" ht="12.75"/>
    <row r="32943" s="3161" customFormat="1" ht="12.75"/>
    <row r="32944" s="3161" customFormat="1" ht="12.75"/>
    <row r="32945" s="3161" customFormat="1" ht="12.75"/>
    <row r="32946" s="3161" customFormat="1" ht="12.75"/>
    <row r="32947" s="3161" customFormat="1" ht="12.75"/>
    <row r="32948" s="3161" customFormat="1" ht="12.75"/>
    <row r="32949" s="3161" customFormat="1" ht="12.75"/>
    <row r="32950" s="3161" customFormat="1" ht="12.75"/>
    <row r="32951" s="3161" customFormat="1" ht="12.75"/>
    <row r="32952" s="3161" customFormat="1" ht="12.75"/>
    <row r="32953" s="3161" customFormat="1" ht="12.75"/>
    <row r="32954" s="3161" customFormat="1" ht="12.75"/>
    <row r="32955" s="3161" customFormat="1" ht="12.75"/>
    <row r="32956" s="3161" customFormat="1" ht="12.75"/>
    <row r="32957" s="3161" customFormat="1" ht="12.75"/>
    <row r="32958" s="3161" customFormat="1" ht="12.75"/>
    <row r="32959" s="3161" customFormat="1" ht="12.75"/>
    <row r="32960" s="3161" customFormat="1" ht="12.75"/>
    <row r="32961" s="3161" customFormat="1" ht="12.75"/>
    <row r="32962" s="3161" customFormat="1" ht="12.75"/>
    <row r="32963" s="3161" customFormat="1" ht="12.75"/>
    <row r="32964" s="3161" customFormat="1" ht="12.75"/>
    <row r="32965" s="3161" customFormat="1" ht="12.75"/>
    <row r="32966" s="3161" customFormat="1" ht="12.75"/>
    <row r="32967" s="3161" customFormat="1" ht="12.75"/>
    <row r="32968" s="3161" customFormat="1" ht="12.75"/>
    <row r="32969" s="3161" customFormat="1" ht="12.75"/>
    <row r="32970" s="3161" customFormat="1" ht="12.75"/>
    <row r="32971" s="3161" customFormat="1" ht="12.75"/>
    <row r="32972" s="3161" customFormat="1" ht="12.75"/>
    <row r="32973" s="3161" customFormat="1" ht="12.75"/>
    <row r="32974" s="3161" customFormat="1" ht="12.75"/>
    <row r="32975" s="3161" customFormat="1" ht="12.75"/>
    <row r="32976" s="3161" customFormat="1" ht="12.75"/>
    <row r="32977" s="3161" customFormat="1" ht="12.75"/>
    <row r="32978" s="3161" customFormat="1" ht="12.75"/>
    <row r="32979" s="3161" customFormat="1" ht="12.75"/>
    <row r="32980" s="3161" customFormat="1" ht="12.75"/>
    <row r="32981" s="3161" customFormat="1" ht="12.75"/>
    <row r="32982" s="3161" customFormat="1" ht="12.75"/>
    <row r="32983" s="3161" customFormat="1" ht="12.75"/>
    <row r="32984" s="3161" customFormat="1" ht="12.75"/>
    <row r="32985" s="3161" customFormat="1" ht="12.75"/>
    <row r="32986" s="3161" customFormat="1" ht="12.75"/>
    <row r="32987" s="3161" customFormat="1" ht="12.75"/>
    <row r="32988" s="3161" customFormat="1" ht="12.75"/>
    <row r="32989" s="3161" customFormat="1" ht="12.75"/>
    <row r="32990" s="3161" customFormat="1" ht="12.75"/>
    <row r="32991" s="3161" customFormat="1" ht="12.75"/>
    <row r="32992" s="3161" customFormat="1" ht="12.75"/>
    <row r="32993" s="3161" customFormat="1" ht="12.75"/>
    <row r="32994" s="3161" customFormat="1" ht="12.75"/>
    <row r="32995" s="3161" customFormat="1" ht="12.75"/>
    <row r="32996" s="3161" customFormat="1" ht="12.75"/>
    <row r="32997" s="3161" customFormat="1" ht="12.75"/>
    <row r="32998" s="3161" customFormat="1" ht="12.75"/>
    <row r="32999" s="3161" customFormat="1" ht="12.75"/>
    <row r="33000" s="3161" customFormat="1" ht="12.75"/>
    <row r="33001" s="3161" customFormat="1" ht="12.75"/>
    <row r="33002" s="3161" customFormat="1" ht="12.75"/>
    <row r="33003" s="3161" customFormat="1" ht="12.75"/>
    <row r="33004" s="3161" customFormat="1" ht="12.75"/>
    <row r="33005" s="3161" customFormat="1" ht="12.75"/>
    <row r="33006" s="3161" customFormat="1" ht="12.75"/>
    <row r="33007" s="3161" customFormat="1" ht="12.75"/>
    <row r="33008" s="3161" customFormat="1" ht="12.75"/>
    <row r="33009" s="3161" customFormat="1" ht="12.75"/>
    <row r="33010" s="3161" customFormat="1" ht="12.75"/>
    <row r="33011" s="3161" customFormat="1" ht="12.75"/>
    <row r="33012" s="3161" customFormat="1" ht="12.75"/>
    <row r="33013" s="3161" customFormat="1" ht="12.75"/>
    <row r="33014" s="3161" customFormat="1" ht="12.75"/>
    <row r="33015" s="3161" customFormat="1" ht="12.75"/>
    <row r="33016" s="3161" customFormat="1" ht="12.75"/>
    <row r="33017" s="3161" customFormat="1" ht="12.75"/>
    <row r="33018" s="3161" customFormat="1" ht="12.75"/>
    <row r="33019" s="3161" customFormat="1" ht="12.75"/>
    <row r="33020" s="3161" customFormat="1" ht="12.75"/>
    <row r="33021" s="3161" customFormat="1" ht="12.75"/>
    <row r="33022" s="3161" customFormat="1" ht="12.75"/>
    <row r="33023" s="3161" customFormat="1" ht="12.75"/>
    <row r="33024" s="3161" customFormat="1" ht="12.75"/>
    <row r="33025" s="3161" customFormat="1" ht="12.75"/>
    <row r="33026" s="3161" customFormat="1" ht="12.75"/>
    <row r="33027" s="3161" customFormat="1" ht="12.75"/>
    <row r="33028" s="3161" customFormat="1" ht="12.75"/>
    <row r="33029" s="3161" customFormat="1" ht="12.75"/>
    <row r="33030" s="3161" customFormat="1" ht="12.75"/>
    <row r="33031" s="3161" customFormat="1" ht="12.75"/>
    <row r="33032" s="3161" customFormat="1" ht="12.75"/>
    <row r="33033" s="3161" customFormat="1" ht="12.75"/>
    <row r="33034" s="3161" customFormat="1" ht="12.75"/>
    <row r="33035" s="3161" customFormat="1" ht="12.75"/>
    <row r="33036" s="3161" customFormat="1" ht="12.75"/>
    <row r="33037" s="3161" customFormat="1" ht="12.75"/>
    <row r="33038" s="3161" customFormat="1" ht="12.75"/>
    <row r="33039" s="3161" customFormat="1" ht="12.75"/>
    <row r="33040" s="3161" customFormat="1" ht="12.75"/>
    <row r="33041" s="3161" customFormat="1" ht="12.75"/>
    <row r="33042" s="3161" customFormat="1" ht="12.75"/>
    <row r="33043" s="3161" customFormat="1" ht="12.75"/>
    <row r="33044" s="3161" customFormat="1" ht="12.75"/>
    <row r="33045" s="3161" customFormat="1" ht="12.75"/>
    <row r="33046" s="3161" customFormat="1" ht="12.75"/>
    <row r="33047" s="3161" customFormat="1" ht="12.75"/>
    <row r="33048" s="3161" customFormat="1" ht="12.75"/>
    <row r="33049" s="3161" customFormat="1" ht="12.75"/>
    <row r="33050" s="3161" customFormat="1" ht="12.75"/>
    <row r="33051" s="3161" customFormat="1" ht="12.75"/>
    <row r="33052" s="3161" customFormat="1" ht="12.75"/>
    <row r="33053" s="3161" customFormat="1" ht="12.75"/>
    <row r="33054" s="3161" customFormat="1" ht="12.75"/>
    <row r="33055" s="3161" customFormat="1" ht="12.75"/>
    <row r="33056" s="3161" customFormat="1" ht="12.75"/>
    <row r="33057" s="3161" customFormat="1" ht="12.75"/>
    <row r="33058" s="3161" customFormat="1" ht="12.75"/>
    <row r="33059" s="3161" customFormat="1" ht="12.75"/>
    <row r="33060" s="3161" customFormat="1" ht="12.75"/>
    <row r="33061" s="3161" customFormat="1" ht="12.75"/>
    <row r="33062" s="3161" customFormat="1" ht="12.75"/>
    <row r="33063" s="3161" customFormat="1" ht="12.75"/>
    <row r="33064" s="3161" customFormat="1" ht="12.75"/>
    <row r="33065" s="3161" customFormat="1" ht="12.75"/>
    <row r="33066" s="3161" customFormat="1" ht="12.75"/>
    <row r="33067" s="3161" customFormat="1" ht="12.75"/>
    <row r="33068" s="3161" customFormat="1" ht="12.75"/>
    <row r="33069" s="3161" customFormat="1" ht="12.75"/>
    <row r="33070" s="3161" customFormat="1" ht="12.75"/>
    <row r="33071" s="3161" customFormat="1" ht="12.75"/>
    <row r="33072" s="3161" customFormat="1" ht="12.75"/>
    <row r="33073" s="3161" customFormat="1" ht="12.75"/>
    <row r="33074" s="3161" customFormat="1" ht="12.75"/>
    <row r="33075" s="3161" customFormat="1" ht="12.75"/>
    <row r="33076" s="3161" customFormat="1" ht="12.75"/>
    <row r="33077" s="3161" customFormat="1" ht="12.75"/>
    <row r="33078" s="3161" customFormat="1" ht="12.75"/>
    <row r="33079" s="3161" customFormat="1" ht="12.75"/>
    <row r="33080" s="3161" customFormat="1" ht="12.75"/>
    <row r="33081" s="3161" customFormat="1" ht="12.75"/>
    <row r="33082" s="3161" customFormat="1" ht="12.75"/>
    <row r="33083" s="3161" customFormat="1" ht="12.75"/>
    <row r="33084" s="3161" customFormat="1" ht="12.75"/>
    <row r="33085" s="3161" customFormat="1" ht="12.75"/>
    <row r="33086" s="3161" customFormat="1" ht="12.75"/>
    <row r="33087" s="3161" customFormat="1" ht="12.75"/>
    <row r="33088" s="3161" customFormat="1" ht="12.75"/>
    <row r="33089" s="3161" customFormat="1" ht="12.75"/>
    <row r="33090" s="3161" customFormat="1" ht="12.75"/>
    <row r="33091" s="3161" customFormat="1" ht="12.75"/>
    <row r="33092" s="3161" customFormat="1" ht="12.75"/>
    <row r="33093" s="3161" customFormat="1" ht="12.75"/>
    <row r="33094" s="3161" customFormat="1" ht="12.75"/>
    <row r="33095" s="3161" customFormat="1" ht="12.75"/>
    <row r="33096" s="3161" customFormat="1" ht="12.75"/>
    <row r="33097" s="3161" customFormat="1" ht="12.75"/>
    <row r="33098" s="3161" customFormat="1" ht="12.75"/>
    <row r="33099" s="3161" customFormat="1" ht="12.75"/>
    <row r="33100" s="3161" customFormat="1" ht="12.75"/>
    <row r="33101" s="3161" customFormat="1" ht="12.75"/>
    <row r="33102" s="3161" customFormat="1" ht="12.75"/>
    <row r="33103" s="3161" customFormat="1" ht="12.75"/>
    <row r="33104" s="3161" customFormat="1" ht="12.75"/>
    <row r="33105" s="3161" customFormat="1" ht="12.75"/>
    <row r="33106" s="3161" customFormat="1" ht="12.75"/>
    <row r="33107" s="3161" customFormat="1" ht="12.75"/>
    <row r="33108" s="3161" customFormat="1" ht="12.75"/>
    <row r="33109" s="3161" customFormat="1" ht="12.75"/>
    <row r="33110" s="3161" customFormat="1" ht="12.75"/>
    <row r="33111" s="3161" customFormat="1" ht="12.75"/>
    <row r="33112" s="3161" customFormat="1" ht="12.75"/>
    <row r="33113" s="3161" customFormat="1" ht="12.75"/>
    <row r="33114" s="3161" customFormat="1" ht="12.75"/>
    <row r="33115" s="3161" customFormat="1" ht="12.75"/>
    <row r="33116" s="3161" customFormat="1" ht="12.75"/>
    <row r="33117" s="3161" customFormat="1" ht="12.75"/>
    <row r="33118" s="3161" customFormat="1" ht="12.75"/>
    <row r="33119" s="3161" customFormat="1" ht="12.75"/>
    <row r="33120" s="3161" customFormat="1" ht="12.75"/>
    <row r="33121" s="3161" customFormat="1" ht="12.75"/>
    <row r="33122" s="3161" customFormat="1" ht="12.75"/>
    <row r="33123" s="3161" customFormat="1" ht="12.75"/>
    <row r="33124" s="3161" customFormat="1" ht="12.75"/>
    <row r="33125" s="3161" customFormat="1" ht="12.75"/>
    <row r="33126" s="3161" customFormat="1" ht="12.75"/>
    <row r="33127" s="3161" customFormat="1" ht="12.75"/>
    <row r="33128" s="3161" customFormat="1" ht="12.75"/>
    <row r="33129" s="3161" customFormat="1" ht="12.75"/>
    <row r="33130" s="3161" customFormat="1" ht="12.75"/>
    <row r="33131" s="3161" customFormat="1" ht="12.75"/>
    <row r="33132" s="3161" customFormat="1" ht="12.75"/>
    <row r="33133" s="3161" customFormat="1" ht="12.75"/>
    <row r="33134" s="3161" customFormat="1" ht="12.75"/>
    <row r="33135" s="3161" customFormat="1" ht="12.75"/>
    <row r="33136" s="3161" customFormat="1" ht="12.75"/>
    <row r="33137" s="3161" customFormat="1" ht="12.75"/>
    <row r="33138" s="3161" customFormat="1" ht="12.75"/>
    <row r="33139" s="3161" customFormat="1" ht="12.75"/>
    <row r="33140" s="3161" customFormat="1" ht="12.75"/>
    <row r="33141" s="3161" customFormat="1" ht="12.75"/>
    <row r="33142" s="3161" customFormat="1" ht="12.75"/>
    <row r="33143" s="3161" customFormat="1" ht="12.75"/>
    <row r="33144" s="3161" customFormat="1" ht="12.75"/>
    <row r="33145" s="3161" customFormat="1" ht="12.75"/>
    <row r="33146" s="3161" customFormat="1" ht="12.75"/>
    <row r="33147" s="3161" customFormat="1" ht="12.75"/>
    <row r="33148" s="3161" customFormat="1" ht="12.75"/>
    <row r="33149" s="3161" customFormat="1" ht="12.75"/>
    <row r="33150" s="3161" customFormat="1" ht="12.75"/>
    <row r="33151" s="3161" customFormat="1" ht="12.75"/>
    <row r="33152" s="3161" customFormat="1" ht="12.75"/>
    <row r="33153" s="3161" customFormat="1" ht="12.75"/>
    <row r="33154" s="3161" customFormat="1" ht="12.75"/>
    <row r="33155" s="3161" customFormat="1" ht="12.75"/>
    <row r="33156" s="3161" customFormat="1" ht="12.75"/>
    <row r="33157" s="3161" customFormat="1" ht="12.75"/>
    <row r="33158" s="3161" customFormat="1" ht="12.75"/>
    <row r="33159" s="3161" customFormat="1" ht="12.75"/>
    <row r="33160" s="3161" customFormat="1" ht="12.75"/>
    <row r="33161" s="3161" customFormat="1" ht="12.75"/>
    <row r="33162" s="3161" customFormat="1" ht="12.75"/>
    <row r="33163" s="3161" customFormat="1" ht="12.75"/>
    <row r="33164" s="3161" customFormat="1" ht="12.75"/>
    <row r="33165" s="3161" customFormat="1" ht="12.75"/>
    <row r="33166" s="3161" customFormat="1" ht="12.75"/>
    <row r="33167" s="3161" customFormat="1" ht="12.75"/>
    <row r="33168" s="3161" customFormat="1" ht="12.75"/>
    <row r="33169" s="3161" customFormat="1" ht="12.75"/>
    <row r="33170" s="3161" customFormat="1" ht="12.75"/>
    <row r="33171" s="3161" customFormat="1" ht="12.75"/>
    <row r="33172" s="3161" customFormat="1" ht="12.75"/>
    <row r="33173" s="3161" customFormat="1" ht="12.75"/>
    <row r="33174" s="3161" customFormat="1" ht="12.75"/>
    <row r="33175" s="3161" customFormat="1" ht="12.75"/>
    <row r="33176" s="3161" customFormat="1" ht="12.75"/>
    <row r="33177" s="3161" customFormat="1" ht="12.75"/>
    <row r="33178" s="3161" customFormat="1" ht="12.75"/>
    <row r="33179" s="3161" customFormat="1" ht="12.75"/>
    <row r="33180" s="3161" customFormat="1" ht="12.75"/>
    <row r="33181" s="3161" customFormat="1" ht="12.75"/>
    <row r="33182" s="3161" customFormat="1" ht="12.75"/>
    <row r="33183" s="3161" customFormat="1" ht="12.75"/>
    <row r="33184" s="3161" customFormat="1" ht="12.75"/>
    <row r="33185" s="3161" customFormat="1" ht="12.75"/>
    <row r="33186" s="3161" customFormat="1" ht="12.75"/>
    <row r="33187" s="3161" customFormat="1" ht="12.75"/>
    <row r="33188" s="3161" customFormat="1" ht="12.75"/>
    <row r="33189" s="3161" customFormat="1" ht="12.75"/>
    <row r="33190" s="3161" customFormat="1" ht="12.75"/>
    <row r="33191" s="3161" customFormat="1" ht="12.75"/>
    <row r="33192" s="3161" customFormat="1" ht="12.75"/>
    <row r="33193" s="3161" customFormat="1" ht="12.75"/>
    <row r="33194" s="3161" customFormat="1" ht="12.75"/>
    <row r="33195" s="3161" customFormat="1" ht="12.75"/>
    <row r="33196" s="3161" customFormat="1" ht="12.75"/>
    <row r="33197" s="3161" customFormat="1" ht="12.75"/>
    <row r="33198" s="3161" customFormat="1" ht="12.75"/>
    <row r="33199" s="3161" customFormat="1" ht="12.75"/>
    <row r="33200" s="3161" customFormat="1" ht="12.75"/>
    <row r="33201" s="3161" customFormat="1" ht="12.75"/>
    <row r="33202" s="3161" customFormat="1" ht="12.75"/>
    <row r="33203" s="3161" customFormat="1" ht="12.75"/>
    <row r="33204" s="3161" customFormat="1" ht="12.75"/>
    <row r="33205" s="3161" customFormat="1" ht="12.75"/>
    <row r="33206" s="3161" customFormat="1" ht="12.75"/>
    <row r="33207" s="3161" customFormat="1" ht="12.75"/>
    <row r="33208" s="3161" customFormat="1" ht="12.75"/>
    <row r="33209" s="3161" customFormat="1" ht="12.75"/>
    <row r="33210" s="3161" customFormat="1" ht="12.75"/>
    <row r="33211" s="3161" customFormat="1" ht="12.75"/>
    <row r="33212" s="3161" customFormat="1" ht="12.75"/>
    <row r="33213" s="3161" customFormat="1" ht="12.75"/>
    <row r="33214" s="3161" customFormat="1" ht="12.75"/>
    <row r="33215" s="3161" customFormat="1" ht="12.75"/>
    <row r="33216" s="3161" customFormat="1" ht="12.75"/>
    <row r="33217" s="3161" customFormat="1" ht="12.75"/>
    <row r="33218" s="3161" customFormat="1" ht="12.75"/>
    <row r="33219" s="3161" customFormat="1" ht="12.75"/>
    <row r="33220" s="3161" customFormat="1" ht="12.75"/>
    <row r="33221" s="3161" customFormat="1" ht="12.75"/>
    <row r="33222" s="3161" customFormat="1" ht="12.75"/>
    <row r="33223" s="3161" customFormat="1" ht="12.75"/>
    <row r="33224" s="3161" customFormat="1" ht="12.75"/>
    <row r="33225" s="3161" customFormat="1" ht="12.75"/>
    <row r="33226" s="3161" customFormat="1" ht="12.75"/>
    <row r="33227" s="3161" customFormat="1" ht="12.75"/>
    <row r="33228" s="3161" customFormat="1" ht="12.75"/>
    <row r="33229" s="3161" customFormat="1" ht="12.75"/>
    <row r="33230" s="3161" customFormat="1" ht="12.75"/>
    <row r="33231" s="3161" customFormat="1" ht="12.75"/>
    <row r="33232" s="3161" customFormat="1" ht="12.75"/>
    <row r="33233" s="3161" customFormat="1" ht="12.75"/>
    <row r="33234" s="3161" customFormat="1" ht="12.75"/>
    <row r="33235" s="3161" customFormat="1" ht="12.75"/>
    <row r="33236" s="3161" customFormat="1" ht="12.75"/>
    <row r="33237" s="3161" customFormat="1" ht="12.75"/>
    <row r="33238" s="3161" customFormat="1" ht="12.75"/>
    <row r="33239" s="3161" customFormat="1" ht="12.75"/>
    <row r="33240" s="3161" customFormat="1" ht="12.75"/>
    <row r="33241" s="3161" customFormat="1" ht="12.75"/>
    <row r="33242" s="3161" customFormat="1" ht="12.75"/>
    <row r="33243" s="3161" customFormat="1" ht="12.75"/>
    <row r="33244" s="3161" customFormat="1" ht="12.75"/>
    <row r="33245" s="3161" customFormat="1" ht="12.75"/>
    <row r="33246" s="3161" customFormat="1" ht="12.75"/>
    <row r="33247" s="3161" customFormat="1" ht="12.75"/>
    <row r="33248" s="3161" customFormat="1" ht="12.75"/>
    <row r="33249" s="3161" customFormat="1" ht="12.75"/>
    <row r="33250" s="3161" customFormat="1" ht="12.75"/>
    <row r="33251" s="3161" customFormat="1" ht="12.75"/>
    <row r="33252" s="3161" customFormat="1" ht="12.75"/>
    <row r="33253" s="3161" customFormat="1" ht="12.75"/>
    <row r="33254" s="3161" customFormat="1" ht="12.75"/>
    <row r="33255" s="3161" customFormat="1" ht="12.75"/>
    <row r="33256" s="3161" customFormat="1" ht="12.75"/>
    <row r="33257" s="3161" customFormat="1" ht="12.75"/>
    <row r="33258" s="3161" customFormat="1" ht="12.75"/>
    <row r="33259" s="3161" customFormat="1" ht="12.75"/>
    <row r="33260" s="3161" customFormat="1" ht="12.75"/>
    <row r="33261" s="3161" customFormat="1" ht="12.75"/>
    <row r="33262" s="3161" customFormat="1" ht="12.75"/>
    <row r="33263" s="3161" customFormat="1" ht="12.75"/>
    <row r="33264" s="3161" customFormat="1" ht="12.75"/>
    <row r="33265" s="3161" customFormat="1" ht="12.75"/>
    <row r="33266" s="3161" customFormat="1" ht="12.75"/>
    <row r="33267" s="3161" customFormat="1" ht="12.75"/>
    <row r="33268" s="3161" customFormat="1" ht="12.75"/>
    <row r="33269" s="3161" customFormat="1" ht="12.75"/>
    <row r="33270" s="3161" customFormat="1" ht="12.75"/>
    <row r="33271" s="3161" customFormat="1" ht="12.75"/>
    <row r="33272" s="3161" customFormat="1" ht="12.75"/>
    <row r="33273" s="3161" customFormat="1" ht="12.75"/>
    <row r="33274" s="3161" customFormat="1" ht="12.75"/>
    <row r="33275" s="3161" customFormat="1" ht="12.75"/>
    <row r="33276" s="3161" customFormat="1" ht="12.75"/>
    <row r="33277" s="3161" customFormat="1" ht="12.75"/>
    <row r="33278" s="3161" customFormat="1" ht="12.75"/>
    <row r="33279" s="3161" customFormat="1" ht="12.75"/>
    <row r="33280" s="3161" customFormat="1" ht="12.75"/>
    <row r="33281" s="3161" customFormat="1" ht="12.75"/>
    <row r="33282" s="3161" customFormat="1" ht="12.75"/>
    <row r="33283" s="3161" customFormat="1" ht="12.75"/>
    <row r="33284" s="3161" customFormat="1" ht="12.75"/>
    <row r="33285" s="3161" customFormat="1" ht="12.75"/>
    <row r="33286" s="3161" customFormat="1" ht="12.75"/>
    <row r="33287" s="3161" customFormat="1" ht="12.75"/>
    <row r="33288" s="3161" customFormat="1" ht="12.75"/>
    <row r="33289" s="3161" customFormat="1" ht="12.75"/>
    <row r="33290" s="3161" customFormat="1" ht="12.75"/>
    <row r="33291" s="3161" customFormat="1" ht="12.75"/>
    <row r="33292" s="3161" customFormat="1" ht="12.75"/>
    <row r="33293" s="3161" customFormat="1" ht="12.75"/>
    <row r="33294" s="3161" customFormat="1" ht="12.75"/>
    <row r="33295" s="3161" customFormat="1" ht="12.75"/>
    <row r="33296" s="3161" customFormat="1" ht="12.75"/>
    <row r="33297" s="3161" customFormat="1" ht="12.75"/>
    <row r="33298" s="3161" customFormat="1" ht="12.75"/>
    <row r="33299" s="3161" customFormat="1" ht="12.75"/>
    <row r="33300" s="3161" customFormat="1" ht="12.75"/>
    <row r="33301" s="3161" customFormat="1" ht="12.75"/>
    <row r="33302" s="3161" customFormat="1" ht="12.75"/>
    <row r="33303" s="3161" customFormat="1" ht="12.75"/>
    <row r="33304" s="3161" customFormat="1" ht="12.75"/>
    <row r="33305" s="3161" customFormat="1" ht="12.75"/>
    <row r="33306" s="3161" customFormat="1" ht="12.75"/>
    <row r="33307" s="3161" customFormat="1" ht="12.75"/>
    <row r="33308" s="3161" customFormat="1" ht="12.75"/>
    <row r="33309" s="3161" customFormat="1" ht="12.75"/>
    <row r="33310" s="3161" customFormat="1" ht="12.75"/>
    <row r="33311" s="3161" customFormat="1" ht="12.75"/>
    <row r="33312" s="3161" customFormat="1" ht="12.75"/>
    <row r="33313" s="3161" customFormat="1" ht="12.75"/>
    <row r="33314" s="3161" customFormat="1" ht="12.75"/>
    <row r="33315" s="3161" customFormat="1" ht="12.75"/>
    <row r="33316" s="3161" customFormat="1" ht="12.75"/>
    <row r="33317" s="3161" customFormat="1" ht="12.75"/>
    <row r="33318" s="3161" customFormat="1" ht="12.75"/>
    <row r="33319" s="3161" customFormat="1" ht="12.75"/>
    <row r="33320" s="3161" customFormat="1" ht="12.75"/>
    <row r="33321" s="3161" customFormat="1" ht="12.75"/>
    <row r="33322" s="3161" customFormat="1" ht="12.75"/>
    <row r="33323" s="3161" customFormat="1" ht="12.75"/>
    <row r="33324" s="3161" customFormat="1" ht="12.75"/>
    <row r="33325" s="3161" customFormat="1" ht="12.75"/>
    <row r="33326" s="3161" customFormat="1" ht="12.75"/>
    <row r="33327" s="3161" customFormat="1" ht="12.75"/>
    <row r="33328" s="3161" customFormat="1" ht="12.75"/>
    <row r="33329" s="3161" customFormat="1" ht="12.75"/>
    <row r="33330" s="3161" customFormat="1" ht="12.75"/>
    <row r="33331" s="3161" customFormat="1" ht="12.75"/>
    <row r="33332" s="3161" customFormat="1" ht="12.75"/>
    <row r="33333" s="3161" customFormat="1" ht="12.75"/>
    <row r="33334" s="3161" customFormat="1" ht="12.75"/>
    <row r="33335" s="3161" customFormat="1" ht="12.75"/>
    <row r="33336" s="3161" customFormat="1" ht="12.75"/>
    <row r="33337" s="3161" customFormat="1" ht="12.75"/>
    <row r="33338" s="3161" customFormat="1" ht="12.75"/>
    <row r="33339" s="3161" customFormat="1" ht="12.75"/>
    <row r="33340" s="3161" customFormat="1" ht="12.75"/>
    <row r="33341" s="3161" customFormat="1" ht="12.75"/>
    <row r="33342" s="3161" customFormat="1" ht="12.75"/>
    <row r="33343" s="3161" customFormat="1" ht="12.75"/>
    <row r="33344" s="3161" customFormat="1" ht="12.75"/>
    <row r="33345" s="3161" customFormat="1" ht="12.75"/>
    <row r="33346" s="3161" customFormat="1" ht="12.75"/>
    <row r="33347" s="3161" customFormat="1" ht="12.75"/>
    <row r="33348" s="3161" customFormat="1" ht="12.75"/>
    <row r="33349" s="3161" customFormat="1" ht="12.75"/>
    <row r="33350" s="3161" customFormat="1" ht="12.75"/>
    <row r="33351" s="3161" customFormat="1" ht="12.75"/>
    <row r="33352" s="3161" customFormat="1" ht="12.75"/>
    <row r="33353" s="3161" customFormat="1" ht="12.75"/>
    <row r="33354" s="3161" customFormat="1" ht="12.75"/>
    <row r="33355" s="3161" customFormat="1" ht="12.75"/>
    <row r="33356" s="3161" customFormat="1" ht="12.75"/>
    <row r="33357" s="3161" customFormat="1" ht="12.75"/>
    <row r="33358" s="3161" customFormat="1" ht="12.75"/>
    <row r="33359" s="3161" customFormat="1" ht="12.75"/>
    <row r="33360" s="3161" customFormat="1" ht="12.75"/>
    <row r="33361" s="3161" customFormat="1" ht="12.75"/>
    <row r="33362" s="3161" customFormat="1" ht="12.75"/>
    <row r="33363" s="3161" customFormat="1" ht="12.75"/>
    <row r="33364" s="3161" customFormat="1" ht="12.75"/>
    <row r="33365" s="3161" customFormat="1" ht="12.75"/>
    <row r="33366" s="3161" customFormat="1" ht="12.75"/>
    <row r="33367" s="3161" customFormat="1" ht="12.75"/>
    <row r="33368" s="3161" customFormat="1" ht="12.75"/>
    <row r="33369" s="3161" customFormat="1" ht="12.75"/>
    <row r="33370" s="3161" customFormat="1" ht="12.75"/>
    <row r="33371" s="3161" customFormat="1" ht="12.75"/>
    <row r="33372" s="3161" customFormat="1" ht="12.75"/>
    <row r="33373" s="3161" customFormat="1" ht="12.75"/>
    <row r="33374" s="3161" customFormat="1" ht="12.75"/>
    <row r="33375" s="3161" customFormat="1" ht="12.75"/>
    <row r="33376" s="3161" customFormat="1" ht="12.75"/>
    <row r="33377" s="3161" customFormat="1" ht="12.75"/>
    <row r="33378" s="3161" customFormat="1" ht="12.75"/>
    <row r="33379" s="3161" customFormat="1" ht="12.75"/>
    <row r="33380" s="3161" customFormat="1" ht="12.75"/>
    <row r="33381" s="3161" customFormat="1" ht="12.75"/>
    <row r="33382" s="3161" customFormat="1" ht="12.75"/>
    <row r="33383" s="3161" customFormat="1" ht="12.75"/>
    <row r="33384" s="3161" customFormat="1" ht="12.75"/>
    <row r="33385" s="3161" customFormat="1" ht="12.75"/>
    <row r="33386" s="3161" customFormat="1" ht="12.75"/>
    <row r="33387" s="3161" customFormat="1" ht="12.75"/>
    <row r="33388" s="3161" customFormat="1" ht="12.75"/>
    <row r="33389" s="3161" customFormat="1" ht="12.75"/>
    <row r="33390" s="3161" customFormat="1" ht="12.75"/>
    <row r="33391" s="3161" customFormat="1" ht="12.75"/>
    <row r="33392" s="3161" customFormat="1" ht="12.75"/>
    <row r="33393" s="3161" customFormat="1" ht="12.75"/>
    <row r="33394" s="3161" customFormat="1" ht="12.75"/>
    <row r="33395" s="3161" customFormat="1" ht="12.75"/>
    <row r="33396" s="3161" customFormat="1" ht="12.75"/>
    <row r="33397" s="3161" customFormat="1" ht="12.75"/>
    <row r="33398" s="3161" customFormat="1" ht="12.75"/>
    <row r="33399" s="3161" customFormat="1" ht="12.75"/>
    <row r="33400" s="3161" customFormat="1" ht="12.75"/>
    <row r="33401" s="3161" customFormat="1" ht="12.75"/>
    <row r="33402" s="3161" customFormat="1" ht="12.75"/>
    <row r="33403" s="3161" customFormat="1" ht="12.75"/>
    <row r="33404" s="3161" customFormat="1" ht="12.75"/>
    <row r="33405" s="3161" customFormat="1" ht="12.75"/>
    <row r="33406" s="3161" customFormat="1" ht="12.75"/>
    <row r="33407" s="3161" customFormat="1" ht="12.75"/>
    <row r="33408" s="3161" customFormat="1" ht="12.75"/>
    <row r="33409" s="3161" customFormat="1" ht="12.75"/>
    <row r="33410" s="3161" customFormat="1" ht="12.75"/>
    <row r="33411" s="3161" customFormat="1" ht="12.75"/>
    <row r="33412" s="3161" customFormat="1" ht="12.75"/>
    <row r="33413" s="3161" customFormat="1" ht="12.75"/>
    <row r="33414" s="3161" customFormat="1" ht="12.75"/>
    <row r="33415" s="3161" customFormat="1" ht="12.75"/>
    <row r="33416" s="3161" customFormat="1" ht="12.75"/>
    <row r="33417" s="3161" customFormat="1" ht="12.75"/>
    <row r="33418" s="3161" customFormat="1" ht="12.75"/>
    <row r="33419" s="3161" customFormat="1" ht="12.75"/>
    <row r="33420" s="3161" customFormat="1" ht="12.75"/>
    <row r="33421" s="3161" customFormat="1" ht="12.75"/>
    <row r="33422" s="3161" customFormat="1" ht="12.75"/>
    <row r="33423" s="3161" customFormat="1" ht="12.75"/>
    <row r="33424" s="3161" customFormat="1" ht="12.75"/>
    <row r="33425" s="3161" customFormat="1" ht="12.75"/>
    <row r="33426" s="3161" customFormat="1" ht="12.75"/>
    <row r="33427" s="3161" customFormat="1" ht="12.75"/>
    <row r="33428" s="3161" customFormat="1" ht="12.75"/>
    <row r="33429" s="3161" customFormat="1" ht="12.75"/>
    <row r="33430" s="3161" customFormat="1" ht="12.75"/>
    <row r="33431" s="3161" customFormat="1" ht="12.75"/>
    <row r="33432" s="3161" customFormat="1" ht="12.75"/>
    <row r="33433" s="3161" customFormat="1" ht="12.75"/>
    <row r="33434" s="3161" customFormat="1" ht="12.75"/>
    <row r="33435" s="3161" customFormat="1" ht="12.75"/>
    <row r="33436" s="3161" customFormat="1" ht="12.75"/>
    <row r="33437" s="3161" customFormat="1" ht="12.75"/>
    <row r="33438" s="3161" customFormat="1" ht="12.75"/>
    <row r="33439" s="3161" customFormat="1" ht="12.75"/>
    <row r="33440" s="3161" customFormat="1" ht="12.75"/>
    <row r="33441" s="3161" customFormat="1" ht="12.75"/>
    <row r="33442" s="3161" customFormat="1" ht="12.75"/>
    <row r="33443" s="3161" customFormat="1" ht="12.75"/>
    <row r="33444" s="3161" customFormat="1" ht="12.75"/>
    <row r="33445" s="3161" customFormat="1" ht="12.75"/>
    <row r="33446" s="3161" customFormat="1" ht="12.75"/>
    <row r="33447" s="3161" customFormat="1" ht="12.75"/>
    <row r="33448" s="3161" customFormat="1" ht="12.75"/>
    <row r="33449" s="3161" customFormat="1" ht="12.75"/>
    <row r="33450" s="3161" customFormat="1" ht="12.75"/>
    <row r="33451" s="3161" customFormat="1" ht="12.75"/>
    <row r="33452" s="3161" customFormat="1" ht="12.75"/>
    <row r="33453" s="3161" customFormat="1" ht="12.75"/>
    <row r="33454" s="3161" customFormat="1" ht="12.75"/>
    <row r="33455" s="3161" customFormat="1" ht="12.75"/>
    <row r="33456" s="3161" customFormat="1" ht="12.75"/>
    <row r="33457" s="3161" customFormat="1" ht="12.75"/>
    <row r="33458" s="3161" customFormat="1" ht="12.75"/>
    <row r="33459" s="3161" customFormat="1" ht="12.75"/>
    <row r="33460" s="3161" customFormat="1" ht="12.75"/>
    <row r="33461" s="3161" customFormat="1" ht="12.75"/>
    <row r="33462" s="3161" customFormat="1" ht="12.75"/>
    <row r="33463" s="3161" customFormat="1" ht="12.75"/>
    <row r="33464" s="3161" customFormat="1" ht="12.75"/>
    <row r="33465" s="3161" customFormat="1" ht="12.75"/>
    <row r="33466" s="3161" customFormat="1" ht="12.75"/>
    <row r="33467" s="3161" customFormat="1" ht="12.75"/>
    <row r="33468" s="3161" customFormat="1" ht="12.75"/>
    <row r="33469" s="3161" customFormat="1" ht="12.75"/>
    <row r="33470" s="3161" customFormat="1" ht="12.75"/>
    <row r="33471" s="3161" customFormat="1" ht="12.75"/>
    <row r="33472" s="3161" customFormat="1" ht="12.75"/>
    <row r="33473" s="3161" customFormat="1" ht="12.75"/>
    <row r="33474" s="3161" customFormat="1" ht="12.75"/>
    <row r="33475" s="3161" customFormat="1" ht="12.75"/>
    <row r="33476" s="3161" customFormat="1" ht="12.75"/>
    <row r="33477" s="3161" customFormat="1" ht="12.75"/>
    <row r="33478" s="3161" customFormat="1" ht="12.75"/>
    <row r="33479" s="3161" customFormat="1" ht="12.75"/>
    <row r="33480" s="3161" customFormat="1" ht="12.75"/>
    <row r="33481" s="3161" customFormat="1" ht="12.75"/>
    <row r="33482" s="3161" customFormat="1" ht="12.75"/>
    <row r="33483" s="3161" customFormat="1" ht="12.75"/>
    <row r="33484" s="3161" customFormat="1" ht="12.75"/>
    <row r="33485" s="3161" customFormat="1" ht="12.75"/>
    <row r="33486" s="3161" customFormat="1" ht="12.75"/>
    <row r="33487" s="3161" customFormat="1" ht="12.75"/>
    <row r="33488" s="3161" customFormat="1" ht="12.75"/>
    <row r="33489" s="3161" customFormat="1" ht="12.75"/>
    <row r="33490" s="3161" customFormat="1" ht="12.75"/>
    <row r="33491" s="3161" customFormat="1" ht="12.75"/>
    <row r="33492" s="3161" customFormat="1" ht="12.75"/>
    <row r="33493" s="3161" customFormat="1" ht="12.75"/>
    <row r="33494" s="3161" customFormat="1" ht="12.75"/>
    <row r="33495" s="3161" customFormat="1" ht="12.75"/>
    <row r="33496" s="3161" customFormat="1" ht="12.75"/>
    <row r="33497" s="3161" customFormat="1" ht="12.75"/>
    <row r="33498" s="3161" customFormat="1" ht="12.75"/>
    <row r="33499" s="3161" customFormat="1" ht="12.75"/>
    <row r="33500" s="3161" customFormat="1" ht="12.75"/>
    <row r="33501" s="3161" customFormat="1" ht="12.75"/>
    <row r="33502" s="3161" customFormat="1" ht="12.75"/>
    <row r="33503" s="3161" customFormat="1" ht="12.75"/>
    <row r="33504" s="3161" customFormat="1" ht="12.75"/>
    <row r="33505" s="3161" customFormat="1" ht="12.75"/>
    <row r="33506" s="3161" customFormat="1" ht="12.75"/>
    <row r="33507" s="3161" customFormat="1" ht="12.75"/>
    <row r="33508" s="3161" customFormat="1" ht="12.75"/>
    <row r="33509" s="3161" customFormat="1" ht="12.75"/>
    <row r="33510" s="3161" customFormat="1" ht="12.75"/>
    <row r="33511" s="3161" customFormat="1" ht="12.75"/>
    <row r="33512" s="3161" customFormat="1" ht="12.75"/>
    <row r="33513" s="3161" customFormat="1" ht="12.75"/>
    <row r="33514" s="3161" customFormat="1" ht="12.75"/>
    <row r="33515" s="3161" customFormat="1" ht="12.75"/>
    <row r="33516" s="3161" customFormat="1" ht="12.75"/>
    <row r="33517" s="3161" customFormat="1" ht="12.75"/>
    <row r="33518" s="3161" customFormat="1" ht="12.75"/>
    <row r="33519" s="3161" customFormat="1" ht="12.75"/>
    <row r="33520" s="3161" customFormat="1" ht="12.75"/>
    <row r="33521" s="3161" customFormat="1" ht="12.75"/>
    <row r="33522" s="3161" customFormat="1" ht="12.75"/>
    <row r="33523" s="3161" customFormat="1" ht="12.75"/>
    <row r="33524" s="3161" customFormat="1" ht="12.75"/>
    <row r="33525" s="3161" customFormat="1" ht="12.75"/>
    <row r="33526" s="3161" customFormat="1" ht="12.75"/>
    <row r="33527" s="3161" customFormat="1" ht="12.75"/>
    <row r="33528" s="3161" customFormat="1" ht="12.75"/>
    <row r="33529" s="3161" customFormat="1" ht="12.75"/>
    <row r="33530" s="3161" customFormat="1" ht="12.75"/>
    <row r="33531" s="3161" customFormat="1" ht="12.75"/>
    <row r="33532" s="3161" customFormat="1" ht="12.75"/>
    <row r="33533" s="3161" customFormat="1" ht="12.75"/>
    <row r="33534" s="3161" customFormat="1" ht="12.75"/>
    <row r="33535" s="3161" customFormat="1" ht="12.75"/>
    <row r="33536" s="3161" customFormat="1" ht="12.75"/>
    <row r="33537" s="3161" customFormat="1" ht="12.75"/>
    <row r="33538" s="3161" customFormat="1" ht="12.75"/>
    <row r="33539" s="3161" customFormat="1" ht="12.75"/>
    <row r="33540" s="3161" customFormat="1" ht="12.75"/>
    <row r="33541" s="3161" customFormat="1" ht="12.75"/>
    <row r="33542" s="3161" customFormat="1" ht="12.75"/>
    <row r="33543" s="3161" customFormat="1" ht="12.75"/>
    <row r="33544" s="3161" customFormat="1" ht="12.75"/>
    <row r="33545" s="3161" customFormat="1" ht="12.75"/>
    <row r="33546" s="3161" customFormat="1" ht="12.75"/>
    <row r="33547" s="3161" customFormat="1" ht="12.75"/>
    <row r="33548" s="3161" customFormat="1" ht="12.75"/>
    <row r="33549" s="3161" customFormat="1" ht="12.75"/>
    <row r="33550" s="3161" customFormat="1" ht="12.75"/>
    <row r="33551" s="3161" customFormat="1" ht="12.75"/>
    <row r="33552" s="3161" customFormat="1" ht="12.75"/>
    <row r="33553" s="3161" customFormat="1" ht="12.75"/>
    <row r="33554" s="3161" customFormat="1" ht="12.75"/>
    <row r="33555" s="3161" customFormat="1" ht="12.75"/>
    <row r="33556" s="3161" customFormat="1" ht="12.75"/>
    <row r="33557" s="3161" customFormat="1" ht="12.75"/>
    <row r="33558" s="3161" customFormat="1" ht="12.75"/>
    <row r="33559" s="3161" customFormat="1" ht="12.75"/>
    <row r="33560" s="3161" customFormat="1" ht="12.75"/>
    <row r="33561" s="3161" customFormat="1" ht="12.75"/>
    <row r="33562" s="3161" customFormat="1" ht="12.75"/>
    <row r="33563" s="3161" customFormat="1" ht="12.75"/>
    <row r="33564" s="3161" customFormat="1" ht="12.75"/>
    <row r="33565" s="3161" customFormat="1" ht="12.75"/>
    <row r="33566" s="3161" customFormat="1" ht="12.75"/>
    <row r="33567" s="3161" customFormat="1" ht="12.75"/>
    <row r="33568" s="3161" customFormat="1" ht="12.75"/>
    <row r="33569" s="3161" customFormat="1" ht="12.75"/>
    <row r="33570" s="3161" customFormat="1" ht="12.75"/>
    <row r="33571" s="3161" customFormat="1" ht="12.75"/>
    <row r="33572" s="3161" customFormat="1" ht="12.75"/>
    <row r="33573" s="3161" customFormat="1" ht="12.75"/>
    <row r="33574" s="3161" customFormat="1" ht="12.75"/>
    <row r="33575" s="3161" customFormat="1" ht="12.75"/>
    <row r="33576" s="3161" customFormat="1" ht="12.75"/>
    <row r="33577" s="3161" customFormat="1" ht="12.75"/>
    <row r="33578" s="3161" customFormat="1" ht="12.75"/>
    <row r="33579" s="3161" customFormat="1" ht="12.75"/>
    <row r="33580" s="3161" customFormat="1" ht="12.75"/>
    <row r="33581" s="3161" customFormat="1" ht="12.75"/>
    <row r="33582" s="3161" customFormat="1" ht="12.75"/>
    <row r="33583" s="3161" customFormat="1" ht="12.75"/>
    <row r="33584" s="3161" customFormat="1" ht="12.75"/>
    <row r="33585" s="3161" customFormat="1" ht="12.75"/>
    <row r="33586" s="3161" customFormat="1" ht="12.75"/>
    <row r="33587" s="3161" customFormat="1" ht="12.75"/>
    <row r="33588" s="3161" customFormat="1" ht="12.75"/>
    <row r="33589" s="3161" customFormat="1" ht="12.75"/>
    <row r="33590" s="3161" customFormat="1" ht="12.75"/>
    <row r="33591" s="3161" customFormat="1" ht="12.75"/>
    <row r="33592" s="3161" customFormat="1" ht="12.75"/>
    <row r="33593" s="3161" customFormat="1" ht="12.75"/>
    <row r="33594" s="3161" customFormat="1" ht="12.75"/>
    <row r="33595" s="3161" customFormat="1" ht="12.75"/>
    <row r="33596" s="3161" customFormat="1" ht="12.75"/>
    <row r="33597" s="3161" customFormat="1" ht="12.75"/>
    <row r="33598" s="3161" customFormat="1" ht="12.75"/>
    <row r="33599" s="3161" customFormat="1" ht="12.75"/>
    <row r="33600" s="3161" customFormat="1" ht="12.75"/>
    <row r="33601" s="3161" customFormat="1" ht="12.75"/>
    <row r="33602" s="3161" customFormat="1" ht="12.75"/>
    <row r="33603" s="3161" customFormat="1" ht="12.75"/>
    <row r="33604" s="3161" customFormat="1" ht="12.75"/>
    <row r="33605" s="3161" customFormat="1" ht="12.75"/>
    <row r="33606" s="3161" customFormat="1" ht="12.75"/>
    <row r="33607" s="3161" customFormat="1" ht="12.75"/>
    <row r="33608" s="3161" customFormat="1" ht="12.75"/>
    <row r="33609" s="3161" customFormat="1" ht="12.75"/>
    <row r="33610" s="3161" customFormat="1" ht="12.75"/>
    <row r="33611" s="3161" customFormat="1" ht="12.75"/>
    <row r="33612" s="3161" customFormat="1" ht="12.75"/>
    <row r="33613" s="3161" customFormat="1" ht="12.75"/>
    <row r="33614" s="3161" customFormat="1" ht="12.75"/>
    <row r="33615" s="3161" customFormat="1" ht="12.75"/>
    <row r="33616" s="3161" customFormat="1" ht="12.75"/>
    <row r="33617" s="3161" customFormat="1" ht="12.75"/>
    <row r="33618" s="3161" customFormat="1" ht="12.75"/>
    <row r="33619" s="3161" customFormat="1" ht="12.75"/>
    <row r="33620" s="3161" customFormat="1" ht="12.75"/>
    <row r="33621" s="3161" customFormat="1" ht="12.75"/>
    <row r="33622" s="3161" customFormat="1" ht="12.75"/>
    <row r="33623" s="3161" customFormat="1" ht="12.75"/>
    <row r="33624" s="3161" customFormat="1" ht="12.75"/>
    <row r="33625" s="3161" customFormat="1" ht="12.75"/>
    <row r="33626" s="3161" customFormat="1" ht="12.75"/>
    <row r="33627" s="3161" customFormat="1" ht="12.75"/>
    <row r="33628" s="3161" customFormat="1" ht="12.75"/>
    <row r="33629" s="3161" customFormat="1" ht="12.75"/>
    <row r="33630" s="3161" customFormat="1" ht="12.75"/>
    <row r="33631" s="3161" customFormat="1" ht="12.75"/>
    <row r="33632" s="3161" customFormat="1" ht="12.75"/>
    <row r="33633" s="3161" customFormat="1" ht="12.75"/>
    <row r="33634" s="3161" customFormat="1" ht="12.75"/>
    <row r="33635" s="3161" customFormat="1" ht="12.75"/>
    <row r="33636" s="3161" customFormat="1" ht="12.75"/>
    <row r="33637" s="3161" customFormat="1" ht="12.75"/>
    <row r="33638" s="3161" customFormat="1" ht="12.75"/>
    <row r="33639" s="3161" customFormat="1" ht="12.75"/>
    <row r="33640" s="3161" customFormat="1" ht="12.75"/>
    <row r="33641" s="3161" customFormat="1" ht="12.75"/>
    <row r="33642" s="3161" customFormat="1" ht="12.75"/>
    <row r="33643" s="3161" customFormat="1" ht="12.75"/>
    <row r="33644" s="3161" customFormat="1" ht="12.75"/>
    <row r="33645" s="3161" customFormat="1" ht="12.75"/>
    <row r="33646" s="3161" customFormat="1" ht="12.75"/>
    <row r="33647" s="3161" customFormat="1" ht="12.75"/>
    <row r="33648" s="3161" customFormat="1" ht="12.75"/>
    <row r="33649" s="3161" customFormat="1" ht="12.75"/>
    <row r="33650" s="3161" customFormat="1" ht="12.75"/>
    <row r="33651" s="3161" customFormat="1" ht="12.75"/>
    <row r="33652" s="3161" customFormat="1" ht="12.75"/>
    <row r="33653" s="3161" customFormat="1" ht="12.75"/>
    <row r="33654" s="3161" customFormat="1" ht="12.75"/>
    <row r="33655" s="3161" customFormat="1" ht="12.75"/>
    <row r="33656" s="3161" customFormat="1" ht="12.75"/>
    <row r="33657" s="3161" customFormat="1" ht="12.75"/>
    <row r="33658" s="3161" customFormat="1" ht="12.75"/>
    <row r="33659" s="3161" customFormat="1" ht="12.75"/>
    <row r="33660" s="3161" customFormat="1" ht="12.75"/>
    <row r="33661" s="3161" customFormat="1" ht="12.75"/>
    <row r="33662" s="3161" customFormat="1" ht="12.75"/>
    <row r="33663" s="3161" customFormat="1" ht="12.75"/>
    <row r="33664" s="3161" customFormat="1" ht="12.75"/>
    <row r="33665" s="3161" customFormat="1" ht="12.75"/>
    <row r="33666" s="3161" customFormat="1" ht="12.75"/>
    <row r="33667" s="3161" customFormat="1" ht="12.75"/>
    <row r="33668" s="3161" customFormat="1" ht="12.75"/>
    <row r="33669" s="3161" customFormat="1" ht="12.75"/>
    <row r="33670" s="3161" customFormat="1" ht="12.75"/>
    <row r="33671" s="3161" customFormat="1" ht="12.75"/>
    <row r="33672" s="3161" customFormat="1" ht="12.75"/>
    <row r="33673" s="3161" customFormat="1" ht="12.75"/>
    <row r="33674" s="3161" customFormat="1" ht="12.75"/>
    <row r="33675" s="3161" customFormat="1" ht="12.75"/>
    <row r="33676" s="3161" customFormat="1" ht="12.75"/>
    <row r="33677" s="3161" customFormat="1" ht="12.75"/>
    <row r="33678" s="3161" customFormat="1" ht="12.75"/>
    <row r="33679" s="3161" customFormat="1" ht="12.75"/>
    <row r="33680" s="3161" customFormat="1" ht="12.75"/>
    <row r="33681" s="3161" customFormat="1" ht="12.75"/>
    <row r="33682" s="3161" customFormat="1" ht="12.75"/>
    <row r="33683" s="3161" customFormat="1" ht="12.75"/>
    <row r="33684" s="3161" customFormat="1" ht="12.75"/>
    <row r="33685" s="3161" customFormat="1" ht="12.75"/>
    <row r="33686" s="3161" customFormat="1" ht="12.75"/>
    <row r="33687" s="3161" customFormat="1" ht="12.75"/>
    <row r="33688" s="3161" customFormat="1" ht="12.75"/>
    <row r="33689" s="3161" customFormat="1" ht="12.75"/>
    <row r="33690" s="3161" customFormat="1" ht="12.75"/>
    <row r="33691" s="3161" customFormat="1" ht="12.75"/>
    <row r="33692" s="3161" customFormat="1" ht="12.75"/>
    <row r="33693" s="3161" customFormat="1" ht="12.75"/>
    <row r="33694" s="3161" customFormat="1" ht="12.75"/>
    <row r="33695" s="3161" customFormat="1" ht="12.75"/>
    <row r="33696" s="3161" customFormat="1" ht="12.75"/>
    <row r="33697" s="3161" customFormat="1" ht="12.75"/>
    <row r="33698" s="3161" customFormat="1" ht="12.75"/>
    <row r="33699" s="3161" customFormat="1" ht="12.75"/>
    <row r="33700" s="3161" customFormat="1" ht="12.75"/>
    <row r="33701" s="3161" customFormat="1" ht="12.75"/>
    <row r="33702" s="3161" customFormat="1" ht="12.75"/>
    <row r="33703" s="3161" customFormat="1" ht="12.75"/>
    <row r="33704" s="3161" customFormat="1" ht="12.75"/>
    <row r="33705" s="3161" customFormat="1" ht="12.75"/>
    <row r="33706" s="3161" customFormat="1" ht="12.75"/>
    <row r="33707" s="3161" customFormat="1" ht="12.75"/>
    <row r="33708" s="3161" customFormat="1" ht="12.75"/>
    <row r="33709" s="3161" customFormat="1" ht="12.75"/>
    <row r="33710" s="3161" customFormat="1" ht="12.75"/>
    <row r="33711" s="3161" customFormat="1" ht="12.75"/>
    <row r="33712" s="3161" customFormat="1" ht="12.75"/>
    <row r="33713" s="3161" customFormat="1" ht="12.75"/>
    <row r="33714" s="3161" customFormat="1" ht="12.75"/>
    <row r="33715" s="3161" customFormat="1" ht="12.75"/>
    <row r="33716" s="3161" customFormat="1" ht="12.75"/>
    <row r="33717" s="3161" customFormat="1" ht="12.75"/>
    <row r="33718" s="3161" customFormat="1" ht="12.75"/>
    <row r="33719" s="3161" customFormat="1" ht="12.75"/>
    <row r="33720" s="3161" customFormat="1" ht="12.75"/>
    <row r="33721" s="3161" customFormat="1" ht="12.75"/>
    <row r="33722" s="3161" customFormat="1" ht="12.75"/>
    <row r="33723" s="3161" customFormat="1" ht="12.75"/>
    <row r="33724" s="3161" customFormat="1" ht="12.75"/>
    <row r="33725" s="3161" customFormat="1" ht="12.75"/>
    <row r="33726" s="3161" customFormat="1" ht="12.75"/>
    <row r="33727" s="3161" customFormat="1" ht="12.75"/>
    <row r="33728" s="3161" customFormat="1" ht="12.75"/>
    <row r="33729" s="3161" customFormat="1" ht="12.75"/>
    <row r="33730" s="3161" customFormat="1" ht="12.75"/>
    <row r="33731" s="3161" customFormat="1" ht="12.75"/>
    <row r="33732" s="3161" customFormat="1" ht="12.75"/>
    <row r="33733" s="3161" customFormat="1" ht="12.75"/>
    <row r="33734" s="3161" customFormat="1" ht="12.75"/>
    <row r="33735" s="3161" customFormat="1" ht="12.75"/>
    <row r="33736" s="3161" customFormat="1" ht="12.75"/>
    <row r="33737" s="3161" customFormat="1" ht="12.75"/>
    <row r="33738" s="3161" customFormat="1" ht="12.75"/>
    <row r="33739" s="3161" customFormat="1" ht="12.75"/>
    <row r="33740" s="3161" customFormat="1" ht="12.75"/>
    <row r="33741" s="3161" customFormat="1" ht="12.75"/>
    <row r="33742" s="3161" customFormat="1" ht="12.75"/>
    <row r="33743" s="3161" customFormat="1" ht="12.75"/>
    <row r="33744" s="3161" customFormat="1" ht="12.75"/>
    <row r="33745" s="3161" customFormat="1" ht="12.75"/>
    <row r="33746" s="3161" customFormat="1" ht="12.75"/>
    <row r="33747" s="3161" customFormat="1" ht="12.75"/>
    <row r="33748" s="3161" customFormat="1" ht="12.75"/>
    <row r="33749" s="3161" customFormat="1" ht="12.75"/>
    <row r="33750" s="3161" customFormat="1" ht="12.75"/>
    <row r="33751" s="3161" customFormat="1" ht="12.75"/>
    <row r="33752" s="3161" customFormat="1" ht="12.75"/>
    <row r="33753" s="3161" customFormat="1" ht="12.75"/>
    <row r="33754" s="3161" customFormat="1" ht="12.75"/>
    <row r="33755" s="3161" customFormat="1" ht="12.75"/>
    <row r="33756" s="3161" customFormat="1" ht="12.75"/>
    <row r="33757" s="3161" customFormat="1" ht="12.75"/>
    <row r="33758" s="3161" customFormat="1" ht="12.75"/>
    <row r="33759" s="3161" customFormat="1" ht="12.75"/>
    <row r="33760" s="3161" customFormat="1" ht="12.75"/>
    <row r="33761" s="3161" customFormat="1" ht="12.75"/>
    <row r="33762" s="3161" customFormat="1" ht="12.75"/>
    <row r="33763" s="3161" customFormat="1" ht="12.75"/>
    <row r="33764" s="3161" customFormat="1" ht="12.75"/>
    <row r="33765" s="3161" customFormat="1" ht="12.75"/>
    <row r="33766" s="3161" customFormat="1" ht="12.75"/>
    <row r="33767" s="3161" customFormat="1" ht="12.75"/>
    <row r="33768" s="3161" customFormat="1" ht="12.75"/>
    <row r="33769" s="3161" customFormat="1" ht="12.75"/>
    <row r="33770" s="3161" customFormat="1" ht="12.75"/>
    <row r="33771" s="3161" customFormat="1" ht="12.75"/>
    <row r="33772" s="3161" customFormat="1" ht="12.75"/>
    <row r="33773" s="3161" customFormat="1" ht="12.75"/>
    <row r="33774" s="3161" customFormat="1" ht="12.75"/>
    <row r="33775" s="3161" customFormat="1" ht="12.75"/>
    <row r="33776" s="3161" customFormat="1" ht="12.75"/>
    <row r="33777" s="3161" customFormat="1" ht="12.75"/>
    <row r="33778" s="3161" customFormat="1" ht="12.75"/>
    <row r="33779" s="3161" customFormat="1" ht="12.75"/>
    <row r="33780" s="3161" customFormat="1" ht="12.75"/>
    <row r="33781" s="3161" customFormat="1" ht="12.75"/>
    <row r="33782" s="3161" customFormat="1" ht="12.75"/>
    <row r="33783" s="3161" customFormat="1" ht="12.75"/>
    <row r="33784" s="3161" customFormat="1" ht="12.75"/>
    <row r="33785" s="3161" customFormat="1" ht="12.75"/>
    <row r="33786" s="3161" customFormat="1" ht="12.75"/>
    <row r="33787" s="3161" customFormat="1" ht="12.75"/>
    <row r="33788" s="3161" customFormat="1" ht="12.75"/>
    <row r="33789" s="3161" customFormat="1" ht="12.75"/>
    <row r="33790" s="3161" customFormat="1" ht="12.75"/>
    <row r="33791" s="3161" customFormat="1" ht="12.75"/>
    <row r="33792" s="3161" customFormat="1" ht="12.75"/>
    <row r="33793" s="3161" customFormat="1" ht="12.75"/>
    <row r="33794" s="3161" customFormat="1" ht="12.75"/>
    <row r="33795" s="3161" customFormat="1" ht="12.75"/>
    <row r="33796" s="3161" customFormat="1" ht="12.75"/>
    <row r="33797" s="3161" customFormat="1" ht="12.75"/>
    <row r="33798" s="3161" customFormat="1" ht="12.75"/>
    <row r="33799" s="3161" customFormat="1" ht="12.75"/>
    <row r="33800" s="3161" customFormat="1" ht="12.75"/>
    <row r="33801" s="3161" customFormat="1" ht="12.75"/>
    <row r="33802" s="3161" customFormat="1" ht="12.75"/>
    <row r="33803" s="3161" customFormat="1" ht="12.75"/>
    <row r="33804" s="3161" customFormat="1" ht="12.75"/>
    <row r="33805" s="3161" customFormat="1" ht="12.75"/>
    <row r="33806" s="3161" customFormat="1" ht="12.75"/>
    <row r="33807" s="3161" customFormat="1" ht="12.75"/>
    <row r="33808" s="3161" customFormat="1" ht="12.75"/>
    <row r="33809" s="3161" customFormat="1" ht="12.75"/>
    <row r="33810" s="3161" customFormat="1" ht="12.75"/>
    <row r="33811" s="3161" customFormat="1" ht="12.75"/>
    <row r="33812" s="3161" customFormat="1" ht="12.75"/>
    <row r="33813" s="3161" customFormat="1" ht="12.75"/>
    <row r="33814" s="3161" customFormat="1" ht="12.75"/>
    <row r="33815" s="3161" customFormat="1" ht="12.75"/>
    <row r="33816" s="3161" customFormat="1" ht="12.75"/>
    <row r="33817" s="3161" customFormat="1" ht="12.75"/>
    <row r="33818" s="3161" customFormat="1" ht="12.75"/>
    <row r="33819" s="3161" customFormat="1" ht="12.75"/>
    <row r="33820" s="3161" customFormat="1" ht="12.75"/>
    <row r="33821" s="3161" customFormat="1" ht="12.75"/>
    <row r="33822" s="3161" customFormat="1" ht="12.75"/>
    <row r="33823" s="3161" customFormat="1" ht="12.75"/>
    <row r="33824" s="3161" customFormat="1" ht="12.75"/>
    <row r="33825" s="3161" customFormat="1" ht="12.75"/>
    <row r="33826" s="3161" customFormat="1" ht="12.75"/>
    <row r="33827" s="3161" customFormat="1" ht="12.75"/>
    <row r="33828" s="3161" customFormat="1" ht="12.75"/>
    <row r="33829" s="3161" customFormat="1" ht="12.75"/>
    <row r="33830" s="3161" customFormat="1" ht="12.75"/>
    <row r="33831" s="3161" customFormat="1" ht="12.75"/>
    <row r="33832" s="3161" customFormat="1" ht="12.75"/>
    <row r="33833" s="3161" customFormat="1" ht="12.75"/>
    <row r="33834" s="3161" customFormat="1" ht="12.75"/>
    <row r="33835" s="3161" customFormat="1" ht="12.75"/>
    <row r="33836" s="3161" customFormat="1" ht="12.75"/>
    <row r="33837" s="3161" customFormat="1" ht="12.75"/>
    <row r="33838" s="3161" customFormat="1" ht="12.75"/>
    <row r="33839" s="3161" customFormat="1" ht="12.75"/>
    <row r="33840" s="3161" customFormat="1" ht="12.75"/>
    <row r="33841" s="3161" customFormat="1" ht="12.75"/>
    <row r="33842" s="3161" customFormat="1" ht="12.75"/>
    <row r="33843" s="3161" customFormat="1" ht="12.75"/>
    <row r="33844" s="3161" customFormat="1" ht="12.75"/>
    <row r="33845" s="3161" customFormat="1" ht="12.75"/>
    <row r="33846" s="3161" customFormat="1" ht="12.75"/>
    <row r="33847" s="3161" customFormat="1" ht="12.75"/>
    <row r="33848" s="3161" customFormat="1" ht="12.75"/>
    <row r="33849" s="3161" customFormat="1" ht="12.75"/>
    <row r="33850" s="3161" customFormat="1" ht="12.75"/>
    <row r="33851" s="3161" customFormat="1" ht="12.75"/>
    <row r="33852" s="3161" customFormat="1" ht="12.75"/>
    <row r="33853" s="3161" customFormat="1" ht="12.75"/>
    <row r="33854" s="3161" customFormat="1" ht="12.75"/>
    <row r="33855" s="3161" customFormat="1" ht="12.75"/>
    <row r="33856" s="3161" customFormat="1" ht="12.75"/>
    <row r="33857" s="3161" customFormat="1" ht="12.75"/>
    <row r="33858" s="3161" customFormat="1" ht="12.75"/>
    <row r="33859" s="3161" customFormat="1" ht="12.75"/>
    <row r="33860" s="3161" customFormat="1" ht="12.75"/>
    <row r="33861" s="3161" customFormat="1" ht="12.75"/>
    <row r="33862" s="3161" customFormat="1" ht="12.75"/>
    <row r="33863" s="3161" customFormat="1" ht="12.75"/>
    <row r="33864" s="3161" customFormat="1" ht="12.75"/>
    <row r="33865" s="3161" customFormat="1" ht="12.75"/>
    <row r="33866" s="3161" customFormat="1" ht="12.75"/>
    <row r="33867" s="3161" customFormat="1" ht="12.75"/>
    <row r="33868" s="3161" customFormat="1" ht="12.75"/>
    <row r="33869" s="3161" customFormat="1" ht="12.75"/>
    <row r="33870" s="3161" customFormat="1" ht="12.75"/>
    <row r="33871" s="3161" customFormat="1" ht="12.75"/>
    <row r="33872" s="3161" customFormat="1" ht="12.75"/>
    <row r="33873" s="3161" customFormat="1" ht="12.75"/>
    <row r="33874" s="3161" customFormat="1" ht="12.75"/>
    <row r="33875" s="3161" customFormat="1" ht="12.75"/>
    <row r="33876" s="3161" customFormat="1" ht="12.75"/>
    <row r="33877" s="3161" customFormat="1" ht="12.75"/>
    <row r="33878" s="3161" customFormat="1" ht="12.75"/>
    <row r="33879" s="3161" customFormat="1" ht="12.75"/>
    <row r="33880" s="3161" customFormat="1" ht="12.75"/>
    <row r="33881" s="3161" customFormat="1" ht="12.75"/>
    <row r="33882" s="3161" customFormat="1" ht="12.75"/>
    <row r="33883" s="3161" customFormat="1" ht="12.75"/>
    <row r="33884" s="3161" customFormat="1" ht="12.75"/>
    <row r="33885" s="3161" customFormat="1" ht="12.75"/>
    <row r="33886" s="3161" customFormat="1" ht="12.75"/>
    <row r="33887" s="3161" customFormat="1" ht="12.75"/>
    <row r="33888" s="3161" customFormat="1" ht="12.75"/>
    <row r="33889" s="3161" customFormat="1" ht="12.75"/>
    <row r="33890" s="3161" customFormat="1" ht="12.75"/>
    <row r="33891" s="3161" customFormat="1" ht="12.75"/>
    <row r="33892" s="3161" customFormat="1" ht="12.75"/>
    <row r="33893" s="3161" customFormat="1" ht="12.75"/>
    <row r="33894" s="3161" customFormat="1" ht="12.75"/>
    <row r="33895" s="3161" customFormat="1" ht="12.75"/>
    <row r="33896" s="3161" customFormat="1" ht="12.75"/>
    <row r="33897" s="3161" customFormat="1" ht="12.75"/>
    <row r="33898" s="3161" customFormat="1" ht="12.75"/>
    <row r="33899" s="3161" customFormat="1" ht="12.75"/>
    <row r="33900" s="3161" customFormat="1" ht="12.75"/>
    <row r="33901" s="3161" customFormat="1" ht="12.75"/>
    <row r="33902" s="3161" customFormat="1" ht="12.75"/>
    <row r="33903" s="3161" customFormat="1" ht="12.75"/>
    <row r="33904" s="3161" customFormat="1" ht="12.75"/>
    <row r="33905" s="3161" customFormat="1" ht="12.75"/>
    <row r="33906" s="3161" customFormat="1" ht="12.75"/>
    <row r="33907" s="3161" customFormat="1" ht="12.75"/>
    <row r="33908" s="3161" customFormat="1" ht="12.75"/>
    <row r="33909" s="3161" customFormat="1" ht="12.75"/>
    <row r="33910" s="3161" customFormat="1" ht="12.75"/>
    <row r="33911" s="3161" customFormat="1" ht="12.75"/>
    <row r="33912" s="3161" customFormat="1" ht="12.75"/>
    <row r="33913" s="3161" customFormat="1" ht="12.75"/>
    <row r="33914" s="3161" customFormat="1" ht="12.75"/>
    <row r="33915" s="3161" customFormat="1" ht="12.75"/>
    <row r="33916" s="3161" customFormat="1" ht="12.75"/>
    <row r="33917" s="3161" customFormat="1" ht="12.75"/>
    <row r="33918" s="3161" customFormat="1" ht="12.75"/>
    <row r="33919" s="3161" customFormat="1" ht="12.75"/>
    <row r="33920" s="3161" customFormat="1" ht="12.75"/>
    <row r="33921" s="3161" customFormat="1" ht="12.75"/>
    <row r="33922" s="3161" customFormat="1" ht="12.75"/>
    <row r="33923" s="3161" customFormat="1" ht="12.75"/>
    <row r="33924" s="3161" customFormat="1" ht="12.75"/>
    <row r="33925" s="3161" customFormat="1" ht="12.75"/>
    <row r="33926" s="3161" customFormat="1" ht="12.75"/>
    <row r="33927" s="3161" customFormat="1" ht="12.75"/>
    <row r="33928" s="3161" customFormat="1" ht="12.75"/>
    <row r="33929" s="3161" customFormat="1" ht="12.75"/>
    <row r="33930" s="3161" customFormat="1" ht="12.75"/>
    <row r="33931" s="3161" customFormat="1" ht="12.75"/>
    <row r="33932" s="3161" customFormat="1" ht="12.75"/>
    <row r="33933" s="3161" customFormat="1" ht="12.75"/>
    <row r="33934" s="3161" customFormat="1" ht="12.75"/>
    <row r="33935" s="3161" customFormat="1" ht="12.75"/>
    <row r="33936" s="3161" customFormat="1" ht="12.75"/>
    <row r="33937" s="3161" customFormat="1" ht="12.75"/>
    <row r="33938" s="3161" customFormat="1" ht="12.75"/>
    <row r="33939" s="3161" customFormat="1" ht="12.75"/>
    <row r="33940" s="3161" customFormat="1" ht="12.75"/>
    <row r="33941" s="3161" customFormat="1" ht="12.75"/>
    <row r="33942" s="3161" customFormat="1" ht="12.75"/>
    <row r="33943" s="3161" customFormat="1" ht="12.75"/>
    <row r="33944" s="3161" customFormat="1" ht="12.75"/>
    <row r="33945" s="3161" customFormat="1" ht="12.75"/>
    <row r="33946" s="3161" customFormat="1" ht="12.75"/>
    <row r="33947" s="3161" customFormat="1" ht="12.75"/>
    <row r="33948" s="3161" customFormat="1" ht="12.75"/>
    <row r="33949" s="3161" customFormat="1" ht="12.75"/>
    <row r="33950" s="3161" customFormat="1" ht="12.75"/>
    <row r="33951" s="3161" customFormat="1" ht="12.75"/>
    <row r="33952" s="3161" customFormat="1" ht="12.75"/>
    <row r="33953" s="3161" customFormat="1" ht="12.75"/>
    <row r="33954" s="3161" customFormat="1" ht="12.75"/>
    <row r="33955" s="3161" customFormat="1" ht="12.75"/>
    <row r="33956" s="3161" customFormat="1" ht="12.75"/>
    <row r="33957" s="3161" customFormat="1" ht="12.75"/>
    <row r="33958" s="3161" customFormat="1" ht="12.75"/>
    <row r="33959" s="3161" customFormat="1" ht="12.75"/>
    <row r="33960" s="3161" customFormat="1" ht="12.75"/>
    <row r="33961" s="3161" customFormat="1" ht="12.75"/>
    <row r="33962" s="3161" customFormat="1" ht="12.75"/>
    <row r="33963" s="3161" customFormat="1" ht="12.75"/>
    <row r="33964" s="3161" customFormat="1" ht="12.75"/>
    <row r="33965" s="3161" customFormat="1" ht="12.75"/>
    <row r="33966" s="3161" customFormat="1" ht="12.75"/>
    <row r="33967" s="3161" customFormat="1" ht="12.75"/>
    <row r="33968" s="3161" customFormat="1" ht="12.75"/>
    <row r="33969" s="3161" customFormat="1" ht="12.75"/>
    <row r="33970" s="3161" customFormat="1" ht="12.75"/>
    <row r="33971" s="3161" customFormat="1" ht="12.75"/>
    <row r="33972" s="3161" customFormat="1" ht="12.75"/>
    <row r="33973" s="3161" customFormat="1" ht="12.75"/>
    <row r="33974" s="3161" customFormat="1" ht="12.75"/>
    <row r="33975" s="3161" customFormat="1" ht="12.75"/>
    <row r="33976" s="3161" customFormat="1" ht="12.75"/>
    <row r="33977" s="3161" customFormat="1" ht="12.75"/>
    <row r="33978" s="3161" customFormat="1" ht="12.75"/>
    <row r="33979" s="3161" customFormat="1" ht="12.75"/>
    <row r="33980" s="3161" customFormat="1" ht="12.75"/>
    <row r="33981" s="3161" customFormat="1" ht="12.75"/>
    <row r="33982" s="3161" customFormat="1" ht="12.75"/>
    <row r="33983" s="3161" customFormat="1" ht="12.75"/>
    <row r="33984" s="3161" customFormat="1" ht="12.75"/>
    <row r="33985" s="3161" customFormat="1" ht="12.75"/>
    <row r="33986" s="3161" customFormat="1" ht="12.75"/>
    <row r="33987" s="3161" customFormat="1" ht="12.75"/>
    <row r="33988" s="3161" customFormat="1" ht="12.75"/>
    <row r="33989" s="3161" customFormat="1" ht="12.75"/>
    <row r="33990" s="3161" customFormat="1" ht="12.75"/>
    <row r="33991" s="3161" customFormat="1" ht="12.75"/>
    <row r="33992" s="3161" customFormat="1" ht="12.75"/>
    <row r="33993" s="3161" customFormat="1" ht="12.75"/>
    <row r="33994" s="3161" customFormat="1" ht="12.75"/>
    <row r="33995" s="3161" customFormat="1" ht="12.75"/>
    <row r="33996" s="3161" customFormat="1" ht="12.75"/>
    <row r="33997" s="3161" customFormat="1" ht="12.75"/>
    <row r="33998" s="3161" customFormat="1" ht="12.75"/>
    <row r="33999" s="3161" customFormat="1" ht="12.75"/>
    <row r="34000" s="3161" customFormat="1" ht="12.75"/>
    <row r="34001" s="3161" customFormat="1" ht="12.75"/>
    <row r="34002" s="3161" customFormat="1" ht="12.75"/>
    <row r="34003" s="3161" customFormat="1" ht="12.75"/>
    <row r="34004" s="3161" customFormat="1" ht="12.75"/>
    <row r="34005" s="3161" customFormat="1" ht="12.75"/>
    <row r="34006" s="3161" customFormat="1" ht="12.75"/>
    <row r="34007" s="3161" customFormat="1" ht="12.75"/>
    <row r="34008" s="3161" customFormat="1" ht="12.75"/>
    <row r="34009" s="3161" customFormat="1" ht="12.75"/>
    <row r="34010" s="3161" customFormat="1" ht="12.75"/>
    <row r="34011" s="3161" customFormat="1" ht="12.75"/>
    <row r="34012" s="3161" customFormat="1" ht="12.75"/>
    <row r="34013" s="3161" customFormat="1" ht="12.75"/>
    <row r="34014" s="3161" customFormat="1" ht="12.75"/>
    <row r="34015" s="3161" customFormat="1" ht="12.75"/>
    <row r="34016" s="3161" customFormat="1" ht="12.75"/>
    <row r="34017" s="3161" customFormat="1" ht="12.75"/>
    <row r="34018" s="3161" customFormat="1" ht="12.75"/>
    <row r="34019" s="3161" customFormat="1" ht="12.75"/>
    <row r="34020" s="3161" customFormat="1" ht="12.75"/>
    <row r="34021" s="3161" customFormat="1" ht="12.75"/>
    <row r="34022" s="3161" customFormat="1" ht="12.75"/>
    <row r="34023" s="3161" customFormat="1" ht="12.75"/>
    <row r="34024" s="3161" customFormat="1" ht="12.75"/>
    <row r="34025" s="3161" customFormat="1" ht="12.75"/>
    <row r="34026" s="3161" customFormat="1" ht="12.75"/>
    <row r="34027" s="3161" customFormat="1" ht="12.75"/>
    <row r="34028" s="3161" customFormat="1" ht="12.75"/>
    <row r="34029" s="3161" customFormat="1" ht="12.75"/>
    <row r="34030" s="3161" customFormat="1" ht="12.75"/>
    <row r="34031" s="3161" customFormat="1" ht="12.75"/>
    <row r="34032" s="3161" customFormat="1" ht="12.75"/>
    <row r="34033" s="3161" customFormat="1" ht="12.75"/>
    <row r="34034" s="3161" customFormat="1" ht="12.75"/>
    <row r="34035" s="3161" customFormat="1" ht="12.75"/>
    <row r="34036" s="3161" customFormat="1" ht="12.75"/>
    <row r="34037" s="3161" customFormat="1" ht="12.75"/>
    <row r="34038" s="3161" customFormat="1" ht="12.75"/>
    <row r="34039" s="3161" customFormat="1" ht="12.75"/>
    <row r="34040" s="3161" customFormat="1" ht="12.75"/>
    <row r="34041" s="3161" customFormat="1" ht="12.75"/>
    <row r="34042" s="3161" customFormat="1" ht="12.75"/>
    <row r="34043" s="3161" customFormat="1" ht="12.75"/>
    <row r="34044" s="3161" customFormat="1" ht="12.75"/>
    <row r="34045" s="3161" customFormat="1" ht="12.75"/>
    <row r="34046" s="3161" customFormat="1" ht="12.75"/>
    <row r="34047" s="3161" customFormat="1" ht="12.75"/>
    <row r="34048" s="3161" customFormat="1" ht="12.75"/>
    <row r="34049" s="3161" customFormat="1" ht="12.75"/>
    <row r="34050" s="3161" customFormat="1" ht="12.75"/>
    <row r="34051" s="3161" customFormat="1" ht="12.75"/>
    <row r="34052" s="3161" customFormat="1" ht="12.75"/>
    <row r="34053" s="3161" customFormat="1" ht="12.75"/>
    <row r="34054" s="3161" customFormat="1" ht="12.75"/>
    <row r="34055" s="3161" customFormat="1" ht="12.75"/>
    <row r="34056" s="3161" customFormat="1" ht="12.75"/>
    <row r="34057" s="3161" customFormat="1" ht="12.75"/>
    <row r="34058" s="3161" customFormat="1" ht="12.75"/>
    <row r="34059" s="3161" customFormat="1" ht="12.75"/>
    <row r="34060" s="3161" customFormat="1" ht="12.75"/>
    <row r="34061" s="3161" customFormat="1" ht="12.75"/>
    <row r="34062" s="3161" customFormat="1" ht="12.75"/>
    <row r="34063" s="3161" customFormat="1" ht="12.75"/>
    <row r="34064" s="3161" customFormat="1" ht="12.75"/>
    <row r="34065" s="3161" customFormat="1" ht="12.75"/>
    <row r="34066" s="3161" customFormat="1" ht="12.75"/>
    <row r="34067" s="3161" customFormat="1" ht="12.75"/>
    <row r="34068" s="3161" customFormat="1" ht="12.75"/>
    <row r="34069" s="3161" customFormat="1" ht="12.75"/>
    <row r="34070" s="3161" customFormat="1" ht="12.75"/>
    <row r="34071" s="3161" customFormat="1" ht="12.75"/>
    <row r="34072" s="3161" customFormat="1" ht="12.75"/>
    <row r="34073" s="3161" customFormat="1" ht="12.75"/>
    <row r="34074" s="3161" customFormat="1" ht="12.75"/>
    <row r="34075" s="3161" customFormat="1" ht="12.75"/>
    <row r="34076" s="3161" customFormat="1" ht="12.75"/>
    <row r="34077" s="3161" customFormat="1" ht="12.75"/>
    <row r="34078" s="3161" customFormat="1" ht="12.75"/>
    <row r="34079" s="3161" customFormat="1" ht="12.75"/>
    <row r="34080" s="3161" customFormat="1" ht="12.75"/>
    <row r="34081" s="3161" customFormat="1" ht="12.75"/>
    <row r="34082" s="3161" customFormat="1" ht="12.75"/>
    <row r="34083" s="3161" customFormat="1" ht="12.75"/>
    <row r="34084" s="3161" customFormat="1" ht="12.75"/>
    <row r="34085" s="3161" customFormat="1" ht="12.75"/>
    <row r="34086" s="3161" customFormat="1" ht="12.75"/>
    <row r="34087" s="3161" customFormat="1" ht="12.75"/>
    <row r="34088" s="3161" customFormat="1" ht="12.75"/>
    <row r="34089" s="3161" customFormat="1" ht="12.75"/>
    <row r="34090" s="3161" customFormat="1" ht="12.75"/>
    <row r="34091" s="3161" customFormat="1" ht="12.75"/>
    <row r="34092" s="3161" customFormat="1" ht="12.75"/>
    <row r="34093" s="3161" customFormat="1" ht="12.75"/>
    <row r="34094" s="3161" customFormat="1" ht="12.75"/>
    <row r="34095" s="3161" customFormat="1" ht="12.75"/>
    <row r="34096" s="3161" customFormat="1" ht="12.75"/>
    <row r="34097" s="3161" customFormat="1" ht="12.75"/>
    <row r="34098" s="3161" customFormat="1" ht="12.75"/>
    <row r="34099" s="3161" customFormat="1" ht="12.75"/>
    <row r="34100" s="3161" customFormat="1" ht="12.75"/>
    <row r="34101" s="3161" customFormat="1" ht="12.75"/>
    <row r="34102" s="3161" customFormat="1" ht="12.75"/>
    <row r="34103" s="3161" customFormat="1" ht="12.75"/>
    <row r="34104" s="3161" customFormat="1" ht="12.75"/>
    <row r="34105" s="3161" customFormat="1" ht="12.75"/>
    <row r="34106" s="3161" customFormat="1" ht="12.75"/>
    <row r="34107" s="3161" customFormat="1" ht="12.75"/>
    <row r="34108" s="3161" customFormat="1" ht="12.75"/>
    <row r="34109" s="3161" customFormat="1" ht="12.75"/>
    <row r="34110" s="3161" customFormat="1" ht="12.75"/>
    <row r="34111" s="3161" customFormat="1" ht="12.75"/>
    <row r="34112" s="3161" customFormat="1" ht="12.75"/>
    <row r="34113" s="3161" customFormat="1" ht="12.75"/>
    <row r="34114" s="3161" customFormat="1" ht="12.75"/>
    <row r="34115" s="3161" customFormat="1" ht="12.75"/>
    <row r="34116" s="3161" customFormat="1" ht="12.75"/>
    <row r="34117" s="3161" customFormat="1" ht="12.75"/>
    <row r="34118" s="3161" customFormat="1" ht="12.75"/>
    <row r="34119" s="3161" customFormat="1" ht="12.75"/>
    <row r="34120" s="3161" customFormat="1" ht="12.75"/>
    <row r="34121" s="3161" customFormat="1" ht="12.75"/>
    <row r="34122" s="3161" customFormat="1" ht="12.75"/>
    <row r="34123" s="3161" customFormat="1" ht="12.75"/>
    <row r="34124" s="3161" customFormat="1" ht="12.75"/>
    <row r="34125" s="3161" customFormat="1" ht="12.75"/>
    <row r="34126" s="3161" customFormat="1" ht="12.75"/>
    <row r="34127" s="3161" customFormat="1" ht="12.75"/>
    <row r="34128" s="3161" customFormat="1" ht="12.75"/>
    <row r="34129" s="3161" customFormat="1" ht="12.75"/>
    <row r="34130" s="3161" customFormat="1" ht="12.75"/>
    <row r="34131" s="3161" customFormat="1" ht="12.75"/>
    <row r="34132" s="3161" customFormat="1" ht="12.75"/>
    <row r="34133" s="3161" customFormat="1" ht="12.75"/>
    <row r="34134" s="3161" customFormat="1" ht="12.75"/>
    <row r="34135" s="3161" customFormat="1" ht="12.75"/>
    <row r="34136" s="3161" customFormat="1" ht="12.75"/>
    <row r="34137" s="3161" customFormat="1" ht="12.75"/>
    <row r="34138" s="3161" customFormat="1" ht="12.75"/>
    <row r="34139" s="3161" customFormat="1" ht="12.75"/>
    <row r="34140" s="3161" customFormat="1" ht="12.75"/>
    <row r="34141" s="3161" customFormat="1" ht="12.75"/>
    <row r="34142" s="3161" customFormat="1" ht="12.75"/>
    <row r="34143" s="3161" customFormat="1" ht="12.75"/>
    <row r="34144" s="3161" customFormat="1" ht="12.75"/>
    <row r="34145" s="3161" customFormat="1" ht="12.75"/>
    <row r="34146" s="3161" customFormat="1" ht="12.75"/>
    <row r="34147" s="3161" customFormat="1" ht="12.75"/>
    <row r="34148" s="3161" customFormat="1" ht="12.75"/>
    <row r="34149" s="3161" customFormat="1" ht="12.75"/>
    <row r="34150" s="3161" customFormat="1" ht="12.75"/>
    <row r="34151" s="3161" customFormat="1" ht="12.75"/>
    <row r="34152" s="3161" customFormat="1" ht="12.75"/>
    <row r="34153" s="3161" customFormat="1" ht="12.75"/>
    <row r="34154" s="3161" customFormat="1" ht="12.75"/>
    <row r="34155" s="3161" customFormat="1" ht="12.75"/>
    <row r="34156" s="3161" customFormat="1" ht="12.75"/>
    <row r="34157" s="3161" customFormat="1" ht="12.75"/>
    <row r="34158" s="3161" customFormat="1" ht="12.75"/>
    <row r="34159" s="3161" customFormat="1" ht="12.75"/>
    <row r="34160" s="3161" customFormat="1" ht="12.75"/>
    <row r="34161" s="3161" customFormat="1" ht="12.75"/>
    <row r="34162" s="3161" customFormat="1" ht="12.75"/>
    <row r="34163" s="3161" customFormat="1" ht="12.75"/>
    <row r="34164" s="3161" customFormat="1" ht="12.75"/>
    <row r="34165" s="3161" customFormat="1" ht="12.75"/>
    <row r="34166" s="3161" customFormat="1" ht="12.75"/>
    <row r="34167" s="3161" customFormat="1" ht="12.75"/>
    <row r="34168" s="3161" customFormat="1" ht="12.75"/>
    <row r="34169" s="3161" customFormat="1" ht="12.75"/>
    <row r="34170" s="3161" customFormat="1" ht="12.75"/>
    <row r="34171" s="3161" customFormat="1" ht="12.75"/>
    <row r="34172" s="3161" customFormat="1" ht="12.75"/>
    <row r="34173" s="3161" customFormat="1" ht="12.75"/>
    <row r="34174" s="3161" customFormat="1" ht="12.75"/>
    <row r="34175" s="3161" customFormat="1" ht="12.75"/>
    <row r="34176" s="3161" customFormat="1" ht="12.75"/>
    <row r="34177" s="3161" customFormat="1" ht="12.75"/>
    <row r="34178" s="3161" customFormat="1" ht="12.75"/>
    <row r="34179" s="3161" customFormat="1" ht="12.75"/>
    <row r="34180" s="3161" customFormat="1" ht="12.75"/>
    <row r="34181" s="3161" customFormat="1" ht="12.75"/>
    <row r="34182" s="3161" customFormat="1" ht="12.75"/>
    <row r="34183" s="3161" customFormat="1" ht="12.75"/>
    <row r="34184" s="3161" customFormat="1" ht="12.75"/>
    <row r="34185" s="3161" customFormat="1" ht="12.75"/>
    <row r="34186" s="3161" customFormat="1" ht="12.75"/>
    <row r="34187" s="3161" customFormat="1" ht="12.75"/>
    <row r="34188" s="3161" customFormat="1" ht="12.75"/>
    <row r="34189" s="3161" customFormat="1" ht="12.75"/>
    <row r="34190" s="3161" customFormat="1" ht="12.75"/>
    <row r="34191" s="3161" customFormat="1" ht="12.75"/>
    <row r="34192" s="3161" customFormat="1" ht="12.75"/>
    <row r="34193" s="3161" customFormat="1" ht="12.75"/>
    <row r="34194" s="3161" customFormat="1" ht="12.75"/>
    <row r="34195" s="3161" customFormat="1" ht="12.75"/>
    <row r="34196" s="3161" customFormat="1" ht="12.75"/>
    <row r="34197" s="3161" customFormat="1" ht="12.75"/>
    <row r="34198" s="3161" customFormat="1" ht="12.75"/>
    <row r="34199" s="3161" customFormat="1" ht="12.75"/>
    <row r="34200" s="3161" customFormat="1" ht="12.75"/>
    <row r="34201" s="3161" customFormat="1" ht="12.75"/>
    <row r="34202" s="3161" customFormat="1" ht="12.75"/>
    <row r="34203" s="3161" customFormat="1" ht="12.75"/>
    <row r="34204" s="3161" customFormat="1" ht="12.75"/>
    <row r="34205" s="3161" customFormat="1" ht="12.75"/>
    <row r="34206" s="3161" customFormat="1" ht="12.75"/>
    <row r="34207" s="3161" customFormat="1" ht="12.75"/>
    <row r="34208" s="3161" customFormat="1" ht="12.75"/>
    <row r="34209" s="3161" customFormat="1" ht="12.75"/>
    <row r="34210" s="3161" customFormat="1" ht="12.75"/>
    <row r="34211" s="3161" customFormat="1" ht="12.75"/>
    <row r="34212" s="3161" customFormat="1" ht="12.75"/>
    <row r="34213" s="3161" customFormat="1" ht="12.75"/>
    <row r="34214" s="3161" customFormat="1" ht="12.75"/>
    <row r="34215" s="3161" customFormat="1" ht="12.75"/>
    <row r="34216" s="3161" customFormat="1" ht="12.75"/>
    <row r="34217" s="3161" customFormat="1" ht="12.75"/>
    <row r="34218" s="3161" customFormat="1" ht="12.75"/>
    <row r="34219" s="3161" customFormat="1" ht="12.75"/>
    <row r="34220" s="3161" customFormat="1" ht="12.75"/>
    <row r="34221" s="3161" customFormat="1" ht="12.75"/>
    <row r="34222" s="3161" customFormat="1" ht="12.75"/>
    <row r="34223" s="3161" customFormat="1" ht="12.75"/>
    <row r="34224" s="3161" customFormat="1" ht="12.75"/>
    <row r="34225" s="3161" customFormat="1" ht="12.75"/>
    <row r="34226" s="3161" customFormat="1" ht="12.75"/>
    <row r="34227" s="3161" customFormat="1" ht="12.75"/>
    <row r="34228" s="3161" customFormat="1" ht="12.75"/>
    <row r="34229" s="3161" customFormat="1" ht="12.75"/>
    <row r="34230" s="3161" customFormat="1" ht="12.75"/>
    <row r="34231" s="3161" customFormat="1" ht="12.75"/>
    <row r="34232" s="3161" customFormat="1" ht="12.75"/>
    <row r="34233" s="3161" customFormat="1" ht="12.75"/>
    <row r="34234" s="3161" customFormat="1" ht="12.75"/>
    <row r="34235" s="3161" customFormat="1" ht="12.75"/>
    <row r="34236" s="3161" customFormat="1" ht="12.75"/>
    <row r="34237" s="3161" customFormat="1" ht="12.75"/>
    <row r="34238" s="3161" customFormat="1" ht="12.75"/>
    <row r="34239" s="3161" customFormat="1" ht="12.75"/>
    <row r="34240" s="3161" customFormat="1" ht="12.75"/>
    <row r="34241" s="3161" customFormat="1" ht="12.75"/>
    <row r="34242" s="3161" customFormat="1" ht="12.75"/>
    <row r="34243" s="3161" customFormat="1" ht="12.75"/>
    <row r="34244" s="3161" customFormat="1" ht="12.75"/>
    <row r="34245" s="3161" customFormat="1" ht="12.75"/>
    <row r="34246" s="3161" customFormat="1" ht="12.75"/>
    <row r="34247" s="3161" customFormat="1" ht="12.75"/>
    <row r="34248" s="3161" customFormat="1" ht="12.75"/>
    <row r="34249" s="3161" customFormat="1" ht="12.75"/>
    <row r="34250" s="3161" customFormat="1" ht="12.75"/>
    <row r="34251" s="3161" customFormat="1" ht="12.75"/>
    <row r="34252" s="3161" customFormat="1" ht="12.75"/>
    <row r="34253" s="3161" customFormat="1" ht="12.75"/>
    <row r="34254" s="3161" customFormat="1" ht="12.75"/>
    <row r="34255" s="3161" customFormat="1" ht="12.75"/>
    <row r="34256" s="3161" customFormat="1" ht="12.75"/>
    <row r="34257" s="3161" customFormat="1" ht="12.75"/>
    <row r="34258" s="3161" customFormat="1" ht="12.75"/>
    <row r="34259" s="3161" customFormat="1" ht="12.75"/>
    <row r="34260" s="3161" customFormat="1" ht="12.75"/>
    <row r="34261" s="3161" customFormat="1" ht="12.75"/>
    <row r="34262" s="3161" customFormat="1" ht="12.75"/>
    <row r="34263" s="3161" customFormat="1" ht="12.75"/>
    <row r="34264" s="3161" customFormat="1" ht="12.75"/>
    <row r="34265" s="3161" customFormat="1" ht="12.75"/>
    <row r="34266" s="3161" customFormat="1" ht="12.75"/>
    <row r="34267" s="3161" customFormat="1" ht="12.75"/>
    <row r="34268" s="3161" customFormat="1" ht="12.75"/>
    <row r="34269" s="3161" customFormat="1" ht="12.75"/>
    <row r="34270" s="3161" customFormat="1" ht="12.75"/>
    <row r="34271" s="3161" customFormat="1" ht="12.75"/>
    <row r="34272" s="3161" customFormat="1" ht="12.75"/>
    <row r="34273" s="3161" customFormat="1" ht="12.75"/>
    <row r="34274" s="3161" customFormat="1" ht="12.75"/>
    <row r="34275" s="3161" customFormat="1" ht="12.75"/>
    <row r="34276" s="3161" customFormat="1" ht="12.75"/>
    <row r="34277" s="3161" customFormat="1" ht="12.75"/>
    <row r="34278" s="3161" customFormat="1" ht="12.75"/>
    <row r="34279" s="3161" customFormat="1" ht="12.75"/>
    <row r="34280" s="3161" customFormat="1" ht="12.75"/>
    <row r="34281" s="3161" customFormat="1" ht="12.75"/>
    <row r="34282" s="3161" customFormat="1" ht="12.75"/>
    <row r="34283" s="3161" customFormat="1" ht="12.75"/>
    <row r="34284" s="3161" customFormat="1" ht="12.75"/>
    <row r="34285" s="3161" customFormat="1" ht="12.75"/>
    <row r="34286" s="3161" customFormat="1" ht="12.75"/>
    <row r="34287" s="3161" customFormat="1" ht="12.75"/>
    <row r="34288" s="3161" customFormat="1" ht="12.75"/>
    <row r="34289" s="3161" customFormat="1" ht="12.75"/>
    <row r="34290" s="3161" customFormat="1" ht="12.75"/>
    <row r="34291" s="3161" customFormat="1" ht="12.75"/>
    <row r="34292" s="3161" customFormat="1" ht="12.75"/>
    <row r="34293" s="3161" customFormat="1" ht="12.75"/>
    <row r="34294" s="3161" customFormat="1" ht="12.75"/>
    <row r="34295" s="3161" customFormat="1" ht="12.75"/>
    <row r="34296" s="3161" customFormat="1" ht="12.75"/>
    <row r="34297" s="3161" customFormat="1" ht="12.75"/>
    <row r="34298" s="3161" customFormat="1" ht="12.75"/>
    <row r="34299" s="3161" customFormat="1" ht="12.75"/>
    <row r="34300" s="3161" customFormat="1" ht="12.75"/>
    <row r="34301" s="3161" customFormat="1" ht="12.75"/>
    <row r="34302" s="3161" customFormat="1" ht="12.75"/>
    <row r="34303" s="3161" customFormat="1" ht="12.75"/>
    <row r="34304" s="3161" customFormat="1" ht="12.75"/>
    <row r="34305" s="3161" customFormat="1" ht="12.75"/>
    <row r="34306" s="3161" customFormat="1" ht="12.75"/>
    <row r="34307" s="3161" customFormat="1" ht="12.75"/>
    <row r="34308" s="3161" customFormat="1" ht="12.75"/>
    <row r="34309" s="3161" customFormat="1" ht="12.75"/>
    <row r="34310" s="3161" customFormat="1" ht="12.75"/>
    <row r="34311" s="3161" customFormat="1" ht="12.75"/>
    <row r="34312" s="3161" customFormat="1" ht="12.75"/>
    <row r="34313" s="3161" customFormat="1" ht="12.75"/>
    <row r="34314" s="3161" customFormat="1" ht="12.75"/>
    <row r="34315" s="3161" customFormat="1" ht="12.75"/>
    <row r="34316" s="3161" customFormat="1" ht="12.75"/>
    <row r="34317" s="3161" customFormat="1" ht="12.75"/>
    <row r="34318" s="3161" customFormat="1" ht="12.75"/>
    <row r="34319" s="3161" customFormat="1" ht="12.75"/>
    <row r="34320" s="3161" customFormat="1" ht="12.75"/>
    <row r="34321" s="3161" customFormat="1" ht="12.75"/>
    <row r="34322" s="3161" customFormat="1" ht="12.75"/>
    <row r="34323" s="3161" customFormat="1" ht="12.75"/>
    <row r="34324" s="3161" customFormat="1" ht="12.75"/>
    <row r="34325" s="3161" customFormat="1" ht="12.75"/>
    <row r="34326" s="3161" customFormat="1" ht="12.75"/>
    <row r="34327" s="3161" customFormat="1" ht="12.75"/>
    <row r="34328" s="3161" customFormat="1" ht="12.75"/>
    <row r="34329" s="3161" customFormat="1" ht="12.75"/>
    <row r="34330" s="3161" customFormat="1" ht="12.75"/>
    <row r="34331" s="3161" customFormat="1" ht="12.75"/>
    <row r="34332" s="3161" customFormat="1" ht="12.75"/>
    <row r="34333" s="3161" customFormat="1" ht="12.75"/>
    <row r="34334" s="3161" customFormat="1" ht="12.75"/>
    <row r="34335" s="3161" customFormat="1" ht="12.75"/>
    <row r="34336" s="3161" customFormat="1" ht="12.75"/>
    <row r="34337" s="3161" customFormat="1" ht="12.75"/>
    <row r="34338" s="3161" customFormat="1" ht="12.75"/>
    <row r="34339" s="3161" customFormat="1" ht="12.75"/>
    <row r="34340" s="3161" customFormat="1" ht="12.75"/>
    <row r="34341" s="3161" customFormat="1" ht="12.75"/>
    <row r="34342" s="3161" customFormat="1" ht="12.75"/>
    <row r="34343" s="3161" customFormat="1" ht="12.75"/>
    <row r="34344" s="3161" customFormat="1" ht="12.75"/>
    <row r="34345" s="3161" customFormat="1" ht="12.75"/>
    <row r="34346" s="3161" customFormat="1" ht="12.75"/>
    <row r="34347" s="3161" customFormat="1" ht="12.75"/>
    <row r="34348" s="3161" customFormat="1" ht="12.75"/>
    <row r="34349" s="3161" customFormat="1" ht="12.75"/>
    <row r="34350" s="3161" customFormat="1" ht="12.75"/>
    <row r="34351" s="3161" customFormat="1" ht="12.75"/>
    <row r="34352" s="3161" customFormat="1" ht="12.75"/>
    <row r="34353" s="3161" customFormat="1" ht="12.75"/>
    <row r="34354" s="3161" customFormat="1" ht="12.75"/>
    <row r="34355" s="3161" customFormat="1" ht="12.75"/>
    <row r="34356" s="3161" customFormat="1" ht="12.75"/>
    <row r="34357" s="3161" customFormat="1" ht="12.75"/>
    <row r="34358" s="3161" customFormat="1" ht="12.75"/>
    <row r="34359" s="3161" customFormat="1" ht="12.75"/>
    <row r="34360" s="3161" customFormat="1" ht="12.75"/>
    <row r="34361" s="3161" customFormat="1" ht="12.75"/>
    <row r="34362" s="3161" customFormat="1" ht="12.75"/>
    <row r="34363" s="3161" customFormat="1" ht="12.75"/>
    <row r="34364" s="3161" customFormat="1" ht="12.75"/>
    <row r="34365" s="3161" customFormat="1" ht="12.75"/>
    <row r="34366" s="3161" customFormat="1" ht="12.75"/>
    <row r="34367" s="3161" customFormat="1" ht="12.75"/>
    <row r="34368" s="3161" customFormat="1" ht="12.75"/>
    <row r="34369" s="3161" customFormat="1" ht="12.75"/>
    <row r="34370" s="3161" customFormat="1" ht="12.75"/>
    <row r="34371" s="3161" customFormat="1" ht="12.75"/>
    <row r="34372" s="3161" customFormat="1" ht="12.75"/>
    <row r="34373" s="3161" customFormat="1" ht="12.75"/>
    <row r="34374" s="3161" customFormat="1" ht="12.75"/>
    <row r="34375" s="3161" customFormat="1" ht="12.75"/>
    <row r="34376" s="3161" customFormat="1" ht="12.75"/>
    <row r="34377" s="3161" customFormat="1" ht="12.75"/>
    <row r="34378" s="3161" customFormat="1" ht="12.75"/>
    <row r="34379" s="3161" customFormat="1" ht="12.75"/>
    <row r="34380" s="3161" customFormat="1" ht="12.75"/>
    <row r="34381" s="3161" customFormat="1" ht="12.75"/>
    <row r="34382" s="3161" customFormat="1" ht="12.75"/>
    <row r="34383" s="3161" customFormat="1" ht="12.75"/>
    <row r="34384" s="3161" customFormat="1" ht="12.75"/>
    <row r="34385" s="3161" customFormat="1" ht="12.75"/>
    <row r="34386" s="3161" customFormat="1" ht="12.75"/>
    <row r="34387" s="3161" customFormat="1" ht="12.75"/>
    <row r="34388" s="3161" customFormat="1" ht="12.75"/>
    <row r="34389" s="3161" customFormat="1" ht="12.75"/>
    <row r="34390" s="3161" customFormat="1" ht="12.75"/>
    <row r="34391" s="3161" customFormat="1" ht="12.75"/>
    <row r="34392" s="3161" customFormat="1" ht="12.75"/>
    <row r="34393" s="3161" customFormat="1" ht="12.75"/>
    <row r="34394" s="3161" customFormat="1" ht="12.75"/>
    <row r="34395" s="3161" customFormat="1" ht="12.75"/>
    <row r="34396" s="3161" customFormat="1" ht="12.75"/>
    <row r="34397" s="3161" customFormat="1" ht="12.75"/>
    <row r="34398" s="3161" customFormat="1" ht="12.75"/>
    <row r="34399" s="3161" customFormat="1" ht="12.75"/>
    <row r="34400" s="3161" customFormat="1" ht="12.75"/>
    <row r="34401" s="3161" customFormat="1" ht="12.75"/>
    <row r="34402" s="3161" customFormat="1" ht="12.75"/>
    <row r="34403" s="3161" customFormat="1" ht="12.75"/>
    <row r="34404" s="3161" customFormat="1" ht="12.75"/>
    <row r="34405" s="3161" customFormat="1" ht="12.75"/>
    <row r="34406" s="3161" customFormat="1" ht="12.75"/>
    <row r="34407" s="3161" customFormat="1" ht="12.75"/>
    <row r="34408" s="3161" customFormat="1" ht="12.75"/>
    <row r="34409" s="3161" customFormat="1" ht="12.75"/>
    <row r="34410" s="3161" customFormat="1" ht="12.75"/>
    <row r="34411" s="3161" customFormat="1" ht="12.75"/>
    <row r="34412" s="3161" customFormat="1" ht="12.75"/>
    <row r="34413" s="3161" customFormat="1" ht="12.75"/>
    <row r="34414" s="3161" customFormat="1" ht="12.75"/>
    <row r="34415" s="3161" customFormat="1" ht="12.75"/>
    <row r="34416" s="3161" customFormat="1" ht="12.75"/>
    <row r="34417" s="3161" customFormat="1" ht="12.75"/>
    <row r="34418" s="3161" customFormat="1" ht="12.75"/>
    <row r="34419" s="3161" customFormat="1" ht="12.75"/>
    <row r="34420" s="3161" customFormat="1" ht="12.75"/>
    <row r="34421" s="3161" customFormat="1" ht="12.75"/>
    <row r="34422" s="3161" customFormat="1" ht="12.75"/>
    <row r="34423" s="3161" customFormat="1" ht="12.75"/>
    <row r="34424" s="3161" customFormat="1" ht="12.75"/>
    <row r="34425" s="3161" customFormat="1" ht="12.75"/>
    <row r="34426" s="3161" customFormat="1" ht="12.75"/>
    <row r="34427" s="3161" customFormat="1" ht="12.75"/>
    <row r="34428" s="3161" customFormat="1" ht="12.75"/>
    <row r="34429" s="3161" customFormat="1" ht="12.75"/>
    <row r="34430" s="3161" customFormat="1" ht="12.75"/>
    <row r="34431" s="3161" customFormat="1" ht="12.75"/>
    <row r="34432" s="3161" customFormat="1" ht="12.75"/>
    <row r="34433" s="3161" customFormat="1" ht="12.75"/>
    <row r="34434" s="3161" customFormat="1" ht="12.75"/>
    <row r="34435" s="3161" customFormat="1" ht="12.75"/>
    <row r="34436" s="3161" customFormat="1" ht="12.75"/>
    <row r="34437" s="3161" customFormat="1" ht="12.75"/>
    <row r="34438" s="3161" customFormat="1" ht="12.75"/>
    <row r="34439" s="3161" customFormat="1" ht="12.75"/>
    <row r="34440" s="3161" customFormat="1" ht="12.75"/>
    <row r="34441" s="3161" customFormat="1" ht="12.75"/>
    <row r="34442" s="3161" customFormat="1" ht="12.75"/>
    <row r="34443" s="3161" customFormat="1" ht="12.75"/>
    <row r="34444" s="3161" customFormat="1" ht="12.75"/>
    <row r="34445" s="3161" customFormat="1" ht="12.75"/>
    <row r="34446" s="3161" customFormat="1" ht="12.75"/>
    <row r="34447" s="3161" customFormat="1" ht="12.75"/>
    <row r="34448" s="3161" customFormat="1" ht="12.75"/>
    <row r="34449" s="3161" customFormat="1" ht="12.75"/>
    <row r="34450" s="3161" customFormat="1" ht="12.75"/>
    <row r="34451" s="3161" customFormat="1" ht="12.75"/>
    <row r="34452" s="3161" customFormat="1" ht="12.75"/>
    <row r="34453" s="3161" customFormat="1" ht="12.75"/>
    <row r="34454" s="3161" customFormat="1" ht="12.75"/>
    <row r="34455" s="3161" customFormat="1" ht="12.75"/>
    <row r="34456" s="3161" customFormat="1" ht="12.75"/>
    <row r="34457" s="3161" customFormat="1" ht="12.75"/>
    <row r="34458" s="3161" customFormat="1" ht="12.75"/>
    <row r="34459" s="3161" customFormat="1" ht="12.75"/>
    <row r="34460" s="3161" customFormat="1" ht="12.75"/>
    <row r="34461" s="3161" customFormat="1" ht="12.75"/>
    <row r="34462" s="3161" customFormat="1" ht="12.75"/>
    <row r="34463" s="3161" customFormat="1" ht="12.75"/>
    <row r="34464" s="3161" customFormat="1" ht="12.75"/>
    <row r="34465" s="3161" customFormat="1" ht="12.75"/>
    <row r="34466" s="3161" customFormat="1" ht="12.75"/>
    <row r="34467" s="3161" customFormat="1" ht="12.75"/>
    <row r="34468" s="3161" customFormat="1" ht="12.75"/>
    <row r="34469" s="3161" customFormat="1" ht="12.75"/>
    <row r="34470" s="3161" customFormat="1" ht="12.75"/>
    <row r="34471" s="3161" customFormat="1" ht="12.75"/>
    <row r="34472" s="3161" customFormat="1" ht="12.75"/>
    <row r="34473" s="3161" customFormat="1" ht="12.75"/>
    <row r="34474" s="3161" customFormat="1" ht="12.75"/>
    <row r="34475" s="3161" customFormat="1" ht="12.75"/>
    <row r="34476" s="3161" customFormat="1" ht="12.75"/>
    <row r="34477" s="3161" customFormat="1" ht="12.75"/>
    <row r="34478" s="3161" customFormat="1" ht="12.75"/>
    <row r="34479" s="3161" customFormat="1" ht="12.75"/>
    <row r="34480" s="3161" customFormat="1" ht="12.75"/>
    <row r="34481" s="3161" customFormat="1" ht="12.75"/>
    <row r="34482" s="3161" customFormat="1" ht="12.75"/>
    <row r="34483" s="3161" customFormat="1" ht="12.75"/>
    <row r="34484" s="3161" customFormat="1" ht="12.75"/>
    <row r="34485" s="3161" customFormat="1" ht="12.75"/>
    <row r="34486" s="3161" customFormat="1" ht="12.75"/>
    <row r="34487" s="3161" customFormat="1" ht="12.75"/>
    <row r="34488" s="3161" customFormat="1" ht="12.75"/>
    <row r="34489" s="3161" customFormat="1" ht="12.75"/>
    <row r="34490" s="3161" customFormat="1" ht="12.75"/>
    <row r="34491" s="3161" customFormat="1" ht="12.75"/>
    <row r="34492" s="3161" customFormat="1" ht="12.75"/>
    <row r="34493" s="3161" customFormat="1" ht="12.75"/>
    <row r="34494" s="3161" customFormat="1" ht="12.75"/>
    <row r="34495" s="3161" customFormat="1" ht="12.75"/>
    <row r="34496" s="3161" customFormat="1" ht="12.75"/>
    <row r="34497" s="3161" customFormat="1" ht="12.75"/>
    <row r="34498" s="3161" customFormat="1" ht="12.75"/>
    <row r="34499" s="3161" customFormat="1" ht="12.75"/>
    <row r="34500" s="3161" customFormat="1" ht="12.75"/>
    <row r="34501" s="3161" customFormat="1" ht="12.75"/>
    <row r="34502" s="3161" customFormat="1" ht="12.75"/>
    <row r="34503" s="3161" customFormat="1" ht="12.75"/>
    <row r="34504" s="3161" customFormat="1" ht="12.75"/>
    <row r="34505" s="3161" customFormat="1" ht="12.75"/>
    <row r="34506" s="3161" customFormat="1" ht="12.75"/>
    <row r="34507" s="3161" customFormat="1" ht="12.75"/>
    <row r="34508" s="3161" customFormat="1" ht="12.75"/>
    <row r="34509" s="3161" customFormat="1" ht="12.75"/>
    <row r="34510" s="3161" customFormat="1" ht="12.75"/>
    <row r="34511" s="3161" customFormat="1" ht="12.75"/>
    <row r="34512" s="3161" customFormat="1" ht="12.75"/>
    <row r="34513" s="3161" customFormat="1" ht="12.75"/>
    <row r="34514" s="3161" customFormat="1" ht="12.75"/>
    <row r="34515" s="3161" customFormat="1" ht="12.75"/>
    <row r="34516" s="3161" customFormat="1" ht="12.75"/>
    <row r="34517" s="3161" customFormat="1" ht="12.75"/>
    <row r="34518" s="3161" customFormat="1" ht="12.75"/>
    <row r="34519" s="3161" customFormat="1" ht="12.75"/>
    <row r="34520" s="3161" customFormat="1" ht="12.75"/>
    <row r="34521" s="3161" customFormat="1" ht="12.75"/>
    <row r="34522" s="3161" customFormat="1" ht="12.75"/>
    <row r="34523" s="3161" customFormat="1" ht="12.75"/>
    <row r="34524" s="3161" customFormat="1" ht="12.75"/>
    <row r="34525" s="3161" customFormat="1" ht="12.75"/>
    <row r="34526" s="3161" customFormat="1" ht="12.75"/>
    <row r="34527" s="3161" customFormat="1" ht="12.75"/>
    <row r="34528" s="3161" customFormat="1" ht="12.75"/>
    <row r="34529" s="3161" customFormat="1" ht="12.75"/>
    <row r="34530" s="3161" customFormat="1" ht="12.75"/>
    <row r="34531" s="3161" customFormat="1" ht="12.75"/>
    <row r="34532" s="3161" customFormat="1" ht="12.75"/>
    <row r="34533" s="3161" customFormat="1" ht="12.75"/>
    <row r="34534" s="3161" customFormat="1" ht="12.75"/>
    <row r="34535" s="3161" customFormat="1" ht="12.75"/>
    <row r="34536" s="3161" customFormat="1" ht="12.75"/>
    <row r="34537" s="3161" customFormat="1" ht="12.75"/>
    <row r="34538" s="3161" customFormat="1" ht="12.75"/>
    <row r="34539" s="3161" customFormat="1" ht="12.75"/>
    <row r="34540" s="3161" customFormat="1" ht="12.75"/>
    <row r="34541" s="3161" customFormat="1" ht="12.75"/>
    <row r="34542" s="3161" customFormat="1" ht="12.75"/>
    <row r="34543" s="3161" customFormat="1" ht="12.75"/>
    <row r="34544" s="3161" customFormat="1" ht="12.75"/>
    <row r="34545" s="3161" customFormat="1" ht="12.75"/>
    <row r="34546" s="3161" customFormat="1" ht="12.75"/>
    <row r="34547" s="3161" customFormat="1" ht="12.75"/>
    <row r="34548" s="3161" customFormat="1" ht="12.75"/>
    <row r="34549" s="3161" customFormat="1" ht="12.75"/>
    <row r="34550" s="3161" customFormat="1" ht="12.75"/>
    <row r="34551" s="3161" customFormat="1" ht="12.75"/>
    <row r="34552" s="3161" customFormat="1" ht="12.75"/>
    <row r="34553" s="3161" customFormat="1" ht="12.75"/>
    <row r="34554" s="3161" customFormat="1" ht="12.75"/>
    <row r="34555" s="3161" customFormat="1" ht="12.75"/>
    <row r="34556" s="3161" customFormat="1" ht="12.75"/>
    <row r="34557" s="3161" customFormat="1" ht="12.75"/>
    <row r="34558" s="3161" customFormat="1" ht="12.75"/>
    <row r="34559" s="3161" customFormat="1" ht="12.75"/>
    <row r="34560" s="3161" customFormat="1" ht="12.75"/>
    <row r="34561" s="3161" customFormat="1" ht="12.75"/>
    <row r="34562" s="3161" customFormat="1" ht="12.75"/>
    <row r="34563" s="3161" customFormat="1" ht="12.75"/>
    <row r="34564" s="3161" customFormat="1" ht="12.75"/>
    <row r="34565" s="3161" customFormat="1" ht="12.75"/>
    <row r="34566" s="3161" customFormat="1" ht="12.75"/>
    <row r="34567" s="3161" customFormat="1" ht="12.75"/>
    <row r="34568" s="3161" customFormat="1" ht="12.75"/>
    <row r="34569" s="3161" customFormat="1" ht="12.75"/>
    <row r="34570" s="3161" customFormat="1" ht="12.75"/>
    <row r="34571" s="3161" customFormat="1" ht="12.75"/>
    <row r="34572" s="3161" customFormat="1" ht="12.75"/>
    <row r="34573" s="3161" customFormat="1" ht="12.75"/>
    <row r="34574" s="3161" customFormat="1" ht="12.75"/>
    <row r="34575" s="3161" customFormat="1" ht="12.75"/>
    <row r="34576" s="3161" customFormat="1" ht="12.75"/>
    <row r="34577" s="3161" customFormat="1" ht="12.75"/>
    <row r="34578" s="3161" customFormat="1" ht="12.75"/>
    <row r="34579" s="3161" customFormat="1" ht="12.75"/>
    <row r="34580" s="3161" customFormat="1" ht="12.75"/>
    <row r="34581" s="3161" customFormat="1" ht="12.75"/>
    <row r="34582" s="3161" customFormat="1" ht="12.75"/>
    <row r="34583" s="3161" customFormat="1" ht="12.75"/>
    <row r="34584" s="3161" customFormat="1" ht="12.75"/>
    <row r="34585" s="3161" customFormat="1" ht="12.75"/>
    <row r="34586" s="3161" customFormat="1" ht="12.75"/>
    <row r="34587" s="3161" customFormat="1" ht="12.75"/>
    <row r="34588" s="3161" customFormat="1" ht="12.75"/>
    <row r="34589" s="3161" customFormat="1" ht="12.75"/>
    <row r="34590" s="3161" customFormat="1" ht="12.75"/>
    <row r="34591" s="3161" customFormat="1" ht="12.75"/>
    <row r="34592" s="3161" customFormat="1" ht="12.75"/>
    <row r="34593" s="3161" customFormat="1" ht="12.75"/>
    <row r="34594" s="3161" customFormat="1" ht="12.75"/>
    <row r="34595" s="3161" customFormat="1" ht="12.75"/>
    <row r="34596" s="3161" customFormat="1" ht="12.75"/>
    <row r="34597" s="3161" customFormat="1" ht="12.75"/>
    <row r="34598" s="3161" customFormat="1" ht="12.75"/>
    <row r="34599" s="3161" customFormat="1" ht="12.75"/>
    <row r="34600" s="3161" customFormat="1" ht="12.75"/>
    <row r="34601" s="3161" customFormat="1" ht="12.75"/>
    <row r="34602" s="3161" customFormat="1" ht="12.75"/>
    <row r="34603" s="3161" customFormat="1" ht="12.75"/>
    <row r="34604" s="3161" customFormat="1" ht="12.75"/>
    <row r="34605" s="3161" customFormat="1" ht="12.75"/>
    <row r="34606" s="3161" customFormat="1" ht="12.75"/>
    <row r="34607" s="3161" customFormat="1" ht="12.75"/>
    <row r="34608" s="3161" customFormat="1" ht="12.75"/>
    <row r="34609" s="3161" customFormat="1" ht="12.75"/>
    <row r="34610" s="3161" customFormat="1" ht="12.75"/>
    <row r="34611" s="3161" customFormat="1" ht="12.75"/>
    <row r="34612" s="3161" customFormat="1" ht="12.75"/>
    <row r="34613" s="3161" customFormat="1" ht="12.75"/>
    <row r="34614" s="3161" customFormat="1" ht="12.75"/>
    <row r="34615" s="3161" customFormat="1" ht="12.75"/>
    <row r="34616" s="3161" customFormat="1" ht="12.75"/>
    <row r="34617" s="3161" customFormat="1" ht="12.75"/>
    <row r="34618" s="3161" customFormat="1" ht="12.75"/>
    <row r="34619" s="3161" customFormat="1" ht="12.75"/>
    <row r="34620" s="3161" customFormat="1" ht="12.75"/>
    <row r="34621" s="3161" customFormat="1" ht="12.75"/>
    <row r="34622" s="3161" customFormat="1" ht="12.75"/>
    <row r="34623" s="3161" customFormat="1" ht="12.75"/>
    <row r="34624" s="3161" customFormat="1" ht="12.75"/>
    <row r="34625" s="3161" customFormat="1" ht="12.75"/>
    <row r="34626" s="3161" customFormat="1" ht="12.75"/>
    <row r="34627" s="3161" customFormat="1" ht="12.75"/>
    <row r="34628" s="3161" customFormat="1" ht="12.75"/>
    <row r="34629" s="3161" customFormat="1" ht="12.75"/>
    <row r="34630" s="3161" customFormat="1" ht="12.75"/>
    <row r="34631" s="3161" customFormat="1" ht="12.75"/>
    <row r="34632" s="3161" customFormat="1" ht="12.75"/>
    <row r="34633" s="3161" customFormat="1" ht="12.75"/>
    <row r="34634" s="3161" customFormat="1" ht="12.75"/>
    <row r="34635" s="3161" customFormat="1" ht="12.75"/>
    <row r="34636" s="3161" customFormat="1" ht="12.75"/>
    <row r="34637" s="3161" customFormat="1" ht="12.75"/>
    <row r="34638" s="3161" customFormat="1" ht="12.75"/>
    <row r="34639" s="3161" customFormat="1" ht="12.75"/>
    <row r="34640" s="3161" customFormat="1" ht="12.75"/>
    <row r="34641" s="3161" customFormat="1" ht="12.75"/>
    <row r="34642" s="3161" customFormat="1" ht="12.75"/>
    <row r="34643" s="3161" customFormat="1" ht="12.75"/>
    <row r="34644" s="3161" customFormat="1" ht="12.75"/>
    <row r="34645" s="3161" customFormat="1" ht="12.75"/>
    <row r="34646" s="3161" customFormat="1" ht="12.75"/>
    <row r="34647" s="3161" customFormat="1" ht="12.75"/>
    <row r="34648" s="3161" customFormat="1" ht="12.75"/>
    <row r="34649" s="3161" customFormat="1" ht="12.75"/>
    <row r="34650" s="3161" customFormat="1" ht="12.75"/>
    <row r="34651" s="3161" customFormat="1" ht="12.75"/>
    <row r="34652" s="3161" customFormat="1" ht="12.75"/>
    <row r="34653" s="3161" customFormat="1" ht="12.75"/>
    <row r="34654" s="3161" customFormat="1" ht="12.75"/>
    <row r="34655" s="3161" customFormat="1" ht="12.75"/>
    <row r="34656" s="3161" customFormat="1" ht="12.75"/>
    <row r="34657" s="3161" customFormat="1" ht="12.75"/>
    <row r="34658" s="3161" customFormat="1" ht="12.75"/>
    <row r="34659" s="3161" customFormat="1" ht="12.75"/>
    <row r="34660" s="3161" customFormat="1" ht="12.75"/>
    <row r="34661" s="3161" customFormat="1" ht="12.75"/>
    <row r="34662" s="3161" customFormat="1" ht="12.75"/>
    <row r="34663" s="3161" customFormat="1" ht="12.75"/>
    <row r="34664" s="3161" customFormat="1" ht="12.75"/>
    <row r="34665" s="3161" customFormat="1" ht="12.75"/>
    <row r="34666" s="3161" customFormat="1" ht="12.75"/>
    <row r="34667" s="3161" customFormat="1" ht="12.75"/>
    <row r="34668" s="3161" customFormat="1" ht="12.75"/>
    <row r="34669" s="3161" customFormat="1" ht="12.75"/>
    <row r="34670" s="3161" customFormat="1" ht="12.75"/>
    <row r="34671" s="3161" customFormat="1" ht="12.75"/>
    <row r="34672" s="3161" customFormat="1" ht="12.75"/>
    <row r="34673" s="3161" customFormat="1" ht="12.75"/>
    <row r="34674" s="3161" customFormat="1" ht="12.75"/>
    <row r="34675" s="3161" customFormat="1" ht="12.75"/>
    <row r="34676" s="3161" customFormat="1" ht="12.75"/>
    <row r="34677" s="3161" customFormat="1" ht="12.75"/>
    <row r="34678" s="3161" customFormat="1" ht="12.75"/>
    <row r="34679" s="3161" customFormat="1" ht="12.75"/>
    <row r="34680" s="3161" customFormat="1" ht="12.75"/>
    <row r="34681" s="3161" customFormat="1" ht="12.75"/>
    <row r="34682" s="3161" customFormat="1" ht="12.75"/>
    <row r="34683" s="3161" customFormat="1" ht="12.75"/>
    <row r="34684" s="3161" customFormat="1" ht="12.75"/>
    <row r="34685" s="3161" customFormat="1" ht="12.75"/>
    <row r="34686" s="3161" customFormat="1" ht="12.75"/>
    <row r="34687" s="3161" customFormat="1" ht="12.75"/>
    <row r="34688" s="3161" customFormat="1" ht="12.75"/>
    <row r="34689" s="3161" customFormat="1" ht="12.75"/>
    <row r="34690" s="3161" customFormat="1" ht="12.75"/>
    <row r="34691" s="3161" customFormat="1" ht="12.75"/>
    <row r="34692" s="3161" customFormat="1" ht="12.75"/>
    <row r="34693" s="3161" customFormat="1" ht="12.75"/>
    <row r="34694" s="3161" customFormat="1" ht="12.75"/>
    <row r="34695" s="3161" customFormat="1" ht="12.75"/>
    <row r="34696" s="3161" customFormat="1" ht="12.75"/>
    <row r="34697" s="3161" customFormat="1" ht="12.75"/>
    <row r="34698" s="3161" customFormat="1" ht="12.75"/>
    <row r="34699" s="3161" customFormat="1" ht="12.75"/>
    <row r="34700" s="3161" customFormat="1" ht="12.75"/>
    <row r="34701" s="3161" customFormat="1" ht="12.75"/>
    <row r="34702" s="3161" customFormat="1" ht="12.75"/>
    <row r="34703" s="3161" customFormat="1" ht="12.75"/>
    <row r="34704" s="3161" customFormat="1" ht="12.75"/>
    <row r="34705" s="3161" customFormat="1" ht="12.75"/>
    <row r="34706" s="3161" customFormat="1" ht="12.75"/>
    <row r="34707" s="3161" customFormat="1" ht="12.75"/>
    <row r="34708" s="3161" customFormat="1" ht="12.75"/>
    <row r="34709" s="3161" customFormat="1" ht="12.75"/>
    <row r="34710" s="3161" customFormat="1" ht="12.75"/>
    <row r="34711" s="3161" customFormat="1" ht="12.75"/>
    <row r="34712" s="3161" customFormat="1" ht="12.75"/>
    <row r="34713" s="3161" customFormat="1" ht="12.75"/>
    <row r="34714" s="3161" customFormat="1" ht="12.75"/>
    <row r="34715" s="3161" customFormat="1" ht="12.75"/>
    <row r="34716" s="3161" customFormat="1" ht="12.75"/>
    <row r="34717" s="3161" customFormat="1" ht="12.75"/>
    <row r="34718" s="3161" customFormat="1" ht="12.75"/>
    <row r="34719" s="3161" customFormat="1" ht="12.75"/>
    <row r="34720" s="3161" customFormat="1" ht="12.75"/>
    <row r="34721" s="3161" customFormat="1" ht="12.75"/>
    <row r="34722" s="3161" customFormat="1" ht="12.75"/>
    <row r="34723" s="3161" customFormat="1" ht="12.75"/>
    <row r="34724" s="3161" customFormat="1" ht="12.75"/>
    <row r="34725" s="3161" customFormat="1" ht="12.75"/>
    <row r="34726" s="3161" customFormat="1" ht="12.75"/>
    <row r="34727" s="3161" customFormat="1" ht="12.75"/>
    <row r="34728" s="3161" customFormat="1" ht="12.75"/>
    <row r="34729" s="3161" customFormat="1" ht="12.75"/>
    <row r="34730" s="3161" customFormat="1" ht="12.75"/>
    <row r="34731" s="3161" customFormat="1" ht="12.75"/>
    <row r="34732" s="3161" customFormat="1" ht="12.75"/>
    <row r="34733" s="3161" customFormat="1" ht="12.75"/>
    <row r="34734" s="3161" customFormat="1" ht="12.75"/>
    <row r="34735" s="3161" customFormat="1" ht="12.75"/>
    <row r="34736" s="3161" customFormat="1" ht="12.75"/>
    <row r="34737" s="3161" customFormat="1" ht="12.75"/>
    <row r="34738" s="3161" customFormat="1" ht="12.75"/>
    <row r="34739" s="3161" customFormat="1" ht="12.75"/>
    <row r="34740" s="3161" customFormat="1" ht="12.75"/>
    <row r="34741" s="3161" customFormat="1" ht="12.75"/>
    <row r="34742" s="3161" customFormat="1" ht="12.75"/>
    <row r="34743" s="3161" customFormat="1" ht="12.75"/>
    <row r="34744" s="3161" customFormat="1" ht="12.75"/>
    <row r="34745" s="3161" customFormat="1" ht="12.75"/>
    <row r="34746" s="3161" customFormat="1" ht="12.75"/>
    <row r="34747" s="3161" customFormat="1" ht="12.75"/>
    <row r="34748" s="3161" customFormat="1" ht="12.75"/>
    <row r="34749" s="3161" customFormat="1" ht="12.75"/>
    <row r="34750" s="3161" customFormat="1" ht="12.75"/>
    <row r="34751" s="3161" customFormat="1" ht="12.75"/>
    <row r="34752" s="3161" customFormat="1" ht="12.75"/>
    <row r="34753" s="3161" customFormat="1" ht="12.75"/>
    <row r="34754" s="3161" customFormat="1" ht="12.75"/>
    <row r="34755" s="3161" customFormat="1" ht="12.75"/>
    <row r="34756" s="3161" customFormat="1" ht="12.75"/>
    <row r="34757" s="3161" customFormat="1" ht="12.75"/>
    <row r="34758" s="3161" customFormat="1" ht="12.75"/>
    <row r="34759" s="3161" customFormat="1" ht="12.75"/>
    <row r="34760" s="3161" customFormat="1" ht="12.75"/>
    <row r="34761" s="3161" customFormat="1" ht="12.75"/>
    <row r="34762" s="3161" customFormat="1" ht="12.75"/>
    <row r="34763" s="3161" customFormat="1" ht="12.75"/>
    <row r="34764" s="3161" customFormat="1" ht="12.75"/>
    <row r="34765" s="3161" customFormat="1" ht="12.75"/>
    <row r="34766" s="3161" customFormat="1" ht="12.75"/>
    <row r="34767" s="3161" customFormat="1" ht="12.75"/>
    <row r="34768" s="3161" customFormat="1" ht="12.75"/>
    <row r="34769" s="3161" customFormat="1" ht="12.75"/>
    <row r="34770" s="3161" customFormat="1" ht="12.75"/>
    <row r="34771" s="3161" customFormat="1" ht="12.75"/>
    <row r="34772" s="3161" customFormat="1" ht="12.75"/>
    <row r="34773" s="3161" customFormat="1" ht="12.75"/>
    <row r="34774" s="3161" customFormat="1" ht="12.75"/>
    <row r="34775" s="3161" customFormat="1" ht="12.75"/>
    <row r="34776" s="3161" customFormat="1" ht="12.75"/>
    <row r="34777" s="3161" customFormat="1" ht="12.75"/>
    <row r="34778" s="3161" customFormat="1" ht="12.75"/>
    <row r="34779" s="3161" customFormat="1" ht="12.75"/>
    <row r="34780" s="3161" customFormat="1" ht="12.75"/>
    <row r="34781" s="3161" customFormat="1" ht="12.75"/>
    <row r="34782" s="3161" customFormat="1" ht="12.75"/>
    <row r="34783" s="3161" customFormat="1" ht="12.75"/>
    <row r="34784" s="3161" customFormat="1" ht="12.75"/>
    <row r="34785" s="3161" customFormat="1" ht="12.75"/>
    <row r="34786" s="3161" customFormat="1" ht="12.75"/>
    <row r="34787" s="3161" customFormat="1" ht="12.75"/>
    <row r="34788" s="3161" customFormat="1" ht="12.75"/>
    <row r="34789" s="3161" customFormat="1" ht="12.75"/>
    <row r="34790" s="3161" customFormat="1" ht="12.75"/>
    <row r="34791" s="3161" customFormat="1" ht="12.75"/>
    <row r="34792" s="3161" customFormat="1" ht="12.75"/>
    <row r="34793" s="3161" customFormat="1" ht="12.75"/>
    <row r="34794" s="3161" customFormat="1" ht="12.75"/>
    <row r="34795" s="3161" customFormat="1" ht="12.75"/>
    <row r="34796" s="3161" customFormat="1" ht="12.75"/>
    <row r="34797" s="3161" customFormat="1" ht="12.75"/>
    <row r="34798" s="3161" customFormat="1" ht="12.75"/>
    <row r="34799" s="3161" customFormat="1" ht="12.75"/>
    <row r="34800" s="3161" customFormat="1" ht="12.75"/>
    <row r="34801" s="3161" customFormat="1" ht="12.75"/>
    <row r="34802" s="3161" customFormat="1" ht="12.75"/>
    <row r="34803" s="3161" customFormat="1" ht="12.75"/>
    <row r="34804" s="3161" customFormat="1" ht="12.75"/>
    <row r="34805" s="3161" customFormat="1" ht="12.75"/>
    <row r="34806" s="3161" customFormat="1" ht="12.75"/>
    <row r="34807" s="3161" customFormat="1" ht="12.75"/>
    <row r="34808" s="3161" customFormat="1" ht="12.75"/>
    <row r="34809" s="3161" customFormat="1" ht="12.75"/>
    <row r="34810" s="3161" customFormat="1" ht="12.75"/>
    <row r="34811" s="3161" customFormat="1" ht="12.75"/>
    <row r="34812" s="3161" customFormat="1" ht="12.75"/>
    <row r="34813" s="3161" customFormat="1" ht="12.75"/>
    <row r="34814" s="3161" customFormat="1" ht="12.75"/>
    <row r="34815" s="3161" customFormat="1" ht="12.75"/>
    <row r="34816" s="3161" customFormat="1" ht="12.75"/>
    <row r="34817" s="3161" customFormat="1" ht="12.75"/>
    <row r="34818" s="3161" customFormat="1" ht="12.75"/>
    <row r="34819" s="3161" customFormat="1" ht="12.75"/>
    <row r="34820" s="3161" customFormat="1" ht="12.75"/>
    <row r="34821" s="3161" customFormat="1" ht="12.75"/>
    <row r="34822" s="3161" customFormat="1" ht="12.75"/>
    <row r="34823" s="3161" customFormat="1" ht="12.75"/>
    <row r="34824" s="3161" customFormat="1" ht="12.75"/>
    <row r="34825" s="3161" customFormat="1" ht="12.75"/>
    <row r="34826" s="3161" customFormat="1" ht="12.75"/>
    <row r="34827" s="3161" customFormat="1" ht="12.75"/>
    <row r="34828" s="3161" customFormat="1" ht="12.75"/>
    <row r="34829" s="3161" customFormat="1" ht="12.75"/>
    <row r="34830" s="3161" customFormat="1" ht="12.75"/>
    <row r="34831" s="3161" customFormat="1" ht="12.75"/>
    <row r="34832" s="3161" customFormat="1" ht="12.75"/>
    <row r="34833" s="3161" customFormat="1" ht="12.75"/>
    <row r="34834" s="3161" customFormat="1" ht="12.75"/>
    <row r="34835" s="3161" customFormat="1" ht="12.75"/>
    <row r="34836" s="3161" customFormat="1" ht="12.75"/>
    <row r="34837" s="3161" customFormat="1" ht="12.75"/>
    <row r="34838" s="3161" customFormat="1" ht="12.75"/>
    <row r="34839" s="3161" customFormat="1" ht="12.75"/>
    <row r="34840" s="3161" customFormat="1" ht="12.75"/>
    <row r="34841" s="3161" customFormat="1" ht="12.75"/>
    <row r="34842" s="3161" customFormat="1" ht="12.75"/>
    <row r="34843" s="3161" customFormat="1" ht="12.75"/>
    <row r="34844" s="3161" customFormat="1" ht="12.75"/>
    <row r="34845" s="3161" customFormat="1" ht="12.75"/>
    <row r="34846" s="3161" customFormat="1" ht="12.75"/>
    <row r="34847" s="3161" customFormat="1" ht="12.75"/>
    <row r="34848" s="3161" customFormat="1" ht="12.75"/>
    <row r="34849" s="3161" customFormat="1" ht="12.75"/>
    <row r="34850" s="3161" customFormat="1" ht="12.75"/>
    <row r="34851" s="3161" customFormat="1" ht="12.75"/>
    <row r="34852" s="3161" customFormat="1" ht="12.75"/>
    <row r="34853" s="3161" customFormat="1" ht="12.75"/>
    <row r="34854" s="3161" customFormat="1" ht="12.75"/>
    <row r="34855" s="3161" customFormat="1" ht="12.75"/>
    <row r="34856" s="3161" customFormat="1" ht="12.75"/>
    <row r="34857" s="3161" customFormat="1" ht="12.75"/>
    <row r="34858" s="3161" customFormat="1" ht="12.75"/>
    <row r="34859" s="3161" customFormat="1" ht="12.75"/>
    <row r="34860" s="3161" customFormat="1" ht="12.75"/>
    <row r="34861" s="3161" customFormat="1" ht="12.75"/>
    <row r="34862" s="3161" customFormat="1" ht="12.75"/>
    <row r="34863" s="3161" customFormat="1" ht="12.75"/>
    <row r="34864" s="3161" customFormat="1" ht="12.75"/>
    <row r="34865" s="3161" customFormat="1" ht="12.75"/>
    <row r="34866" s="3161" customFormat="1" ht="12.75"/>
    <row r="34867" s="3161" customFormat="1" ht="12.75"/>
    <row r="34868" s="3161" customFormat="1" ht="12.75"/>
    <row r="34869" s="3161" customFormat="1" ht="12.75"/>
    <row r="34870" s="3161" customFormat="1" ht="12.75"/>
    <row r="34871" s="3161" customFormat="1" ht="12.75"/>
    <row r="34872" s="3161" customFormat="1" ht="12.75"/>
    <row r="34873" s="3161" customFormat="1" ht="12.75"/>
    <row r="34874" s="3161" customFormat="1" ht="12.75"/>
    <row r="34875" s="3161" customFormat="1" ht="12.75"/>
    <row r="34876" s="3161" customFormat="1" ht="12.75"/>
    <row r="34877" s="3161" customFormat="1" ht="12.75"/>
    <row r="34878" s="3161" customFormat="1" ht="12.75"/>
    <row r="34879" s="3161" customFormat="1" ht="12.75"/>
    <row r="34880" s="3161" customFormat="1" ht="12.75"/>
    <row r="34881" s="3161" customFormat="1" ht="12.75"/>
    <row r="34882" s="3161" customFormat="1" ht="12.75"/>
    <row r="34883" s="3161" customFormat="1" ht="12.75"/>
    <row r="34884" s="3161" customFormat="1" ht="12.75"/>
    <row r="34885" s="3161" customFormat="1" ht="12.75"/>
    <row r="34886" s="3161" customFormat="1" ht="12.75"/>
    <row r="34887" s="3161" customFormat="1" ht="12.75"/>
    <row r="34888" s="3161" customFormat="1" ht="12.75"/>
    <row r="34889" s="3161" customFormat="1" ht="12.75"/>
    <row r="34890" s="3161" customFormat="1" ht="12.75"/>
    <row r="34891" s="3161" customFormat="1" ht="12.75"/>
    <row r="34892" s="3161" customFormat="1" ht="12.75"/>
    <row r="34893" s="3161" customFormat="1" ht="12.75"/>
    <row r="34894" s="3161" customFormat="1" ht="12.75"/>
    <row r="34895" s="3161" customFormat="1" ht="12.75"/>
    <row r="34896" s="3161" customFormat="1" ht="12.75"/>
    <row r="34897" s="3161" customFormat="1" ht="12.75"/>
    <row r="34898" s="3161" customFormat="1" ht="12.75"/>
    <row r="34899" s="3161" customFormat="1" ht="12.75"/>
    <row r="34900" s="3161" customFormat="1" ht="12.75"/>
    <row r="34901" s="3161" customFormat="1" ht="12.75"/>
    <row r="34902" s="3161" customFormat="1" ht="12.75"/>
    <row r="34903" s="3161" customFormat="1" ht="12.75"/>
    <row r="34904" s="3161" customFormat="1" ht="12.75"/>
    <row r="34905" s="3161" customFormat="1" ht="12.75"/>
    <row r="34906" s="3161" customFormat="1" ht="12.75"/>
    <row r="34907" s="3161" customFormat="1" ht="12.75"/>
    <row r="34908" s="3161" customFormat="1" ht="12.75"/>
    <row r="34909" s="3161" customFormat="1" ht="12.75"/>
    <row r="34910" s="3161" customFormat="1" ht="12.75"/>
    <row r="34911" s="3161" customFormat="1" ht="12.75"/>
    <row r="34912" s="3161" customFormat="1" ht="12.75"/>
    <row r="34913" s="3161" customFormat="1" ht="12.75"/>
    <row r="34914" s="3161" customFormat="1" ht="12.75"/>
    <row r="34915" s="3161" customFormat="1" ht="12.75"/>
    <row r="34916" s="3161" customFormat="1" ht="12.75"/>
    <row r="34917" s="3161" customFormat="1" ht="12.75"/>
    <row r="34918" s="3161" customFormat="1" ht="12.75"/>
    <row r="34919" s="3161" customFormat="1" ht="12.75"/>
    <row r="34920" s="3161" customFormat="1" ht="12.75"/>
    <row r="34921" s="3161" customFormat="1" ht="12.75"/>
    <row r="34922" s="3161" customFormat="1" ht="12.75"/>
    <row r="34923" s="3161" customFormat="1" ht="12.75"/>
    <row r="34924" s="3161" customFormat="1" ht="12.75"/>
    <row r="34925" s="3161" customFormat="1" ht="12.75"/>
    <row r="34926" s="3161" customFormat="1" ht="12.75"/>
    <row r="34927" s="3161" customFormat="1" ht="12.75"/>
    <row r="34928" s="3161" customFormat="1" ht="12.75"/>
    <row r="34929" s="3161" customFormat="1" ht="12.75"/>
    <row r="34930" s="3161" customFormat="1" ht="12.75"/>
    <row r="34931" s="3161" customFormat="1" ht="12.75"/>
    <row r="34932" s="3161" customFormat="1" ht="12.75"/>
    <row r="34933" s="3161" customFormat="1" ht="12.75"/>
    <row r="34934" s="3161" customFormat="1" ht="12.75"/>
    <row r="34935" s="3161" customFormat="1" ht="12.75"/>
    <row r="34936" s="3161" customFormat="1" ht="12.75"/>
    <row r="34937" s="3161" customFormat="1" ht="12.75"/>
    <row r="34938" s="3161" customFormat="1" ht="12.75"/>
    <row r="34939" s="3161" customFormat="1" ht="12.75"/>
    <row r="34940" s="3161" customFormat="1" ht="12.75"/>
    <row r="34941" s="3161" customFormat="1" ht="12.75"/>
    <row r="34942" s="3161" customFormat="1" ht="12.75"/>
    <row r="34943" s="3161" customFormat="1" ht="12.75"/>
    <row r="34944" s="3161" customFormat="1" ht="12.75"/>
    <row r="34945" s="3161" customFormat="1" ht="12.75"/>
    <row r="34946" s="3161" customFormat="1" ht="12.75"/>
    <row r="34947" s="3161" customFormat="1" ht="12.75"/>
    <row r="34948" s="3161" customFormat="1" ht="12.75"/>
    <row r="34949" s="3161" customFormat="1" ht="12.75"/>
    <row r="34950" s="3161" customFormat="1" ht="12.75"/>
    <row r="34951" s="3161" customFormat="1" ht="12.75"/>
    <row r="34952" s="3161" customFormat="1" ht="12.75"/>
    <row r="34953" s="3161" customFormat="1" ht="12.75"/>
    <row r="34954" s="3161" customFormat="1" ht="12.75"/>
    <row r="34955" s="3161" customFormat="1" ht="12.75"/>
    <row r="34956" s="3161" customFormat="1" ht="12.75"/>
    <row r="34957" s="3161" customFormat="1" ht="12.75"/>
    <row r="34958" s="3161" customFormat="1" ht="12.75"/>
    <row r="34959" s="3161" customFormat="1" ht="12.75"/>
    <row r="34960" s="3161" customFormat="1" ht="12.75"/>
    <row r="34961" s="3161" customFormat="1" ht="12.75"/>
    <row r="34962" s="3161" customFormat="1" ht="12.75"/>
    <row r="34963" s="3161" customFormat="1" ht="12.75"/>
    <row r="34964" s="3161" customFormat="1" ht="12.75"/>
    <row r="34965" s="3161" customFormat="1" ht="12.75"/>
    <row r="34966" s="3161" customFormat="1" ht="12.75"/>
    <row r="34967" s="3161" customFormat="1" ht="12.75"/>
    <row r="34968" s="3161" customFormat="1" ht="12.75"/>
    <row r="34969" s="3161" customFormat="1" ht="12.75"/>
    <row r="34970" s="3161" customFormat="1" ht="12.75"/>
    <row r="34971" s="3161" customFormat="1" ht="12.75"/>
    <row r="34972" s="3161" customFormat="1" ht="12.75"/>
    <row r="34973" s="3161" customFormat="1" ht="12.75"/>
    <row r="34974" s="3161" customFormat="1" ht="12.75"/>
    <row r="34975" s="3161" customFormat="1" ht="12.75"/>
    <row r="34976" s="3161" customFormat="1" ht="12.75"/>
    <row r="34977" s="3161" customFormat="1" ht="12.75"/>
    <row r="34978" s="3161" customFormat="1" ht="12.75"/>
    <row r="34979" s="3161" customFormat="1" ht="12.75"/>
    <row r="34980" s="3161" customFormat="1" ht="12.75"/>
    <row r="34981" s="3161" customFormat="1" ht="12.75"/>
    <row r="34982" s="3161" customFormat="1" ht="12.75"/>
    <row r="34983" s="3161" customFormat="1" ht="12.75"/>
    <row r="34984" s="3161" customFormat="1" ht="12.75"/>
    <row r="34985" s="3161" customFormat="1" ht="12.75"/>
    <row r="34986" s="3161" customFormat="1" ht="12.75"/>
    <row r="34987" s="3161" customFormat="1" ht="12.75"/>
    <row r="34988" s="3161" customFormat="1" ht="12.75"/>
    <row r="34989" s="3161" customFormat="1" ht="12.75"/>
    <row r="34990" s="3161" customFormat="1" ht="12.75"/>
    <row r="34991" s="3161" customFormat="1" ht="12.75"/>
    <row r="34992" s="3161" customFormat="1" ht="12.75"/>
    <row r="34993" s="3161" customFormat="1" ht="12.75"/>
    <row r="34994" s="3161" customFormat="1" ht="12.75"/>
    <row r="34995" s="3161" customFormat="1" ht="12.75"/>
    <row r="34996" s="3161" customFormat="1" ht="12.75"/>
    <row r="34997" s="3161" customFormat="1" ht="12.75"/>
    <row r="34998" s="3161" customFormat="1" ht="12.75"/>
    <row r="34999" s="3161" customFormat="1" ht="12.75"/>
    <row r="35000" s="3161" customFormat="1" ht="12.75"/>
    <row r="35001" s="3161" customFormat="1" ht="12.75"/>
    <row r="35002" s="3161" customFormat="1" ht="12.75"/>
    <row r="35003" s="3161" customFormat="1" ht="12.75"/>
    <row r="35004" s="3161" customFormat="1" ht="12.75"/>
    <row r="35005" s="3161" customFormat="1" ht="12.75"/>
    <row r="35006" s="3161" customFormat="1" ht="12.75"/>
    <row r="35007" s="3161" customFormat="1" ht="12.75"/>
    <row r="35008" s="3161" customFormat="1" ht="12.75"/>
    <row r="35009" s="3161" customFormat="1" ht="12.75"/>
    <row r="35010" s="3161" customFormat="1" ht="12.75"/>
    <row r="35011" s="3161" customFormat="1" ht="12.75"/>
    <row r="35012" s="3161" customFormat="1" ht="12.75"/>
    <row r="35013" s="3161" customFormat="1" ht="12.75"/>
    <row r="35014" s="3161" customFormat="1" ht="12.75"/>
    <row r="35015" s="3161" customFormat="1" ht="12.75"/>
    <row r="35016" s="3161" customFormat="1" ht="12.75"/>
    <row r="35017" s="3161" customFormat="1" ht="12.75"/>
    <row r="35018" s="3161" customFormat="1" ht="12.75"/>
    <row r="35019" s="3161" customFormat="1" ht="12.75"/>
    <row r="35020" s="3161" customFormat="1" ht="12.75"/>
    <row r="35021" s="3161" customFormat="1" ht="12.75"/>
    <row r="35022" s="3161" customFormat="1" ht="12.75"/>
    <row r="35023" s="3161" customFormat="1" ht="12.75"/>
    <row r="35024" s="3161" customFormat="1" ht="12.75"/>
    <row r="35025" s="3161" customFormat="1" ht="12.75"/>
    <row r="35026" s="3161" customFormat="1" ht="12.75"/>
    <row r="35027" s="3161" customFormat="1" ht="12.75"/>
    <row r="35028" s="3161" customFormat="1" ht="12.75"/>
    <row r="35029" s="3161" customFormat="1" ht="12.75"/>
    <row r="35030" s="3161" customFormat="1" ht="12.75"/>
    <row r="35031" s="3161" customFormat="1" ht="12.75"/>
    <row r="35032" s="3161" customFormat="1" ht="12.75"/>
    <row r="35033" s="3161" customFormat="1" ht="12.75"/>
    <row r="35034" s="3161" customFormat="1" ht="12.75"/>
    <row r="35035" s="3161" customFormat="1" ht="12.75"/>
    <row r="35036" s="3161" customFormat="1" ht="12.75"/>
    <row r="35037" s="3161" customFormat="1" ht="12.75"/>
    <row r="35038" s="3161" customFormat="1" ht="12.75"/>
    <row r="35039" s="3161" customFormat="1" ht="12.75"/>
    <row r="35040" s="3161" customFormat="1" ht="12.75"/>
    <row r="35041" s="3161" customFormat="1" ht="12.75"/>
    <row r="35042" s="3161" customFormat="1" ht="12.75"/>
    <row r="35043" s="3161" customFormat="1" ht="12.75"/>
    <row r="35044" s="3161" customFormat="1" ht="12.75"/>
    <row r="35045" s="3161" customFormat="1" ht="12.75"/>
    <row r="35046" s="3161" customFormat="1" ht="12.75"/>
    <row r="35047" s="3161" customFormat="1" ht="12.75"/>
    <row r="35048" s="3161" customFormat="1" ht="12.75"/>
    <row r="35049" s="3161" customFormat="1" ht="12.75"/>
    <row r="35050" s="3161" customFormat="1" ht="12.75"/>
    <row r="35051" s="3161" customFormat="1" ht="12.75"/>
    <row r="35052" s="3161" customFormat="1" ht="12.75"/>
    <row r="35053" s="3161" customFormat="1" ht="12.75"/>
    <row r="35054" s="3161" customFormat="1" ht="12.75"/>
    <row r="35055" s="3161" customFormat="1" ht="12.75"/>
    <row r="35056" s="3161" customFormat="1" ht="12.75"/>
    <row r="35057" s="3161" customFormat="1" ht="12.75"/>
    <row r="35058" s="3161" customFormat="1" ht="12.75"/>
    <row r="35059" s="3161" customFormat="1" ht="12.75"/>
    <row r="35060" s="3161" customFormat="1" ht="12.75"/>
    <row r="35061" s="3161" customFormat="1" ht="12.75"/>
    <row r="35062" s="3161" customFormat="1" ht="12.75"/>
    <row r="35063" s="3161" customFormat="1" ht="12.75"/>
    <row r="35064" s="3161" customFormat="1" ht="12.75"/>
    <row r="35065" s="3161" customFormat="1" ht="12.75"/>
    <row r="35066" s="3161" customFormat="1" ht="12.75"/>
    <row r="35067" s="3161" customFormat="1" ht="12.75"/>
    <row r="35068" s="3161" customFormat="1" ht="12.75"/>
    <row r="35069" s="3161" customFormat="1" ht="12.75"/>
    <row r="35070" s="3161" customFormat="1" ht="12.75"/>
    <row r="35071" s="3161" customFormat="1" ht="12.75"/>
    <row r="35072" s="3161" customFormat="1" ht="12.75"/>
    <row r="35073" s="3161" customFormat="1" ht="12.75"/>
    <row r="35074" s="3161" customFormat="1" ht="12.75"/>
    <row r="35075" s="3161" customFormat="1" ht="12.75"/>
    <row r="35076" s="3161" customFormat="1" ht="12.75"/>
    <row r="35077" s="3161" customFormat="1" ht="12.75"/>
    <row r="35078" s="3161" customFormat="1" ht="12.75"/>
    <row r="35079" s="3161" customFormat="1" ht="12.75"/>
    <row r="35080" s="3161" customFormat="1" ht="12.75"/>
    <row r="35081" s="3161" customFormat="1" ht="12.75"/>
    <row r="35082" s="3161" customFormat="1" ht="12.75"/>
    <row r="35083" s="3161" customFormat="1" ht="12.75"/>
    <row r="35084" s="3161" customFormat="1" ht="12.75"/>
    <row r="35085" s="3161" customFormat="1" ht="12.75"/>
    <row r="35086" s="3161" customFormat="1" ht="12.75"/>
    <row r="35087" s="3161" customFormat="1" ht="12.75"/>
    <row r="35088" s="3161" customFormat="1" ht="12.75"/>
    <row r="35089" s="3161" customFormat="1" ht="12.75"/>
    <row r="35090" s="3161" customFormat="1" ht="12.75"/>
    <row r="35091" s="3161" customFormat="1" ht="12.75"/>
    <row r="35092" s="3161" customFormat="1" ht="12.75"/>
    <row r="35093" s="3161" customFormat="1" ht="12.75"/>
    <row r="35094" s="3161" customFormat="1" ht="12.75"/>
    <row r="35095" s="3161" customFormat="1" ht="12.75"/>
    <row r="35096" s="3161" customFormat="1" ht="12.75"/>
    <row r="35097" s="3161" customFormat="1" ht="12.75"/>
    <row r="35098" s="3161" customFormat="1" ht="12.75"/>
    <row r="35099" s="3161" customFormat="1" ht="12.75"/>
    <row r="35100" s="3161" customFormat="1" ht="12.75"/>
    <row r="35101" s="3161" customFormat="1" ht="12.75"/>
    <row r="35102" s="3161" customFormat="1" ht="12.75"/>
    <row r="35103" s="3161" customFormat="1" ht="12.75"/>
    <row r="35104" s="3161" customFormat="1" ht="12.75"/>
    <row r="35105" s="3161" customFormat="1" ht="12.75"/>
    <row r="35106" s="3161" customFormat="1" ht="12.75"/>
    <row r="35107" s="3161" customFormat="1" ht="12.75"/>
    <row r="35108" s="3161" customFormat="1" ht="12.75"/>
    <row r="35109" s="3161" customFormat="1" ht="12.75"/>
    <row r="35110" s="3161" customFormat="1" ht="12.75"/>
    <row r="35111" s="3161" customFormat="1" ht="12.75"/>
    <row r="35112" s="3161" customFormat="1" ht="12.75"/>
    <row r="35113" s="3161" customFormat="1" ht="12.75"/>
    <row r="35114" s="3161" customFormat="1" ht="12.75"/>
    <row r="35115" s="3161" customFormat="1" ht="12.75"/>
    <row r="35116" s="3161" customFormat="1" ht="12.75"/>
    <row r="35117" s="3161" customFormat="1" ht="12.75"/>
    <row r="35118" s="3161" customFormat="1" ht="12.75"/>
    <row r="35119" s="3161" customFormat="1" ht="12.75"/>
    <row r="35120" s="3161" customFormat="1" ht="12.75"/>
    <row r="35121" s="3161" customFormat="1" ht="12.75"/>
    <row r="35122" s="3161" customFormat="1" ht="12.75"/>
    <row r="35123" s="3161" customFormat="1" ht="12.75"/>
    <row r="35124" s="3161" customFormat="1" ht="12.75"/>
    <row r="35125" s="3161" customFormat="1" ht="12.75"/>
    <row r="35126" s="3161" customFormat="1" ht="12.75"/>
    <row r="35127" s="3161" customFormat="1" ht="12.75"/>
    <row r="35128" s="3161" customFormat="1" ht="12.75"/>
    <row r="35129" s="3161" customFormat="1" ht="12.75"/>
    <row r="35130" s="3161" customFormat="1" ht="12.75"/>
    <row r="35131" s="3161" customFormat="1" ht="12.75"/>
    <row r="35132" s="3161" customFormat="1" ht="12.75"/>
    <row r="35133" s="3161" customFormat="1" ht="12.75"/>
    <row r="35134" s="3161" customFormat="1" ht="12.75"/>
    <row r="35135" s="3161" customFormat="1" ht="12.75"/>
    <row r="35136" s="3161" customFormat="1" ht="12.75"/>
    <row r="35137" s="3161" customFormat="1" ht="12.75"/>
    <row r="35138" s="3161" customFormat="1" ht="12.75"/>
    <row r="35139" s="3161" customFormat="1" ht="12.75"/>
    <row r="35140" s="3161" customFormat="1" ht="12.75"/>
    <row r="35141" s="3161" customFormat="1" ht="12.75"/>
    <row r="35142" s="3161" customFormat="1" ht="12.75"/>
    <row r="35143" s="3161" customFormat="1" ht="12.75"/>
    <row r="35144" s="3161" customFormat="1" ht="12.75"/>
    <row r="35145" s="3161" customFormat="1" ht="12.75"/>
    <row r="35146" s="3161" customFormat="1" ht="12.75"/>
    <row r="35147" s="3161" customFormat="1" ht="12.75"/>
    <row r="35148" s="3161" customFormat="1" ht="12.75"/>
    <row r="35149" s="3161" customFormat="1" ht="12.75"/>
    <row r="35150" s="3161" customFormat="1" ht="12.75"/>
    <row r="35151" s="3161" customFormat="1" ht="12.75"/>
    <row r="35152" s="3161" customFormat="1" ht="12.75"/>
    <row r="35153" s="3161" customFormat="1" ht="12.75"/>
    <row r="35154" s="3161" customFormat="1" ht="12.75"/>
    <row r="35155" s="3161" customFormat="1" ht="12.75"/>
    <row r="35156" s="3161" customFormat="1" ht="12.75"/>
    <row r="35157" s="3161" customFormat="1" ht="12.75"/>
    <row r="35158" s="3161" customFormat="1" ht="12.75"/>
    <row r="35159" s="3161" customFormat="1" ht="12.75"/>
    <row r="35160" s="3161" customFormat="1" ht="12.75"/>
    <row r="35161" s="3161" customFormat="1" ht="12.75"/>
    <row r="35162" s="3161" customFormat="1" ht="12.75"/>
    <row r="35163" s="3161" customFormat="1" ht="12.75"/>
    <row r="35164" s="3161" customFormat="1" ht="12.75"/>
    <row r="35165" s="3161" customFormat="1" ht="12.75"/>
    <row r="35166" s="3161" customFormat="1" ht="12.75"/>
    <row r="35167" s="3161" customFormat="1" ht="12.75"/>
    <row r="35168" s="3161" customFormat="1" ht="12.75"/>
    <row r="35169" s="3161" customFormat="1" ht="12.75"/>
    <row r="35170" s="3161" customFormat="1" ht="12.75"/>
    <row r="35171" s="3161" customFormat="1" ht="12.75"/>
    <row r="35172" s="3161" customFormat="1" ht="12.75"/>
    <row r="35173" s="3161" customFormat="1" ht="12.75"/>
    <row r="35174" s="3161" customFormat="1" ht="12.75"/>
    <row r="35175" s="3161" customFormat="1" ht="12.75"/>
    <row r="35176" s="3161" customFormat="1" ht="12.75"/>
    <row r="35177" s="3161" customFormat="1" ht="12.75"/>
    <row r="35178" s="3161" customFormat="1" ht="12.75"/>
    <row r="35179" s="3161" customFormat="1" ht="12.75"/>
    <row r="35180" s="3161" customFormat="1" ht="12.75"/>
    <row r="35181" s="3161" customFormat="1" ht="12.75"/>
    <row r="35182" s="3161" customFormat="1" ht="12.75"/>
    <row r="35183" s="3161" customFormat="1" ht="12.75"/>
    <row r="35184" s="3161" customFormat="1" ht="12.75"/>
    <row r="35185" s="3161" customFormat="1" ht="12.75"/>
    <row r="35186" s="3161" customFormat="1" ht="12.75"/>
    <row r="35187" s="3161" customFormat="1" ht="12.75"/>
    <row r="35188" s="3161" customFormat="1" ht="12.75"/>
    <row r="35189" s="3161" customFormat="1" ht="12.75"/>
    <row r="35190" s="3161" customFormat="1" ht="12.75"/>
    <row r="35191" s="3161" customFormat="1" ht="12.75"/>
    <row r="35192" s="3161" customFormat="1" ht="12.75"/>
    <row r="35193" s="3161" customFormat="1" ht="12.75"/>
    <row r="35194" s="3161" customFormat="1" ht="12.75"/>
    <row r="35195" s="3161" customFormat="1" ht="12.75"/>
    <row r="35196" s="3161" customFormat="1" ht="12.75"/>
    <row r="35197" s="3161" customFormat="1" ht="12.75"/>
    <row r="35198" s="3161" customFormat="1" ht="12.75"/>
    <row r="35199" s="3161" customFormat="1" ht="12.75"/>
    <row r="35200" s="3161" customFormat="1" ht="12.75"/>
    <row r="35201" s="3161" customFormat="1" ht="12.75"/>
    <row r="35202" s="3161" customFormat="1" ht="12.75"/>
    <row r="35203" s="3161" customFormat="1" ht="12.75"/>
    <row r="35204" s="3161" customFormat="1" ht="12.75"/>
    <row r="35205" s="3161" customFormat="1" ht="12.75"/>
    <row r="35206" s="3161" customFormat="1" ht="12.75"/>
    <row r="35207" s="3161" customFormat="1" ht="12.75"/>
    <row r="35208" s="3161" customFormat="1" ht="12.75"/>
    <row r="35209" s="3161" customFormat="1" ht="12.75"/>
    <row r="35210" s="3161" customFormat="1" ht="12.75"/>
    <row r="35211" s="3161" customFormat="1" ht="12.75"/>
    <row r="35212" s="3161" customFormat="1" ht="12.75"/>
    <row r="35213" s="3161" customFormat="1" ht="12.75"/>
    <row r="35214" s="3161" customFormat="1" ht="12.75"/>
    <row r="35215" s="3161" customFormat="1" ht="12.75"/>
    <row r="35216" s="3161" customFormat="1" ht="12.75"/>
    <row r="35217" s="3161" customFormat="1" ht="12.75"/>
    <row r="35218" s="3161" customFormat="1" ht="12.75"/>
    <row r="35219" s="3161" customFormat="1" ht="12.75"/>
    <row r="35220" s="3161" customFormat="1" ht="12.75"/>
    <row r="35221" s="3161" customFormat="1" ht="12.75"/>
    <row r="35222" s="3161" customFormat="1" ht="12.75"/>
    <row r="35223" s="3161" customFormat="1" ht="12.75"/>
    <row r="35224" s="3161" customFormat="1" ht="12.75"/>
    <row r="35225" s="3161" customFormat="1" ht="12.75"/>
    <row r="35226" s="3161" customFormat="1" ht="12.75"/>
    <row r="35227" s="3161" customFormat="1" ht="12.75"/>
    <row r="35228" s="3161" customFormat="1" ht="12.75"/>
    <row r="35229" s="3161" customFormat="1" ht="12.75"/>
    <row r="35230" s="3161" customFormat="1" ht="12.75"/>
    <row r="35231" s="3161" customFormat="1" ht="12.75"/>
    <row r="35232" s="3161" customFormat="1" ht="12.75"/>
    <row r="35233" s="3161" customFormat="1" ht="12.75"/>
    <row r="35234" s="3161" customFormat="1" ht="12.75"/>
    <row r="35235" s="3161" customFormat="1" ht="12.75"/>
    <row r="35236" s="3161" customFormat="1" ht="12.75"/>
    <row r="35237" s="3161" customFormat="1" ht="12.75"/>
    <row r="35238" s="3161" customFormat="1" ht="12.75"/>
    <row r="35239" s="3161" customFormat="1" ht="12.75"/>
    <row r="35240" s="3161" customFormat="1" ht="12.75"/>
    <row r="35241" s="3161" customFormat="1" ht="12.75"/>
    <row r="35242" s="3161" customFormat="1" ht="12.75"/>
    <row r="35243" s="3161" customFormat="1" ht="12.75"/>
    <row r="35244" s="3161" customFormat="1" ht="12.75"/>
    <row r="35245" s="3161" customFormat="1" ht="12.75"/>
    <row r="35246" s="3161" customFormat="1" ht="12.75"/>
    <row r="35247" s="3161" customFormat="1" ht="12.75"/>
    <row r="35248" s="3161" customFormat="1" ht="12.75"/>
    <row r="35249" s="3161" customFormat="1" ht="12.75"/>
    <row r="35250" s="3161" customFormat="1" ht="12.75"/>
    <row r="35251" s="3161" customFormat="1" ht="12.75"/>
    <row r="35252" s="3161" customFormat="1" ht="12.75"/>
    <row r="35253" s="3161" customFormat="1" ht="12.75"/>
    <row r="35254" s="3161" customFormat="1" ht="12.75"/>
    <row r="35255" s="3161" customFormat="1" ht="12.75"/>
    <row r="35256" s="3161" customFormat="1" ht="12.75"/>
    <row r="35257" s="3161" customFormat="1" ht="12.75"/>
    <row r="35258" s="3161" customFormat="1" ht="12.75"/>
    <row r="35259" s="3161" customFormat="1" ht="12.75"/>
    <row r="35260" s="3161" customFormat="1" ht="12.75"/>
    <row r="35261" s="3161" customFormat="1" ht="12.75"/>
    <row r="35262" s="3161" customFormat="1" ht="12.75"/>
    <row r="35263" s="3161" customFormat="1" ht="12.75"/>
    <row r="35264" s="3161" customFormat="1" ht="12.75"/>
    <row r="35265" s="3161" customFormat="1" ht="12.75"/>
    <row r="35266" s="3161" customFormat="1" ht="12.75"/>
    <row r="35267" s="3161" customFormat="1" ht="12.75"/>
    <row r="35268" s="3161" customFormat="1" ht="12.75"/>
    <row r="35269" s="3161" customFormat="1" ht="12.75"/>
    <row r="35270" s="3161" customFormat="1" ht="12.75"/>
    <row r="35271" s="3161" customFormat="1" ht="12.75"/>
    <row r="35272" s="3161" customFormat="1" ht="12.75"/>
    <row r="35273" s="3161" customFormat="1" ht="12.75"/>
    <row r="35274" s="3161" customFormat="1" ht="12.75"/>
    <row r="35275" s="3161" customFormat="1" ht="12.75"/>
    <row r="35276" s="3161" customFormat="1" ht="12.75"/>
    <row r="35277" s="3161" customFormat="1" ht="12.75"/>
    <row r="35278" s="3161" customFormat="1" ht="12.75"/>
    <row r="35279" s="3161" customFormat="1" ht="12.75"/>
    <row r="35280" s="3161" customFormat="1" ht="12.75"/>
    <row r="35281" s="3161" customFormat="1" ht="12.75"/>
    <row r="35282" s="3161" customFormat="1" ht="12.75"/>
    <row r="35283" s="3161" customFormat="1" ht="12.75"/>
    <row r="35284" s="3161" customFormat="1" ht="12.75"/>
    <row r="35285" s="3161" customFormat="1" ht="12.75"/>
    <row r="35286" s="3161" customFormat="1" ht="12.75"/>
    <row r="35287" s="3161" customFormat="1" ht="12.75"/>
    <row r="35288" s="3161" customFormat="1" ht="12.75"/>
    <row r="35289" s="3161" customFormat="1" ht="12.75"/>
    <row r="35290" s="3161" customFormat="1" ht="12.75"/>
    <row r="35291" s="3161" customFormat="1" ht="12.75"/>
    <row r="35292" s="3161" customFormat="1" ht="12.75"/>
    <row r="35293" s="3161" customFormat="1" ht="12.75"/>
    <row r="35294" s="3161" customFormat="1" ht="12.75"/>
    <row r="35295" s="3161" customFormat="1" ht="12.75"/>
    <row r="35296" s="3161" customFormat="1" ht="12.75"/>
    <row r="35297" s="3161" customFormat="1" ht="12.75"/>
    <row r="35298" s="3161" customFormat="1" ht="12.75"/>
    <row r="35299" s="3161" customFormat="1" ht="12.75"/>
    <row r="35300" s="3161" customFormat="1" ht="12.75"/>
    <row r="35301" s="3161" customFormat="1" ht="12.75"/>
    <row r="35302" s="3161" customFormat="1" ht="12.75"/>
    <row r="35303" s="3161" customFormat="1" ht="12.75"/>
    <row r="35304" s="3161" customFormat="1" ht="12.75"/>
    <row r="35305" s="3161" customFormat="1" ht="12.75"/>
    <row r="35306" s="3161" customFormat="1" ht="12.75"/>
    <row r="35307" s="3161" customFormat="1" ht="12.75"/>
    <row r="35308" s="3161" customFormat="1" ht="12.75"/>
    <row r="35309" s="3161" customFormat="1" ht="12.75"/>
    <row r="35310" s="3161" customFormat="1" ht="12.75"/>
    <row r="35311" s="3161" customFormat="1" ht="12.75"/>
    <row r="35312" s="3161" customFormat="1" ht="12.75"/>
    <row r="35313" s="3161" customFormat="1" ht="12.75"/>
    <row r="35314" s="3161" customFormat="1" ht="12.75"/>
    <row r="35315" s="3161" customFormat="1" ht="12.75"/>
    <row r="35316" s="3161" customFormat="1" ht="12.75"/>
    <row r="35317" s="3161" customFormat="1" ht="12.75"/>
    <row r="35318" s="3161" customFormat="1" ht="12.75"/>
    <row r="35319" s="3161" customFormat="1" ht="12.75"/>
    <row r="35320" s="3161" customFormat="1" ht="12.75"/>
    <row r="35321" s="3161" customFormat="1" ht="12.75"/>
    <row r="35322" s="3161" customFormat="1" ht="12.75"/>
    <row r="35323" s="3161" customFormat="1" ht="12.75"/>
    <row r="35324" s="3161" customFormat="1" ht="12.75"/>
    <row r="35325" s="3161" customFormat="1" ht="12.75"/>
    <row r="35326" s="3161" customFormat="1" ht="12.75"/>
    <row r="35327" s="3161" customFormat="1" ht="12.75"/>
    <row r="35328" s="3161" customFormat="1" ht="12.75"/>
    <row r="35329" s="3161" customFormat="1" ht="12.75"/>
    <row r="35330" s="3161" customFormat="1" ht="12.75"/>
    <row r="35331" s="3161" customFormat="1" ht="12.75"/>
    <row r="35332" s="3161" customFormat="1" ht="12.75"/>
    <row r="35333" s="3161" customFormat="1" ht="12.75"/>
    <row r="35334" s="3161" customFormat="1" ht="12.75"/>
    <row r="35335" s="3161" customFormat="1" ht="12.75"/>
    <row r="35336" s="3161" customFormat="1" ht="12.75"/>
    <row r="35337" s="3161" customFormat="1" ht="12.75"/>
    <row r="35338" s="3161" customFormat="1" ht="12.75"/>
    <row r="35339" s="3161" customFormat="1" ht="12.75"/>
    <row r="35340" s="3161" customFormat="1" ht="12.75"/>
    <row r="35341" s="3161" customFormat="1" ht="12.75"/>
    <row r="35342" s="3161" customFormat="1" ht="12.75"/>
    <row r="35343" s="3161" customFormat="1" ht="12.75"/>
    <row r="35344" s="3161" customFormat="1" ht="12.75"/>
    <row r="35345" s="3161" customFormat="1" ht="12.75"/>
    <row r="35346" s="3161" customFormat="1" ht="12.75"/>
    <row r="35347" s="3161" customFormat="1" ht="12.75"/>
    <row r="35348" s="3161" customFormat="1" ht="12.75"/>
    <row r="35349" s="3161" customFormat="1" ht="12.75"/>
    <row r="35350" s="3161" customFormat="1" ht="12.75"/>
    <row r="35351" s="3161" customFormat="1" ht="12.75"/>
    <row r="35352" s="3161" customFormat="1" ht="12.75"/>
    <row r="35353" s="3161" customFormat="1" ht="12.75"/>
    <row r="35354" s="3161" customFormat="1" ht="12.75"/>
    <row r="35355" s="3161" customFormat="1" ht="12.75"/>
    <row r="35356" s="3161" customFormat="1" ht="12.75"/>
    <row r="35357" s="3161" customFormat="1" ht="12.75"/>
    <row r="35358" s="3161" customFormat="1" ht="12.75"/>
    <row r="35359" s="3161" customFormat="1" ht="12.75"/>
    <row r="35360" s="3161" customFormat="1" ht="12.75"/>
    <row r="35361" s="3161" customFormat="1" ht="12.75"/>
    <row r="35362" s="3161" customFormat="1" ht="12.75"/>
    <row r="35363" s="3161" customFormat="1" ht="12.75"/>
    <row r="35364" s="3161" customFormat="1" ht="12.75"/>
    <row r="35365" s="3161" customFormat="1" ht="12.75"/>
    <row r="35366" s="3161" customFormat="1" ht="12.75"/>
    <row r="35367" s="3161" customFormat="1" ht="12.75"/>
    <row r="35368" s="3161" customFormat="1" ht="12.75"/>
    <row r="35369" s="3161" customFormat="1" ht="12.75"/>
    <row r="35370" s="3161" customFormat="1" ht="12.75"/>
    <row r="35371" s="3161" customFormat="1" ht="12.75"/>
    <row r="35372" s="3161" customFormat="1" ht="12.75"/>
    <row r="35373" s="3161" customFormat="1" ht="12.75"/>
    <row r="35374" s="3161" customFormat="1" ht="12.75"/>
    <row r="35375" s="3161" customFormat="1" ht="12.75"/>
    <row r="35376" s="3161" customFormat="1" ht="12.75"/>
    <row r="35377" s="3161" customFormat="1" ht="12.75"/>
    <row r="35378" s="3161" customFormat="1" ht="12.75"/>
    <row r="35379" s="3161" customFormat="1" ht="12.75"/>
    <row r="35380" s="3161" customFormat="1" ht="12.75"/>
    <row r="35381" s="3161" customFormat="1" ht="12.75"/>
    <row r="35382" s="3161" customFormat="1" ht="12.75"/>
    <row r="35383" s="3161" customFormat="1" ht="12.75"/>
    <row r="35384" s="3161" customFormat="1" ht="12.75"/>
    <row r="35385" s="3161" customFormat="1" ht="12.75"/>
    <row r="35386" s="3161" customFormat="1" ht="12.75"/>
    <row r="35387" s="3161" customFormat="1" ht="12.75"/>
    <row r="35388" s="3161" customFormat="1" ht="12.75"/>
    <row r="35389" s="3161" customFormat="1" ht="12.75"/>
    <row r="35390" s="3161" customFormat="1" ht="12.75"/>
    <row r="35391" s="3161" customFormat="1" ht="12.75"/>
    <row r="35392" s="3161" customFormat="1" ht="12.75"/>
    <row r="35393" s="3161" customFormat="1" ht="12.75"/>
    <row r="35394" s="3161" customFormat="1" ht="12.75"/>
    <row r="35395" s="3161" customFormat="1" ht="12.75"/>
    <row r="35396" s="3161" customFormat="1" ht="12.75"/>
    <row r="35397" s="3161" customFormat="1" ht="12.75"/>
    <row r="35398" s="3161" customFormat="1" ht="12.75"/>
    <row r="35399" s="3161" customFormat="1" ht="12.75"/>
    <row r="35400" s="3161" customFormat="1" ht="12.75"/>
    <row r="35401" s="3161" customFormat="1" ht="12.75"/>
    <row r="35402" s="3161" customFormat="1" ht="12.75"/>
    <row r="35403" s="3161" customFormat="1" ht="12.75"/>
    <row r="35404" s="3161" customFormat="1" ht="12.75"/>
    <row r="35405" s="3161" customFormat="1" ht="12.75"/>
    <row r="35406" s="3161" customFormat="1" ht="12.75"/>
    <row r="35407" s="3161" customFormat="1" ht="12.75"/>
    <row r="35408" s="3161" customFormat="1" ht="12.75"/>
    <row r="35409" s="3161" customFormat="1" ht="12.75"/>
    <row r="35410" s="3161" customFormat="1" ht="12.75"/>
    <row r="35411" s="3161" customFormat="1" ht="12.75"/>
    <row r="35412" s="3161" customFormat="1" ht="12.75"/>
    <row r="35413" s="3161" customFormat="1" ht="12.75"/>
    <row r="35414" s="3161" customFormat="1" ht="12.75"/>
    <row r="35415" s="3161" customFormat="1" ht="12.75"/>
    <row r="35416" s="3161" customFormat="1" ht="12.75"/>
    <row r="35417" s="3161" customFormat="1" ht="12.75"/>
    <row r="35418" s="3161" customFormat="1" ht="12.75"/>
    <row r="35419" s="3161" customFormat="1" ht="12.75"/>
    <row r="35420" s="3161" customFormat="1" ht="12.75"/>
    <row r="35421" s="3161" customFormat="1" ht="12.75"/>
    <row r="35422" s="3161" customFormat="1" ht="12.75"/>
    <row r="35423" s="3161" customFormat="1" ht="12.75"/>
    <row r="35424" s="3161" customFormat="1" ht="12.75"/>
    <row r="35425" s="3161" customFormat="1" ht="12.75"/>
    <row r="35426" s="3161" customFormat="1" ht="12.75"/>
    <row r="35427" s="3161" customFormat="1" ht="12.75"/>
    <row r="35428" s="3161" customFormat="1" ht="12.75"/>
    <row r="35429" s="3161" customFormat="1" ht="12.75"/>
    <row r="35430" s="3161" customFormat="1" ht="12.75"/>
    <row r="35431" s="3161" customFormat="1" ht="12.75"/>
    <row r="35432" s="3161" customFormat="1" ht="12.75"/>
    <row r="35433" s="3161" customFormat="1" ht="12.75"/>
    <row r="35434" s="3161" customFormat="1" ht="12.75"/>
    <row r="35435" s="3161" customFormat="1" ht="12.75"/>
    <row r="35436" s="3161" customFormat="1" ht="12.75"/>
    <row r="35437" s="3161" customFormat="1" ht="12.75"/>
    <row r="35438" s="3161" customFormat="1" ht="12.75"/>
    <row r="35439" s="3161" customFormat="1" ht="12.75"/>
    <row r="35440" s="3161" customFormat="1" ht="12.75"/>
    <row r="35441" s="3161" customFormat="1" ht="12.75"/>
    <row r="35442" s="3161" customFormat="1" ht="12.75"/>
    <row r="35443" s="3161" customFormat="1" ht="12.75"/>
    <row r="35444" s="3161" customFormat="1" ht="12.75"/>
    <row r="35445" s="3161" customFormat="1" ht="12.75"/>
    <row r="35446" s="3161" customFormat="1" ht="12.75"/>
    <row r="35447" s="3161" customFormat="1" ht="12.75"/>
    <row r="35448" s="3161" customFormat="1" ht="12.75"/>
    <row r="35449" s="3161" customFormat="1" ht="12.75"/>
    <row r="35450" s="3161" customFormat="1" ht="12.75"/>
    <row r="35451" s="3161" customFormat="1" ht="12.75"/>
    <row r="35452" s="3161" customFormat="1" ht="12.75"/>
    <row r="35453" s="3161" customFormat="1" ht="12.75"/>
    <row r="35454" s="3161" customFormat="1" ht="12.75"/>
    <row r="35455" s="3161" customFormat="1" ht="12.75"/>
    <row r="35456" s="3161" customFormat="1" ht="12.75"/>
    <row r="35457" s="3161" customFormat="1" ht="12.75"/>
    <row r="35458" s="3161" customFormat="1" ht="12.75"/>
    <row r="35459" s="3161" customFormat="1" ht="12.75"/>
    <row r="35460" s="3161" customFormat="1" ht="12.75"/>
    <row r="35461" s="3161" customFormat="1" ht="12.75"/>
    <row r="35462" s="3161" customFormat="1" ht="12.75"/>
    <row r="35463" s="3161" customFormat="1" ht="12.75"/>
    <row r="35464" s="3161" customFormat="1" ht="12.75"/>
    <row r="35465" s="3161" customFormat="1" ht="12.75"/>
    <row r="35466" s="3161" customFormat="1" ht="12.75"/>
    <row r="35467" s="3161" customFormat="1" ht="12.75"/>
    <row r="35468" s="3161" customFormat="1" ht="12.75"/>
    <row r="35469" s="3161" customFormat="1" ht="12.75"/>
    <row r="35470" s="3161" customFormat="1" ht="12.75"/>
    <row r="35471" s="3161" customFormat="1" ht="12.75"/>
    <row r="35472" s="3161" customFormat="1" ht="12.75"/>
    <row r="35473" s="3161" customFormat="1" ht="12.75"/>
    <row r="35474" s="3161" customFormat="1" ht="12.75"/>
    <row r="35475" s="3161" customFormat="1" ht="12.75"/>
    <row r="35476" s="3161" customFormat="1" ht="12.75"/>
    <row r="35477" s="3161" customFormat="1" ht="12.75"/>
    <row r="35478" s="3161" customFormat="1" ht="12.75"/>
    <row r="35479" s="3161" customFormat="1" ht="12.75"/>
    <row r="35480" s="3161" customFormat="1" ht="12.75"/>
    <row r="35481" s="3161" customFormat="1" ht="12.75"/>
    <row r="35482" s="3161" customFormat="1" ht="12.75"/>
    <row r="35483" s="3161" customFormat="1" ht="12.75"/>
    <row r="35484" s="3161" customFormat="1" ht="12.75"/>
    <row r="35485" s="3161" customFormat="1" ht="12.75"/>
    <row r="35486" s="3161" customFormat="1" ht="12.75"/>
    <row r="35487" s="3161" customFormat="1" ht="12.75"/>
    <row r="35488" s="3161" customFormat="1" ht="12.75"/>
    <row r="35489" s="3161" customFormat="1" ht="12.75"/>
    <row r="35490" s="3161" customFormat="1" ht="12.75"/>
    <row r="35491" s="3161" customFormat="1" ht="12.75"/>
    <row r="35492" s="3161" customFormat="1" ht="12.75"/>
    <row r="35493" s="3161" customFormat="1" ht="12.75"/>
    <row r="35494" s="3161" customFormat="1" ht="12.75"/>
    <row r="35495" s="3161" customFormat="1" ht="12.75"/>
    <row r="35496" s="3161" customFormat="1" ht="12.75"/>
    <row r="35497" s="3161" customFormat="1" ht="12.75"/>
    <row r="35498" s="3161" customFormat="1" ht="12.75"/>
    <row r="35499" s="3161" customFormat="1" ht="12.75"/>
    <row r="35500" s="3161" customFormat="1" ht="12.75"/>
    <row r="35501" s="3161" customFormat="1" ht="12.75"/>
    <row r="35502" s="3161" customFormat="1" ht="12.75"/>
    <row r="35503" s="3161" customFormat="1" ht="12.75"/>
    <row r="35504" s="3161" customFormat="1" ht="12.75"/>
    <row r="35505" s="3161" customFormat="1" ht="12.75"/>
    <row r="35506" s="3161" customFormat="1" ht="12.75"/>
    <row r="35507" s="3161" customFormat="1" ht="12.75"/>
    <row r="35508" s="3161" customFormat="1" ht="12.75"/>
    <row r="35509" s="3161" customFormat="1" ht="12.75"/>
    <row r="35510" s="3161" customFormat="1" ht="12.75"/>
    <row r="35511" s="3161" customFormat="1" ht="12.75"/>
    <row r="35512" s="3161" customFormat="1" ht="12.75"/>
    <row r="35513" s="3161" customFormat="1" ht="12.75"/>
    <row r="35514" s="3161" customFormat="1" ht="12.75"/>
    <row r="35515" s="3161" customFormat="1" ht="12.75"/>
    <row r="35516" s="3161" customFormat="1" ht="12.75"/>
    <row r="35517" s="3161" customFormat="1" ht="12.75"/>
    <row r="35518" s="3161" customFormat="1" ht="12.75"/>
    <row r="35519" s="3161" customFormat="1" ht="12.75"/>
    <row r="35520" s="3161" customFormat="1" ht="12.75"/>
    <row r="35521" s="3161" customFormat="1" ht="12.75"/>
    <row r="35522" s="3161" customFormat="1" ht="12.75"/>
    <row r="35523" s="3161" customFormat="1" ht="12.75"/>
    <row r="35524" s="3161" customFormat="1" ht="12.75"/>
    <row r="35525" s="3161" customFormat="1" ht="12.75"/>
    <row r="35526" s="3161" customFormat="1" ht="12.75"/>
    <row r="35527" s="3161" customFormat="1" ht="12.75"/>
    <row r="35528" s="3161" customFormat="1" ht="12.75"/>
    <row r="35529" s="3161" customFormat="1" ht="12.75"/>
    <row r="35530" s="3161" customFormat="1" ht="12.75"/>
    <row r="35531" s="3161" customFormat="1" ht="12.75"/>
    <row r="35532" s="3161" customFormat="1" ht="12.75"/>
    <row r="35533" s="3161" customFormat="1" ht="12.75"/>
    <row r="35534" s="3161" customFormat="1" ht="12.75"/>
    <row r="35535" s="3161" customFormat="1" ht="12.75"/>
    <row r="35536" s="3161" customFormat="1" ht="12.75"/>
    <row r="35537" s="3161" customFormat="1" ht="12.75"/>
    <row r="35538" s="3161" customFormat="1" ht="12.75"/>
    <row r="35539" s="3161" customFormat="1" ht="12.75"/>
    <row r="35540" s="3161" customFormat="1" ht="12.75"/>
    <row r="35541" s="3161" customFormat="1" ht="12.75"/>
    <row r="35542" s="3161" customFormat="1" ht="12.75"/>
    <row r="35543" s="3161" customFormat="1" ht="12.75"/>
    <row r="35544" s="3161" customFormat="1" ht="12.75"/>
    <row r="35545" s="3161" customFormat="1" ht="12.75"/>
    <row r="35546" s="3161" customFormat="1" ht="12.75"/>
    <row r="35547" s="3161" customFormat="1" ht="12.75"/>
    <row r="35548" s="3161" customFormat="1" ht="12.75"/>
    <row r="35549" s="3161" customFormat="1" ht="12.75"/>
    <row r="35550" s="3161" customFormat="1" ht="12.75"/>
    <row r="35551" s="3161" customFormat="1" ht="12.75"/>
    <row r="35552" s="3161" customFormat="1" ht="12.75"/>
    <row r="35553" s="3161" customFormat="1" ht="12.75"/>
    <row r="35554" s="3161" customFormat="1" ht="12.75"/>
    <row r="35555" s="3161" customFormat="1" ht="12.75"/>
    <row r="35556" s="3161" customFormat="1" ht="12.75"/>
    <row r="35557" s="3161" customFormat="1" ht="12.75"/>
    <row r="35558" s="3161" customFormat="1" ht="12.75"/>
    <row r="35559" s="3161" customFormat="1" ht="12.75"/>
    <row r="35560" s="3161" customFormat="1" ht="12.75"/>
    <row r="35561" s="3161" customFormat="1" ht="12.75"/>
    <row r="35562" s="3161" customFormat="1" ht="12.75"/>
    <row r="35563" s="3161" customFormat="1" ht="12.75"/>
    <row r="35564" s="3161" customFormat="1" ht="12.75"/>
    <row r="35565" s="3161" customFormat="1" ht="12.75"/>
    <row r="35566" s="3161" customFormat="1" ht="12.75"/>
    <row r="35567" s="3161" customFormat="1" ht="12.75"/>
    <row r="35568" s="3161" customFormat="1" ht="12.75"/>
    <row r="35569" s="3161" customFormat="1" ht="12.75"/>
    <row r="35570" s="3161" customFormat="1" ht="12.75"/>
    <row r="35571" s="3161" customFormat="1" ht="12.75"/>
    <row r="35572" s="3161" customFormat="1" ht="12.75"/>
    <row r="35573" s="3161" customFormat="1" ht="12.75"/>
    <row r="35574" s="3161" customFormat="1" ht="12.75"/>
    <row r="35575" s="3161" customFormat="1" ht="12.75"/>
    <row r="35576" s="3161" customFormat="1" ht="12.75"/>
    <row r="35577" s="3161" customFormat="1" ht="12.75"/>
    <row r="35578" s="3161" customFormat="1" ht="12.75"/>
    <row r="35579" s="3161" customFormat="1" ht="12.75"/>
    <row r="35580" s="3161" customFormat="1" ht="12.75"/>
    <row r="35581" s="3161" customFormat="1" ht="12.75"/>
    <row r="35582" s="3161" customFormat="1" ht="12.75"/>
    <row r="35583" s="3161" customFormat="1" ht="12.75"/>
    <row r="35584" s="3161" customFormat="1" ht="12.75"/>
    <row r="35585" s="3161" customFormat="1" ht="12.75"/>
    <row r="35586" s="3161" customFormat="1" ht="12.75"/>
    <row r="35587" s="3161" customFormat="1" ht="12.75"/>
    <row r="35588" s="3161" customFormat="1" ht="12.75"/>
    <row r="35589" s="3161" customFormat="1" ht="12.75"/>
    <row r="35590" s="3161" customFormat="1" ht="12.75"/>
    <row r="35591" s="3161" customFormat="1" ht="12.75"/>
    <row r="35592" s="3161" customFormat="1" ht="12.75"/>
    <row r="35593" s="3161" customFormat="1" ht="12.75"/>
    <row r="35594" s="3161" customFormat="1" ht="12.75"/>
    <row r="35595" s="3161" customFormat="1" ht="12.75"/>
    <row r="35596" s="3161" customFormat="1" ht="12.75"/>
    <row r="35597" s="3161" customFormat="1" ht="12.75"/>
    <row r="35598" s="3161" customFormat="1" ht="12.75"/>
    <row r="35599" s="3161" customFormat="1" ht="12.75"/>
    <row r="35600" s="3161" customFormat="1" ht="12.75"/>
    <row r="35601" s="3161" customFormat="1" ht="12.75"/>
    <row r="35602" s="3161" customFormat="1" ht="12.75"/>
    <row r="35603" s="3161" customFormat="1" ht="12.75"/>
    <row r="35604" s="3161" customFormat="1" ht="12.75"/>
    <row r="35605" s="3161" customFormat="1" ht="12.75"/>
    <row r="35606" s="3161" customFormat="1" ht="12.75"/>
    <row r="35607" s="3161" customFormat="1" ht="12.75"/>
    <row r="35608" s="3161" customFormat="1" ht="12.75"/>
    <row r="35609" s="3161" customFormat="1" ht="12.75"/>
    <row r="35610" s="3161" customFormat="1" ht="12.75"/>
    <row r="35611" s="3161" customFormat="1" ht="12.75"/>
    <row r="35612" s="3161" customFormat="1" ht="12.75"/>
    <row r="35613" s="3161" customFormat="1" ht="12.75"/>
    <row r="35614" s="3161" customFormat="1" ht="12.75"/>
    <row r="35615" s="3161" customFormat="1" ht="12.75"/>
    <row r="35616" s="3161" customFormat="1" ht="12.75"/>
    <row r="35617" s="3161" customFormat="1" ht="12.75"/>
    <row r="35618" s="3161" customFormat="1" ht="12.75"/>
    <row r="35619" s="3161" customFormat="1" ht="12.75"/>
    <row r="35620" s="3161" customFormat="1" ht="12.75"/>
    <row r="35621" s="3161" customFormat="1" ht="12.75"/>
    <row r="35622" s="3161" customFormat="1" ht="12.75"/>
    <row r="35623" s="3161" customFormat="1" ht="12.75"/>
    <row r="35624" s="3161" customFormat="1" ht="12.75"/>
    <row r="35625" s="3161" customFormat="1" ht="12.75"/>
    <row r="35626" s="3161" customFormat="1" ht="12.75"/>
    <row r="35627" s="3161" customFormat="1" ht="12.75"/>
    <row r="35628" s="3161" customFormat="1" ht="12.75"/>
    <row r="35629" s="3161" customFormat="1" ht="12.75"/>
    <row r="35630" s="3161" customFormat="1" ht="12.75"/>
    <row r="35631" s="3161" customFormat="1" ht="12.75"/>
    <row r="35632" s="3161" customFormat="1" ht="12.75"/>
    <row r="35633" s="3161" customFormat="1" ht="12.75"/>
    <row r="35634" s="3161" customFormat="1" ht="12.75"/>
    <row r="35635" s="3161" customFormat="1" ht="12.75"/>
    <row r="35636" s="3161" customFormat="1" ht="12.75"/>
    <row r="35637" s="3161" customFormat="1" ht="12.75"/>
    <row r="35638" s="3161" customFormat="1" ht="12.75"/>
    <row r="35639" s="3161" customFormat="1" ht="12.75"/>
    <row r="35640" s="3161" customFormat="1" ht="12.75"/>
    <row r="35641" s="3161" customFormat="1" ht="12.75"/>
    <row r="35642" s="3161" customFormat="1" ht="12.75"/>
    <row r="35643" s="3161" customFormat="1" ht="12.75"/>
    <row r="35644" s="3161" customFormat="1" ht="12.75"/>
    <row r="35645" s="3161" customFormat="1" ht="12.75"/>
    <row r="35646" s="3161" customFormat="1" ht="12.75"/>
    <row r="35647" s="3161" customFormat="1" ht="12.75"/>
    <row r="35648" s="3161" customFormat="1" ht="12.75"/>
    <row r="35649" s="3161" customFormat="1" ht="12.75"/>
    <row r="35650" s="3161" customFormat="1" ht="12.75"/>
    <row r="35651" s="3161" customFormat="1" ht="12.75"/>
    <row r="35652" s="3161" customFormat="1" ht="12.75"/>
    <row r="35653" s="3161" customFormat="1" ht="12.75"/>
    <row r="35654" s="3161" customFormat="1" ht="12.75"/>
    <row r="35655" s="3161" customFormat="1" ht="12.75"/>
    <row r="35656" s="3161" customFormat="1" ht="12.75"/>
    <row r="35657" s="3161" customFormat="1" ht="12.75"/>
    <row r="35658" s="3161" customFormat="1" ht="12.75"/>
    <row r="35659" s="3161" customFormat="1" ht="12.75"/>
    <row r="35660" s="3161" customFormat="1" ht="12.75"/>
    <row r="35661" s="3161" customFormat="1" ht="12.75"/>
    <row r="35662" s="3161" customFormat="1" ht="12.75"/>
    <row r="35663" s="3161" customFormat="1" ht="12.75"/>
    <row r="35664" s="3161" customFormat="1" ht="12.75"/>
    <row r="35665" s="3161" customFormat="1" ht="12.75"/>
    <row r="35666" s="3161" customFormat="1" ht="12.75"/>
    <row r="35667" s="3161" customFormat="1" ht="12.75"/>
    <row r="35668" s="3161" customFormat="1" ht="12.75"/>
    <row r="35669" s="3161" customFormat="1" ht="12.75"/>
    <row r="35670" s="3161" customFormat="1" ht="12.75"/>
    <row r="35671" s="3161" customFormat="1" ht="12.75"/>
    <row r="35672" s="3161" customFormat="1" ht="12.75"/>
    <row r="35673" s="3161" customFormat="1" ht="12.75"/>
    <row r="35674" s="3161" customFormat="1" ht="12.75"/>
    <row r="35675" s="3161" customFormat="1" ht="12.75"/>
    <row r="35676" s="3161" customFormat="1" ht="12.75"/>
    <row r="35677" s="3161" customFormat="1" ht="12.75"/>
    <row r="35678" s="3161" customFormat="1" ht="12.75"/>
    <row r="35679" s="3161" customFormat="1" ht="12.75"/>
    <row r="35680" s="3161" customFormat="1" ht="12.75"/>
    <row r="35681" s="3161" customFormat="1" ht="12.75"/>
    <row r="35682" s="3161" customFormat="1" ht="12.75"/>
    <row r="35683" s="3161" customFormat="1" ht="12.75"/>
    <row r="35684" s="3161" customFormat="1" ht="12.75"/>
    <row r="35685" s="3161" customFormat="1" ht="12.75"/>
    <row r="35686" s="3161" customFormat="1" ht="12.75"/>
    <row r="35687" s="3161" customFormat="1" ht="12.75"/>
    <row r="35688" s="3161" customFormat="1" ht="12.75"/>
    <row r="35689" s="3161" customFormat="1" ht="12.75"/>
    <row r="35690" s="3161" customFormat="1" ht="12.75"/>
    <row r="35691" s="3161" customFormat="1" ht="12.75"/>
    <row r="35692" s="3161" customFormat="1" ht="12.75"/>
    <row r="35693" s="3161" customFormat="1" ht="12.75"/>
    <row r="35694" s="3161" customFormat="1" ht="12.75"/>
    <row r="35695" s="3161" customFormat="1" ht="12.75"/>
    <row r="35696" s="3161" customFormat="1" ht="12.75"/>
    <row r="35697" s="3161" customFormat="1" ht="12.75"/>
    <row r="35698" s="3161" customFormat="1" ht="12.75"/>
    <row r="35699" s="3161" customFormat="1" ht="12.75"/>
    <row r="35700" s="3161" customFormat="1" ht="12.75"/>
    <row r="35701" s="3161" customFormat="1" ht="12.75"/>
    <row r="35702" s="3161" customFormat="1" ht="12.75"/>
    <row r="35703" s="3161" customFormat="1" ht="12.75"/>
    <row r="35704" s="3161" customFormat="1" ht="12.75"/>
    <row r="35705" s="3161" customFormat="1" ht="12.75"/>
    <row r="35706" s="3161" customFormat="1" ht="12.75"/>
    <row r="35707" s="3161" customFormat="1" ht="12.75"/>
    <row r="35708" s="3161" customFormat="1" ht="12.75"/>
    <row r="35709" s="3161" customFormat="1" ht="12.75"/>
    <row r="35710" s="3161" customFormat="1" ht="12.75"/>
    <row r="35711" s="3161" customFormat="1" ht="12.75"/>
    <row r="35712" s="3161" customFormat="1" ht="12.75"/>
    <row r="35713" s="3161" customFormat="1" ht="12.75"/>
    <row r="35714" s="3161" customFormat="1" ht="12.75"/>
    <row r="35715" s="3161" customFormat="1" ht="12.75"/>
    <row r="35716" s="3161" customFormat="1" ht="12.75"/>
    <row r="35717" s="3161" customFormat="1" ht="12.75"/>
    <row r="35718" s="3161" customFormat="1" ht="12.75"/>
    <row r="35719" s="3161" customFormat="1" ht="12.75"/>
    <row r="35720" s="3161" customFormat="1" ht="12.75"/>
    <row r="35721" s="3161" customFormat="1" ht="12.75"/>
    <row r="35722" s="3161" customFormat="1" ht="12.75"/>
    <row r="35723" s="3161" customFormat="1" ht="12.75"/>
    <row r="35724" s="3161" customFormat="1" ht="12.75"/>
    <row r="35725" s="3161" customFormat="1" ht="12.75"/>
    <row r="35726" s="3161" customFormat="1" ht="12.75"/>
    <row r="35727" s="3161" customFormat="1" ht="12.75"/>
    <row r="35728" s="3161" customFormat="1" ht="12.75"/>
    <row r="35729" s="3161" customFormat="1" ht="12.75"/>
    <row r="35730" s="3161" customFormat="1" ht="12.75"/>
    <row r="35731" s="3161" customFormat="1" ht="12.75"/>
    <row r="35732" s="3161" customFormat="1" ht="12.75"/>
    <row r="35733" s="3161" customFormat="1" ht="12.75"/>
    <row r="35734" s="3161" customFormat="1" ht="12.75"/>
    <row r="35735" s="3161" customFormat="1" ht="12.75"/>
    <row r="35736" s="3161" customFormat="1" ht="12.75"/>
    <row r="35737" s="3161" customFormat="1" ht="12.75"/>
    <row r="35738" s="3161" customFormat="1" ht="12.75"/>
    <row r="35739" s="3161" customFormat="1" ht="12.75"/>
    <row r="35740" s="3161" customFormat="1" ht="12.75"/>
    <row r="35741" s="3161" customFormat="1" ht="12.75"/>
    <row r="35742" s="3161" customFormat="1" ht="12.75"/>
    <row r="35743" s="3161" customFormat="1" ht="12.75"/>
    <row r="35744" s="3161" customFormat="1" ht="12.75"/>
    <row r="35745" s="3161" customFormat="1" ht="12.75"/>
    <row r="35746" s="3161" customFormat="1" ht="12.75"/>
    <row r="35747" s="3161" customFormat="1" ht="12.75"/>
    <row r="35748" s="3161" customFormat="1" ht="12.75"/>
    <row r="35749" s="3161" customFormat="1" ht="12.75"/>
    <row r="35750" s="3161" customFormat="1" ht="12.75"/>
    <row r="35751" s="3161" customFormat="1" ht="12.75"/>
    <row r="35752" s="3161" customFormat="1" ht="12.75"/>
    <row r="35753" s="3161" customFormat="1" ht="12.75"/>
    <row r="35754" s="3161" customFormat="1" ht="12.75"/>
    <row r="35755" s="3161" customFormat="1" ht="12.75"/>
    <row r="35756" s="3161" customFormat="1" ht="12.75"/>
    <row r="35757" s="3161" customFormat="1" ht="12.75"/>
    <row r="35758" s="3161" customFormat="1" ht="12.75"/>
    <row r="35759" s="3161" customFormat="1" ht="12.75"/>
    <row r="35760" s="3161" customFormat="1" ht="12.75"/>
    <row r="35761" s="3161" customFormat="1" ht="12.75"/>
    <row r="35762" s="3161" customFormat="1" ht="12.75"/>
    <row r="35763" s="3161" customFormat="1" ht="12.75"/>
    <row r="35764" s="3161" customFormat="1" ht="12.75"/>
    <row r="35765" s="3161" customFormat="1" ht="12.75"/>
    <row r="35766" s="3161" customFormat="1" ht="12.75"/>
    <row r="35767" s="3161" customFormat="1" ht="12.75"/>
    <row r="35768" s="3161" customFormat="1" ht="12.75"/>
    <row r="35769" s="3161" customFormat="1" ht="12.75"/>
    <row r="35770" s="3161" customFormat="1" ht="12.75"/>
    <row r="35771" s="3161" customFormat="1" ht="12.75"/>
    <row r="35772" s="3161" customFormat="1" ht="12.75"/>
    <row r="35773" s="3161" customFormat="1" ht="12.75"/>
    <row r="35774" s="3161" customFormat="1" ht="12.75"/>
    <row r="35775" s="3161" customFormat="1" ht="12.75"/>
    <row r="35776" s="3161" customFormat="1" ht="12.75"/>
    <row r="35777" s="3161" customFormat="1" ht="12.75"/>
    <row r="35778" s="3161" customFormat="1" ht="12.75"/>
    <row r="35779" s="3161" customFormat="1" ht="12.75"/>
    <row r="35780" s="3161" customFormat="1" ht="12.75"/>
    <row r="35781" s="3161" customFormat="1" ht="12.75"/>
    <row r="35782" s="3161" customFormat="1" ht="12.75"/>
    <row r="35783" s="3161" customFormat="1" ht="12.75"/>
    <row r="35784" s="3161" customFormat="1" ht="12.75"/>
    <row r="35785" s="3161" customFormat="1" ht="12.75"/>
    <row r="35786" s="3161" customFormat="1" ht="12.75"/>
    <row r="35787" s="3161" customFormat="1" ht="12.75"/>
    <row r="35788" s="3161" customFormat="1" ht="12.75"/>
    <row r="35789" s="3161" customFormat="1" ht="12.75"/>
    <row r="35790" s="3161" customFormat="1" ht="12.75"/>
    <row r="35791" s="3161" customFormat="1" ht="12.75"/>
    <row r="35792" s="3161" customFormat="1" ht="12.75"/>
    <row r="35793" s="3161" customFormat="1" ht="12.75"/>
    <row r="35794" s="3161" customFormat="1" ht="12.75"/>
    <row r="35795" s="3161" customFormat="1" ht="12.75"/>
    <row r="35796" s="3161" customFormat="1" ht="12.75"/>
    <row r="35797" s="3161" customFormat="1" ht="12.75"/>
    <row r="35798" s="3161" customFormat="1" ht="12.75"/>
    <row r="35799" s="3161" customFormat="1" ht="12.75"/>
    <row r="35800" s="3161" customFormat="1" ht="12.75"/>
    <row r="35801" s="3161" customFormat="1" ht="12.75"/>
    <row r="35802" s="3161" customFormat="1" ht="12.75"/>
    <row r="35803" s="3161" customFormat="1" ht="12.75"/>
    <row r="35804" s="3161" customFormat="1" ht="12.75"/>
    <row r="35805" s="3161" customFormat="1" ht="12.75"/>
    <row r="35806" s="3161" customFormat="1" ht="12.75"/>
    <row r="35807" s="3161" customFormat="1" ht="12.75"/>
    <row r="35808" s="3161" customFormat="1" ht="12.75"/>
    <row r="35809" s="3161" customFormat="1" ht="12.75"/>
    <row r="35810" s="3161" customFormat="1" ht="12.75"/>
    <row r="35811" s="3161" customFormat="1" ht="12.75"/>
    <row r="35812" s="3161" customFormat="1" ht="12.75"/>
    <row r="35813" s="3161" customFormat="1" ht="12.75"/>
    <row r="35814" s="3161" customFormat="1" ht="12.75"/>
    <row r="35815" s="3161" customFormat="1" ht="12.75"/>
    <row r="35816" s="3161" customFormat="1" ht="12.75"/>
    <row r="35817" s="3161" customFormat="1" ht="12.75"/>
    <row r="35818" s="3161" customFormat="1" ht="12.75"/>
    <row r="35819" s="3161" customFormat="1" ht="12.75"/>
    <row r="35820" s="3161" customFormat="1" ht="12.75"/>
    <row r="35821" s="3161" customFormat="1" ht="12.75"/>
    <row r="35822" s="3161" customFormat="1" ht="12.75"/>
    <row r="35823" s="3161" customFormat="1" ht="12.75"/>
    <row r="35824" s="3161" customFormat="1" ht="12.75"/>
    <row r="35825" s="3161" customFormat="1" ht="12.75"/>
    <row r="35826" s="3161" customFormat="1" ht="12.75"/>
    <row r="35827" s="3161" customFormat="1" ht="12.75"/>
    <row r="35828" s="3161" customFormat="1" ht="12.75"/>
    <row r="35829" s="3161" customFormat="1" ht="12.75"/>
    <row r="35830" s="3161" customFormat="1" ht="12.75"/>
    <row r="35831" s="3161" customFormat="1" ht="12.75"/>
    <row r="35832" s="3161" customFormat="1" ht="12.75"/>
    <row r="35833" s="3161" customFormat="1" ht="12.75"/>
    <row r="35834" s="3161" customFormat="1" ht="12.75"/>
    <row r="35835" s="3161" customFormat="1" ht="12.75"/>
    <row r="35836" s="3161" customFormat="1" ht="12.75"/>
    <row r="35837" s="3161" customFormat="1" ht="12.75"/>
    <row r="35838" s="3161" customFormat="1" ht="12.75"/>
    <row r="35839" s="3161" customFormat="1" ht="12.75"/>
    <row r="35840" s="3161" customFormat="1" ht="12.75"/>
    <row r="35841" s="3161" customFormat="1" ht="12.75"/>
    <row r="35842" s="3161" customFormat="1" ht="12.75"/>
    <row r="35843" s="3161" customFormat="1" ht="12.75"/>
    <row r="35844" s="3161" customFormat="1" ht="12.75"/>
    <row r="35845" s="3161" customFormat="1" ht="12.75"/>
    <row r="35846" s="3161" customFormat="1" ht="12.75"/>
    <row r="35847" s="3161" customFormat="1" ht="12.75"/>
    <row r="35848" s="3161" customFormat="1" ht="12.75"/>
    <row r="35849" s="3161" customFormat="1" ht="12.75"/>
    <row r="35850" s="3161" customFormat="1" ht="12.75"/>
    <row r="35851" s="3161" customFormat="1" ht="12.75"/>
    <row r="35852" s="3161" customFormat="1" ht="12.75"/>
    <row r="35853" s="3161" customFormat="1" ht="12.75"/>
    <row r="35854" s="3161" customFormat="1" ht="12.75"/>
    <row r="35855" s="3161" customFormat="1" ht="12.75"/>
    <row r="35856" s="3161" customFormat="1" ht="12.75"/>
    <row r="35857" s="3161" customFormat="1" ht="12.75"/>
    <row r="35858" s="3161" customFormat="1" ht="12.75"/>
    <row r="35859" s="3161" customFormat="1" ht="12.75"/>
    <row r="35860" s="3161" customFormat="1" ht="12.75"/>
    <row r="35861" s="3161" customFormat="1" ht="12.75"/>
    <row r="35862" s="3161" customFormat="1" ht="12.75"/>
    <row r="35863" s="3161" customFormat="1" ht="12.75"/>
    <row r="35864" s="3161" customFormat="1" ht="12.75"/>
    <row r="35865" s="3161" customFormat="1" ht="12.75"/>
    <row r="35866" s="3161" customFormat="1" ht="12.75"/>
    <row r="35867" s="3161" customFormat="1" ht="12.75"/>
    <row r="35868" s="3161" customFormat="1" ht="12.75"/>
    <row r="35869" s="3161" customFormat="1" ht="12.75"/>
    <row r="35870" s="3161" customFormat="1" ht="12.75"/>
    <row r="35871" s="3161" customFormat="1" ht="12.75"/>
    <row r="35872" s="3161" customFormat="1" ht="12.75"/>
    <row r="35873" s="3161" customFormat="1" ht="12.75"/>
    <row r="35874" s="3161" customFormat="1" ht="12.75"/>
    <row r="35875" s="3161" customFormat="1" ht="12.75"/>
    <row r="35876" s="3161" customFormat="1" ht="12.75"/>
    <row r="35877" s="3161" customFormat="1" ht="12.75"/>
    <row r="35878" s="3161" customFormat="1" ht="12.75"/>
    <row r="35879" s="3161" customFormat="1" ht="12.75"/>
    <row r="35880" s="3161" customFormat="1" ht="12.75"/>
    <row r="35881" s="3161" customFormat="1" ht="12.75"/>
    <row r="35882" s="3161" customFormat="1" ht="12.75"/>
    <row r="35883" s="3161" customFormat="1" ht="12.75"/>
    <row r="35884" s="3161" customFormat="1" ht="12.75"/>
    <row r="35885" s="3161" customFormat="1" ht="12.75"/>
    <row r="35886" s="3161" customFormat="1" ht="12.75"/>
    <row r="35887" s="3161" customFormat="1" ht="12.75"/>
    <row r="35888" s="3161" customFormat="1" ht="12.75"/>
    <row r="35889" s="3161" customFormat="1" ht="12.75"/>
    <row r="35890" s="3161" customFormat="1" ht="12.75"/>
    <row r="35891" s="3161" customFormat="1" ht="12.75"/>
    <row r="35892" s="3161" customFormat="1" ht="12.75"/>
    <row r="35893" s="3161" customFormat="1" ht="12.75"/>
    <row r="35894" s="3161" customFormat="1" ht="12.75"/>
    <row r="35895" s="3161" customFormat="1" ht="12.75"/>
    <row r="35896" s="3161" customFormat="1" ht="12.75"/>
    <row r="35897" s="3161" customFormat="1" ht="12.75"/>
    <row r="35898" s="3161" customFormat="1" ht="12.75"/>
    <row r="35899" s="3161" customFormat="1" ht="12.75"/>
    <row r="35900" s="3161" customFormat="1" ht="12.75"/>
    <row r="35901" s="3161" customFormat="1" ht="12.75"/>
    <row r="35902" s="3161" customFormat="1" ht="12.75"/>
    <row r="35903" s="3161" customFormat="1" ht="12.75"/>
    <row r="35904" s="3161" customFormat="1" ht="12.75"/>
    <row r="35905" s="3161" customFormat="1" ht="12.75"/>
    <row r="35906" s="3161" customFormat="1" ht="12.75"/>
    <row r="35907" s="3161" customFormat="1" ht="12.75"/>
    <row r="35908" s="3161" customFormat="1" ht="12.75"/>
    <row r="35909" s="3161" customFormat="1" ht="12.75"/>
    <row r="35910" s="3161" customFormat="1" ht="12.75"/>
    <row r="35911" s="3161" customFormat="1" ht="12.75"/>
    <row r="35912" s="3161" customFormat="1" ht="12.75"/>
    <row r="35913" s="3161" customFormat="1" ht="12.75"/>
    <row r="35914" s="3161" customFormat="1" ht="12.75"/>
    <row r="35915" s="3161" customFormat="1" ht="12.75"/>
    <row r="35916" s="3161" customFormat="1" ht="12.75"/>
    <row r="35917" s="3161" customFormat="1" ht="12.75"/>
    <row r="35918" s="3161" customFormat="1" ht="12.75"/>
    <row r="35919" s="3161" customFormat="1" ht="12.75"/>
    <row r="35920" s="3161" customFormat="1" ht="12.75"/>
    <row r="35921" s="3161" customFormat="1" ht="12.75"/>
    <row r="35922" s="3161" customFormat="1" ht="12.75"/>
    <row r="35923" s="3161" customFormat="1" ht="12.75"/>
    <row r="35924" s="3161" customFormat="1" ht="12.75"/>
    <row r="35925" s="3161" customFormat="1" ht="12.75"/>
    <row r="35926" s="3161" customFormat="1" ht="12.75"/>
    <row r="35927" s="3161" customFormat="1" ht="12.75"/>
    <row r="35928" s="3161" customFormat="1" ht="12.75"/>
    <row r="35929" s="3161" customFormat="1" ht="12.75"/>
    <row r="35930" s="3161" customFormat="1" ht="12.75"/>
    <row r="35931" s="3161" customFormat="1" ht="12.75"/>
    <row r="35932" s="3161" customFormat="1" ht="12.75"/>
    <row r="35933" s="3161" customFormat="1" ht="12.75"/>
    <row r="35934" s="3161" customFormat="1" ht="12.75"/>
    <row r="35935" s="3161" customFormat="1" ht="12.75"/>
    <row r="35936" s="3161" customFormat="1" ht="12.75"/>
    <row r="35937" s="3161" customFormat="1" ht="12.75"/>
    <row r="35938" s="3161" customFormat="1" ht="12.75"/>
    <row r="35939" s="3161" customFormat="1" ht="12.75"/>
    <row r="35940" s="3161" customFormat="1" ht="12.75"/>
    <row r="35941" s="3161" customFormat="1" ht="12.75"/>
    <row r="35942" s="3161" customFormat="1" ht="12.75"/>
    <row r="35943" s="3161" customFormat="1" ht="12.75"/>
    <row r="35944" s="3161" customFormat="1" ht="12.75"/>
    <row r="35945" s="3161" customFormat="1" ht="12.75"/>
    <row r="35946" s="3161" customFormat="1" ht="12.75"/>
    <row r="35947" s="3161" customFormat="1" ht="12.75"/>
    <row r="35948" s="3161" customFormat="1" ht="12.75"/>
    <row r="35949" s="3161" customFormat="1" ht="12.75"/>
    <row r="35950" s="3161" customFormat="1" ht="12.75"/>
    <row r="35951" s="3161" customFormat="1" ht="12.75"/>
    <row r="35952" s="3161" customFormat="1" ht="12.75"/>
    <row r="35953" s="3161" customFormat="1" ht="12.75"/>
    <row r="35954" s="3161" customFormat="1" ht="12.75"/>
    <row r="35955" s="3161" customFormat="1" ht="12.75"/>
    <row r="35956" s="3161" customFormat="1" ht="12.75"/>
    <row r="35957" s="3161" customFormat="1" ht="12.75"/>
    <row r="35958" s="3161" customFormat="1" ht="12.75"/>
    <row r="35959" s="3161" customFormat="1" ht="12.75"/>
    <row r="35960" s="3161" customFormat="1" ht="12.75"/>
    <row r="35961" s="3161" customFormat="1" ht="12.75"/>
    <row r="35962" s="3161" customFormat="1" ht="12.75"/>
    <row r="35963" s="3161" customFormat="1" ht="12.75"/>
    <row r="35964" s="3161" customFormat="1" ht="12.75"/>
    <row r="35965" s="3161" customFormat="1" ht="12.75"/>
    <row r="35966" s="3161" customFormat="1" ht="12.75"/>
    <row r="35967" s="3161" customFormat="1" ht="12.75"/>
    <row r="35968" s="3161" customFormat="1" ht="12.75"/>
    <row r="35969" s="3161" customFormat="1" ht="12.75"/>
    <row r="35970" s="3161" customFormat="1" ht="12.75"/>
    <row r="35971" s="3161" customFormat="1" ht="12.75"/>
    <row r="35972" s="3161" customFormat="1" ht="12.75"/>
    <row r="35973" s="3161" customFormat="1" ht="12.75"/>
    <row r="35974" s="3161" customFormat="1" ht="12.75"/>
    <row r="35975" s="3161" customFormat="1" ht="12.75"/>
    <row r="35976" s="3161" customFormat="1" ht="12.75"/>
    <row r="35977" s="3161" customFormat="1" ht="12.75"/>
    <row r="35978" s="3161" customFormat="1" ht="12.75"/>
    <row r="35979" s="3161" customFormat="1" ht="12.75"/>
    <row r="35980" s="3161" customFormat="1" ht="12.75"/>
    <row r="35981" s="3161" customFormat="1" ht="12.75"/>
    <row r="35982" s="3161" customFormat="1" ht="12.75"/>
    <row r="35983" s="3161" customFormat="1" ht="12.75"/>
    <row r="35984" s="3161" customFormat="1" ht="12.75"/>
    <row r="35985" s="3161" customFormat="1" ht="12.75"/>
    <row r="35986" s="3161" customFormat="1" ht="12.75"/>
    <row r="35987" s="3161" customFormat="1" ht="12.75"/>
    <row r="35988" s="3161" customFormat="1" ht="12.75"/>
    <row r="35989" s="3161" customFormat="1" ht="12.75"/>
    <row r="35990" s="3161" customFormat="1" ht="12.75"/>
    <row r="35991" s="3161" customFormat="1" ht="12.75"/>
    <row r="35992" s="3161" customFormat="1" ht="12.75"/>
    <row r="35993" s="3161" customFormat="1" ht="12.75"/>
    <row r="35994" s="3161" customFormat="1" ht="12.75"/>
    <row r="35995" s="3161" customFormat="1" ht="12.75"/>
    <row r="35996" s="3161" customFormat="1" ht="12.75"/>
    <row r="35997" s="3161" customFormat="1" ht="12.75"/>
    <row r="35998" s="3161" customFormat="1" ht="12.75"/>
    <row r="35999" s="3161" customFormat="1" ht="12.75"/>
    <row r="36000" s="3161" customFormat="1" ht="12.75"/>
    <row r="36001" s="3161" customFormat="1" ht="12.75"/>
    <row r="36002" s="3161" customFormat="1" ht="12.75"/>
    <row r="36003" s="3161" customFormat="1" ht="12.75"/>
    <row r="36004" s="3161" customFormat="1" ht="12.75"/>
    <row r="36005" s="3161" customFormat="1" ht="12.75"/>
    <row r="36006" s="3161" customFormat="1" ht="12.75"/>
    <row r="36007" s="3161" customFormat="1" ht="12.75"/>
    <row r="36008" s="3161" customFormat="1" ht="12.75"/>
    <row r="36009" s="3161" customFormat="1" ht="12.75"/>
    <row r="36010" s="3161" customFormat="1" ht="12.75"/>
    <row r="36011" s="3161" customFormat="1" ht="12.75"/>
    <row r="36012" s="3161" customFormat="1" ht="12.75"/>
    <row r="36013" s="3161" customFormat="1" ht="12.75"/>
    <row r="36014" s="3161" customFormat="1" ht="12.75"/>
    <row r="36015" s="3161" customFormat="1" ht="12.75"/>
    <row r="36016" s="3161" customFormat="1" ht="12.75"/>
    <row r="36017" s="3161" customFormat="1" ht="12.75"/>
    <row r="36018" s="3161" customFormat="1" ht="12.75"/>
    <row r="36019" s="3161" customFormat="1" ht="12.75"/>
    <row r="36020" s="3161" customFormat="1" ht="12.75"/>
    <row r="36021" s="3161" customFormat="1" ht="12.75"/>
    <row r="36022" s="3161" customFormat="1" ht="12.75"/>
    <row r="36023" s="3161" customFormat="1" ht="12.75"/>
    <row r="36024" s="3161" customFormat="1" ht="12.75"/>
    <row r="36025" s="3161" customFormat="1" ht="12.75"/>
    <row r="36026" s="3161" customFormat="1" ht="12.75"/>
    <row r="36027" s="3161" customFormat="1" ht="12.75"/>
    <row r="36028" s="3161" customFormat="1" ht="12.75"/>
    <row r="36029" s="3161" customFormat="1" ht="12.75"/>
    <row r="36030" s="3161" customFormat="1" ht="12.75"/>
    <row r="36031" s="3161" customFormat="1" ht="12.75"/>
    <row r="36032" s="3161" customFormat="1" ht="12.75"/>
    <row r="36033" s="3161" customFormat="1" ht="12.75"/>
    <row r="36034" s="3161" customFormat="1" ht="12.75"/>
    <row r="36035" s="3161" customFormat="1" ht="12.75"/>
    <row r="36036" s="3161" customFormat="1" ht="12.75"/>
    <row r="36037" s="3161" customFormat="1" ht="12.75"/>
    <row r="36038" s="3161" customFormat="1" ht="12.75"/>
    <row r="36039" s="3161" customFormat="1" ht="12.75"/>
    <row r="36040" s="3161" customFormat="1" ht="12.75"/>
    <row r="36041" s="3161" customFormat="1" ht="12.75"/>
    <row r="36042" s="3161" customFormat="1" ht="12.75"/>
    <row r="36043" s="3161" customFormat="1" ht="12.75"/>
    <row r="36044" s="3161" customFormat="1" ht="12.75"/>
    <row r="36045" s="3161" customFormat="1" ht="12.75"/>
    <row r="36046" s="3161" customFormat="1" ht="12.75"/>
    <row r="36047" s="3161" customFormat="1" ht="12.75"/>
    <row r="36048" s="3161" customFormat="1" ht="12.75"/>
    <row r="36049" s="3161" customFormat="1" ht="12.75"/>
    <row r="36050" s="3161" customFormat="1" ht="12.75"/>
    <row r="36051" s="3161" customFormat="1" ht="12.75"/>
    <row r="36052" s="3161" customFormat="1" ht="12.75"/>
    <row r="36053" s="3161" customFormat="1" ht="12.75"/>
    <row r="36054" s="3161" customFormat="1" ht="12.75"/>
    <row r="36055" s="3161" customFormat="1" ht="12.75"/>
    <row r="36056" s="3161" customFormat="1" ht="12.75"/>
    <row r="36057" s="3161" customFormat="1" ht="12.75"/>
    <row r="36058" s="3161" customFormat="1" ht="12.75"/>
    <row r="36059" s="3161" customFormat="1" ht="12.75"/>
    <row r="36060" s="3161" customFormat="1" ht="12.75"/>
    <row r="36061" s="3161" customFormat="1" ht="12.75"/>
    <row r="36062" s="3161" customFormat="1" ht="12.75"/>
    <row r="36063" s="3161" customFormat="1" ht="12.75"/>
    <row r="36064" s="3161" customFormat="1" ht="12.75"/>
    <row r="36065" s="3161" customFormat="1" ht="12.75"/>
    <row r="36066" s="3161" customFormat="1" ht="12.75"/>
    <row r="36067" s="3161" customFormat="1" ht="12.75"/>
    <row r="36068" s="3161" customFormat="1" ht="12.75"/>
    <row r="36069" s="3161" customFormat="1" ht="12.75"/>
    <row r="36070" s="3161" customFormat="1" ht="12.75"/>
    <row r="36071" s="3161" customFormat="1" ht="12.75"/>
    <row r="36072" s="3161" customFormat="1" ht="12.75"/>
    <row r="36073" s="3161" customFormat="1" ht="12.75"/>
    <row r="36074" s="3161" customFormat="1" ht="12.75"/>
    <row r="36075" s="3161" customFormat="1" ht="12.75"/>
    <row r="36076" s="3161" customFormat="1" ht="12.75"/>
    <row r="36077" s="3161" customFormat="1" ht="12.75"/>
    <row r="36078" s="3161" customFormat="1" ht="12.75"/>
    <row r="36079" s="3161" customFormat="1" ht="12.75"/>
    <row r="36080" s="3161" customFormat="1" ht="12.75"/>
    <row r="36081" s="3161" customFormat="1" ht="12.75"/>
    <row r="36082" s="3161" customFormat="1" ht="12.75"/>
    <row r="36083" s="3161" customFormat="1" ht="12.75"/>
    <row r="36084" s="3161" customFormat="1" ht="12.75"/>
    <row r="36085" s="3161" customFormat="1" ht="12.75"/>
    <row r="36086" s="3161" customFormat="1" ht="12.75"/>
    <row r="36087" s="3161" customFormat="1" ht="12.75"/>
    <row r="36088" s="3161" customFormat="1" ht="12.75"/>
    <row r="36089" s="3161" customFormat="1" ht="12.75"/>
    <row r="36090" s="3161" customFormat="1" ht="12.75"/>
    <row r="36091" s="3161" customFormat="1" ht="12.75"/>
    <row r="36092" s="3161" customFormat="1" ht="12.75"/>
    <row r="36093" s="3161" customFormat="1" ht="12.75"/>
    <row r="36094" s="3161" customFormat="1" ht="12.75"/>
    <row r="36095" s="3161" customFormat="1" ht="12.75"/>
    <row r="36096" s="3161" customFormat="1" ht="12.75"/>
    <row r="36097" s="3161" customFormat="1" ht="12.75"/>
    <row r="36098" s="3161" customFormat="1" ht="12.75"/>
    <row r="36099" s="3161" customFormat="1" ht="12.75"/>
    <row r="36100" s="3161" customFormat="1" ht="12.75"/>
    <row r="36101" s="3161" customFormat="1" ht="12.75"/>
    <row r="36102" s="3161" customFormat="1" ht="12.75"/>
    <row r="36103" s="3161" customFormat="1" ht="12.75"/>
    <row r="36104" s="3161" customFormat="1" ht="12.75"/>
    <row r="36105" s="3161" customFormat="1" ht="12.75"/>
    <row r="36106" s="3161" customFormat="1" ht="12.75"/>
    <row r="36107" s="3161" customFormat="1" ht="12.75"/>
    <row r="36108" s="3161" customFormat="1" ht="12.75"/>
    <row r="36109" s="3161" customFormat="1" ht="12.75"/>
    <row r="36110" s="3161" customFormat="1" ht="12.75"/>
    <row r="36111" s="3161" customFormat="1" ht="12.75"/>
    <row r="36112" s="3161" customFormat="1" ht="12.75"/>
    <row r="36113" s="3161" customFormat="1" ht="12.75"/>
    <row r="36114" s="3161" customFormat="1" ht="12.75"/>
    <row r="36115" s="3161" customFormat="1" ht="12.75"/>
    <row r="36116" s="3161" customFormat="1" ht="12.75"/>
    <row r="36117" s="3161" customFormat="1" ht="12.75"/>
    <row r="36118" s="3161" customFormat="1" ht="12.75"/>
    <row r="36119" s="3161" customFormat="1" ht="12.75"/>
    <row r="36120" s="3161" customFormat="1" ht="12.75"/>
    <row r="36121" s="3161" customFormat="1" ht="12.75"/>
    <row r="36122" s="3161" customFormat="1" ht="12.75"/>
    <row r="36123" s="3161" customFormat="1" ht="12.75"/>
    <row r="36124" s="3161" customFormat="1" ht="12.75"/>
    <row r="36125" s="3161" customFormat="1" ht="12.75"/>
    <row r="36126" s="3161" customFormat="1" ht="12.75"/>
    <row r="36127" s="3161" customFormat="1" ht="12.75"/>
    <row r="36128" s="3161" customFormat="1" ht="12.75"/>
    <row r="36129" s="3161" customFormat="1" ht="12.75"/>
    <row r="36130" s="3161" customFormat="1" ht="12.75"/>
    <row r="36131" s="3161" customFormat="1" ht="12.75"/>
    <row r="36132" s="3161" customFormat="1" ht="12.75"/>
    <row r="36133" s="3161" customFormat="1" ht="12.75"/>
    <row r="36134" s="3161" customFormat="1" ht="12.75"/>
    <row r="36135" s="3161" customFormat="1" ht="12.75"/>
    <row r="36136" s="3161" customFormat="1" ht="12.75"/>
    <row r="36137" s="3161" customFormat="1" ht="12.75"/>
    <row r="36138" s="3161" customFormat="1" ht="12.75"/>
    <row r="36139" s="3161" customFormat="1" ht="12.75"/>
    <row r="36140" s="3161" customFormat="1" ht="12.75"/>
    <row r="36141" s="3161" customFormat="1" ht="12.75"/>
    <row r="36142" s="3161" customFormat="1" ht="12.75"/>
    <row r="36143" s="3161" customFormat="1" ht="12.75"/>
    <row r="36144" s="3161" customFormat="1" ht="12.75"/>
    <row r="36145" s="3161" customFormat="1" ht="12.75"/>
    <row r="36146" s="3161" customFormat="1" ht="12.75"/>
    <row r="36147" s="3161" customFormat="1" ht="12.75"/>
    <row r="36148" s="3161" customFormat="1" ht="12.75"/>
    <row r="36149" s="3161" customFormat="1" ht="12.75"/>
    <row r="36150" s="3161" customFormat="1" ht="12.75"/>
    <row r="36151" s="3161" customFormat="1" ht="12.75"/>
    <row r="36152" s="3161" customFormat="1" ht="12.75"/>
    <row r="36153" s="3161" customFormat="1" ht="12.75"/>
    <row r="36154" s="3161" customFormat="1" ht="12.75"/>
    <row r="36155" s="3161" customFormat="1" ht="12.75"/>
    <row r="36156" s="3161" customFormat="1" ht="12.75"/>
    <row r="36157" s="3161" customFormat="1" ht="12.75"/>
    <row r="36158" s="3161" customFormat="1" ht="12.75"/>
    <row r="36159" s="3161" customFormat="1" ht="12.75"/>
    <row r="36160" s="3161" customFormat="1" ht="12.75"/>
    <row r="36161" s="3161" customFormat="1" ht="12.75"/>
    <row r="36162" s="3161" customFormat="1" ht="12.75"/>
    <row r="36163" s="3161" customFormat="1" ht="12.75"/>
    <row r="36164" s="3161" customFormat="1" ht="12.75"/>
    <row r="36165" s="3161" customFormat="1" ht="12.75"/>
    <row r="36166" s="3161" customFormat="1" ht="12.75"/>
    <row r="36167" s="3161" customFormat="1" ht="12.75"/>
    <row r="36168" s="3161" customFormat="1" ht="12.75"/>
    <row r="36169" s="3161" customFormat="1" ht="12.75"/>
    <row r="36170" s="3161" customFormat="1" ht="12.75"/>
    <row r="36171" s="3161" customFormat="1" ht="12.75"/>
    <row r="36172" s="3161" customFormat="1" ht="12.75"/>
    <row r="36173" s="3161" customFormat="1" ht="12.75"/>
    <row r="36174" s="3161" customFormat="1" ht="12.75"/>
    <row r="36175" s="3161" customFormat="1" ht="12.75"/>
    <row r="36176" s="3161" customFormat="1" ht="12.75"/>
    <row r="36177" s="3161" customFormat="1" ht="12.75"/>
    <row r="36178" s="3161" customFormat="1" ht="12.75"/>
    <row r="36179" s="3161" customFormat="1" ht="12.75"/>
    <row r="36180" s="3161" customFormat="1" ht="12.75"/>
    <row r="36181" s="3161" customFormat="1" ht="12.75"/>
    <row r="36182" s="3161" customFormat="1" ht="12.75"/>
    <row r="36183" s="3161" customFormat="1" ht="12.75"/>
    <row r="36184" s="3161" customFormat="1" ht="12.75"/>
    <row r="36185" s="3161" customFormat="1" ht="12.75"/>
    <row r="36186" s="3161" customFormat="1" ht="12.75"/>
    <row r="36187" s="3161" customFormat="1" ht="12.75"/>
    <row r="36188" s="3161" customFormat="1" ht="12.75"/>
    <row r="36189" s="3161" customFormat="1" ht="12.75"/>
    <row r="36190" s="3161" customFormat="1" ht="12.75"/>
    <row r="36191" s="3161" customFormat="1" ht="12.75"/>
    <row r="36192" s="3161" customFormat="1" ht="12.75"/>
    <row r="36193" s="3161" customFormat="1" ht="12.75"/>
    <row r="36194" s="3161" customFormat="1" ht="12.75"/>
    <row r="36195" s="3161" customFormat="1" ht="12.75"/>
    <row r="36196" s="3161" customFormat="1" ht="12.75"/>
    <row r="36197" s="3161" customFormat="1" ht="12.75"/>
    <row r="36198" s="3161" customFormat="1" ht="12.75"/>
    <row r="36199" s="3161" customFormat="1" ht="12.75"/>
    <row r="36200" s="3161" customFormat="1" ht="12.75"/>
    <row r="36201" s="3161" customFormat="1" ht="12.75"/>
    <row r="36202" s="3161" customFormat="1" ht="12.75"/>
    <row r="36203" s="3161" customFormat="1" ht="12.75"/>
    <row r="36204" s="3161" customFormat="1" ht="12.75"/>
    <row r="36205" s="3161" customFormat="1" ht="12.75"/>
    <row r="36206" s="3161" customFormat="1" ht="12.75"/>
    <row r="36207" s="3161" customFormat="1" ht="12.75"/>
    <row r="36208" s="3161" customFormat="1" ht="12.75"/>
    <row r="36209" s="3161" customFormat="1" ht="12.75"/>
    <row r="36210" s="3161" customFormat="1" ht="12.75"/>
    <row r="36211" s="3161" customFormat="1" ht="12.75"/>
    <row r="36212" s="3161" customFormat="1" ht="12.75"/>
    <row r="36213" s="3161" customFormat="1" ht="12.75"/>
    <row r="36214" s="3161" customFormat="1" ht="12.75"/>
    <row r="36215" s="3161" customFormat="1" ht="12.75"/>
    <row r="36216" s="3161" customFormat="1" ht="12.75"/>
    <row r="36217" s="3161" customFormat="1" ht="12.75"/>
    <row r="36218" s="3161" customFormat="1" ht="12.75"/>
    <row r="36219" s="3161" customFormat="1" ht="12.75"/>
    <row r="36220" s="3161" customFormat="1" ht="12.75"/>
    <row r="36221" s="3161" customFormat="1" ht="12.75"/>
    <row r="36222" s="3161" customFormat="1" ht="12.75"/>
    <row r="36223" s="3161" customFormat="1" ht="12.75"/>
    <row r="36224" s="3161" customFormat="1" ht="12.75"/>
    <row r="36225" s="3161" customFormat="1" ht="12.75"/>
    <row r="36226" s="3161" customFormat="1" ht="12.75"/>
    <row r="36227" s="3161" customFormat="1" ht="12.75"/>
    <row r="36228" s="3161" customFormat="1" ht="12.75"/>
    <row r="36229" s="3161" customFormat="1" ht="12.75"/>
    <row r="36230" s="3161" customFormat="1" ht="12.75"/>
    <row r="36231" s="3161" customFormat="1" ht="12.75"/>
    <row r="36232" s="3161" customFormat="1" ht="12.75"/>
    <row r="36233" s="3161" customFormat="1" ht="12.75"/>
    <row r="36234" s="3161" customFormat="1" ht="12.75"/>
    <row r="36235" s="3161" customFormat="1" ht="12.75"/>
    <row r="36236" s="3161" customFormat="1" ht="12.75"/>
    <row r="36237" s="3161" customFormat="1" ht="12.75"/>
    <row r="36238" s="3161" customFormat="1" ht="12.75"/>
    <row r="36239" s="3161" customFormat="1" ht="12.75"/>
    <row r="36240" s="3161" customFormat="1" ht="12.75"/>
    <row r="36241" s="3161" customFormat="1" ht="12.75"/>
    <row r="36242" s="3161" customFormat="1" ht="12.75"/>
    <row r="36243" s="3161" customFormat="1" ht="12.75"/>
    <row r="36244" s="3161" customFormat="1" ht="12.75"/>
    <row r="36245" s="3161" customFormat="1" ht="12.75"/>
    <row r="36246" s="3161" customFormat="1" ht="12.75"/>
    <row r="36247" s="3161" customFormat="1" ht="12.75"/>
    <row r="36248" s="3161" customFormat="1" ht="12.75"/>
    <row r="36249" s="3161" customFormat="1" ht="12.75"/>
    <row r="36250" s="3161" customFormat="1" ht="12.75"/>
    <row r="36251" s="3161" customFormat="1" ht="12.75"/>
    <row r="36252" s="3161" customFormat="1" ht="12.75"/>
    <row r="36253" s="3161" customFormat="1" ht="12.75"/>
    <row r="36254" s="3161" customFormat="1" ht="12.75"/>
    <row r="36255" s="3161" customFormat="1" ht="12.75"/>
    <row r="36256" s="3161" customFormat="1" ht="12.75"/>
    <row r="36257" s="3161" customFormat="1" ht="12.75"/>
    <row r="36258" s="3161" customFormat="1" ht="12.75"/>
    <row r="36259" s="3161" customFormat="1" ht="12.75"/>
    <row r="36260" s="3161" customFormat="1" ht="12.75"/>
    <row r="36261" s="3161" customFormat="1" ht="12.75"/>
    <row r="36262" s="3161" customFormat="1" ht="12.75"/>
    <row r="36263" s="3161" customFormat="1" ht="12.75"/>
    <row r="36264" s="3161" customFormat="1" ht="12.75"/>
    <row r="36265" s="3161" customFormat="1" ht="12.75"/>
    <row r="36266" s="3161" customFormat="1" ht="12.75"/>
    <row r="36267" s="3161" customFormat="1" ht="12.75"/>
    <row r="36268" s="3161" customFormat="1" ht="12.75"/>
    <row r="36269" s="3161" customFormat="1" ht="12.75"/>
    <row r="36270" s="3161" customFormat="1" ht="12.75"/>
    <row r="36271" s="3161" customFormat="1" ht="12.75"/>
    <row r="36272" s="3161" customFormat="1" ht="12.75"/>
    <row r="36273" s="3161" customFormat="1" ht="12.75"/>
    <row r="36274" s="3161" customFormat="1" ht="12.75"/>
    <row r="36275" s="3161" customFormat="1" ht="12.75"/>
    <row r="36276" s="3161" customFormat="1" ht="12.75"/>
    <row r="36277" s="3161" customFormat="1" ht="12.75"/>
    <row r="36278" s="3161" customFormat="1" ht="12.75"/>
    <row r="36279" s="3161" customFormat="1" ht="12.75"/>
    <row r="36280" s="3161" customFormat="1" ht="12.75"/>
    <row r="36281" s="3161" customFormat="1" ht="12.75"/>
    <row r="36282" s="3161" customFormat="1" ht="12.75"/>
    <row r="36283" s="3161" customFormat="1" ht="12.75"/>
    <row r="36284" s="3161" customFormat="1" ht="12.75"/>
    <row r="36285" s="3161" customFormat="1" ht="12.75"/>
    <row r="36286" s="3161" customFormat="1" ht="12.75"/>
    <row r="36287" s="3161" customFormat="1" ht="12.75"/>
    <row r="36288" s="3161" customFormat="1" ht="12.75"/>
    <row r="36289" s="3161" customFormat="1" ht="12.75"/>
    <row r="36290" s="3161" customFormat="1" ht="12.75"/>
    <row r="36291" s="3161" customFormat="1" ht="12.75"/>
    <row r="36292" s="3161" customFormat="1" ht="12.75"/>
    <row r="36293" s="3161" customFormat="1" ht="12.75"/>
    <row r="36294" s="3161" customFormat="1" ht="12.75"/>
    <row r="36295" s="3161" customFormat="1" ht="12.75"/>
    <row r="36296" s="3161" customFormat="1" ht="12.75"/>
    <row r="36297" s="3161" customFormat="1" ht="12.75"/>
    <row r="36298" s="3161" customFormat="1" ht="12.75"/>
    <row r="36299" s="3161" customFormat="1" ht="12.75"/>
    <row r="36300" s="3161" customFormat="1" ht="12.75"/>
    <row r="36301" s="3161" customFormat="1" ht="12.75"/>
    <row r="36302" s="3161" customFormat="1" ht="12.75"/>
    <row r="36303" s="3161" customFormat="1" ht="12.75"/>
    <row r="36304" s="3161" customFormat="1" ht="12.75"/>
    <row r="36305" s="3161" customFormat="1" ht="12.75"/>
    <row r="36306" s="3161" customFormat="1" ht="12.75"/>
    <row r="36307" s="3161" customFormat="1" ht="12.75"/>
    <row r="36308" s="3161" customFormat="1" ht="12.75"/>
    <row r="36309" s="3161" customFormat="1" ht="12.75"/>
    <row r="36310" s="3161" customFormat="1" ht="12.75"/>
    <row r="36311" s="3161" customFormat="1" ht="12.75"/>
    <row r="36312" s="3161" customFormat="1" ht="12.75"/>
    <row r="36313" s="3161" customFormat="1" ht="12.75"/>
    <row r="36314" s="3161" customFormat="1" ht="12.75"/>
    <row r="36315" s="3161" customFormat="1" ht="12.75"/>
    <row r="36316" s="3161" customFormat="1" ht="12.75"/>
    <row r="36317" s="3161" customFormat="1" ht="12.75"/>
    <row r="36318" s="3161" customFormat="1" ht="12.75"/>
    <row r="36319" s="3161" customFormat="1" ht="12.75"/>
    <row r="36320" s="3161" customFormat="1" ht="12.75"/>
    <row r="36321" s="3161" customFormat="1" ht="12.75"/>
    <row r="36322" s="3161" customFormat="1" ht="12.75"/>
    <row r="36323" s="3161" customFormat="1" ht="12.75"/>
    <row r="36324" s="3161" customFormat="1" ht="12.75"/>
    <row r="36325" s="3161" customFormat="1" ht="12.75"/>
    <row r="36326" s="3161" customFormat="1" ht="12.75"/>
    <row r="36327" s="3161" customFormat="1" ht="12.75"/>
    <row r="36328" s="3161" customFormat="1" ht="12.75"/>
    <row r="36329" s="3161" customFormat="1" ht="12.75"/>
    <row r="36330" s="3161" customFormat="1" ht="12.75"/>
    <row r="36331" s="3161" customFormat="1" ht="12.75"/>
    <row r="36332" s="3161" customFormat="1" ht="12.75"/>
    <row r="36333" s="3161" customFormat="1" ht="12.75"/>
    <row r="36334" s="3161" customFormat="1" ht="12.75"/>
    <row r="36335" s="3161" customFormat="1" ht="12.75"/>
    <row r="36336" s="3161" customFormat="1" ht="12.75"/>
    <row r="36337" s="3161" customFormat="1" ht="12.75"/>
    <row r="36338" s="3161" customFormat="1" ht="12.75"/>
    <row r="36339" s="3161" customFormat="1" ht="12.75"/>
    <row r="36340" s="3161" customFormat="1" ht="12.75"/>
    <row r="36341" s="3161" customFormat="1" ht="12.75"/>
    <row r="36342" s="3161" customFormat="1" ht="12.75"/>
    <row r="36343" s="3161" customFormat="1" ht="12.75"/>
    <row r="36344" s="3161" customFormat="1" ht="12.75"/>
    <row r="36345" s="3161" customFormat="1" ht="12.75"/>
    <row r="36346" s="3161" customFormat="1" ht="12.75"/>
    <row r="36347" s="3161" customFormat="1" ht="12.75"/>
    <row r="36348" s="3161" customFormat="1" ht="12.75"/>
    <row r="36349" s="3161" customFormat="1" ht="12.75"/>
    <row r="36350" s="3161" customFormat="1" ht="12.75"/>
    <row r="36351" s="3161" customFormat="1" ht="12.75"/>
    <row r="36352" s="3161" customFormat="1" ht="12.75"/>
    <row r="36353" s="3161" customFormat="1" ht="12.75"/>
    <row r="36354" s="3161" customFormat="1" ht="12.75"/>
    <row r="36355" s="3161" customFormat="1" ht="12.75"/>
    <row r="36356" s="3161" customFormat="1" ht="12.75"/>
    <row r="36357" s="3161" customFormat="1" ht="12.75"/>
    <row r="36358" s="3161" customFormat="1" ht="12.75"/>
    <row r="36359" s="3161" customFormat="1" ht="12.75"/>
    <row r="36360" s="3161" customFormat="1" ht="12.75"/>
    <row r="36361" s="3161" customFormat="1" ht="12.75"/>
    <row r="36362" s="3161" customFormat="1" ht="12.75"/>
    <row r="36363" s="3161" customFormat="1" ht="12.75"/>
    <row r="36364" s="3161" customFormat="1" ht="12.75"/>
    <row r="36365" s="3161" customFormat="1" ht="12.75"/>
    <row r="36366" s="3161" customFormat="1" ht="12.75"/>
    <row r="36367" s="3161" customFormat="1" ht="12.75"/>
    <row r="36368" s="3161" customFormat="1" ht="12.75"/>
    <row r="36369" s="3161" customFormat="1" ht="12.75"/>
    <row r="36370" s="3161" customFormat="1" ht="12.75"/>
    <row r="36371" s="3161" customFormat="1" ht="12.75"/>
    <row r="36372" s="3161" customFormat="1" ht="12.75"/>
    <row r="36373" s="3161" customFormat="1" ht="12.75"/>
    <row r="36374" s="3161" customFormat="1" ht="12.75"/>
    <row r="36375" s="3161" customFormat="1" ht="12.75"/>
    <row r="36376" s="3161" customFormat="1" ht="12.75"/>
    <row r="36377" s="3161" customFormat="1" ht="12.75"/>
    <row r="36378" s="3161" customFormat="1" ht="12.75"/>
    <row r="36379" s="3161" customFormat="1" ht="12.75"/>
    <row r="36380" s="3161" customFormat="1" ht="12.75"/>
    <row r="36381" s="3161" customFormat="1" ht="12.75"/>
    <row r="36382" s="3161" customFormat="1" ht="12.75"/>
    <row r="36383" s="3161" customFormat="1" ht="12.75"/>
    <row r="36384" s="3161" customFormat="1" ht="12.75"/>
    <row r="36385" s="3161" customFormat="1" ht="12.75"/>
    <row r="36386" s="3161" customFormat="1" ht="12.75"/>
    <row r="36387" s="3161" customFormat="1" ht="12.75"/>
    <row r="36388" s="3161" customFormat="1" ht="12.75"/>
    <row r="36389" s="3161" customFormat="1" ht="12.75"/>
    <row r="36390" s="3161" customFormat="1" ht="12.75"/>
    <row r="36391" s="3161" customFormat="1" ht="12.75"/>
    <row r="36392" s="3161" customFormat="1" ht="12.75"/>
    <row r="36393" s="3161" customFormat="1" ht="12.75"/>
    <row r="36394" s="3161" customFormat="1" ht="12.75"/>
    <row r="36395" s="3161" customFormat="1" ht="12.75"/>
    <row r="36396" s="3161" customFormat="1" ht="12.75"/>
    <row r="36397" s="3161" customFormat="1" ht="12.75"/>
    <row r="36398" s="3161" customFormat="1" ht="12.75"/>
    <row r="36399" s="3161" customFormat="1" ht="12.75"/>
    <row r="36400" s="3161" customFormat="1" ht="12.75"/>
    <row r="36401" s="3161" customFormat="1" ht="12.75"/>
    <row r="36402" s="3161" customFormat="1" ht="12.75"/>
    <row r="36403" s="3161" customFormat="1" ht="12.75"/>
    <row r="36404" s="3161" customFormat="1" ht="12.75"/>
    <row r="36405" s="3161" customFormat="1" ht="12.75"/>
    <row r="36406" s="3161" customFormat="1" ht="12.75"/>
    <row r="36407" s="3161" customFormat="1" ht="12.75"/>
    <row r="36408" s="3161" customFormat="1" ht="12.75"/>
    <row r="36409" s="3161" customFormat="1" ht="12.75"/>
    <row r="36410" s="3161" customFormat="1" ht="12.75"/>
    <row r="36411" s="3161" customFormat="1" ht="12.75"/>
    <row r="36412" s="3161" customFormat="1" ht="12.75"/>
    <row r="36413" s="3161" customFormat="1" ht="12.75"/>
    <row r="36414" s="3161" customFormat="1" ht="12.75"/>
    <row r="36415" s="3161" customFormat="1" ht="12.75"/>
    <row r="36416" s="3161" customFormat="1" ht="12.75"/>
    <row r="36417" s="3161" customFormat="1" ht="12.75"/>
    <row r="36418" s="3161" customFormat="1" ht="12.75"/>
    <row r="36419" s="3161" customFormat="1" ht="12.75"/>
    <row r="36420" s="3161" customFormat="1" ht="12.75"/>
    <row r="36421" s="3161" customFormat="1" ht="12.75"/>
    <row r="36422" s="3161" customFormat="1" ht="12.75"/>
    <row r="36423" s="3161" customFormat="1" ht="12.75"/>
    <row r="36424" s="3161" customFormat="1" ht="12.75"/>
    <row r="36425" s="3161" customFormat="1" ht="12.75"/>
    <row r="36426" s="3161" customFormat="1" ht="12.75"/>
    <row r="36427" s="3161" customFormat="1" ht="12.75"/>
    <row r="36428" s="3161" customFormat="1" ht="12.75"/>
    <row r="36429" s="3161" customFormat="1" ht="12.75"/>
    <row r="36430" s="3161" customFormat="1" ht="12.75"/>
    <row r="36431" s="3161" customFormat="1" ht="12.75"/>
    <row r="36432" s="3161" customFormat="1" ht="12.75"/>
    <row r="36433" s="3161" customFormat="1" ht="12.75"/>
    <row r="36434" s="3161" customFormat="1" ht="12.75"/>
    <row r="36435" s="3161" customFormat="1" ht="12.75"/>
    <row r="36436" s="3161" customFormat="1" ht="12.75"/>
    <row r="36437" s="3161" customFormat="1" ht="12.75"/>
    <row r="36438" s="3161" customFormat="1" ht="12.75"/>
    <row r="36439" s="3161" customFormat="1" ht="12.75"/>
    <row r="36440" s="3161" customFormat="1" ht="12.75"/>
    <row r="36441" s="3161" customFormat="1" ht="12.75"/>
    <row r="36442" s="3161" customFormat="1" ht="12.75"/>
    <row r="36443" s="3161" customFormat="1" ht="12.75"/>
    <row r="36444" s="3161" customFormat="1" ht="12.75"/>
    <row r="36445" s="3161" customFormat="1" ht="12.75"/>
    <row r="36446" s="3161" customFormat="1" ht="12.75"/>
    <row r="36447" s="3161" customFormat="1" ht="12.75"/>
    <row r="36448" s="3161" customFormat="1" ht="12.75"/>
    <row r="36449" s="3161" customFormat="1" ht="12.75"/>
    <row r="36450" s="3161" customFormat="1" ht="12.75"/>
    <row r="36451" s="3161" customFormat="1" ht="12.75"/>
    <row r="36452" s="3161" customFormat="1" ht="12.75"/>
    <row r="36453" s="3161" customFormat="1" ht="12.75"/>
    <row r="36454" s="3161" customFormat="1" ht="12.75"/>
    <row r="36455" s="3161" customFormat="1" ht="12.75"/>
    <row r="36456" s="3161" customFormat="1" ht="12.75"/>
    <row r="36457" s="3161" customFormat="1" ht="12.75"/>
    <row r="36458" s="3161" customFormat="1" ht="12.75"/>
    <row r="36459" s="3161" customFormat="1" ht="12.75"/>
    <row r="36460" s="3161" customFormat="1" ht="12.75"/>
    <row r="36461" s="3161" customFormat="1" ht="12.75"/>
    <row r="36462" s="3161" customFormat="1" ht="12.75"/>
    <row r="36463" s="3161" customFormat="1" ht="12.75"/>
    <row r="36464" s="3161" customFormat="1" ht="12.75"/>
    <row r="36465" s="3161" customFormat="1" ht="12.75"/>
    <row r="36466" s="3161" customFormat="1" ht="12.75"/>
    <row r="36467" s="3161" customFormat="1" ht="12.75"/>
    <row r="36468" s="3161" customFormat="1" ht="12.75"/>
    <row r="36469" s="3161" customFormat="1" ht="12.75"/>
    <row r="36470" s="3161" customFormat="1" ht="12.75"/>
    <row r="36471" s="3161" customFormat="1" ht="12.75"/>
    <row r="36472" s="3161" customFormat="1" ht="12.75"/>
    <row r="36473" s="3161" customFormat="1" ht="12.75"/>
    <row r="36474" s="3161" customFormat="1" ht="12.75"/>
    <row r="36475" s="3161" customFormat="1" ht="12.75"/>
    <row r="36476" s="3161" customFormat="1" ht="12.75"/>
    <row r="36477" s="3161" customFormat="1" ht="12.75"/>
    <row r="36478" s="3161" customFormat="1" ht="12.75"/>
    <row r="36479" s="3161" customFormat="1" ht="12.75"/>
    <row r="36480" s="3161" customFormat="1" ht="12.75"/>
    <row r="36481" s="3161" customFormat="1" ht="12.75"/>
    <row r="36482" s="3161" customFormat="1" ht="12.75"/>
    <row r="36483" s="3161" customFormat="1" ht="12.75"/>
    <row r="36484" s="3161" customFormat="1" ht="12.75"/>
    <row r="36485" s="3161" customFormat="1" ht="12.75"/>
    <row r="36486" s="3161" customFormat="1" ht="12.75"/>
    <row r="36487" s="3161" customFormat="1" ht="12.75"/>
    <row r="36488" s="3161" customFormat="1" ht="12.75"/>
    <row r="36489" s="3161" customFormat="1" ht="12.75"/>
    <row r="36490" s="3161" customFormat="1" ht="12.75"/>
    <row r="36491" s="3161" customFormat="1" ht="12.75"/>
    <row r="36492" s="3161" customFormat="1" ht="12.75"/>
    <row r="36493" s="3161" customFormat="1" ht="12.75"/>
    <row r="36494" s="3161" customFormat="1" ht="12.75"/>
    <row r="36495" s="3161" customFormat="1" ht="12.75"/>
    <row r="36496" s="3161" customFormat="1" ht="12.75"/>
    <row r="36497" s="3161" customFormat="1" ht="12.75"/>
    <row r="36498" s="3161" customFormat="1" ht="12.75"/>
    <row r="36499" s="3161" customFormat="1" ht="12.75"/>
    <row r="36500" s="3161" customFormat="1" ht="12.75"/>
    <row r="36501" s="3161" customFormat="1" ht="12.75"/>
    <row r="36502" s="3161" customFormat="1" ht="12.75"/>
    <row r="36503" s="3161" customFormat="1" ht="12.75"/>
    <row r="36504" s="3161" customFormat="1" ht="12.75"/>
    <row r="36505" s="3161" customFormat="1" ht="12.75"/>
    <row r="36506" s="3161" customFormat="1" ht="12.75"/>
    <row r="36507" s="3161" customFormat="1" ht="12.75"/>
    <row r="36508" s="3161" customFormat="1" ht="12.75"/>
    <row r="36509" s="3161" customFormat="1" ht="12.75"/>
    <row r="36510" s="3161" customFormat="1" ht="12.75"/>
    <row r="36511" s="3161" customFormat="1" ht="12.75"/>
    <row r="36512" s="3161" customFormat="1" ht="12.75"/>
    <row r="36513" s="3161" customFormat="1" ht="12.75"/>
    <row r="36514" s="3161" customFormat="1" ht="12.75"/>
    <row r="36515" s="3161" customFormat="1" ht="12.75"/>
    <row r="36516" s="3161" customFormat="1" ht="12.75"/>
    <row r="36517" s="3161" customFormat="1" ht="12.75"/>
    <row r="36518" s="3161" customFormat="1" ht="12.75"/>
    <row r="36519" s="3161" customFormat="1" ht="12.75"/>
    <row r="36520" s="3161" customFormat="1" ht="12.75"/>
    <row r="36521" s="3161" customFormat="1" ht="12.75"/>
    <row r="36522" s="3161" customFormat="1" ht="12.75"/>
    <row r="36523" s="3161" customFormat="1" ht="12.75"/>
    <row r="36524" s="3161" customFormat="1" ht="12.75"/>
    <row r="36525" s="3161" customFormat="1" ht="12.75"/>
    <row r="36526" s="3161" customFormat="1" ht="12.75"/>
    <row r="36527" s="3161" customFormat="1" ht="12.75"/>
    <row r="36528" s="3161" customFormat="1" ht="12.75"/>
    <row r="36529" s="3161" customFormat="1" ht="12.75"/>
    <row r="36530" s="3161" customFormat="1" ht="12.75"/>
    <row r="36531" s="3161" customFormat="1" ht="12.75"/>
    <row r="36532" s="3161" customFormat="1" ht="12.75"/>
    <row r="36533" s="3161" customFormat="1" ht="12.75"/>
    <row r="36534" s="3161" customFormat="1" ht="12.75"/>
    <row r="36535" s="3161" customFormat="1" ht="12.75"/>
    <row r="36536" s="3161" customFormat="1" ht="12.75"/>
    <row r="36537" s="3161" customFormat="1" ht="12.75"/>
    <row r="36538" s="3161" customFormat="1" ht="12.75"/>
    <row r="36539" s="3161" customFormat="1" ht="12.75"/>
    <row r="36540" s="3161" customFormat="1" ht="12.75"/>
    <row r="36541" s="3161" customFormat="1" ht="12.75"/>
    <row r="36542" s="3161" customFormat="1" ht="12.75"/>
    <row r="36543" s="3161" customFormat="1" ht="12.75"/>
    <row r="36544" s="3161" customFormat="1" ht="12.75"/>
    <row r="36545" s="3161" customFormat="1" ht="12.75"/>
    <row r="36546" s="3161" customFormat="1" ht="12.75"/>
    <row r="36547" s="3161" customFormat="1" ht="12.75"/>
    <row r="36548" s="3161" customFormat="1" ht="12.75"/>
    <row r="36549" s="3161" customFormat="1" ht="12.75"/>
    <row r="36550" s="3161" customFormat="1" ht="12.75"/>
    <row r="36551" s="3161" customFormat="1" ht="12.75"/>
    <row r="36552" s="3161" customFormat="1" ht="12.75"/>
    <row r="36553" s="3161" customFormat="1" ht="12.75"/>
    <row r="36554" s="3161" customFormat="1" ht="12.75"/>
    <row r="36555" s="3161" customFormat="1" ht="12.75"/>
    <row r="36556" s="3161" customFormat="1" ht="12.75"/>
    <row r="36557" s="3161" customFormat="1" ht="12.75"/>
    <row r="36558" s="3161" customFormat="1" ht="12.75"/>
    <row r="36559" s="3161" customFormat="1" ht="12.75"/>
    <row r="36560" s="3161" customFormat="1" ht="12.75"/>
    <row r="36561" s="3161" customFormat="1" ht="12.75"/>
    <row r="36562" s="3161" customFormat="1" ht="12.75"/>
    <row r="36563" s="3161" customFormat="1" ht="12.75"/>
    <row r="36564" s="3161" customFormat="1" ht="12.75"/>
    <row r="36565" s="3161" customFormat="1" ht="12.75"/>
    <row r="36566" s="3161" customFormat="1" ht="12.75"/>
    <row r="36567" s="3161" customFormat="1" ht="12.75"/>
    <row r="36568" s="3161" customFormat="1" ht="12.75"/>
    <row r="36569" s="3161" customFormat="1" ht="12.75"/>
    <row r="36570" s="3161" customFormat="1" ht="12.75"/>
    <row r="36571" s="3161" customFormat="1" ht="12.75"/>
    <row r="36572" s="3161" customFormat="1" ht="12.75"/>
    <row r="36573" s="3161" customFormat="1" ht="12.75"/>
    <row r="36574" s="3161" customFormat="1" ht="12.75"/>
    <row r="36575" s="3161" customFormat="1" ht="12.75"/>
    <row r="36576" s="3161" customFormat="1" ht="12.75"/>
    <row r="36577" s="3161" customFormat="1" ht="12.75"/>
    <row r="36578" s="3161" customFormat="1" ht="12.75"/>
    <row r="36579" s="3161" customFormat="1" ht="12.75"/>
    <row r="36580" s="3161" customFormat="1" ht="12.75"/>
    <row r="36581" s="3161" customFormat="1" ht="12.75"/>
    <row r="36582" s="3161" customFormat="1" ht="12.75"/>
    <row r="36583" s="3161" customFormat="1" ht="12.75"/>
    <row r="36584" s="3161" customFormat="1" ht="12.75"/>
    <row r="36585" s="3161" customFormat="1" ht="12.75"/>
    <row r="36586" s="3161" customFormat="1" ht="12.75"/>
    <row r="36587" s="3161" customFormat="1" ht="12.75"/>
    <row r="36588" s="3161" customFormat="1" ht="12.75"/>
    <row r="36589" s="3161" customFormat="1" ht="12.75"/>
    <row r="36590" s="3161" customFormat="1" ht="12.75"/>
    <row r="36591" s="3161" customFormat="1" ht="12.75"/>
    <row r="36592" s="3161" customFormat="1" ht="12.75"/>
    <row r="36593" s="3161" customFormat="1" ht="12.75"/>
    <row r="36594" s="3161" customFormat="1" ht="12.75"/>
    <row r="36595" s="3161" customFormat="1" ht="12.75"/>
    <row r="36596" s="3161" customFormat="1" ht="12.75"/>
    <row r="36597" s="3161" customFormat="1" ht="12.75"/>
    <row r="36598" s="3161" customFormat="1" ht="12.75"/>
    <row r="36599" s="3161" customFormat="1" ht="12.75"/>
    <row r="36600" s="3161" customFormat="1" ht="12.75"/>
    <row r="36601" s="3161" customFormat="1" ht="12.75"/>
    <row r="36602" s="3161" customFormat="1" ht="12.75"/>
    <row r="36603" s="3161" customFormat="1" ht="12.75"/>
    <row r="36604" s="3161" customFormat="1" ht="12.75"/>
    <row r="36605" s="3161" customFormat="1" ht="12.75"/>
    <row r="36606" s="3161" customFormat="1" ht="12.75"/>
    <row r="36607" s="3161" customFormat="1" ht="12.75"/>
    <row r="36608" s="3161" customFormat="1" ht="12.75"/>
    <row r="36609" s="3161" customFormat="1" ht="12.75"/>
    <row r="36610" s="3161" customFormat="1" ht="12.75"/>
    <row r="36611" s="3161" customFormat="1" ht="12.75"/>
    <row r="36612" s="3161" customFormat="1" ht="12.75"/>
    <row r="36613" s="3161" customFormat="1" ht="12.75"/>
    <row r="36614" s="3161" customFormat="1" ht="12.75"/>
    <row r="36615" s="3161" customFormat="1" ht="12.75"/>
    <row r="36616" s="3161" customFormat="1" ht="12.75"/>
    <row r="36617" s="3161" customFormat="1" ht="12.75"/>
    <row r="36618" s="3161" customFormat="1" ht="12.75"/>
    <row r="36619" s="3161" customFormat="1" ht="12.75"/>
    <row r="36620" s="3161" customFormat="1" ht="12.75"/>
    <row r="36621" s="3161" customFormat="1" ht="12.75"/>
    <row r="36622" s="3161" customFormat="1" ht="12.75"/>
    <row r="36623" s="3161" customFormat="1" ht="12.75"/>
    <row r="36624" s="3161" customFormat="1" ht="12.75"/>
    <row r="36625" s="3161" customFormat="1" ht="12.75"/>
    <row r="36626" s="3161" customFormat="1" ht="12.75"/>
    <row r="36627" s="3161" customFormat="1" ht="12.75"/>
    <row r="36628" s="3161" customFormat="1" ht="12.75"/>
    <row r="36629" s="3161" customFormat="1" ht="12.75"/>
    <row r="36630" s="3161" customFormat="1" ht="12.75"/>
    <row r="36631" s="3161" customFormat="1" ht="12.75"/>
    <row r="36632" s="3161" customFormat="1" ht="12.75"/>
    <row r="36633" s="3161" customFormat="1" ht="12.75"/>
    <row r="36634" s="3161" customFormat="1" ht="12.75"/>
    <row r="36635" s="3161" customFormat="1" ht="12.75"/>
    <row r="36636" s="3161" customFormat="1" ht="12.75"/>
    <row r="36637" s="3161" customFormat="1" ht="12.75"/>
    <row r="36638" s="3161" customFormat="1" ht="12.75"/>
    <row r="36639" s="3161" customFormat="1" ht="12.75"/>
    <row r="36640" s="3161" customFormat="1" ht="12.75"/>
    <row r="36641" s="3161" customFormat="1" ht="12.75"/>
    <row r="36642" s="3161" customFormat="1" ht="12.75"/>
    <row r="36643" s="3161" customFormat="1" ht="12.75"/>
    <row r="36644" s="3161" customFormat="1" ht="12.75"/>
    <row r="36645" s="3161" customFormat="1" ht="12.75"/>
    <row r="36646" s="3161" customFormat="1" ht="12.75"/>
    <row r="36647" s="3161" customFormat="1" ht="12.75"/>
    <row r="36648" s="3161" customFormat="1" ht="12.75"/>
    <row r="36649" s="3161" customFormat="1" ht="12.75"/>
    <row r="36650" s="3161" customFormat="1" ht="12.75"/>
    <row r="36651" s="3161" customFormat="1" ht="12.75"/>
    <row r="36652" s="3161" customFormat="1" ht="12.75"/>
    <row r="36653" s="3161" customFormat="1" ht="12.75"/>
    <row r="36654" s="3161" customFormat="1" ht="12.75"/>
    <row r="36655" s="3161" customFormat="1" ht="12.75"/>
    <row r="36656" s="3161" customFormat="1" ht="12.75"/>
    <row r="36657" s="3161" customFormat="1" ht="12.75"/>
    <row r="36658" s="3161" customFormat="1" ht="12.75"/>
    <row r="36659" s="3161" customFormat="1" ht="12.75"/>
    <row r="36660" s="3161" customFormat="1" ht="12.75"/>
    <row r="36661" s="3161" customFormat="1" ht="12.75"/>
    <row r="36662" s="3161" customFormat="1" ht="12.75"/>
    <row r="36663" s="3161" customFormat="1" ht="12.75"/>
    <row r="36664" s="3161" customFormat="1" ht="12.75"/>
    <row r="36665" s="3161" customFormat="1" ht="12.75"/>
    <row r="36666" s="3161" customFormat="1" ht="12.75"/>
    <row r="36667" s="3161" customFormat="1" ht="12.75"/>
    <row r="36668" s="3161" customFormat="1" ht="12.75"/>
    <row r="36669" s="3161" customFormat="1" ht="12.75"/>
    <row r="36670" s="3161" customFormat="1" ht="12.75"/>
    <row r="36671" s="3161" customFormat="1" ht="12.75"/>
    <row r="36672" s="3161" customFormat="1" ht="12.75"/>
    <row r="36673" s="3161" customFormat="1" ht="12.75"/>
    <row r="36674" s="3161" customFormat="1" ht="12.75"/>
    <row r="36675" s="3161" customFormat="1" ht="12.75"/>
    <row r="36676" s="3161" customFormat="1" ht="12.75"/>
    <row r="36677" s="3161" customFormat="1" ht="12.75"/>
    <row r="36678" s="3161" customFormat="1" ht="12.75"/>
    <row r="36679" s="3161" customFormat="1" ht="12.75"/>
    <row r="36680" s="3161" customFormat="1" ht="12.75"/>
    <row r="36681" s="3161" customFormat="1" ht="12.75"/>
    <row r="36682" s="3161" customFormat="1" ht="12.75"/>
    <row r="36683" s="3161" customFormat="1" ht="12.75"/>
    <row r="36684" s="3161" customFormat="1" ht="12.75"/>
    <row r="36685" s="3161" customFormat="1" ht="12.75"/>
    <row r="36686" s="3161" customFormat="1" ht="12.75"/>
    <row r="36687" s="3161" customFormat="1" ht="12.75"/>
    <row r="36688" s="3161" customFormat="1" ht="12.75"/>
    <row r="36689" s="3161" customFormat="1" ht="12.75"/>
    <row r="36690" s="3161" customFormat="1" ht="12.75"/>
    <row r="36691" s="3161" customFormat="1" ht="12.75"/>
    <row r="36692" s="3161" customFormat="1" ht="12.75"/>
    <row r="36693" s="3161" customFormat="1" ht="12.75"/>
    <row r="36694" s="3161" customFormat="1" ht="12.75"/>
    <row r="36695" s="3161" customFormat="1" ht="12.75"/>
    <row r="36696" s="3161" customFormat="1" ht="12.75"/>
    <row r="36697" s="3161" customFormat="1" ht="12.75"/>
    <row r="36698" s="3161" customFormat="1" ht="12.75"/>
    <row r="36699" s="3161" customFormat="1" ht="12.75"/>
    <row r="36700" s="3161" customFormat="1" ht="12.75"/>
    <row r="36701" s="3161" customFormat="1" ht="12.75"/>
    <row r="36702" s="3161" customFormat="1" ht="12.75"/>
    <row r="36703" s="3161" customFormat="1" ht="12.75"/>
    <row r="36704" s="3161" customFormat="1" ht="12.75"/>
    <row r="36705" s="3161" customFormat="1" ht="12.75"/>
    <row r="36706" s="3161" customFormat="1" ht="12.75"/>
    <row r="36707" s="3161" customFormat="1" ht="12.75"/>
    <row r="36708" s="3161" customFormat="1" ht="12.75"/>
    <row r="36709" s="3161" customFormat="1" ht="12.75"/>
    <row r="36710" s="3161" customFormat="1" ht="12.75"/>
    <row r="36711" s="3161" customFormat="1" ht="12.75"/>
    <row r="36712" s="3161" customFormat="1" ht="12.75"/>
    <row r="36713" s="3161" customFormat="1" ht="12.75"/>
    <row r="36714" s="3161" customFormat="1" ht="12.75"/>
    <row r="36715" s="3161" customFormat="1" ht="12.75"/>
    <row r="36716" s="3161" customFormat="1" ht="12.75"/>
    <row r="36717" s="3161" customFormat="1" ht="12.75"/>
    <row r="36718" s="3161" customFormat="1" ht="12.75"/>
    <row r="36719" s="3161" customFormat="1" ht="12.75"/>
    <row r="36720" s="3161" customFormat="1" ht="12.75"/>
    <row r="36721" s="3161" customFormat="1" ht="12.75"/>
    <row r="36722" s="3161" customFormat="1" ht="12.75"/>
    <row r="36723" s="3161" customFormat="1" ht="12.75"/>
    <row r="36724" s="3161" customFormat="1" ht="12.75"/>
    <row r="36725" s="3161" customFormat="1" ht="12.75"/>
    <row r="36726" s="3161" customFormat="1" ht="12.75"/>
    <row r="36727" s="3161" customFormat="1" ht="12.75"/>
    <row r="36728" s="3161" customFormat="1" ht="12.75"/>
    <row r="36729" s="3161" customFormat="1" ht="12.75"/>
    <row r="36730" s="3161" customFormat="1" ht="12.75"/>
    <row r="36731" s="3161" customFormat="1" ht="12.75"/>
    <row r="36732" s="3161" customFormat="1" ht="12.75"/>
    <row r="36733" s="3161" customFormat="1" ht="12.75"/>
    <row r="36734" s="3161" customFormat="1" ht="12.75"/>
    <row r="36735" s="3161" customFormat="1" ht="12.75"/>
    <row r="36736" s="3161" customFormat="1" ht="12.75"/>
    <row r="36737" s="3161" customFormat="1" ht="12.75"/>
    <row r="36738" s="3161" customFormat="1" ht="12.75"/>
    <row r="36739" s="3161" customFormat="1" ht="12.75"/>
    <row r="36740" s="3161" customFormat="1" ht="12.75"/>
    <row r="36741" s="3161" customFormat="1" ht="12.75"/>
    <row r="36742" s="3161" customFormat="1" ht="12.75"/>
    <row r="36743" s="3161" customFormat="1" ht="12.75"/>
    <row r="36744" s="3161" customFormat="1" ht="12.75"/>
    <row r="36745" s="3161" customFormat="1" ht="12.75"/>
    <row r="36746" s="3161" customFormat="1" ht="12.75"/>
    <row r="36747" s="3161" customFormat="1" ht="12.75"/>
    <row r="36748" s="3161" customFormat="1" ht="12.75"/>
    <row r="36749" s="3161" customFormat="1" ht="12.75"/>
    <row r="36750" s="3161" customFormat="1" ht="12.75"/>
    <row r="36751" s="3161" customFormat="1" ht="12.75"/>
    <row r="36752" s="3161" customFormat="1" ht="12.75"/>
    <row r="36753" s="3161" customFormat="1" ht="12.75"/>
    <row r="36754" s="3161" customFormat="1" ht="12.75"/>
    <row r="36755" s="3161" customFormat="1" ht="12.75"/>
    <row r="36756" s="3161" customFormat="1" ht="12.75"/>
    <row r="36757" s="3161" customFormat="1" ht="12.75"/>
    <row r="36758" s="3161" customFormat="1" ht="12.75"/>
    <row r="36759" s="3161" customFormat="1" ht="12.75"/>
    <row r="36760" s="3161" customFormat="1" ht="12.75"/>
    <row r="36761" s="3161" customFormat="1" ht="12.75"/>
    <row r="36762" s="3161" customFormat="1" ht="12.75"/>
    <row r="36763" s="3161" customFormat="1" ht="12.75"/>
    <row r="36764" s="3161" customFormat="1" ht="12.75"/>
    <row r="36765" s="3161" customFormat="1" ht="12.75"/>
    <row r="36766" s="3161" customFormat="1" ht="12.75"/>
    <row r="36767" s="3161" customFormat="1" ht="12.75"/>
    <row r="36768" s="3161" customFormat="1" ht="12.75"/>
    <row r="36769" s="3161" customFormat="1" ht="12.75"/>
    <row r="36770" s="3161" customFormat="1" ht="12.75"/>
    <row r="36771" s="3161" customFormat="1" ht="12.75"/>
    <row r="36772" s="3161" customFormat="1" ht="12.75"/>
    <row r="36773" s="3161" customFormat="1" ht="12.75"/>
    <row r="36774" s="3161" customFormat="1" ht="12.75"/>
    <row r="36775" s="3161" customFormat="1" ht="12.75"/>
    <row r="36776" s="3161" customFormat="1" ht="12.75"/>
    <row r="36777" s="3161" customFormat="1" ht="12.75"/>
    <row r="36778" s="3161" customFormat="1" ht="12.75"/>
    <row r="36779" s="3161" customFormat="1" ht="12.75"/>
    <row r="36780" s="3161" customFormat="1" ht="12.75"/>
    <row r="36781" s="3161" customFormat="1" ht="12.75"/>
    <row r="36782" s="3161" customFormat="1" ht="12.75"/>
    <row r="36783" s="3161" customFormat="1" ht="12.75"/>
    <row r="36784" s="3161" customFormat="1" ht="12.75"/>
    <row r="36785" s="3161" customFormat="1" ht="12.75"/>
    <row r="36786" s="3161" customFormat="1" ht="12.75"/>
    <row r="36787" s="3161" customFormat="1" ht="12.75"/>
    <row r="36788" s="3161" customFormat="1" ht="12.75"/>
    <row r="36789" s="3161" customFormat="1" ht="12.75"/>
    <row r="36790" s="3161" customFormat="1" ht="12.75"/>
    <row r="36791" s="3161" customFormat="1" ht="12.75"/>
    <row r="36792" s="3161" customFormat="1" ht="12.75"/>
    <row r="36793" s="3161" customFormat="1" ht="12.75"/>
    <row r="36794" s="3161" customFormat="1" ht="12.75"/>
    <row r="36795" s="3161" customFormat="1" ht="12.75"/>
    <row r="36796" s="3161" customFormat="1" ht="12.75"/>
    <row r="36797" s="3161" customFormat="1" ht="12.75"/>
    <row r="36798" s="3161" customFormat="1" ht="12.75"/>
    <row r="36799" s="3161" customFormat="1" ht="12.75"/>
    <row r="36800" s="3161" customFormat="1" ht="12.75"/>
    <row r="36801" s="3161" customFormat="1" ht="12.75"/>
    <row r="36802" s="3161" customFormat="1" ht="12.75"/>
    <row r="36803" s="3161" customFormat="1" ht="12.75"/>
    <row r="36804" s="3161" customFormat="1" ht="12.75"/>
    <row r="36805" s="3161" customFormat="1" ht="12.75"/>
    <row r="36806" s="3161" customFormat="1" ht="12.75"/>
    <row r="36807" s="3161" customFormat="1" ht="12.75"/>
    <row r="36808" s="3161" customFormat="1" ht="12.75"/>
    <row r="36809" s="3161" customFormat="1" ht="12.75"/>
    <row r="36810" s="3161" customFormat="1" ht="12.75"/>
    <row r="36811" s="3161" customFormat="1" ht="12.75"/>
    <row r="36812" s="3161" customFormat="1" ht="12.75"/>
    <row r="36813" s="3161" customFormat="1" ht="12.75"/>
    <row r="36814" s="3161" customFormat="1" ht="12.75"/>
    <row r="36815" s="3161" customFormat="1" ht="12.75"/>
    <row r="36816" s="3161" customFormat="1" ht="12.75"/>
    <row r="36817" s="3161" customFormat="1" ht="12.75"/>
    <row r="36818" s="3161" customFormat="1" ht="12.75"/>
    <row r="36819" s="3161" customFormat="1" ht="12.75"/>
    <row r="36820" s="3161" customFormat="1" ht="12.75"/>
    <row r="36821" s="3161" customFormat="1" ht="12.75"/>
    <row r="36822" s="3161" customFormat="1" ht="12.75"/>
    <row r="36823" s="3161" customFormat="1" ht="12.75"/>
    <row r="36824" s="3161" customFormat="1" ht="12.75"/>
    <row r="36825" s="3161" customFormat="1" ht="12.75"/>
    <row r="36826" s="3161" customFormat="1" ht="12.75"/>
    <row r="36827" s="3161" customFormat="1" ht="12.75"/>
    <row r="36828" s="3161" customFormat="1" ht="12.75"/>
    <row r="36829" s="3161" customFormat="1" ht="12.75"/>
    <row r="36830" s="3161" customFormat="1" ht="12.75"/>
    <row r="36831" s="3161" customFormat="1" ht="12.75"/>
    <row r="36832" s="3161" customFormat="1" ht="12.75"/>
    <row r="36833" s="3161" customFormat="1" ht="12.75"/>
    <row r="36834" s="3161" customFormat="1" ht="12.75"/>
    <row r="36835" s="3161" customFormat="1" ht="12.75"/>
    <row r="36836" s="3161" customFormat="1" ht="12.75"/>
    <row r="36837" s="3161" customFormat="1" ht="12.75"/>
    <row r="36838" s="3161" customFormat="1" ht="12.75"/>
    <row r="36839" s="3161" customFormat="1" ht="12.75"/>
    <row r="36840" s="3161" customFormat="1" ht="12.75"/>
    <row r="36841" s="3161" customFormat="1" ht="12.75"/>
    <row r="36842" s="3161" customFormat="1" ht="12.75"/>
    <row r="36843" s="3161" customFormat="1" ht="12.75"/>
    <row r="36844" s="3161" customFormat="1" ht="12.75"/>
    <row r="36845" s="3161" customFormat="1" ht="12.75"/>
    <row r="36846" s="3161" customFormat="1" ht="12.75"/>
    <row r="36847" s="3161" customFormat="1" ht="12.75"/>
    <row r="36848" s="3161" customFormat="1" ht="12.75"/>
    <row r="36849" s="3161" customFormat="1" ht="12.75"/>
    <row r="36850" s="3161" customFormat="1" ht="12.75"/>
    <row r="36851" s="3161" customFormat="1" ht="12.75"/>
    <row r="36852" s="3161" customFormat="1" ht="12.75"/>
    <row r="36853" s="3161" customFormat="1" ht="12.75"/>
    <row r="36854" s="3161" customFormat="1" ht="12.75"/>
    <row r="36855" s="3161" customFormat="1" ht="12.75"/>
    <row r="36856" s="3161" customFormat="1" ht="12.75"/>
    <row r="36857" s="3161" customFormat="1" ht="12.75"/>
    <row r="36858" s="3161" customFormat="1" ht="12.75"/>
    <row r="36859" s="3161" customFormat="1" ht="12.75"/>
    <row r="36860" s="3161" customFormat="1" ht="12.75"/>
    <row r="36861" s="3161" customFormat="1" ht="12.75"/>
    <row r="36862" s="3161" customFormat="1" ht="12.75"/>
    <row r="36863" s="3161" customFormat="1" ht="12.75"/>
    <row r="36864" s="3161" customFormat="1" ht="12.75"/>
    <row r="36865" s="3161" customFormat="1" ht="12.75"/>
    <row r="36866" s="3161" customFormat="1" ht="12.75"/>
    <row r="36867" s="3161" customFormat="1" ht="12.75"/>
    <row r="36868" s="3161" customFormat="1" ht="12.75"/>
    <row r="36869" s="3161" customFormat="1" ht="12.75"/>
    <row r="36870" s="3161" customFormat="1" ht="12.75"/>
    <row r="36871" s="3161" customFormat="1" ht="12.75"/>
    <row r="36872" s="3161" customFormat="1" ht="12.75"/>
    <row r="36873" s="3161" customFormat="1" ht="12.75"/>
    <row r="36874" s="3161" customFormat="1" ht="12.75"/>
    <row r="36875" s="3161" customFormat="1" ht="12.75"/>
    <row r="36876" s="3161" customFormat="1" ht="12.75"/>
    <row r="36877" s="3161" customFormat="1" ht="12.75"/>
    <row r="36878" s="3161" customFormat="1" ht="12.75"/>
    <row r="36879" s="3161" customFormat="1" ht="12.75"/>
    <row r="36880" s="3161" customFormat="1" ht="12.75"/>
    <row r="36881" s="3161" customFormat="1" ht="12.75"/>
    <row r="36882" s="3161" customFormat="1" ht="12.75"/>
    <row r="36883" s="3161" customFormat="1" ht="12.75"/>
    <row r="36884" s="3161" customFormat="1" ht="12.75"/>
    <row r="36885" s="3161" customFormat="1" ht="12.75"/>
    <row r="36886" s="3161" customFormat="1" ht="12.75"/>
    <row r="36887" s="3161" customFormat="1" ht="12.75"/>
    <row r="36888" s="3161" customFormat="1" ht="12.75"/>
    <row r="36889" s="3161" customFormat="1" ht="12.75"/>
    <row r="36890" s="3161" customFormat="1" ht="12.75"/>
    <row r="36891" s="3161" customFormat="1" ht="12.75"/>
    <row r="36892" s="3161" customFormat="1" ht="12.75"/>
    <row r="36893" s="3161" customFormat="1" ht="12.75"/>
    <row r="36894" s="3161" customFormat="1" ht="12.75"/>
    <row r="36895" s="3161" customFormat="1" ht="12.75"/>
    <row r="36896" s="3161" customFormat="1" ht="12.75"/>
    <row r="36897" s="3161" customFormat="1" ht="12.75"/>
    <row r="36898" s="3161" customFormat="1" ht="12.75"/>
    <row r="36899" s="3161" customFormat="1" ht="12.75"/>
    <row r="36900" s="3161" customFormat="1" ht="12.75"/>
    <row r="36901" s="3161" customFormat="1" ht="12.75"/>
    <row r="36902" s="3161" customFormat="1" ht="12.75"/>
    <row r="36903" s="3161" customFormat="1" ht="12.75"/>
    <row r="36904" s="3161" customFormat="1" ht="12.75"/>
    <row r="36905" s="3161" customFormat="1" ht="12.75"/>
    <row r="36906" s="3161" customFormat="1" ht="12.75"/>
    <row r="36907" s="3161" customFormat="1" ht="12.75"/>
    <row r="36908" s="3161" customFormat="1" ht="12.75"/>
    <row r="36909" s="3161" customFormat="1" ht="12.75"/>
    <row r="36910" s="3161" customFormat="1" ht="12.75"/>
    <row r="36911" s="3161" customFormat="1" ht="12.75"/>
    <row r="36912" s="3161" customFormat="1" ht="12.75"/>
    <row r="36913" s="3161" customFormat="1" ht="12.75"/>
    <row r="36914" s="3161" customFormat="1" ht="12.75"/>
    <row r="36915" s="3161" customFormat="1" ht="12.75"/>
    <row r="36916" s="3161" customFormat="1" ht="12.75"/>
    <row r="36917" s="3161" customFormat="1" ht="12.75"/>
    <row r="36918" s="3161" customFormat="1" ht="12.75"/>
    <row r="36919" s="3161" customFormat="1" ht="12.75"/>
    <row r="36920" s="3161" customFormat="1" ht="12.75"/>
    <row r="36921" s="3161" customFormat="1" ht="12.75"/>
    <row r="36922" s="3161" customFormat="1" ht="12.75"/>
    <row r="36923" s="3161" customFormat="1" ht="12.75"/>
    <row r="36924" s="3161" customFormat="1" ht="12.75"/>
    <row r="36925" s="3161" customFormat="1" ht="12.75"/>
    <row r="36926" s="3161" customFormat="1" ht="12.75"/>
    <row r="36927" s="3161" customFormat="1" ht="12.75"/>
    <row r="36928" s="3161" customFormat="1" ht="12.75"/>
    <row r="36929" s="3161" customFormat="1" ht="12.75"/>
    <row r="36930" s="3161" customFormat="1" ht="12.75"/>
    <row r="36931" s="3161" customFormat="1" ht="12.75"/>
    <row r="36932" s="3161" customFormat="1" ht="12.75"/>
    <row r="36933" s="3161" customFormat="1" ht="12.75"/>
    <row r="36934" s="3161" customFormat="1" ht="12.75"/>
    <row r="36935" s="3161" customFormat="1" ht="12.75"/>
    <row r="36936" s="3161" customFormat="1" ht="12.75"/>
    <row r="36937" s="3161" customFormat="1" ht="12.75"/>
    <row r="36938" s="3161" customFormat="1" ht="12.75"/>
    <row r="36939" s="3161" customFormat="1" ht="12.75"/>
    <row r="36940" s="3161" customFormat="1" ht="12.75"/>
    <row r="36941" s="3161" customFormat="1" ht="12.75"/>
    <row r="36942" s="3161" customFormat="1" ht="12.75"/>
    <row r="36943" s="3161" customFormat="1" ht="12.75"/>
    <row r="36944" s="3161" customFormat="1" ht="12.75"/>
    <row r="36945" s="3161" customFormat="1" ht="12.75"/>
    <row r="36946" s="3161" customFormat="1" ht="12.75"/>
    <row r="36947" s="3161" customFormat="1" ht="12.75"/>
    <row r="36948" s="3161" customFormat="1" ht="12.75"/>
    <row r="36949" s="3161" customFormat="1" ht="12.75"/>
    <row r="36950" s="3161" customFormat="1" ht="12.75"/>
    <row r="36951" s="3161" customFormat="1" ht="12.75"/>
    <row r="36952" s="3161" customFormat="1" ht="12.75"/>
    <row r="36953" s="3161" customFormat="1" ht="12.75"/>
    <row r="36954" s="3161" customFormat="1" ht="12.75"/>
    <row r="36955" s="3161" customFormat="1" ht="12.75"/>
    <row r="36956" s="3161" customFormat="1" ht="12.75"/>
    <row r="36957" s="3161" customFormat="1" ht="12.75"/>
    <row r="36958" s="3161" customFormat="1" ht="12.75"/>
    <row r="36959" s="3161" customFormat="1" ht="12.75"/>
    <row r="36960" s="3161" customFormat="1" ht="12.75"/>
    <row r="36961" s="3161" customFormat="1" ht="12.75"/>
    <row r="36962" s="3161" customFormat="1" ht="12.75"/>
    <row r="36963" s="3161" customFormat="1" ht="12.75"/>
    <row r="36964" s="3161" customFormat="1" ht="12.75"/>
    <row r="36965" s="3161" customFormat="1" ht="12.75"/>
    <row r="36966" s="3161" customFormat="1" ht="12.75"/>
    <row r="36967" s="3161" customFormat="1" ht="12.75"/>
    <row r="36968" s="3161" customFormat="1" ht="12.75"/>
    <row r="36969" s="3161" customFormat="1" ht="12.75"/>
    <row r="36970" s="3161" customFormat="1" ht="12.75"/>
    <row r="36971" s="3161" customFormat="1" ht="12.75"/>
    <row r="36972" s="3161" customFormat="1" ht="12.75"/>
    <row r="36973" s="3161" customFormat="1" ht="12.75"/>
    <row r="36974" s="3161" customFormat="1" ht="12.75"/>
    <row r="36975" s="3161" customFormat="1" ht="12.75"/>
    <row r="36976" s="3161" customFormat="1" ht="12.75"/>
    <row r="36977" s="3161" customFormat="1" ht="12.75"/>
    <row r="36978" s="3161" customFormat="1" ht="12.75"/>
    <row r="36979" s="3161" customFormat="1" ht="12.75"/>
    <row r="36980" s="3161" customFormat="1" ht="12.75"/>
    <row r="36981" s="3161" customFormat="1" ht="12.75"/>
    <row r="36982" s="3161" customFormat="1" ht="12.75"/>
    <row r="36983" s="3161" customFormat="1" ht="12.75"/>
    <row r="36984" s="3161" customFormat="1" ht="12.75"/>
    <row r="36985" s="3161" customFormat="1" ht="12.75"/>
    <row r="36986" s="3161" customFormat="1" ht="12.75"/>
    <row r="36987" s="3161" customFormat="1" ht="12.75"/>
    <row r="36988" s="3161" customFormat="1" ht="12.75"/>
    <row r="36989" s="3161" customFormat="1" ht="12.75"/>
    <row r="36990" s="3161" customFormat="1" ht="12.75"/>
    <row r="36991" s="3161" customFormat="1" ht="12.75"/>
    <row r="36992" s="3161" customFormat="1" ht="12.75"/>
    <row r="36993" s="3161" customFormat="1" ht="12.75"/>
    <row r="36994" s="3161" customFormat="1" ht="12.75"/>
    <row r="36995" s="3161" customFormat="1" ht="12.75"/>
    <row r="36996" s="3161" customFormat="1" ht="12.75"/>
    <row r="36997" s="3161" customFormat="1" ht="12.75"/>
    <row r="36998" s="3161" customFormat="1" ht="12.75"/>
    <row r="36999" s="3161" customFormat="1" ht="12.75"/>
    <row r="37000" s="3161" customFormat="1" ht="12.75"/>
    <row r="37001" s="3161" customFormat="1" ht="12.75"/>
    <row r="37002" s="3161" customFormat="1" ht="12.75"/>
    <row r="37003" s="3161" customFormat="1" ht="12.75"/>
    <row r="37004" s="3161" customFormat="1" ht="12.75"/>
    <row r="37005" s="3161" customFormat="1" ht="12.75"/>
    <row r="37006" s="3161" customFormat="1" ht="12.75"/>
    <row r="37007" s="3161" customFormat="1" ht="12.75"/>
    <row r="37008" s="3161" customFormat="1" ht="12.75"/>
    <row r="37009" s="3161" customFormat="1" ht="12.75"/>
    <row r="37010" s="3161" customFormat="1" ht="12.75"/>
    <row r="37011" s="3161" customFormat="1" ht="12.75"/>
    <row r="37012" s="3161" customFormat="1" ht="12.75"/>
    <row r="37013" s="3161" customFormat="1" ht="12.75"/>
    <row r="37014" s="3161" customFormat="1" ht="12.75"/>
    <row r="37015" s="3161" customFormat="1" ht="12.75"/>
    <row r="37016" s="3161" customFormat="1" ht="12.75"/>
    <row r="37017" s="3161" customFormat="1" ht="12.75"/>
    <row r="37018" s="3161" customFormat="1" ht="12.75"/>
    <row r="37019" s="3161" customFormat="1" ht="12.75"/>
    <row r="37020" s="3161" customFormat="1" ht="12.75"/>
    <row r="37021" s="3161" customFormat="1" ht="12.75"/>
    <row r="37022" s="3161" customFormat="1" ht="12.75"/>
    <row r="37023" s="3161" customFormat="1" ht="12.75"/>
    <row r="37024" s="3161" customFormat="1" ht="12.75"/>
    <row r="37025" s="3161" customFormat="1" ht="12.75"/>
    <row r="37026" s="3161" customFormat="1" ht="12.75"/>
    <row r="37027" s="3161" customFormat="1" ht="12.75"/>
    <row r="37028" s="3161" customFormat="1" ht="12.75"/>
    <row r="37029" s="3161" customFormat="1" ht="12.75"/>
    <row r="37030" s="3161" customFormat="1" ht="12.75"/>
    <row r="37031" s="3161" customFormat="1" ht="12.75"/>
    <row r="37032" s="3161" customFormat="1" ht="12.75"/>
    <row r="37033" s="3161" customFormat="1" ht="12.75"/>
    <row r="37034" s="3161" customFormat="1" ht="12.75"/>
    <row r="37035" s="3161" customFormat="1" ht="12.75"/>
    <row r="37036" s="3161" customFormat="1" ht="12.75"/>
    <row r="37037" s="3161" customFormat="1" ht="12.75"/>
    <row r="37038" s="3161" customFormat="1" ht="12.75"/>
    <row r="37039" s="3161" customFormat="1" ht="12.75"/>
    <row r="37040" s="3161" customFormat="1" ht="12.75"/>
    <row r="37041" s="3161" customFormat="1" ht="12.75"/>
    <row r="37042" s="3161" customFormat="1" ht="12.75"/>
    <row r="37043" s="3161" customFormat="1" ht="12.75"/>
    <row r="37044" s="3161" customFormat="1" ht="12.75"/>
    <row r="37045" s="3161" customFormat="1" ht="12.75"/>
    <row r="37046" s="3161" customFormat="1" ht="12.75"/>
    <row r="37047" s="3161" customFormat="1" ht="12.75"/>
    <row r="37048" s="3161" customFormat="1" ht="12.75"/>
    <row r="37049" s="3161" customFormat="1" ht="12.75"/>
    <row r="37050" s="3161" customFormat="1" ht="12.75"/>
    <row r="37051" s="3161" customFormat="1" ht="12.75"/>
    <row r="37052" s="3161" customFormat="1" ht="12.75"/>
    <row r="37053" s="3161" customFormat="1" ht="12.75"/>
    <row r="37054" s="3161" customFormat="1" ht="12.75"/>
    <row r="37055" s="3161" customFormat="1" ht="12.75"/>
    <row r="37056" s="3161" customFormat="1" ht="12.75"/>
    <row r="37057" s="3161" customFormat="1" ht="12.75"/>
    <row r="37058" s="3161" customFormat="1" ht="12.75"/>
    <row r="37059" s="3161" customFormat="1" ht="12.75"/>
    <row r="37060" s="3161" customFormat="1" ht="12.75"/>
    <row r="37061" s="3161" customFormat="1" ht="12.75"/>
    <row r="37062" s="3161" customFormat="1" ht="12.75"/>
    <row r="37063" s="3161" customFormat="1" ht="12.75"/>
    <row r="37064" s="3161" customFormat="1" ht="12.75"/>
    <row r="37065" s="3161" customFormat="1" ht="12.75"/>
    <row r="37066" s="3161" customFormat="1" ht="12.75"/>
    <row r="37067" s="3161" customFormat="1" ht="12.75"/>
    <row r="37068" s="3161" customFormat="1" ht="12.75"/>
    <row r="37069" s="3161" customFormat="1" ht="12.75"/>
    <row r="37070" s="3161" customFormat="1" ht="12.75"/>
    <row r="37071" s="3161" customFormat="1" ht="12.75"/>
    <row r="37072" s="3161" customFormat="1" ht="12.75"/>
    <row r="37073" s="3161" customFormat="1" ht="12.75"/>
    <row r="37074" s="3161" customFormat="1" ht="12.75"/>
    <row r="37075" s="3161" customFormat="1" ht="12.75"/>
    <row r="37076" s="3161" customFormat="1" ht="12.75"/>
    <row r="37077" s="3161" customFormat="1" ht="12.75"/>
    <row r="37078" s="3161" customFormat="1" ht="12.75"/>
    <row r="37079" s="3161" customFormat="1" ht="12.75"/>
    <row r="37080" s="3161" customFormat="1" ht="12.75"/>
    <row r="37081" s="3161" customFormat="1" ht="12.75"/>
    <row r="37082" s="3161" customFormat="1" ht="12.75"/>
    <row r="37083" s="3161" customFormat="1" ht="12.75"/>
    <row r="37084" s="3161" customFormat="1" ht="12.75"/>
    <row r="37085" s="3161" customFormat="1" ht="12.75"/>
    <row r="37086" s="3161" customFormat="1" ht="12.75"/>
    <row r="37087" s="3161" customFormat="1" ht="12.75"/>
    <row r="37088" s="3161" customFormat="1" ht="12.75"/>
    <row r="37089" s="3161" customFormat="1" ht="12.75"/>
    <row r="37090" s="3161" customFormat="1" ht="12.75"/>
    <row r="37091" s="3161" customFormat="1" ht="12.75"/>
    <row r="37092" s="3161" customFormat="1" ht="12.75"/>
    <row r="37093" s="3161" customFormat="1" ht="12.75"/>
    <row r="37094" s="3161" customFormat="1" ht="12.75"/>
    <row r="37095" s="3161" customFormat="1" ht="12.75"/>
    <row r="37096" s="3161" customFormat="1" ht="12.75"/>
    <row r="37097" s="3161" customFormat="1" ht="12.75"/>
    <row r="37098" s="3161" customFormat="1" ht="12.75"/>
    <row r="37099" s="3161" customFormat="1" ht="12.75"/>
    <row r="37100" s="3161" customFormat="1" ht="12.75"/>
    <row r="37101" s="3161" customFormat="1" ht="12.75"/>
    <row r="37102" s="3161" customFormat="1" ht="12.75"/>
    <row r="37103" s="3161" customFormat="1" ht="12.75"/>
    <row r="37104" s="3161" customFormat="1" ht="12.75"/>
    <row r="37105" s="3161" customFormat="1" ht="12.75"/>
    <row r="37106" s="3161" customFormat="1" ht="12.75"/>
    <row r="37107" s="3161" customFormat="1" ht="12.75"/>
    <row r="37108" s="3161" customFormat="1" ht="12.75"/>
    <row r="37109" s="3161" customFormat="1" ht="12.75"/>
    <row r="37110" s="3161" customFormat="1" ht="12.75"/>
    <row r="37111" s="3161" customFormat="1" ht="12.75"/>
    <row r="37112" s="3161" customFormat="1" ht="12.75"/>
    <row r="37113" s="3161" customFormat="1" ht="12.75"/>
    <row r="37114" s="3161" customFormat="1" ht="12.75"/>
    <row r="37115" s="3161" customFormat="1" ht="12.75"/>
    <row r="37116" s="3161" customFormat="1" ht="12.75"/>
    <row r="37117" s="3161" customFormat="1" ht="12.75"/>
    <row r="37118" s="3161" customFormat="1" ht="12.75"/>
    <row r="37119" s="3161" customFormat="1" ht="12.75"/>
    <row r="37120" s="3161" customFormat="1" ht="12.75"/>
    <row r="37121" s="3161" customFormat="1" ht="12.75"/>
    <row r="37122" s="3161" customFormat="1" ht="12.75"/>
    <row r="37123" s="3161" customFormat="1" ht="12.75"/>
    <row r="37124" s="3161" customFormat="1" ht="12.75"/>
    <row r="37125" s="3161" customFormat="1" ht="12.75"/>
    <row r="37126" s="3161" customFormat="1" ht="12.75"/>
    <row r="37127" s="3161" customFormat="1" ht="12.75"/>
    <row r="37128" s="3161" customFormat="1" ht="12.75"/>
    <row r="37129" s="3161" customFormat="1" ht="12.75"/>
    <row r="37130" s="3161" customFormat="1" ht="12.75"/>
    <row r="37131" s="3161" customFormat="1" ht="12.75"/>
    <row r="37132" s="3161" customFormat="1" ht="12.75"/>
    <row r="37133" s="3161" customFormat="1" ht="12.75"/>
    <row r="37134" s="3161" customFormat="1" ht="12.75"/>
    <row r="37135" s="3161" customFormat="1" ht="12.75"/>
    <row r="37136" s="3161" customFormat="1" ht="12.75"/>
    <row r="37137" s="3161" customFormat="1" ht="12.75"/>
    <row r="37138" s="3161" customFormat="1" ht="12.75"/>
    <row r="37139" s="3161" customFormat="1" ht="12.75"/>
    <row r="37140" s="3161" customFormat="1" ht="12.75"/>
    <row r="37141" s="3161" customFormat="1" ht="12.75"/>
    <row r="37142" s="3161" customFormat="1" ht="12.75"/>
    <row r="37143" s="3161" customFormat="1" ht="12.75"/>
    <row r="37144" s="3161" customFormat="1" ht="12.75"/>
    <row r="37145" s="3161" customFormat="1" ht="12.75"/>
    <row r="37146" s="3161" customFormat="1" ht="12.75"/>
    <row r="37147" s="3161" customFormat="1" ht="12.75"/>
    <row r="37148" s="3161" customFormat="1" ht="12.75"/>
    <row r="37149" s="3161" customFormat="1" ht="12.75"/>
    <row r="37150" s="3161" customFormat="1" ht="12.75"/>
    <row r="37151" s="3161" customFormat="1" ht="12.75"/>
    <row r="37152" s="3161" customFormat="1" ht="12.75"/>
    <row r="37153" s="3161" customFormat="1" ht="12.75"/>
    <row r="37154" s="3161" customFormat="1" ht="12.75"/>
    <row r="37155" s="3161" customFormat="1" ht="12.75"/>
    <row r="37156" s="3161" customFormat="1" ht="12.75"/>
    <row r="37157" s="3161" customFormat="1" ht="12.75"/>
    <row r="37158" s="3161" customFormat="1" ht="12.75"/>
    <row r="37159" s="3161" customFormat="1" ht="12.75"/>
    <row r="37160" s="3161" customFormat="1" ht="12.75"/>
    <row r="37161" s="3161" customFormat="1" ht="12.75"/>
    <row r="37162" s="3161" customFormat="1" ht="12.75"/>
    <row r="37163" s="3161" customFormat="1" ht="12.75"/>
    <row r="37164" s="3161" customFormat="1" ht="12.75"/>
    <row r="37165" s="3161" customFormat="1" ht="12.75"/>
    <row r="37166" s="3161" customFormat="1" ht="12.75"/>
    <row r="37167" s="3161" customFormat="1" ht="12.75"/>
    <row r="37168" s="3161" customFormat="1" ht="12.75"/>
    <row r="37169" s="3161" customFormat="1" ht="12.75"/>
    <row r="37170" s="3161" customFormat="1" ht="12.75"/>
    <row r="37171" s="3161" customFormat="1" ht="12.75"/>
    <row r="37172" s="3161" customFormat="1" ht="12.75"/>
    <row r="37173" s="3161" customFormat="1" ht="12.75"/>
    <row r="37174" s="3161" customFormat="1" ht="12.75"/>
    <row r="37175" s="3161" customFormat="1" ht="12.75"/>
    <row r="37176" s="3161" customFormat="1" ht="12.75"/>
    <row r="37177" s="3161" customFormat="1" ht="12.75"/>
    <row r="37178" s="3161" customFormat="1" ht="12.75"/>
    <row r="37179" s="3161" customFormat="1" ht="12.75"/>
    <row r="37180" s="3161" customFormat="1" ht="12.75"/>
    <row r="37181" s="3161" customFormat="1" ht="12.75"/>
    <row r="37182" s="3161" customFormat="1" ht="12.75"/>
    <row r="37183" s="3161" customFormat="1" ht="12.75"/>
    <row r="37184" s="3161" customFormat="1" ht="12.75"/>
    <row r="37185" s="3161" customFormat="1" ht="12.75"/>
    <row r="37186" s="3161" customFormat="1" ht="12.75"/>
    <row r="37187" s="3161" customFormat="1" ht="12.75"/>
    <row r="37188" s="3161" customFormat="1" ht="12.75"/>
    <row r="37189" s="3161" customFormat="1" ht="12.75"/>
    <row r="37190" s="3161" customFormat="1" ht="12.75"/>
    <row r="37191" s="3161" customFormat="1" ht="12.75"/>
    <row r="37192" s="3161" customFormat="1" ht="12.75"/>
    <row r="37193" s="3161" customFormat="1" ht="12.75"/>
    <row r="37194" s="3161" customFormat="1" ht="12.75"/>
    <row r="37195" s="3161" customFormat="1" ht="12.75"/>
    <row r="37196" s="3161" customFormat="1" ht="12.75"/>
    <row r="37197" s="3161" customFormat="1" ht="12.75"/>
    <row r="37198" s="3161" customFormat="1" ht="12.75"/>
    <row r="37199" s="3161" customFormat="1" ht="12.75"/>
    <row r="37200" s="3161" customFormat="1" ht="12.75"/>
    <row r="37201" s="3161" customFormat="1" ht="12.75"/>
    <row r="37202" s="3161" customFormat="1" ht="12.75"/>
    <row r="37203" s="3161" customFormat="1" ht="12.75"/>
    <row r="37204" s="3161" customFormat="1" ht="12.75"/>
    <row r="37205" s="3161" customFormat="1" ht="12.75"/>
    <row r="37206" s="3161" customFormat="1" ht="12.75"/>
    <row r="37207" s="3161" customFormat="1" ht="12.75"/>
    <row r="37208" s="3161" customFormat="1" ht="12.75"/>
    <row r="37209" s="3161" customFormat="1" ht="12.75"/>
    <row r="37210" s="3161" customFormat="1" ht="12.75"/>
    <row r="37211" s="3161" customFormat="1" ht="12.75"/>
    <row r="37212" s="3161" customFormat="1" ht="12.75"/>
    <row r="37213" s="3161" customFormat="1" ht="12.75"/>
    <row r="37214" s="3161" customFormat="1" ht="12.75"/>
    <row r="37215" s="3161" customFormat="1" ht="12.75"/>
    <row r="37216" s="3161" customFormat="1" ht="12.75"/>
    <row r="37217" s="3161" customFormat="1" ht="12.75"/>
    <row r="37218" s="3161" customFormat="1" ht="12.75"/>
    <row r="37219" s="3161" customFormat="1" ht="12.75"/>
    <row r="37220" s="3161" customFormat="1" ht="12.75"/>
    <row r="37221" s="3161" customFormat="1" ht="12.75"/>
    <row r="37222" s="3161" customFormat="1" ht="12.75"/>
    <row r="37223" s="3161" customFormat="1" ht="12.75"/>
    <row r="37224" s="3161" customFormat="1" ht="12.75"/>
    <row r="37225" s="3161" customFormat="1" ht="12.75"/>
    <row r="37226" s="3161" customFormat="1" ht="12.75"/>
    <row r="37227" s="3161" customFormat="1" ht="12.75"/>
    <row r="37228" s="3161" customFormat="1" ht="12.75"/>
    <row r="37229" s="3161" customFormat="1" ht="12.75"/>
    <row r="37230" s="3161" customFormat="1" ht="12.75"/>
    <row r="37231" s="3161" customFormat="1" ht="12.75"/>
    <row r="37232" s="3161" customFormat="1" ht="12.75"/>
    <row r="37233" s="3161" customFormat="1" ht="12.75"/>
    <row r="37234" s="3161" customFormat="1" ht="12.75"/>
    <row r="37235" s="3161" customFormat="1" ht="12.75"/>
    <row r="37236" s="3161" customFormat="1" ht="12.75"/>
    <row r="37237" s="3161" customFormat="1" ht="12.75"/>
    <row r="37238" s="3161" customFormat="1" ht="12.75"/>
    <row r="37239" s="3161" customFormat="1" ht="12.75"/>
    <row r="37240" s="3161" customFormat="1" ht="12.75"/>
    <row r="37241" s="3161" customFormat="1" ht="12.75"/>
    <row r="37242" s="3161" customFormat="1" ht="12.75"/>
    <row r="37243" s="3161" customFormat="1" ht="12.75"/>
    <row r="37244" s="3161" customFormat="1" ht="12.75"/>
    <row r="37245" s="3161" customFormat="1" ht="12.75"/>
    <row r="37246" s="3161" customFormat="1" ht="12.75"/>
    <row r="37247" s="3161" customFormat="1" ht="12.75"/>
    <row r="37248" s="3161" customFormat="1" ht="12.75"/>
    <row r="37249" s="3161" customFormat="1" ht="12.75"/>
    <row r="37250" s="3161" customFormat="1" ht="12.75"/>
    <row r="37251" s="3161" customFormat="1" ht="12.75"/>
    <row r="37252" s="3161" customFormat="1" ht="12.75"/>
    <row r="37253" s="3161" customFormat="1" ht="12.75"/>
    <row r="37254" s="3161" customFormat="1" ht="12.75"/>
    <row r="37255" s="3161" customFormat="1" ht="12.75"/>
    <row r="37256" s="3161" customFormat="1" ht="12.75"/>
    <row r="37257" s="3161" customFormat="1" ht="12.75"/>
    <row r="37258" s="3161" customFormat="1" ht="12.75"/>
    <row r="37259" s="3161" customFormat="1" ht="12.75"/>
    <row r="37260" s="3161" customFormat="1" ht="12.75"/>
    <row r="37261" s="3161" customFormat="1" ht="12.75"/>
    <row r="37262" s="3161" customFormat="1" ht="12.75"/>
    <row r="37263" s="3161" customFormat="1" ht="12.75"/>
    <row r="37264" s="3161" customFormat="1" ht="12.75"/>
    <row r="37265" s="3161" customFormat="1" ht="12.75"/>
    <row r="37266" s="3161" customFormat="1" ht="12.75"/>
    <row r="37267" s="3161" customFormat="1" ht="12.75"/>
    <row r="37268" s="3161" customFormat="1" ht="12.75"/>
    <row r="37269" s="3161" customFormat="1" ht="12.75"/>
    <row r="37270" s="3161" customFormat="1" ht="12.75"/>
    <row r="37271" s="3161" customFormat="1" ht="12.75"/>
    <row r="37272" s="3161" customFormat="1" ht="12.75"/>
    <row r="37273" s="3161" customFormat="1" ht="12.75"/>
    <row r="37274" s="3161" customFormat="1" ht="12.75"/>
    <row r="37275" s="3161" customFormat="1" ht="12.75"/>
    <row r="37276" s="3161" customFormat="1" ht="12.75"/>
    <row r="37277" s="3161" customFormat="1" ht="12.75"/>
    <row r="37278" s="3161" customFormat="1" ht="12.75"/>
    <row r="37279" s="3161" customFormat="1" ht="12.75"/>
    <row r="37280" s="3161" customFormat="1" ht="12.75"/>
    <row r="37281" s="3161" customFormat="1" ht="12.75"/>
    <row r="37282" s="3161" customFormat="1" ht="12.75"/>
    <row r="37283" s="3161" customFormat="1" ht="12.75"/>
    <row r="37284" s="3161" customFormat="1" ht="12.75"/>
    <row r="37285" s="3161" customFormat="1" ht="12.75"/>
    <row r="37286" s="3161" customFormat="1" ht="12.75"/>
    <row r="37287" s="3161" customFormat="1" ht="12.75"/>
    <row r="37288" s="3161" customFormat="1" ht="12.75"/>
    <row r="37289" s="3161" customFormat="1" ht="12.75"/>
    <row r="37290" s="3161" customFormat="1" ht="12.75"/>
    <row r="37291" s="3161" customFormat="1" ht="12.75"/>
    <row r="37292" s="3161" customFormat="1" ht="12.75"/>
    <row r="37293" s="3161" customFormat="1" ht="12.75"/>
    <row r="37294" s="3161" customFormat="1" ht="12.75"/>
    <row r="37295" s="3161" customFormat="1" ht="12.75"/>
    <row r="37296" s="3161" customFormat="1" ht="12.75"/>
    <row r="37297" s="3161" customFormat="1" ht="12.75"/>
    <row r="37298" s="3161" customFormat="1" ht="12.75"/>
    <row r="37299" s="3161" customFormat="1" ht="12.75"/>
    <row r="37300" s="3161" customFormat="1" ht="12.75"/>
    <row r="37301" s="3161" customFormat="1" ht="12.75"/>
    <row r="37302" s="3161" customFormat="1" ht="12.75"/>
    <row r="37303" s="3161" customFormat="1" ht="12.75"/>
    <row r="37304" s="3161" customFormat="1" ht="12.75"/>
    <row r="37305" s="3161" customFormat="1" ht="12.75"/>
    <row r="37306" s="3161" customFormat="1" ht="12.75"/>
    <row r="37307" s="3161" customFormat="1" ht="12.75"/>
    <row r="37308" s="3161" customFormat="1" ht="12.75"/>
    <row r="37309" s="3161" customFormat="1" ht="12.75"/>
    <row r="37310" s="3161" customFormat="1" ht="12.75"/>
    <row r="37311" s="3161" customFormat="1" ht="12.75"/>
    <row r="37312" s="3161" customFormat="1" ht="12.75"/>
    <row r="37313" s="3161" customFormat="1" ht="12.75"/>
    <row r="37314" s="3161" customFormat="1" ht="12.75"/>
    <row r="37315" s="3161" customFormat="1" ht="12.75"/>
    <row r="37316" s="3161" customFormat="1" ht="12.75"/>
    <row r="37317" s="3161" customFormat="1" ht="12.75"/>
    <row r="37318" s="3161" customFormat="1" ht="12.75"/>
    <row r="37319" s="3161" customFormat="1" ht="12.75"/>
    <row r="37320" s="3161" customFormat="1" ht="12.75"/>
    <row r="37321" s="3161" customFormat="1" ht="12.75"/>
    <row r="37322" s="3161" customFormat="1" ht="12.75"/>
    <row r="37323" s="3161" customFormat="1" ht="12.75"/>
    <row r="37324" s="3161" customFormat="1" ht="12.75"/>
    <row r="37325" s="3161" customFormat="1" ht="12.75"/>
    <row r="37326" s="3161" customFormat="1" ht="12.75"/>
    <row r="37327" s="3161" customFormat="1" ht="12.75"/>
    <row r="37328" s="3161" customFormat="1" ht="12.75"/>
    <row r="37329" s="3161" customFormat="1" ht="12.75"/>
    <row r="37330" s="3161" customFormat="1" ht="12.75"/>
    <row r="37331" s="3161" customFormat="1" ht="12.75"/>
    <row r="37332" s="3161" customFormat="1" ht="12.75"/>
    <row r="37333" s="3161" customFormat="1" ht="12.75"/>
    <row r="37334" s="3161" customFormat="1" ht="12.75"/>
    <row r="37335" s="3161" customFormat="1" ht="12.75"/>
    <row r="37336" s="3161" customFormat="1" ht="12.75"/>
    <row r="37337" s="3161" customFormat="1" ht="12.75"/>
    <row r="37338" s="3161" customFormat="1" ht="12.75"/>
    <row r="37339" s="3161" customFormat="1" ht="12.75"/>
    <row r="37340" s="3161" customFormat="1" ht="12.75"/>
    <row r="37341" s="3161" customFormat="1" ht="12.75"/>
    <row r="37342" s="3161" customFormat="1" ht="12.75"/>
    <row r="37343" s="3161" customFormat="1" ht="12.75"/>
    <row r="37344" s="3161" customFormat="1" ht="12.75"/>
    <row r="37345" s="3161" customFormat="1" ht="12.75"/>
    <row r="37346" s="3161" customFormat="1" ht="12.75"/>
    <row r="37347" s="3161" customFormat="1" ht="12.75"/>
    <row r="37348" s="3161" customFormat="1" ht="12.75"/>
    <row r="37349" s="3161" customFormat="1" ht="12.75"/>
    <row r="37350" s="3161" customFormat="1" ht="12.75"/>
    <row r="37351" s="3161" customFormat="1" ht="12.75"/>
    <row r="37352" s="3161" customFormat="1" ht="12.75"/>
    <row r="37353" s="3161" customFormat="1" ht="12.75"/>
    <row r="37354" s="3161" customFormat="1" ht="12.75"/>
    <row r="37355" s="3161" customFormat="1" ht="12.75"/>
    <row r="37356" s="3161" customFormat="1" ht="12.75"/>
    <row r="37357" s="3161" customFormat="1" ht="12.75"/>
    <row r="37358" s="3161" customFormat="1" ht="12.75"/>
    <row r="37359" s="3161" customFormat="1" ht="12.75"/>
    <row r="37360" s="3161" customFormat="1" ht="12.75"/>
    <row r="37361" s="3161" customFormat="1" ht="12.75"/>
    <row r="37362" s="3161" customFormat="1" ht="12.75"/>
    <row r="37363" s="3161" customFormat="1" ht="12.75"/>
    <row r="37364" s="3161" customFormat="1" ht="12.75"/>
    <row r="37365" s="3161" customFormat="1" ht="12.75"/>
    <row r="37366" s="3161" customFormat="1" ht="12.75"/>
    <row r="37367" s="3161" customFormat="1" ht="12.75"/>
    <row r="37368" s="3161" customFormat="1" ht="12.75"/>
    <row r="37369" s="3161" customFormat="1" ht="12.75"/>
    <row r="37370" s="3161" customFormat="1" ht="12.75"/>
    <row r="37371" s="3161" customFormat="1" ht="12.75"/>
    <row r="37372" s="3161" customFormat="1" ht="12.75"/>
    <row r="37373" s="3161" customFormat="1" ht="12.75"/>
    <row r="37374" s="3161" customFormat="1" ht="12.75"/>
    <row r="37375" s="3161" customFormat="1" ht="12.75"/>
    <row r="37376" s="3161" customFormat="1" ht="12.75"/>
    <row r="37377" s="3161" customFormat="1" ht="12.75"/>
    <row r="37378" s="3161" customFormat="1" ht="12.75"/>
    <row r="37379" s="3161" customFormat="1" ht="12.75"/>
    <row r="37380" s="3161" customFormat="1" ht="12.75"/>
    <row r="37381" s="3161" customFormat="1" ht="12.75"/>
    <row r="37382" s="3161" customFormat="1" ht="12.75"/>
    <row r="37383" s="3161" customFormat="1" ht="12.75"/>
    <row r="37384" s="3161" customFormat="1" ht="12.75"/>
    <row r="37385" s="3161" customFormat="1" ht="12.75"/>
    <row r="37386" s="3161" customFormat="1" ht="12.75"/>
    <row r="37387" s="3161" customFormat="1" ht="12.75"/>
    <row r="37388" s="3161" customFormat="1" ht="12.75"/>
    <row r="37389" s="3161" customFormat="1" ht="12.75"/>
    <row r="37390" s="3161" customFormat="1" ht="12.75"/>
    <row r="37391" s="3161" customFormat="1" ht="12.75"/>
    <row r="37392" s="3161" customFormat="1" ht="12.75"/>
    <row r="37393" s="3161" customFormat="1" ht="12.75"/>
    <row r="37394" s="3161" customFormat="1" ht="12.75"/>
    <row r="37395" s="3161" customFormat="1" ht="12.75"/>
    <row r="37396" s="3161" customFormat="1" ht="12.75"/>
    <row r="37397" s="3161" customFormat="1" ht="12.75"/>
    <row r="37398" s="3161" customFormat="1" ht="12.75"/>
    <row r="37399" s="3161" customFormat="1" ht="12.75"/>
    <row r="37400" s="3161" customFormat="1" ht="12.75"/>
    <row r="37401" s="3161" customFormat="1" ht="12.75"/>
    <row r="37402" s="3161" customFormat="1" ht="12.75"/>
    <row r="37403" s="3161" customFormat="1" ht="12.75"/>
    <row r="37404" s="3161" customFormat="1" ht="12.75"/>
    <row r="37405" s="3161" customFormat="1" ht="12.75"/>
    <row r="37406" s="3161" customFormat="1" ht="12.75"/>
    <row r="37407" s="3161" customFormat="1" ht="12.75"/>
    <row r="37408" s="3161" customFormat="1" ht="12.75"/>
    <row r="37409" s="3161" customFormat="1" ht="12.75"/>
    <row r="37410" s="3161" customFormat="1" ht="12.75"/>
    <row r="37411" s="3161" customFormat="1" ht="12.75"/>
    <row r="37412" s="3161" customFormat="1" ht="12.75"/>
    <row r="37413" s="3161" customFormat="1" ht="12.75"/>
    <row r="37414" s="3161" customFormat="1" ht="12.75"/>
    <row r="37415" s="3161" customFormat="1" ht="12.75"/>
    <row r="37416" s="3161" customFormat="1" ht="12.75"/>
    <row r="37417" s="3161" customFormat="1" ht="12.75"/>
    <row r="37418" s="3161" customFormat="1" ht="12.75"/>
    <row r="37419" s="3161" customFormat="1" ht="12.75"/>
    <row r="37420" s="3161" customFormat="1" ht="12.75"/>
    <row r="37421" s="3161" customFormat="1" ht="12.75"/>
    <row r="37422" s="3161" customFormat="1" ht="12.75"/>
    <row r="37423" s="3161" customFormat="1" ht="12.75"/>
    <row r="37424" s="3161" customFormat="1" ht="12.75"/>
    <row r="37425" s="3161" customFormat="1" ht="12.75"/>
    <row r="37426" s="3161" customFormat="1" ht="12.75"/>
    <row r="37427" s="3161" customFormat="1" ht="12.75"/>
    <row r="37428" s="3161" customFormat="1" ht="12.75"/>
    <row r="37429" s="3161" customFormat="1" ht="12.75"/>
    <row r="37430" s="3161" customFormat="1" ht="12.75"/>
    <row r="37431" s="3161" customFormat="1" ht="12.75"/>
    <row r="37432" s="3161" customFormat="1" ht="12.75"/>
    <row r="37433" s="3161" customFormat="1" ht="12.75"/>
    <row r="37434" s="3161" customFormat="1" ht="12.75"/>
    <row r="37435" s="3161" customFormat="1" ht="12.75"/>
    <row r="37436" s="3161" customFormat="1" ht="12.75"/>
    <row r="37437" s="3161" customFormat="1" ht="12.75"/>
    <row r="37438" s="3161" customFormat="1" ht="12.75"/>
    <row r="37439" s="3161" customFormat="1" ht="12.75"/>
    <row r="37440" s="3161" customFormat="1" ht="12.75"/>
    <row r="37441" s="3161" customFormat="1" ht="12.75"/>
    <row r="37442" s="3161" customFormat="1" ht="12.75"/>
    <row r="37443" s="3161" customFormat="1" ht="12.75"/>
    <row r="37444" s="3161" customFormat="1" ht="12.75"/>
    <row r="37445" s="3161" customFormat="1" ht="12.75"/>
    <row r="37446" s="3161" customFormat="1" ht="12.75"/>
    <row r="37447" s="3161" customFormat="1" ht="12.75"/>
    <row r="37448" s="3161" customFormat="1" ht="12.75"/>
    <row r="37449" s="3161" customFormat="1" ht="12.75"/>
    <row r="37450" s="3161" customFormat="1" ht="12.75"/>
    <row r="37451" s="3161" customFormat="1" ht="12.75"/>
    <row r="37452" s="3161" customFormat="1" ht="12.75"/>
    <row r="37453" s="3161" customFormat="1" ht="12.75"/>
    <row r="37454" s="3161" customFormat="1" ht="12.75"/>
    <row r="37455" s="3161" customFormat="1" ht="12.75"/>
    <row r="37456" s="3161" customFormat="1" ht="12.75"/>
    <row r="37457" s="3161" customFormat="1" ht="12.75"/>
    <row r="37458" s="3161" customFormat="1" ht="12.75"/>
    <row r="37459" s="3161" customFormat="1" ht="12.75"/>
    <row r="37460" s="3161" customFormat="1" ht="12.75"/>
    <row r="37461" s="3161" customFormat="1" ht="12.75"/>
    <row r="37462" s="3161" customFormat="1" ht="12.75"/>
    <row r="37463" s="3161" customFormat="1" ht="12.75"/>
    <row r="37464" s="3161" customFormat="1" ht="12.75"/>
    <row r="37465" s="3161" customFormat="1" ht="12.75"/>
    <row r="37466" s="3161" customFormat="1" ht="12.75"/>
    <row r="37467" s="3161" customFormat="1" ht="12.75"/>
    <row r="37468" s="3161" customFormat="1" ht="12.75"/>
    <row r="37469" s="3161" customFormat="1" ht="12.75"/>
    <row r="37470" s="3161" customFormat="1" ht="12.75"/>
    <row r="37471" s="3161" customFormat="1" ht="12.75"/>
    <row r="37472" s="3161" customFormat="1" ht="12.75"/>
    <row r="37473" s="3161" customFormat="1" ht="12.75"/>
    <row r="37474" s="3161" customFormat="1" ht="12.75"/>
    <row r="37475" s="3161" customFormat="1" ht="12.75"/>
    <row r="37476" s="3161" customFormat="1" ht="12.75"/>
    <row r="37477" s="3161" customFormat="1" ht="12.75"/>
    <row r="37478" s="3161" customFormat="1" ht="12.75"/>
    <row r="37479" s="3161" customFormat="1" ht="12.75"/>
    <row r="37480" s="3161" customFormat="1" ht="12.75"/>
    <row r="37481" s="3161" customFormat="1" ht="12.75"/>
    <row r="37482" s="3161" customFormat="1" ht="12.75"/>
    <row r="37483" s="3161" customFormat="1" ht="12.75"/>
    <row r="37484" s="3161" customFormat="1" ht="12.75"/>
    <row r="37485" s="3161" customFormat="1" ht="12.75"/>
    <row r="37486" s="3161" customFormat="1" ht="12.75"/>
    <row r="37487" s="3161" customFormat="1" ht="12.75"/>
    <row r="37488" s="3161" customFormat="1" ht="12.75"/>
    <row r="37489" s="3161" customFormat="1" ht="12.75"/>
    <row r="37490" s="3161" customFormat="1" ht="12.75"/>
    <row r="37491" s="3161" customFormat="1" ht="12.75"/>
    <row r="37492" s="3161" customFormat="1" ht="12.75"/>
    <row r="37493" s="3161" customFormat="1" ht="12.75"/>
    <row r="37494" s="3161" customFormat="1" ht="12.75"/>
    <row r="37495" s="3161" customFormat="1" ht="12.75"/>
    <row r="37496" s="3161" customFormat="1" ht="12.75"/>
    <row r="37497" s="3161" customFormat="1" ht="12.75"/>
    <row r="37498" s="3161" customFormat="1" ht="12.75"/>
    <row r="37499" s="3161" customFormat="1" ht="12.75"/>
    <row r="37500" s="3161" customFormat="1" ht="12.75"/>
    <row r="37501" s="3161" customFormat="1" ht="12.75"/>
    <row r="37502" s="3161" customFormat="1" ht="12.75"/>
    <row r="37503" s="3161" customFormat="1" ht="12.75"/>
    <row r="37504" s="3161" customFormat="1" ht="12.75"/>
    <row r="37505" s="3161" customFormat="1" ht="12.75"/>
    <row r="37506" s="3161" customFormat="1" ht="12.75"/>
    <row r="37507" s="3161" customFormat="1" ht="12.75"/>
    <row r="37508" s="3161" customFormat="1" ht="12.75"/>
    <row r="37509" s="3161" customFormat="1" ht="12.75"/>
    <row r="37510" s="3161" customFormat="1" ht="12.75"/>
    <row r="37511" s="3161" customFormat="1" ht="12.75"/>
    <row r="37512" s="3161" customFormat="1" ht="12.75"/>
    <row r="37513" s="3161" customFormat="1" ht="12.75"/>
    <row r="37514" s="3161" customFormat="1" ht="12.75"/>
    <row r="37515" s="3161" customFormat="1" ht="12.75"/>
    <row r="37516" s="3161" customFormat="1" ht="12.75"/>
    <row r="37517" s="3161" customFormat="1" ht="12.75"/>
    <row r="37518" s="3161" customFormat="1" ht="12.75"/>
    <row r="37519" s="3161" customFormat="1" ht="12.75"/>
    <row r="37520" s="3161" customFormat="1" ht="12.75"/>
    <row r="37521" s="3161" customFormat="1" ht="12.75"/>
    <row r="37522" s="3161" customFormat="1" ht="12.75"/>
    <row r="37523" s="3161" customFormat="1" ht="12.75"/>
    <row r="37524" s="3161" customFormat="1" ht="12.75"/>
    <row r="37525" s="3161" customFormat="1" ht="12.75"/>
    <row r="37526" s="3161" customFormat="1" ht="12.75"/>
    <row r="37527" s="3161" customFormat="1" ht="12.75"/>
    <row r="37528" s="3161" customFormat="1" ht="12.75"/>
    <row r="37529" s="3161" customFormat="1" ht="12.75"/>
    <row r="37530" s="3161" customFormat="1" ht="12.75"/>
    <row r="37531" s="3161" customFormat="1" ht="12.75"/>
    <row r="37532" s="3161" customFormat="1" ht="12.75"/>
    <row r="37533" s="3161" customFormat="1" ht="12.75"/>
    <row r="37534" s="3161" customFormat="1" ht="12.75"/>
    <row r="37535" s="3161" customFormat="1" ht="12.75"/>
    <row r="37536" s="3161" customFormat="1" ht="12.75"/>
    <row r="37537" s="3161" customFormat="1" ht="12.75"/>
    <row r="37538" s="3161" customFormat="1" ht="12.75"/>
    <row r="37539" s="3161" customFormat="1" ht="12.75"/>
    <row r="37540" s="3161" customFormat="1" ht="12.75"/>
    <row r="37541" s="3161" customFormat="1" ht="12.75"/>
    <row r="37542" s="3161" customFormat="1" ht="12.75"/>
    <row r="37543" s="3161" customFormat="1" ht="12.75"/>
    <row r="37544" s="3161" customFormat="1" ht="12.75"/>
    <row r="37545" s="3161" customFormat="1" ht="12.75"/>
    <row r="37546" s="3161" customFormat="1" ht="12.75"/>
    <row r="37547" s="3161" customFormat="1" ht="12.75"/>
    <row r="37548" s="3161" customFormat="1" ht="12.75"/>
    <row r="37549" s="3161" customFormat="1" ht="12.75"/>
    <row r="37550" s="3161" customFormat="1" ht="12.75"/>
    <row r="37551" s="3161" customFormat="1" ht="12.75"/>
    <row r="37552" s="3161" customFormat="1" ht="12.75"/>
    <row r="37553" s="3161" customFormat="1" ht="12.75"/>
    <row r="37554" s="3161" customFormat="1" ht="12.75"/>
    <row r="37555" s="3161" customFormat="1" ht="12.75"/>
    <row r="37556" s="3161" customFormat="1" ht="12.75"/>
    <row r="37557" s="3161" customFormat="1" ht="12.75"/>
    <row r="37558" s="3161" customFormat="1" ht="12.75"/>
    <row r="37559" s="3161" customFormat="1" ht="12.75"/>
    <row r="37560" s="3161" customFormat="1" ht="12.75"/>
    <row r="37561" s="3161" customFormat="1" ht="12.75"/>
    <row r="37562" s="3161" customFormat="1" ht="12.75"/>
    <row r="37563" s="3161" customFormat="1" ht="12.75"/>
    <row r="37564" s="3161" customFormat="1" ht="12.75"/>
    <row r="37565" s="3161" customFormat="1" ht="12.75"/>
    <row r="37566" s="3161" customFormat="1" ht="12.75"/>
    <row r="37567" s="3161" customFormat="1" ht="12.75"/>
    <row r="37568" s="3161" customFormat="1" ht="12.75"/>
    <row r="37569" s="3161" customFormat="1" ht="12.75"/>
    <row r="37570" s="3161" customFormat="1" ht="12.75"/>
    <row r="37571" s="3161" customFormat="1" ht="12.75"/>
    <row r="37572" s="3161" customFormat="1" ht="12.75"/>
    <row r="37573" s="3161" customFormat="1" ht="12.75"/>
    <row r="37574" s="3161" customFormat="1" ht="12.75"/>
    <row r="37575" s="3161" customFormat="1" ht="12.75"/>
    <row r="37576" s="3161" customFormat="1" ht="12.75"/>
    <row r="37577" s="3161" customFormat="1" ht="12.75"/>
    <row r="37578" s="3161" customFormat="1" ht="12.75"/>
    <row r="37579" s="3161" customFormat="1" ht="12.75"/>
    <row r="37580" s="3161" customFormat="1" ht="12.75"/>
    <row r="37581" s="3161" customFormat="1" ht="12.75"/>
    <row r="37582" s="3161" customFormat="1" ht="12.75"/>
    <row r="37583" s="3161" customFormat="1" ht="12.75"/>
    <row r="37584" s="3161" customFormat="1" ht="12.75"/>
    <row r="37585" s="3161" customFormat="1" ht="12.75"/>
    <row r="37586" s="3161" customFormat="1" ht="12.75"/>
    <row r="37587" s="3161" customFormat="1" ht="12.75"/>
    <row r="37588" s="3161" customFormat="1" ht="12.75"/>
    <row r="37589" s="3161" customFormat="1" ht="12.75"/>
    <row r="37590" s="3161" customFormat="1" ht="12.75"/>
    <row r="37591" s="3161" customFormat="1" ht="12.75"/>
    <row r="37592" s="3161" customFormat="1" ht="12.75"/>
    <row r="37593" s="3161" customFormat="1" ht="12.75"/>
    <row r="37594" s="3161" customFormat="1" ht="12.75"/>
    <row r="37595" s="3161" customFormat="1" ht="12.75"/>
    <row r="37596" s="3161" customFormat="1" ht="12.75"/>
    <row r="37597" s="3161" customFormat="1" ht="12.75"/>
    <row r="37598" s="3161" customFormat="1" ht="12.75"/>
    <row r="37599" s="3161" customFormat="1" ht="12.75"/>
    <row r="37600" s="3161" customFormat="1" ht="12.75"/>
    <row r="37601" s="3161" customFormat="1" ht="12.75"/>
    <row r="37602" s="3161" customFormat="1" ht="12.75"/>
    <row r="37603" s="3161" customFormat="1" ht="12.75"/>
    <row r="37604" s="3161" customFormat="1" ht="12.75"/>
    <row r="37605" s="3161" customFormat="1" ht="12.75"/>
    <row r="37606" s="3161" customFormat="1" ht="12.75"/>
    <row r="37607" s="3161" customFormat="1" ht="12.75"/>
    <row r="37608" s="3161" customFormat="1" ht="12.75"/>
    <row r="37609" s="3161" customFormat="1" ht="12.75"/>
    <row r="37610" s="3161" customFormat="1" ht="12.75"/>
    <row r="37611" s="3161" customFormat="1" ht="12.75"/>
    <row r="37612" s="3161" customFormat="1" ht="12.75"/>
    <row r="37613" s="3161" customFormat="1" ht="12.75"/>
    <row r="37614" s="3161" customFormat="1" ht="12.75"/>
    <row r="37615" s="3161" customFormat="1" ht="12.75"/>
    <row r="37616" s="3161" customFormat="1" ht="12.75"/>
    <row r="37617" s="3161" customFormat="1" ht="12.75"/>
    <row r="37618" s="3161" customFormat="1" ht="12.75"/>
    <row r="37619" s="3161" customFormat="1" ht="12.75"/>
    <row r="37620" s="3161" customFormat="1" ht="12.75"/>
    <row r="37621" s="3161" customFormat="1" ht="12.75"/>
    <row r="37622" s="3161" customFormat="1" ht="12.75"/>
    <row r="37623" s="3161" customFormat="1" ht="12.75"/>
    <row r="37624" s="3161" customFormat="1" ht="12.75"/>
    <row r="37625" s="3161" customFormat="1" ht="12.75"/>
    <row r="37626" s="3161" customFormat="1" ht="12.75"/>
    <row r="37627" s="3161" customFormat="1" ht="12.75"/>
    <row r="37628" s="3161" customFormat="1" ht="12.75"/>
    <row r="37629" s="3161" customFormat="1" ht="12.75"/>
    <row r="37630" s="3161" customFormat="1" ht="12.75"/>
    <row r="37631" s="3161" customFormat="1" ht="12.75"/>
    <row r="37632" s="3161" customFormat="1" ht="12.75"/>
    <row r="37633" s="3161" customFormat="1" ht="12.75"/>
    <row r="37634" s="3161" customFormat="1" ht="12.75"/>
    <row r="37635" s="3161" customFormat="1" ht="12.75"/>
    <row r="37636" s="3161" customFormat="1" ht="12.75"/>
    <row r="37637" s="3161" customFormat="1" ht="12.75"/>
    <row r="37638" s="3161" customFormat="1" ht="12.75"/>
    <row r="37639" s="3161" customFormat="1" ht="12.75"/>
    <row r="37640" s="3161" customFormat="1" ht="12.75"/>
    <row r="37641" s="3161" customFormat="1" ht="12.75"/>
    <row r="37642" s="3161" customFormat="1" ht="12.75"/>
    <row r="37643" s="3161" customFormat="1" ht="12.75"/>
    <row r="37644" s="3161" customFormat="1" ht="12.75"/>
    <row r="37645" s="3161" customFormat="1" ht="12.75"/>
    <row r="37646" s="3161" customFormat="1" ht="12.75"/>
    <row r="37647" s="3161" customFormat="1" ht="12.75"/>
    <row r="37648" s="3161" customFormat="1" ht="12.75"/>
    <row r="37649" s="3161" customFormat="1" ht="12.75"/>
    <row r="37650" s="3161" customFormat="1" ht="12.75"/>
    <row r="37651" s="3161" customFormat="1" ht="12.75"/>
    <row r="37652" s="3161" customFormat="1" ht="12.75"/>
    <row r="37653" s="3161" customFormat="1" ht="12.75"/>
    <row r="37654" s="3161" customFormat="1" ht="12.75"/>
    <row r="37655" s="3161" customFormat="1" ht="12.75"/>
    <row r="37656" s="3161" customFormat="1" ht="12.75"/>
    <row r="37657" s="3161" customFormat="1" ht="12.75"/>
    <row r="37658" s="3161" customFormat="1" ht="12.75"/>
    <row r="37659" s="3161" customFormat="1" ht="12.75"/>
    <row r="37660" s="3161" customFormat="1" ht="12.75"/>
    <row r="37661" s="3161" customFormat="1" ht="12.75"/>
    <row r="37662" s="3161" customFormat="1" ht="12.75"/>
    <row r="37663" s="3161" customFormat="1" ht="12.75"/>
    <row r="37664" s="3161" customFormat="1" ht="12.75"/>
    <row r="37665" s="3161" customFormat="1" ht="12.75"/>
    <row r="37666" s="3161" customFormat="1" ht="12.75"/>
    <row r="37667" s="3161" customFormat="1" ht="12.75"/>
    <row r="37668" s="3161" customFormat="1" ht="12.75"/>
    <row r="37669" s="3161" customFormat="1" ht="12.75"/>
    <row r="37670" s="3161" customFormat="1" ht="12.75"/>
    <row r="37671" s="3161" customFormat="1" ht="12.75"/>
    <row r="37672" s="3161" customFormat="1" ht="12.75"/>
    <row r="37673" s="3161" customFormat="1" ht="12.75"/>
    <row r="37674" s="3161" customFormat="1" ht="12.75"/>
    <row r="37675" s="3161" customFormat="1" ht="12.75"/>
    <row r="37676" s="3161" customFormat="1" ht="12.75"/>
    <row r="37677" s="3161" customFormat="1" ht="12.75"/>
    <row r="37678" s="3161" customFormat="1" ht="12.75"/>
    <row r="37679" s="3161" customFormat="1" ht="12.75"/>
    <row r="37680" s="3161" customFormat="1" ht="12.75"/>
    <row r="37681" s="3161" customFormat="1" ht="12.75"/>
    <row r="37682" s="3161" customFormat="1" ht="12.75"/>
    <row r="37683" s="3161" customFormat="1" ht="12.75"/>
    <row r="37684" s="3161" customFormat="1" ht="12.75"/>
    <row r="37685" s="3161" customFormat="1" ht="12.75"/>
    <row r="37686" s="3161" customFormat="1" ht="12.75"/>
    <row r="37687" s="3161" customFormat="1" ht="12.75"/>
    <row r="37688" s="3161" customFormat="1" ht="12.75"/>
    <row r="37689" s="3161" customFormat="1" ht="12.75"/>
    <row r="37690" s="3161" customFormat="1" ht="12.75"/>
    <row r="37691" s="3161" customFormat="1" ht="12.75"/>
    <row r="37692" s="3161" customFormat="1" ht="12.75"/>
    <row r="37693" s="3161" customFormat="1" ht="12.75"/>
    <row r="37694" s="3161" customFormat="1" ht="12.75"/>
    <row r="37695" s="3161" customFormat="1" ht="12.75"/>
    <row r="37696" s="3161" customFormat="1" ht="12.75"/>
    <row r="37697" s="3161" customFormat="1" ht="12.75"/>
    <row r="37698" s="3161" customFormat="1" ht="12.75"/>
    <row r="37699" s="3161" customFormat="1" ht="12.75"/>
    <row r="37700" s="3161" customFormat="1" ht="12.75"/>
    <row r="37701" s="3161" customFormat="1" ht="12.75"/>
    <row r="37702" s="3161" customFormat="1" ht="12.75"/>
    <row r="37703" s="3161" customFormat="1" ht="12.75"/>
    <row r="37704" s="3161" customFormat="1" ht="12.75"/>
    <row r="37705" s="3161" customFormat="1" ht="12.75"/>
    <row r="37706" s="3161" customFormat="1" ht="12.75"/>
    <row r="37707" s="3161" customFormat="1" ht="12.75"/>
    <row r="37708" s="3161" customFormat="1" ht="12.75"/>
    <row r="37709" s="3161" customFormat="1" ht="12.75"/>
    <row r="37710" s="3161" customFormat="1" ht="12.75"/>
    <row r="37711" s="3161" customFormat="1" ht="12.75"/>
    <row r="37712" s="3161" customFormat="1" ht="12.75"/>
    <row r="37713" s="3161" customFormat="1" ht="12.75"/>
    <row r="37714" s="3161" customFormat="1" ht="12.75"/>
    <row r="37715" s="3161" customFormat="1" ht="12.75"/>
    <row r="37716" s="3161" customFormat="1" ht="12.75"/>
    <row r="37717" s="3161" customFormat="1" ht="12.75"/>
    <row r="37718" s="3161" customFormat="1" ht="12.75"/>
    <row r="37719" s="3161" customFormat="1" ht="12.75"/>
    <row r="37720" s="3161" customFormat="1" ht="12.75"/>
    <row r="37721" s="3161" customFormat="1" ht="12.75"/>
    <row r="37722" s="3161" customFormat="1" ht="12.75"/>
    <row r="37723" s="3161" customFormat="1" ht="12.75"/>
    <row r="37724" s="3161" customFormat="1" ht="12.75"/>
    <row r="37725" s="3161" customFormat="1" ht="12.75"/>
    <row r="37726" s="3161" customFormat="1" ht="12.75"/>
    <row r="37727" s="3161" customFormat="1" ht="12.75"/>
    <row r="37728" s="3161" customFormat="1" ht="12.75"/>
    <row r="37729" s="3161" customFormat="1" ht="12.75"/>
    <row r="37730" s="3161" customFormat="1" ht="12.75"/>
    <row r="37731" s="3161" customFormat="1" ht="12.75"/>
    <row r="37732" s="3161" customFormat="1" ht="12.75"/>
    <row r="37733" s="3161" customFormat="1" ht="12.75"/>
    <row r="37734" s="3161" customFormat="1" ht="12.75"/>
    <row r="37735" s="3161" customFormat="1" ht="12.75"/>
    <row r="37736" s="3161" customFormat="1" ht="12.75"/>
    <row r="37737" s="3161" customFormat="1" ht="12.75"/>
    <row r="37738" s="3161" customFormat="1" ht="12.75"/>
    <row r="37739" s="3161" customFormat="1" ht="12.75"/>
    <row r="37740" s="3161" customFormat="1" ht="12.75"/>
    <row r="37741" s="3161" customFormat="1" ht="12.75"/>
    <row r="37742" s="3161" customFormat="1" ht="12.75"/>
    <row r="37743" s="3161" customFormat="1" ht="12.75"/>
    <row r="37744" s="3161" customFormat="1" ht="12.75"/>
    <row r="37745" s="3161" customFormat="1" ht="12.75"/>
    <row r="37746" s="3161" customFormat="1" ht="12.75"/>
    <row r="37747" s="3161" customFormat="1" ht="12.75"/>
    <row r="37748" s="3161" customFormat="1" ht="12.75"/>
    <row r="37749" s="3161" customFormat="1" ht="12.75"/>
    <row r="37750" s="3161" customFormat="1" ht="12.75"/>
    <row r="37751" s="3161" customFormat="1" ht="12.75"/>
    <row r="37752" s="3161" customFormat="1" ht="12.75"/>
    <row r="37753" s="3161" customFormat="1" ht="12.75"/>
    <row r="37754" s="3161" customFormat="1" ht="12.75"/>
    <row r="37755" s="3161" customFormat="1" ht="12.75"/>
    <row r="37756" s="3161" customFormat="1" ht="12.75"/>
    <row r="37757" s="3161" customFormat="1" ht="12.75"/>
    <row r="37758" s="3161" customFormat="1" ht="12.75"/>
    <row r="37759" s="3161" customFormat="1" ht="12.75"/>
    <row r="37760" s="3161" customFormat="1" ht="12.75"/>
    <row r="37761" s="3161" customFormat="1" ht="12.75"/>
    <row r="37762" s="3161" customFormat="1" ht="12.75"/>
    <row r="37763" s="3161" customFormat="1" ht="12.75"/>
    <row r="37764" s="3161" customFormat="1" ht="12.75"/>
    <row r="37765" s="3161" customFormat="1" ht="12.75"/>
    <row r="37766" s="3161" customFormat="1" ht="12.75"/>
    <row r="37767" s="3161" customFormat="1" ht="12.75"/>
    <row r="37768" s="3161" customFormat="1" ht="12.75"/>
    <row r="37769" s="3161" customFormat="1" ht="12.75"/>
    <row r="37770" s="3161" customFormat="1" ht="12.75"/>
    <row r="37771" s="3161" customFormat="1" ht="12.75"/>
    <row r="37772" s="3161" customFormat="1" ht="12.75"/>
    <row r="37773" s="3161" customFormat="1" ht="12.75"/>
    <row r="37774" s="3161" customFormat="1" ht="12.75"/>
    <row r="37775" s="3161" customFormat="1" ht="12.75"/>
    <row r="37776" s="3161" customFormat="1" ht="12.75"/>
    <row r="37777" s="3161" customFormat="1" ht="12.75"/>
    <row r="37778" s="3161" customFormat="1" ht="12.75"/>
    <row r="37779" s="3161" customFormat="1" ht="12.75"/>
    <row r="37780" s="3161" customFormat="1" ht="12.75"/>
    <row r="37781" s="3161" customFormat="1" ht="12.75"/>
    <row r="37782" s="3161" customFormat="1" ht="12.75"/>
    <row r="37783" s="3161" customFormat="1" ht="12.75"/>
    <row r="37784" s="3161" customFormat="1" ht="12.75"/>
    <row r="37785" s="3161" customFormat="1" ht="12.75"/>
    <row r="37786" s="3161" customFormat="1" ht="12.75"/>
    <row r="37787" s="3161" customFormat="1" ht="12.75"/>
    <row r="37788" s="3161" customFormat="1" ht="12.75"/>
    <row r="37789" s="3161" customFormat="1" ht="12.75"/>
    <row r="37790" s="3161" customFormat="1" ht="12.75"/>
    <row r="37791" s="3161" customFormat="1" ht="12.75"/>
    <row r="37792" s="3161" customFormat="1" ht="12.75"/>
    <row r="37793" s="3161" customFormat="1" ht="12.75"/>
    <row r="37794" s="3161" customFormat="1" ht="12.75"/>
    <row r="37795" s="3161" customFormat="1" ht="12.75"/>
    <row r="37796" s="3161" customFormat="1" ht="12.75"/>
    <row r="37797" s="3161" customFormat="1" ht="12.75"/>
    <row r="37798" s="3161" customFormat="1" ht="12.75"/>
    <row r="37799" s="3161" customFormat="1" ht="12.75"/>
    <row r="37800" s="3161" customFormat="1" ht="12.75"/>
    <row r="37801" s="3161" customFormat="1" ht="12.75"/>
    <row r="37802" s="3161" customFormat="1" ht="12.75"/>
    <row r="37803" s="3161" customFormat="1" ht="12.75"/>
    <row r="37804" s="3161" customFormat="1" ht="12.75"/>
    <row r="37805" s="3161" customFormat="1" ht="12.75"/>
    <row r="37806" s="3161" customFormat="1" ht="12.75"/>
    <row r="37807" s="3161" customFormat="1" ht="12.75"/>
    <row r="37808" s="3161" customFormat="1" ht="12.75"/>
    <row r="37809" s="3161" customFormat="1" ht="12.75"/>
    <row r="37810" s="3161" customFormat="1" ht="12.75"/>
    <row r="37811" s="3161" customFormat="1" ht="12.75"/>
    <row r="37812" s="3161" customFormat="1" ht="12.75"/>
    <row r="37813" s="3161" customFormat="1" ht="12.75"/>
    <row r="37814" s="3161" customFormat="1" ht="12.75"/>
    <row r="37815" s="3161" customFormat="1" ht="12.75"/>
    <row r="37816" s="3161" customFormat="1" ht="12.75"/>
    <row r="37817" s="3161" customFormat="1" ht="12.75"/>
    <row r="37818" s="3161" customFormat="1" ht="12.75"/>
    <row r="37819" s="3161" customFormat="1" ht="12.75"/>
    <row r="37820" s="3161" customFormat="1" ht="12.75"/>
    <row r="37821" s="3161" customFormat="1" ht="12.75"/>
    <row r="37822" s="3161" customFormat="1" ht="12.75"/>
    <row r="37823" s="3161" customFormat="1" ht="12.75"/>
    <row r="37824" s="3161" customFormat="1" ht="12.75"/>
    <row r="37825" s="3161" customFormat="1" ht="12.75"/>
    <row r="37826" s="3161" customFormat="1" ht="12.75"/>
    <row r="37827" s="3161" customFormat="1" ht="12.75"/>
    <row r="37828" s="3161" customFormat="1" ht="12.75"/>
    <row r="37829" s="3161" customFormat="1" ht="12.75"/>
    <row r="37830" s="3161" customFormat="1" ht="12.75"/>
    <row r="37831" s="3161" customFormat="1" ht="12.75"/>
    <row r="37832" s="3161" customFormat="1" ht="12.75"/>
    <row r="37833" s="3161" customFormat="1" ht="12.75"/>
    <row r="37834" s="3161" customFormat="1" ht="12.75"/>
    <row r="37835" s="3161" customFormat="1" ht="12.75"/>
    <row r="37836" s="3161" customFormat="1" ht="12.75"/>
    <row r="37837" s="3161" customFormat="1" ht="12.75"/>
    <row r="37838" s="3161" customFormat="1" ht="12.75"/>
    <row r="37839" s="3161" customFormat="1" ht="12.75"/>
    <row r="37840" s="3161" customFormat="1" ht="12.75"/>
    <row r="37841" s="3161" customFormat="1" ht="12.75"/>
    <row r="37842" s="3161" customFormat="1" ht="12.75"/>
    <row r="37843" s="3161" customFormat="1" ht="12.75"/>
    <row r="37844" s="3161" customFormat="1" ht="12.75"/>
    <row r="37845" s="3161" customFormat="1" ht="12.75"/>
    <row r="37846" s="3161" customFormat="1" ht="12.75"/>
    <row r="37847" s="3161" customFormat="1" ht="12.75"/>
    <row r="37848" s="3161" customFormat="1" ht="12.75"/>
    <row r="37849" s="3161" customFormat="1" ht="12.75"/>
    <row r="37850" s="3161" customFormat="1" ht="12.75"/>
    <row r="37851" s="3161" customFormat="1" ht="12.75"/>
    <row r="37852" s="3161" customFormat="1" ht="12.75"/>
    <row r="37853" s="3161" customFormat="1" ht="12.75"/>
    <row r="37854" s="3161" customFormat="1" ht="12.75"/>
    <row r="37855" s="3161" customFormat="1" ht="12.75"/>
    <row r="37856" s="3161" customFormat="1" ht="12.75"/>
    <row r="37857" s="3161" customFormat="1" ht="12.75"/>
    <row r="37858" s="3161" customFormat="1" ht="12.75"/>
    <row r="37859" s="3161" customFormat="1" ht="12.75"/>
    <row r="37860" s="3161" customFormat="1" ht="12.75"/>
    <row r="37861" s="3161" customFormat="1" ht="12.75"/>
    <row r="37862" s="3161" customFormat="1" ht="12.75"/>
    <row r="37863" s="3161" customFormat="1" ht="12.75"/>
    <row r="37864" s="3161" customFormat="1" ht="12.75"/>
    <row r="37865" s="3161" customFormat="1" ht="12.75"/>
    <row r="37866" s="3161" customFormat="1" ht="12.75"/>
    <row r="37867" s="3161" customFormat="1" ht="12.75"/>
    <row r="37868" s="3161" customFormat="1" ht="12.75"/>
    <row r="37869" s="3161" customFormat="1" ht="12.75"/>
    <row r="37870" s="3161" customFormat="1" ht="12.75"/>
    <row r="37871" s="3161" customFormat="1" ht="12.75"/>
    <row r="37872" s="3161" customFormat="1" ht="12.75"/>
    <row r="37873" s="3161" customFormat="1" ht="12.75"/>
    <row r="37874" s="3161" customFormat="1" ht="12.75"/>
    <row r="37875" s="3161" customFormat="1" ht="12.75"/>
    <row r="37876" s="3161" customFormat="1" ht="12.75"/>
    <row r="37877" s="3161" customFormat="1" ht="12.75"/>
    <row r="37878" s="3161" customFormat="1" ht="12.75"/>
    <row r="37879" s="3161" customFormat="1" ht="12.75"/>
    <row r="37880" s="3161" customFormat="1" ht="12.75"/>
    <row r="37881" s="3161" customFormat="1" ht="12.75"/>
    <row r="37882" s="3161" customFormat="1" ht="12.75"/>
    <row r="37883" s="3161" customFormat="1" ht="12.75"/>
    <row r="37884" s="3161" customFormat="1" ht="12.75"/>
    <row r="37885" s="3161" customFormat="1" ht="12.75"/>
    <row r="37886" s="3161" customFormat="1" ht="12.75"/>
    <row r="37887" s="3161" customFormat="1" ht="12.75"/>
    <row r="37888" s="3161" customFormat="1" ht="12.75"/>
    <row r="37889" s="3161" customFormat="1" ht="12.75"/>
    <row r="37890" s="3161" customFormat="1" ht="12.75"/>
    <row r="37891" s="3161" customFormat="1" ht="12.75"/>
    <row r="37892" s="3161" customFormat="1" ht="12.75"/>
    <row r="37893" s="3161" customFormat="1" ht="12.75"/>
    <row r="37894" s="3161" customFormat="1" ht="12.75"/>
    <row r="37895" s="3161" customFormat="1" ht="12.75"/>
    <row r="37896" s="3161" customFormat="1" ht="12.75"/>
    <row r="37897" s="3161" customFormat="1" ht="12.75"/>
    <row r="37898" s="3161" customFormat="1" ht="12.75"/>
    <row r="37899" s="3161" customFormat="1" ht="12.75"/>
    <row r="37900" s="3161" customFormat="1" ht="12.75"/>
    <row r="37901" s="3161" customFormat="1" ht="12.75"/>
    <row r="37902" s="3161" customFormat="1" ht="12.75"/>
    <row r="37903" s="3161" customFormat="1" ht="12.75"/>
    <row r="37904" s="3161" customFormat="1" ht="12.75"/>
    <row r="37905" s="3161" customFormat="1" ht="12.75"/>
    <row r="37906" s="3161" customFormat="1" ht="12.75"/>
    <row r="37907" s="3161" customFormat="1" ht="12.75"/>
    <row r="37908" s="3161" customFormat="1" ht="12.75"/>
    <row r="37909" s="3161" customFormat="1" ht="12.75"/>
    <row r="37910" s="3161" customFormat="1" ht="12.75"/>
    <row r="37911" s="3161" customFormat="1" ht="12.75"/>
    <row r="37912" s="3161" customFormat="1" ht="12.75"/>
    <row r="37913" s="3161" customFormat="1" ht="12.75"/>
    <row r="37914" s="3161" customFormat="1" ht="12.75"/>
    <row r="37915" s="3161" customFormat="1" ht="12.75"/>
    <row r="37916" s="3161" customFormat="1" ht="12.75"/>
    <row r="37917" s="3161" customFormat="1" ht="12.75"/>
    <row r="37918" s="3161" customFormat="1" ht="12.75"/>
    <row r="37919" s="3161" customFormat="1" ht="12.75"/>
    <row r="37920" s="3161" customFormat="1" ht="12.75"/>
    <row r="37921" s="3161" customFormat="1" ht="12.75"/>
    <row r="37922" s="3161" customFormat="1" ht="12.75"/>
    <row r="37923" s="3161" customFormat="1" ht="12.75"/>
    <row r="37924" s="3161" customFormat="1" ht="12.75"/>
    <row r="37925" s="3161" customFormat="1" ht="12.75"/>
    <row r="37926" s="3161" customFormat="1" ht="12.75"/>
    <row r="37927" s="3161" customFormat="1" ht="12.75"/>
    <row r="37928" s="3161" customFormat="1" ht="12.75"/>
    <row r="37929" s="3161" customFormat="1" ht="12.75"/>
    <row r="37930" s="3161" customFormat="1" ht="12.75"/>
    <row r="37931" s="3161" customFormat="1" ht="12.75"/>
    <row r="37932" s="3161" customFormat="1" ht="12.75"/>
    <row r="37933" s="3161" customFormat="1" ht="12.75"/>
    <row r="37934" s="3161" customFormat="1" ht="12.75"/>
    <row r="37935" s="3161" customFormat="1" ht="12.75"/>
    <row r="37936" s="3161" customFormat="1" ht="12.75"/>
    <row r="37937" s="3161" customFormat="1" ht="12.75"/>
    <row r="37938" s="3161" customFormat="1" ht="12.75"/>
    <row r="37939" s="3161" customFormat="1" ht="12.75"/>
    <row r="37940" s="3161" customFormat="1" ht="12.75"/>
    <row r="37941" s="3161" customFormat="1" ht="12.75"/>
    <row r="37942" s="3161" customFormat="1" ht="12.75"/>
    <row r="37943" s="3161" customFormat="1" ht="12.75"/>
    <row r="37944" s="3161" customFormat="1" ht="12.75"/>
    <row r="37945" s="3161" customFormat="1" ht="12.75"/>
    <row r="37946" s="3161" customFormat="1" ht="12.75"/>
    <row r="37947" s="3161" customFormat="1" ht="12.75"/>
    <row r="37948" s="3161" customFormat="1" ht="12.75"/>
    <row r="37949" s="3161" customFormat="1" ht="12.75"/>
    <row r="37950" s="3161" customFormat="1" ht="12.75"/>
    <row r="37951" s="3161" customFormat="1" ht="12.75"/>
    <row r="37952" s="3161" customFormat="1" ht="12.75"/>
    <row r="37953" s="3161" customFormat="1" ht="12.75"/>
    <row r="37954" s="3161" customFormat="1" ht="12.75"/>
    <row r="37955" s="3161" customFormat="1" ht="12.75"/>
    <row r="37956" s="3161" customFormat="1" ht="12.75"/>
    <row r="37957" s="3161" customFormat="1" ht="12.75"/>
    <row r="37958" s="3161" customFormat="1" ht="12.75"/>
    <row r="37959" s="3161" customFormat="1" ht="12.75"/>
    <row r="37960" s="3161" customFormat="1" ht="12.75"/>
    <row r="37961" s="3161" customFormat="1" ht="12.75"/>
    <row r="37962" s="3161" customFormat="1" ht="12.75"/>
    <row r="37963" s="3161" customFormat="1" ht="12.75"/>
    <row r="37964" s="3161" customFormat="1" ht="12.75"/>
    <row r="37965" s="3161" customFormat="1" ht="12.75"/>
    <row r="37966" s="3161" customFormat="1" ht="12.75"/>
    <row r="37967" s="3161" customFormat="1" ht="12.75"/>
    <row r="37968" s="3161" customFormat="1" ht="12.75"/>
    <row r="37969" s="3161" customFormat="1" ht="12.75"/>
    <row r="37970" s="3161" customFormat="1" ht="12.75"/>
    <row r="37971" s="3161" customFormat="1" ht="12.75"/>
    <row r="37972" s="3161" customFormat="1" ht="12.75"/>
    <row r="37973" s="3161" customFormat="1" ht="12.75"/>
    <row r="37974" s="3161" customFormat="1" ht="12.75"/>
    <row r="37975" s="3161" customFormat="1" ht="12.75"/>
    <row r="37976" s="3161" customFormat="1" ht="12.75"/>
    <row r="37977" s="3161" customFormat="1" ht="12.75"/>
    <row r="37978" s="3161" customFormat="1" ht="12.75"/>
    <row r="37979" s="3161" customFormat="1" ht="12.75"/>
    <row r="37980" s="3161" customFormat="1" ht="12.75"/>
    <row r="37981" s="3161" customFormat="1" ht="12.75"/>
    <row r="37982" s="3161" customFormat="1" ht="12.75"/>
    <row r="37983" s="3161" customFormat="1" ht="12.75"/>
    <row r="37984" s="3161" customFormat="1" ht="12.75"/>
    <row r="37985" s="3161" customFormat="1" ht="12.75"/>
    <row r="37986" s="3161" customFormat="1" ht="12.75"/>
    <row r="37987" s="3161" customFormat="1" ht="12.75"/>
    <row r="37988" s="3161" customFormat="1" ht="12.75"/>
    <row r="37989" s="3161" customFormat="1" ht="12.75"/>
    <row r="37990" s="3161" customFormat="1" ht="12.75"/>
    <row r="37991" s="3161" customFormat="1" ht="12.75"/>
    <row r="37992" s="3161" customFormat="1" ht="12.75"/>
    <row r="37993" s="3161" customFormat="1" ht="12.75"/>
    <row r="37994" s="3161" customFormat="1" ht="12.75"/>
    <row r="37995" s="3161" customFormat="1" ht="12.75"/>
    <row r="37996" s="3161" customFormat="1" ht="12.75"/>
    <row r="37997" s="3161" customFormat="1" ht="12.75"/>
    <row r="37998" s="3161" customFormat="1" ht="12.75"/>
    <row r="37999" s="3161" customFormat="1" ht="12.75"/>
    <row r="38000" s="3161" customFormat="1" ht="12.75"/>
    <row r="38001" s="3161" customFormat="1" ht="12.75"/>
    <row r="38002" s="3161" customFormat="1" ht="12.75"/>
    <row r="38003" s="3161" customFormat="1" ht="12.75"/>
    <row r="38004" s="3161" customFormat="1" ht="12.75"/>
    <row r="38005" s="3161" customFormat="1" ht="12.75"/>
    <row r="38006" s="3161" customFormat="1" ht="12.75"/>
    <row r="38007" s="3161" customFormat="1" ht="12.75"/>
    <row r="38008" s="3161" customFormat="1" ht="12.75"/>
    <row r="38009" s="3161" customFormat="1" ht="12.75"/>
    <row r="38010" s="3161" customFormat="1" ht="12.75"/>
    <row r="38011" s="3161" customFormat="1" ht="12.75"/>
    <row r="38012" s="3161" customFormat="1" ht="12.75"/>
    <row r="38013" s="3161" customFormat="1" ht="12.75"/>
    <row r="38014" s="3161" customFormat="1" ht="12.75"/>
    <row r="38015" s="3161" customFormat="1" ht="12.75"/>
    <row r="38016" s="3161" customFormat="1" ht="12.75"/>
    <row r="38017" s="3161" customFormat="1" ht="12.75"/>
    <row r="38018" s="3161" customFormat="1" ht="12.75"/>
    <row r="38019" s="3161" customFormat="1" ht="12.75"/>
    <row r="38020" s="3161" customFormat="1" ht="12.75"/>
    <row r="38021" s="3161" customFormat="1" ht="12.75"/>
    <row r="38022" s="3161" customFormat="1" ht="12.75"/>
    <row r="38023" s="3161" customFormat="1" ht="12.75"/>
    <row r="38024" s="3161" customFormat="1" ht="12.75"/>
    <row r="38025" s="3161" customFormat="1" ht="12.75"/>
    <row r="38026" s="3161" customFormat="1" ht="12.75"/>
    <row r="38027" s="3161" customFormat="1" ht="12.75"/>
    <row r="38028" s="3161" customFormat="1" ht="12.75"/>
    <row r="38029" s="3161" customFormat="1" ht="12.75"/>
    <row r="38030" s="3161" customFormat="1" ht="12.75"/>
    <row r="38031" s="3161" customFormat="1" ht="12.75"/>
    <row r="38032" s="3161" customFormat="1" ht="12.75"/>
    <row r="38033" s="3161" customFormat="1" ht="12.75"/>
    <row r="38034" s="3161" customFormat="1" ht="12.75"/>
    <row r="38035" s="3161" customFormat="1" ht="12.75"/>
    <row r="38036" s="3161" customFormat="1" ht="12.75"/>
    <row r="38037" s="3161" customFormat="1" ht="12.75"/>
    <row r="38038" s="3161" customFormat="1" ht="12.75"/>
    <row r="38039" s="3161" customFormat="1" ht="12.75"/>
    <row r="38040" s="3161" customFormat="1" ht="12.75"/>
    <row r="38041" s="3161" customFormat="1" ht="12.75"/>
    <row r="38042" s="3161" customFormat="1" ht="12.75"/>
    <row r="38043" s="3161" customFormat="1" ht="12.75"/>
    <row r="38044" s="3161" customFormat="1" ht="12.75"/>
    <row r="38045" s="3161" customFormat="1" ht="12.75"/>
    <row r="38046" s="3161" customFormat="1" ht="12.75"/>
    <row r="38047" s="3161" customFormat="1" ht="12.75"/>
    <row r="38048" s="3161" customFormat="1" ht="12.75"/>
    <row r="38049" s="3161" customFormat="1" ht="12.75"/>
    <row r="38050" s="3161" customFormat="1" ht="12.75"/>
    <row r="38051" s="3161" customFormat="1" ht="12.75"/>
    <row r="38052" s="3161" customFormat="1" ht="12.75"/>
    <row r="38053" s="3161" customFormat="1" ht="12.75"/>
    <row r="38054" s="3161" customFormat="1" ht="12.75"/>
    <row r="38055" s="3161" customFormat="1" ht="12.75"/>
    <row r="38056" s="3161" customFormat="1" ht="12.75"/>
    <row r="38057" s="3161" customFormat="1" ht="12.75"/>
    <row r="38058" s="3161" customFormat="1" ht="12.75"/>
    <row r="38059" s="3161" customFormat="1" ht="12.75"/>
    <row r="38060" s="3161" customFormat="1" ht="12.75"/>
    <row r="38061" s="3161" customFormat="1" ht="12.75"/>
    <row r="38062" s="3161" customFormat="1" ht="12.75"/>
    <row r="38063" s="3161" customFormat="1" ht="12.75"/>
    <row r="38064" s="3161" customFormat="1" ht="12.75"/>
    <row r="38065" s="3161" customFormat="1" ht="12.75"/>
    <row r="38066" s="3161" customFormat="1" ht="12.75"/>
    <row r="38067" s="3161" customFormat="1" ht="12.75"/>
    <row r="38068" s="3161" customFormat="1" ht="12.75"/>
    <row r="38069" s="3161" customFormat="1" ht="12.75"/>
    <row r="38070" s="3161" customFormat="1" ht="12.75"/>
    <row r="38071" s="3161" customFormat="1" ht="12.75"/>
    <row r="38072" s="3161" customFormat="1" ht="12.75"/>
    <row r="38073" s="3161" customFormat="1" ht="12.75"/>
    <row r="38074" s="3161" customFormat="1" ht="12.75"/>
    <row r="38075" s="3161" customFormat="1" ht="12.75"/>
    <row r="38076" s="3161" customFormat="1" ht="12.75"/>
    <row r="38077" s="3161" customFormat="1" ht="12.75"/>
    <row r="38078" s="3161" customFormat="1" ht="12.75"/>
    <row r="38079" s="3161" customFormat="1" ht="12.75"/>
    <row r="38080" s="3161" customFormat="1" ht="12.75"/>
    <row r="38081" s="3161" customFormat="1" ht="12.75"/>
    <row r="38082" s="3161" customFormat="1" ht="12.75"/>
    <row r="38083" s="3161" customFormat="1" ht="12.75"/>
    <row r="38084" s="3161" customFormat="1" ht="12.75"/>
    <row r="38085" s="3161" customFormat="1" ht="12.75"/>
    <row r="38086" s="3161" customFormat="1" ht="12.75"/>
    <row r="38087" s="3161" customFormat="1" ht="12.75"/>
    <row r="38088" s="3161" customFormat="1" ht="12.75"/>
    <row r="38089" s="3161" customFormat="1" ht="12.75"/>
    <row r="38090" s="3161" customFormat="1" ht="12.75"/>
    <row r="38091" s="3161" customFormat="1" ht="12.75"/>
    <row r="38092" s="3161" customFormat="1" ht="12.75"/>
    <row r="38093" s="3161" customFormat="1" ht="12.75"/>
    <row r="38094" s="3161" customFormat="1" ht="12.75"/>
    <row r="38095" s="3161" customFormat="1" ht="12.75"/>
    <row r="38096" s="3161" customFormat="1" ht="12.75"/>
    <row r="38097" s="3161" customFormat="1" ht="12.75"/>
    <row r="38098" s="3161" customFormat="1" ht="12.75"/>
    <row r="38099" s="3161" customFormat="1" ht="12.75"/>
    <row r="38100" s="3161" customFormat="1" ht="12.75"/>
    <row r="38101" s="3161" customFormat="1" ht="12.75"/>
    <row r="38102" s="3161" customFormat="1" ht="12.75"/>
    <row r="38103" s="3161" customFormat="1" ht="12.75"/>
    <row r="38104" s="3161" customFormat="1" ht="12.75"/>
    <row r="38105" s="3161" customFormat="1" ht="12.75"/>
    <row r="38106" s="3161" customFormat="1" ht="12.75"/>
    <row r="38107" s="3161" customFormat="1" ht="12.75"/>
    <row r="38108" s="3161" customFormat="1" ht="12.75"/>
    <row r="38109" s="3161" customFormat="1" ht="12.75"/>
    <row r="38110" s="3161" customFormat="1" ht="12.75"/>
    <row r="38111" s="3161" customFormat="1" ht="12.75"/>
    <row r="38112" s="3161" customFormat="1" ht="12.75"/>
    <row r="38113" s="3161" customFormat="1" ht="12.75"/>
    <row r="38114" s="3161" customFormat="1" ht="12.75"/>
    <row r="38115" s="3161" customFormat="1" ht="12.75"/>
    <row r="38116" s="3161" customFormat="1" ht="12.75"/>
    <row r="38117" s="3161" customFormat="1" ht="12.75"/>
    <row r="38118" s="3161" customFormat="1" ht="12.75"/>
    <row r="38119" s="3161" customFormat="1" ht="12.75"/>
    <row r="38120" s="3161" customFormat="1" ht="12.75"/>
    <row r="38121" s="3161" customFormat="1" ht="12.75"/>
    <row r="38122" s="3161" customFormat="1" ht="12.75"/>
    <row r="38123" s="3161" customFormat="1" ht="12.75"/>
    <row r="38124" s="3161" customFormat="1" ht="12.75"/>
    <row r="38125" s="3161" customFormat="1" ht="12.75"/>
    <row r="38126" s="3161" customFormat="1" ht="12.75"/>
    <row r="38127" s="3161" customFormat="1" ht="12.75"/>
    <row r="38128" s="3161" customFormat="1" ht="12.75"/>
    <row r="38129" s="3161" customFormat="1" ht="12.75"/>
    <row r="38130" s="3161" customFormat="1" ht="12.75"/>
    <row r="38131" s="3161" customFormat="1" ht="12.75"/>
    <row r="38132" s="3161" customFormat="1" ht="12.75"/>
    <row r="38133" s="3161" customFormat="1" ht="12.75"/>
    <row r="38134" s="3161" customFormat="1" ht="12.75"/>
    <row r="38135" s="3161" customFormat="1" ht="12.75"/>
    <row r="38136" s="3161" customFormat="1" ht="12.75"/>
    <row r="38137" s="3161" customFormat="1" ht="12.75"/>
    <row r="38138" s="3161" customFormat="1" ht="12.75"/>
    <row r="38139" s="3161" customFormat="1" ht="12.75"/>
    <row r="38140" s="3161" customFormat="1" ht="12.75"/>
    <row r="38141" s="3161" customFormat="1" ht="12.75"/>
    <row r="38142" s="3161" customFormat="1" ht="12.75"/>
    <row r="38143" s="3161" customFormat="1" ht="12.75"/>
    <row r="38144" s="3161" customFormat="1" ht="12.75"/>
    <row r="38145" s="3161" customFormat="1" ht="12.75"/>
    <row r="38146" s="3161" customFormat="1" ht="12.75"/>
    <row r="38147" s="3161" customFormat="1" ht="12.75"/>
    <row r="38148" s="3161" customFormat="1" ht="12.75"/>
    <row r="38149" s="3161" customFormat="1" ht="12.75"/>
    <row r="38150" s="3161" customFormat="1" ht="12.75"/>
    <row r="38151" s="3161" customFormat="1" ht="12.75"/>
    <row r="38152" s="3161" customFormat="1" ht="12.75"/>
    <row r="38153" s="3161" customFormat="1" ht="12.75"/>
    <row r="38154" s="3161" customFormat="1" ht="12.75"/>
    <row r="38155" s="3161" customFormat="1" ht="12.75"/>
    <row r="38156" s="3161" customFormat="1" ht="12.75"/>
    <row r="38157" s="3161" customFormat="1" ht="12.75"/>
    <row r="38158" s="3161" customFormat="1" ht="12.75"/>
    <row r="38159" s="3161" customFormat="1" ht="12.75"/>
    <row r="38160" s="3161" customFormat="1" ht="12.75"/>
    <row r="38161" s="3161" customFormat="1" ht="12.75"/>
    <row r="38162" s="3161" customFormat="1" ht="12.75"/>
    <row r="38163" s="3161" customFormat="1" ht="12.75"/>
    <row r="38164" s="3161" customFormat="1" ht="12.75"/>
    <row r="38165" s="3161" customFormat="1" ht="12.75"/>
    <row r="38166" s="3161" customFormat="1" ht="12.75"/>
    <row r="38167" s="3161" customFormat="1" ht="12.75"/>
    <row r="38168" s="3161" customFormat="1" ht="12.75"/>
    <row r="38169" s="3161" customFormat="1" ht="12.75"/>
    <row r="38170" s="3161" customFormat="1" ht="12.75"/>
    <row r="38171" s="3161" customFormat="1" ht="12.75"/>
    <row r="38172" s="3161" customFormat="1" ht="12.75"/>
    <row r="38173" s="3161" customFormat="1" ht="12.75"/>
    <row r="38174" s="3161" customFormat="1" ht="12.75"/>
    <row r="38175" s="3161" customFormat="1" ht="12.75"/>
    <row r="38176" s="3161" customFormat="1" ht="12.75"/>
    <row r="38177" s="3161" customFormat="1" ht="12.75"/>
    <row r="38178" s="3161" customFormat="1" ht="12.75"/>
    <row r="38179" s="3161" customFormat="1" ht="12.75"/>
    <row r="38180" s="3161" customFormat="1" ht="12.75"/>
    <row r="38181" s="3161" customFormat="1" ht="12.75"/>
    <row r="38182" s="3161" customFormat="1" ht="12.75"/>
    <row r="38183" s="3161" customFormat="1" ht="12.75"/>
    <row r="38184" s="3161" customFormat="1" ht="12.75"/>
    <row r="38185" s="3161" customFormat="1" ht="12.75"/>
    <row r="38186" s="3161" customFormat="1" ht="12.75"/>
    <row r="38187" s="3161" customFormat="1" ht="12.75"/>
    <row r="38188" s="3161" customFormat="1" ht="12.75"/>
    <row r="38189" s="3161" customFormat="1" ht="12.75"/>
    <row r="38190" s="3161" customFormat="1" ht="12.75"/>
    <row r="38191" s="3161" customFormat="1" ht="12.75"/>
    <row r="38192" s="3161" customFormat="1" ht="12.75"/>
    <row r="38193" s="3161" customFormat="1" ht="12.75"/>
    <row r="38194" s="3161" customFormat="1" ht="12.75"/>
    <row r="38195" s="3161" customFormat="1" ht="12.75"/>
    <row r="38196" s="3161" customFormat="1" ht="12.75"/>
    <row r="38197" s="3161" customFormat="1" ht="12.75"/>
    <row r="38198" s="3161" customFormat="1" ht="12.75"/>
    <row r="38199" s="3161" customFormat="1" ht="12.75"/>
    <row r="38200" s="3161" customFormat="1" ht="12.75"/>
    <row r="38201" s="3161" customFormat="1" ht="12.75"/>
    <row r="38202" s="3161" customFormat="1" ht="12.75"/>
    <row r="38203" s="3161" customFormat="1" ht="12.75"/>
    <row r="38204" s="3161" customFormat="1" ht="12.75"/>
    <row r="38205" s="3161" customFormat="1" ht="12.75"/>
    <row r="38206" s="3161" customFormat="1" ht="12.75"/>
    <row r="38207" s="3161" customFormat="1" ht="12.75"/>
    <row r="38208" s="3161" customFormat="1" ht="12.75"/>
    <row r="38209" s="3161" customFormat="1" ht="12.75"/>
    <row r="38210" s="3161" customFormat="1" ht="12.75"/>
    <row r="38211" s="3161" customFormat="1" ht="12.75"/>
    <row r="38212" s="3161" customFormat="1" ht="12.75"/>
    <row r="38213" s="3161" customFormat="1" ht="12.75"/>
    <row r="38214" s="3161" customFormat="1" ht="12.75"/>
    <row r="38215" s="3161" customFormat="1" ht="12.75"/>
    <row r="38216" s="3161" customFormat="1" ht="12.75"/>
    <row r="38217" s="3161" customFormat="1" ht="12.75"/>
    <row r="38218" s="3161" customFormat="1" ht="12.75"/>
    <row r="38219" s="3161" customFormat="1" ht="12.75"/>
    <row r="38220" s="3161" customFormat="1" ht="12.75"/>
    <row r="38221" s="3161" customFormat="1" ht="12.75"/>
    <row r="38222" s="3161" customFormat="1" ht="12.75"/>
    <row r="38223" s="3161" customFormat="1" ht="12.75"/>
    <row r="38224" s="3161" customFormat="1" ht="12.75"/>
    <row r="38225" s="3161" customFormat="1" ht="12.75"/>
    <row r="38226" s="3161" customFormat="1" ht="12.75"/>
    <row r="38227" s="3161" customFormat="1" ht="12.75"/>
    <row r="38228" s="3161" customFormat="1" ht="12.75"/>
    <row r="38229" s="3161" customFormat="1" ht="12.75"/>
    <row r="38230" s="3161" customFormat="1" ht="12.75"/>
    <row r="38231" s="3161" customFormat="1" ht="12.75"/>
    <row r="38232" s="3161" customFormat="1" ht="12.75"/>
    <row r="38233" s="3161" customFormat="1" ht="12.75"/>
    <row r="38234" s="3161" customFormat="1" ht="12.75"/>
    <row r="38235" s="3161" customFormat="1" ht="12.75"/>
    <row r="38236" s="3161" customFormat="1" ht="12.75"/>
    <row r="38237" s="3161" customFormat="1" ht="12.75"/>
    <row r="38238" s="3161" customFormat="1" ht="12.75"/>
    <row r="38239" s="3161" customFormat="1" ht="12.75"/>
    <row r="38240" s="3161" customFormat="1" ht="12.75"/>
    <row r="38241" s="3161" customFormat="1" ht="12.75"/>
    <row r="38242" s="3161" customFormat="1" ht="12.75"/>
    <row r="38243" s="3161" customFormat="1" ht="12.75"/>
    <row r="38244" s="3161" customFormat="1" ht="12.75"/>
    <row r="38245" s="3161" customFormat="1" ht="12.75"/>
    <row r="38246" s="3161" customFormat="1" ht="12.75"/>
    <row r="38247" s="3161" customFormat="1" ht="12.75"/>
    <row r="38248" s="3161" customFormat="1" ht="12.75"/>
    <row r="38249" s="3161" customFormat="1" ht="12.75"/>
    <row r="38250" s="3161" customFormat="1" ht="12.75"/>
    <row r="38251" s="3161" customFormat="1" ht="12.75"/>
    <row r="38252" s="3161" customFormat="1" ht="12.75"/>
    <row r="38253" s="3161" customFormat="1" ht="12.75"/>
    <row r="38254" s="3161" customFormat="1" ht="12.75"/>
    <row r="38255" s="3161" customFormat="1" ht="12.75"/>
    <row r="38256" s="3161" customFormat="1" ht="12.75"/>
    <row r="38257" s="3161" customFormat="1" ht="12.75"/>
    <row r="38258" s="3161" customFormat="1" ht="12.75"/>
    <row r="38259" s="3161" customFormat="1" ht="12.75"/>
    <row r="38260" s="3161" customFormat="1" ht="12.75"/>
    <row r="38261" s="3161" customFormat="1" ht="12.75"/>
    <row r="38262" s="3161" customFormat="1" ht="12.75"/>
    <row r="38263" s="3161" customFormat="1" ht="12.75"/>
    <row r="38264" s="3161" customFormat="1" ht="12.75"/>
    <row r="38265" s="3161" customFormat="1" ht="12.75"/>
    <row r="38266" s="3161" customFormat="1" ht="12.75"/>
    <row r="38267" s="3161" customFormat="1" ht="12.75"/>
    <row r="38268" s="3161" customFormat="1" ht="12.75"/>
    <row r="38269" s="3161" customFormat="1" ht="12.75"/>
    <row r="38270" s="3161" customFormat="1" ht="12.75"/>
    <row r="38271" s="3161" customFormat="1" ht="12.75"/>
    <row r="38272" s="3161" customFormat="1" ht="12.75"/>
    <row r="38273" s="3161" customFormat="1" ht="12.75"/>
    <row r="38274" s="3161" customFormat="1" ht="12.75"/>
    <row r="38275" s="3161" customFormat="1" ht="12.75"/>
    <row r="38276" s="3161" customFormat="1" ht="12.75"/>
    <row r="38277" s="3161" customFormat="1" ht="12.75"/>
    <row r="38278" s="3161" customFormat="1" ht="12.75"/>
    <row r="38279" s="3161" customFormat="1" ht="12.75"/>
    <row r="38280" s="3161" customFormat="1" ht="12.75"/>
    <row r="38281" s="3161" customFormat="1" ht="12.75"/>
    <row r="38282" s="3161" customFormat="1" ht="12.75"/>
    <row r="38283" s="3161" customFormat="1" ht="12.75"/>
    <row r="38284" s="3161" customFormat="1" ht="12.75"/>
    <row r="38285" s="3161" customFormat="1" ht="12.75"/>
    <row r="38286" s="3161" customFormat="1" ht="12.75"/>
    <row r="38287" s="3161" customFormat="1" ht="12.75"/>
    <row r="38288" s="3161" customFormat="1" ht="12.75"/>
    <row r="38289" s="3161" customFormat="1" ht="12.75"/>
    <row r="38290" s="3161" customFormat="1" ht="12.75"/>
    <row r="38291" s="3161" customFormat="1" ht="12.75"/>
    <row r="38292" s="3161" customFormat="1" ht="12.75"/>
    <row r="38293" s="3161" customFormat="1" ht="12.75"/>
    <row r="38294" s="3161" customFormat="1" ht="12.75"/>
    <row r="38295" s="3161" customFormat="1" ht="12.75"/>
    <row r="38296" s="3161" customFormat="1" ht="12.75"/>
    <row r="38297" s="3161" customFormat="1" ht="12.75"/>
    <row r="38298" s="3161" customFormat="1" ht="12.75"/>
    <row r="38299" s="3161" customFormat="1" ht="12.75"/>
    <row r="38300" s="3161" customFormat="1" ht="12.75"/>
    <row r="38301" s="3161" customFormat="1" ht="12.75"/>
    <row r="38302" s="3161" customFormat="1" ht="12.75"/>
    <row r="38303" s="3161" customFormat="1" ht="12.75"/>
    <row r="38304" s="3161" customFormat="1" ht="12.75"/>
    <row r="38305" s="3161" customFormat="1" ht="12.75"/>
    <row r="38306" s="3161" customFormat="1" ht="12.75"/>
    <row r="38307" s="3161" customFormat="1" ht="12.75"/>
    <row r="38308" s="3161" customFormat="1" ht="12.75"/>
    <row r="38309" s="3161" customFormat="1" ht="12.75"/>
    <row r="38310" s="3161" customFormat="1" ht="12.75"/>
    <row r="38311" s="3161" customFormat="1" ht="12.75"/>
    <row r="38312" s="3161" customFormat="1" ht="12.75"/>
    <row r="38313" s="3161" customFormat="1" ht="12.75"/>
    <row r="38314" s="3161" customFormat="1" ht="12.75"/>
    <row r="38315" s="3161" customFormat="1" ht="12.75"/>
    <row r="38316" s="3161" customFormat="1" ht="12.75"/>
    <row r="38317" s="3161" customFormat="1" ht="12.75"/>
    <row r="38318" s="3161" customFormat="1" ht="12.75"/>
    <row r="38319" s="3161" customFormat="1" ht="12.75"/>
    <row r="38320" s="3161" customFormat="1" ht="12.75"/>
    <row r="38321" s="3161" customFormat="1" ht="12.75"/>
    <row r="38322" s="3161" customFormat="1" ht="12.75"/>
    <row r="38323" s="3161" customFormat="1" ht="12.75"/>
    <row r="38324" s="3161" customFormat="1" ht="12.75"/>
    <row r="38325" s="3161" customFormat="1" ht="12.75"/>
    <row r="38326" s="3161" customFormat="1" ht="12.75"/>
    <row r="38327" s="3161" customFormat="1" ht="12.75"/>
    <row r="38328" s="3161" customFormat="1" ht="12.75"/>
    <row r="38329" s="3161" customFormat="1" ht="12.75"/>
    <row r="38330" s="3161" customFormat="1" ht="12.75"/>
    <row r="38331" s="3161" customFormat="1" ht="12.75"/>
    <row r="38332" s="3161" customFormat="1" ht="12.75"/>
    <row r="38333" s="3161" customFormat="1" ht="12.75"/>
    <row r="38334" s="3161" customFormat="1" ht="12.75"/>
    <row r="38335" s="3161" customFormat="1" ht="12.75"/>
    <row r="38336" s="3161" customFormat="1" ht="12.75"/>
    <row r="38337" s="3161" customFormat="1" ht="12.75"/>
    <row r="38338" s="3161" customFormat="1" ht="12.75"/>
    <row r="38339" s="3161" customFormat="1" ht="12.75"/>
    <row r="38340" s="3161" customFormat="1" ht="12.75"/>
    <row r="38341" s="3161" customFormat="1" ht="12.75"/>
    <row r="38342" s="3161" customFormat="1" ht="12.75"/>
    <row r="38343" s="3161" customFormat="1" ht="12.75"/>
    <row r="38344" s="3161" customFormat="1" ht="12.75"/>
    <row r="38345" s="3161" customFormat="1" ht="12.75"/>
    <row r="38346" s="3161" customFormat="1" ht="12.75"/>
    <row r="38347" s="3161" customFormat="1" ht="12.75"/>
    <row r="38348" s="3161" customFormat="1" ht="12.75"/>
    <row r="38349" s="3161" customFormat="1" ht="12.75"/>
    <row r="38350" s="3161" customFormat="1" ht="12.75"/>
    <row r="38351" s="3161" customFormat="1" ht="12.75"/>
    <row r="38352" s="3161" customFormat="1" ht="12.75"/>
    <row r="38353" s="3161" customFormat="1" ht="12.75"/>
    <row r="38354" s="3161" customFormat="1" ht="12.75"/>
    <row r="38355" s="3161" customFormat="1" ht="12.75"/>
    <row r="38356" s="3161" customFormat="1" ht="12.75"/>
    <row r="38357" s="3161" customFormat="1" ht="12.75"/>
    <row r="38358" s="3161" customFormat="1" ht="12.75"/>
    <row r="38359" s="3161" customFormat="1" ht="12.75"/>
    <row r="38360" s="3161" customFormat="1" ht="12.75"/>
    <row r="38361" s="3161" customFormat="1" ht="12.75"/>
    <row r="38362" s="3161" customFormat="1" ht="12.75"/>
    <row r="38363" s="3161" customFormat="1" ht="12.75"/>
    <row r="38364" s="3161" customFormat="1" ht="12.75"/>
    <row r="38365" s="3161" customFormat="1" ht="12.75"/>
    <row r="38366" s="3161" customFormat="1" ht="12.75"/>
    <row r="38367" s="3161" customFormat="1" ht="12.75"/>
    <row r="38368" s="3161" customFormat="1" ht="12.75"/>
    <row r="38369" s="3161" customFormat="1" ht="12.75"/>
    <row r="38370" s="3161" customFormat="1" ht="12.75"/>
    <row r="38371" s="3161" customFormat="1" ht="12.75"/>
    <row r="38372" s="3161" customFormat="1" ht="12.75"/>
    <row r="38373" s="3161" customFormat="1" ht="12.75"/>
    <row r="38374" s="3161" customFormat="1" ht="12.75"/>
    <row r="38375" s="3161" customFormat="1" ht="12.75"/>
    <row r="38376" s="3161" customFormat="1" ht="12.75"/>
    <row r="38377" s="3161" customFormat="1" ht="12.75"/>
    <row r="38378" s="3161" customFormat="1" ht="12.75"/>
    <row r="38379" s="3161" customFormat="1" ht="12.75"/>
    <row r="38380" s="3161" customFormat="1" ht="12.75"/>
    <row r="38381" s="3161" customFormat="1" ht="12.75"/>
    <row r="38382" s="3161" customFormat="1" ht="12.75"/>
    <row r="38383" s="3161" customFormat="1" ht="12.75"/>
    <row r="38384" s="3161" customFormat="1" ht="12.75"/>
    <row r="38385" s="3161" customFormat="1" ht="12.75"/>
    <row r="38386" s="3161" customFormat="1" ht="12.75"/>
    <row r="38387" s="3161" customFormat="1" ht="12.75"/>
    <row r="38388" s="3161" customFormat="1" ht="12.75"/>
    <row r="38389" s="3161" customFormat="1" ht="12.75"/>
    <row r="38390" s="3161" customFormat="1" ht="12.75"/>
    <row r="38391" s="3161" customFormat="1" ht="12.75"/>
    <row r="38392" s="3161" customFormat="1" ht="12.75"/>
    <row r="38393" s="3161" customFormat="1" ht="12.75"/>
    <row r="38394" s="3161" customFormat="1" ht="12.75"/>
    <row r="38395" s="3161" customFormat="1" ht="12.75"/>
    <row r="38396" s="3161" customFormat="1" ht="12.75"/>
    <row r="38397" s="3161" customFormat="1" ht="12.75"/>
    <row r="38398" s="3161" customFormat="1" ht="12.75"/>
    <row r="38399" s="3161" customFormat="1" ht="12.75"/>
    <row r="38400" s="3161" customFormat="1" ht="12.75"/>
    <row r="38401" s="3161" customFormat="1" ht="12.75"/>
    <row r="38402" s="3161" customFormat="1" ht="12.75"/>
    <row r="38403" s="3161" customFormat="1" ht="12.75"/>
    <row r="38404" s="3161" customFormat="1" ht="12.75"/>
    <row r="38405" s="3161" customFormat="1" ht="12.75"/>
    <row r="38406" s="3161" customFormat="1" ht="12.75"/>
    <row r="38407" s="3161" customFormat="1" ht="12.75"/>
    <row r="38408" s="3161" customFormat="1" ht="12.75"/>
    <row r="38409" s="3161" customFormat="1" ht="12.75"/>
    <row r="38410" s="3161" customFormat="1" ht="12.75"/>
    <row r="38411" s="3161" customFormat="1" ht="12.75"/>
    <row r="38412" s="3161" customFormat="1" ht="12.75"/>
    <row r="38413" s="3161" customFormat="1" ht="12.75"/>
    <row r="38414" s="3161" customFormat="1" ht="12.75"/>
    <row r="38415" s="3161" customFormat="1" ht="12.75"/>
    <row r="38416" s="3161" customFormat="1" ht="12.75"/>
    <row r="38417" s="3161" customFormat="1" ht="12.75"/>
    <row r="38418" s="3161" customFormat="1" ht="12.75"/>
    <row r="38419" s="3161" customFormat="1" ht="12.75"/>
    <row r="38420" s="3161" customFormat="1" ht="12.75"/>
    <row r="38421" s="3161" customFormat="1" ht="12.75"/>
    <row r="38422" s="3161" customFormat="1" ht="12.75"/>
    <row r="38423" s="3161" customFormat="1" ht="12.75"/>
    <row r="38424" s="3161" customFormat="1" ht="12.75"/>
    <row r="38425" s="3161" customFormat="1" ht="12.75"/>
    <row r="38426" s="3161" customFormat="1" ht="12.75"/>
    <row r="38427" s="3161" customFormat="1" ht="12.75"/>
    <row r="38428" s="3161" customFormat="1" ht="12.75"/>
    <row r="38429" s="3161" customFormat="1" ht="12.75"/>
    <row r="38430" s="3161" customFormat="1" ht="12.75"/>
    <row r="38431" s="3161" customFormat="1" ht="12.75"/>
    <row r="38432" s="3161" customFormat="1" ht="12.75"/>
    <row r="38433" s="3161" customFormat="1" ht="12.75"/>
    <row r="38434" s="3161" customFormat="1" ht="12.75"/>
    <row r="38435" s="3161" customFormat="1" ht="12.75"/>
    <row r="38436" s="3161" customFormat="1" ht="12.75"/>
    <row r="38437" s="3161" customFormat="1" ht="12.75"/>
    <row r="38438" s="3161" customFormat="1" ht="12.75"/>
    <row r="38439" s="3161" customFormat="1" ht="12.75"/>
    <row r="38440" s="3161" customFormat="1" ht="12.75"/>
    <row r="38441" s="3161" customFormat="1" ht="12.75"/>
    <row r="38442" s="3161" customFormat="1" ht="12.75"/>
    <row r="38443" s="3161" customFormat="1" ht="12.75"/>
    <row r="38444" s="3161" customFormat="1" ht="12.75"/>
    <row r="38445" s="3161" customFormat="1" ht="12.75"/>
    <row r="38446" s="3161" customFormat="1" ht="12.75"/>
    <row r="38447" s="3161" customFormat="1" ht="12.75"/>
    <row r="38448" s="3161" customFormat="1" ht="12.75"/>
    <row r="38449" s="3161" customFormat="1" ht="12.75"/>
    <row r="38450" s="3161" customFormat="1" ht="12.75"/>
    <row r="38451" s="3161" customFormat="1" ht="12.75"/>
    <row r="38452" s="3161" customFormat="1" ht="12.75"/>
    <row r="38453" s="3161" customFormat="1" ht="12.75"/>
    <row r="38454" s="3161" customFormat="1" ht="12.75"/>
    <row r="38455" s="3161" customFormat="1" ht="12.75"/>
    <row r="38456" s="3161" customFormat="1" ht="12.75"/>
    <row r="38457" s="3161" customFormat="1" ht="12.75"/>
    <row r="38458" s="3161" customFormat="1" ht="12.75"/>
    <row r="38459" s="3161" customFormat="1" ht="12.75"/>
    <row r="38460" s="3161" customFormat="1" ht="12.75"/>
    <row r="38461" s="3161" customFormat="1" ht="12.75"/>
    <row r="38462" s="3161" customFormat="1" ht="12.75"/>
    <row r="38463" s="3161" customFormat="1" ht="12.75"/>
    <row r="38464" s="3161" customFormat="1" ht="12.75"/>
    <row r="38465" s="3161" customFormat="1" ht="12.75"/>
    <row r="38466" s="3161" customFormat="1" ht="12.75"/>
    <row r="38467" s="3161" customFormat="1" ht="12.75"/>
    <row r="38468" s="3161" customFormat="1" ht="12.75"/>
    <row r="38469" s="3161" customFormat="1" ht="12.75"/>
    <row r="38470" s="3161" customFormat="1" ht="12.75"/>
    <row r="38471" s="3161" customFormat="1" ht="12.75"/>
    <row r="38472" s="3161" customFormat="1" ht="12.75"/>
    <row r="38473" s="3161" customFormat="1" ht="12.75"/>
    <row r="38474" s="3161" customFormat="1" ht="12.75"/>
    <row r="38475" s="3161" customFormat="1" ht="12.75"/>
    <row r="38476" s="3161" customFormat="1" ht="12.75"/>
    <row r="38477" s="3161" customFormat="1" ht="12.75"/>
    <row r="38478" s="3161" customFormat="1" ht="12.75"/>
    <row r="38479" s="3161" customFormat="1" ht="12.75"/>
    <row r="38480" s="3161" customFormat="1" ht="12.75"/>
    <row r="38481" s="3161" customFormat="1" ht="12.75"/>
    <row r="38482" s="3161" customFormat="1" ht="12.75"/>
    <row r="38483" s="3161" customFormat="1" ht="12.75"/>
    <row r="38484" s="3161" customFormat="1" ht="12.75"/>
    <row r="38485" s="3161" customFormat="1" ht="12.75"/>
    <row r="38486" s="3161" customFormat="1" ht="12.75"/>
    <row r="38487" s="3161" customFormat="1" ht="12.75"/>
    <row r="38488" s="3161" customFormat="1" ht="12.75"/>
    <row r="38489" s="3161" customFormat="1" ht="12.75"/>
    <row r="38490" s="3161" customFormat="1" ht="12.75"/>
    <row r="38491" s="3161" customFormat="1" ht="12.75"/>
    <row r="38492" s="3161" customFormat="1" ht="12.75"/>
    <row r="38493" s="3161" customFormat="1" ht="12.75"/>
    <row r="38494" s="3161" customFormat="1" ht="12.75"/>
    <row r="38495" s="3161" customFormat="1" ht="12.75"/>
    <row r="38496" s="3161" customFormat="1" ht="12.75"/>
    <row r="38497" s="3161" customFormat="1" ht="12.75"/>
    <row r="38498" s="3161" customFormat="1" ht="12.75"/>
    <row r="38499" s="3161" customFormat="1" ht="12.75"/>
    <row r="38500" s="3161" customFormat="1" ht="12.75"/>
    <row r="38501" s="3161" customFormat="1" ht="12.75"/>
    <row r="38502" s="3161" customFormat="1" ht="12.75"/>
    <row r="38503" s="3161" customFormat="1" ht="12.75"/>
    <row r="38504" s="3161" customFormat="1" ht="12.75"/>
    <row r="38505" s="3161" customFormat="1" ht="12.75"/>
    <row r="38506" s="3161" customFormat="1" ht="12.75"/>
    <row r="38507" s="3161" customFormat="1" ht="12.75"/>
    <row r="38508" s="3161" customFormat="1" ht="12.75"/>
    <row r="38509" s="3161" customFormat="1" ht="12.75"/>
    <row r="38510" s="3161" customFormat="1" ht="12.75"/>
    <row r="38511" s="3161" customFormat="1" ht="12.75"/>
    <row r="38512" s="3161" customFormat="1" ht="12.75"/>
    <row r="38513" s="3161" customFormat="1" ht="12.75"/>
    <row r="38514" s="3161" customFormat="1" ht="12.75"/>
    <row r="38515" s="3161" customFormat="1" ht="12.75"/>
    <row r="38516" s="3161" customFormat="1" ht="12.75"/>
    <row r="38517" s="3161" customFormat="1" ht="12.75"/>
    <row r="38518" s="3161" customFormat="1" ht="12.75"/>
    <row r="38519" s="3161" customFormat="1" ht="12.75"/>
    <row r="38520" s="3161" customFormat="1" ht="12.75"/>
    <row r="38521" s="3161" customFormat="1" ht="12.75"/>
    <row r="38522" s="3161" customFormat="1" ht="12.75"/>
    <row r="38523" s="3161" customFormat="1" ht="12.75"/>
    <row r="38524" s="3161" customFormat="1" ht="12.75"/>
    <row r="38525" s="3161" customFormat="1" ht="12.75"/>
    <row r="38526" s="3161" customFormat="1" ht="12.75"/>
    <row r="38527" s="3161" customFormat="1" ht="12.75"/>
    <row r="38528" s="3161" customFormat="1" ht="12.75"/>
    <row r="38529" s="3161" customFormat="1" ht="12.75"/>
    <row r="38530" s="3161" customFormat="1" ht="12.75"/>
    <row r="38531" s="3161" customFormat="1" ht="12.75"/>
    <row r="38532" s="3161" customFormat="1" ht="12.75"/>
    <row r="38533" s="3161" customFormat="1" ht="12.75"/>
    <row r="38534" s="3161" customFormat="1" ht="12.75"/>
    <row r="38535" s="3161" customFormat="1" ht="12.75"/>
    <row r="38536" s="3161" customFormat="1" ht="12.75"/>
    <row r="38537" s="3161" customFormat="1" ht="12.75"/>
    <row r="38538" s="3161" customFormat="1" ht="12.75"/>
    <row r="38539" s="3161" customFormat="1" ht="12.75"/>
    <row r="38540" s="3161" customFormat="1" ht="12.75"/>
    <row r="38541" s="3161" customFormat="1" ht="12.75"/>
    <row r="38542" s="3161" customFormat="1" ht="12.75"/>
    <row r="38543" s="3161" customFormat="1" ht="12.75"/>
    <row r="38544" s="3161" customFormat="1" ht="12.75"/>
    <row r="38545" s="3161" customFormat="1" ht="12.75"/>
    <row r="38546" s="3161" customFormat="1" ht="12.75"/>
    <row r="38547" s="3161" customFormat="1" ht="12.75"/>
    <row r="38548" s="3161" customFormat="1" ht="12.75"/>
    <row r="38549" s="3161" customFormat="1" ht="12.75"/>
    <row r="38550" s="3161" customFormat="1" ht="12.75"/>
    <row r="38551" s="3161" customFormat="1" ht="12.75"/>
    <row r="38552" s="3161" customFormat="1" ht="12.75"/>
    <row r="38553" s="3161" customFormat="1" ht="12.75"/>
    <row r="38554" s="3161" customFormat="1" ht="12.75"/>
    <row r="38555" s="3161" customFormat="1" ht="12.75"/>
    <row r="38556" s="3161" customFormat="1" ht="12.75"/>
    <row r="38557" s="3161" customFormat="1" ht="12.75"/>
    <row r="38558" s="3161" customFormat="1" ht="12.75"/>
    <row r="38559" s="3161" customFormat="1" ht="12.75"/>
    <row r="38560" s="3161" customFormat="1" ht="12.75"/>
    <row r="38561" s="3161" customFormat="1" ht="12.75"/>
    <row r="38562" s="3161" customFormat="1" ht="12.75"/>
    <row r="38563" s="3161" customFormat="1" ht="12.75"/>
    <row r="38564" s="3161" customFormat="1" ht="12.75"/>
    <row r="38565" s="3161" customFormat="1" ht="12.75"/>
    <row r="38566" s="3161" customFormat="1" ht="12.75"/>
    <row r="38567" s="3161" customFormat="1" ht="12.75"/>
    <row r="38568" s="3161" customFormat="1" ht="12.75"/>
    <row r="38569" s="3161" customFormat="1" ht="12.75"/>
    <row r="38570" s="3161" customFormat="1" ht="12.75"/>
    <row r="38571" s="3161" customFormat="1" ht="12.75"/>
    <row r="38572" s="3161" customFormat="1" ht="12.75"/>
    <row r="38573" s="3161" customFormat="1" ht="12.75"/>
    <row r="38574" s="3161" customFormat="1" ht="12.75"/>
    <row r="38575" s="3161" customFormat="1" ht="12.75"/>
    <row r="38576" s="3161" customFormat="1" ht="12.75"/>
    <row r="38577" s="3161" customFormat="1" ht="12.75"/>
    <row r="38578" s="3161" customFormat="1" ht="12.75"/>
    <row r="38579" s="3161" customFormat="1" ht="12.75"/>
    <row r="38580" s="3161" customFormat="1" ht="12.75"/>
    <row r="38581" s="3161" customFormat="1" ht="12.75"/>
    <row r="38582" s="3161" customFormat="1" ht="12.75"/>
    <row r="38583" s="3161" customFormat="1" ht="12.75"/>
    <row r="38584" s="3161" customFormat="1" ht="12.75"/>
    <row r="38585" s="3161" customFormat="1" ht="12.75"/>
    <row r="38586" s="3161" customFormat="1" ht="12.75"/>
    <row r="38587" s="3161" customFormat="1" ht="12.75"/>
    <row r="38588" s="3161" customFormat="1" ht="12.75"/>
    <row r="38589" s="3161" customFormat="1" ht="12.75"/>
    <row r="38590" s="3161" customFormat="1" ht="12.75"/>
    <row r="38591" s="3161" customFormat="1" ht="12.75"/>
    <row r="38592" s="3161" customFormat="1" ht="12.75"/>
    <row r="38593" s="3161" customFormat="1" ht="12.75"/>
    <row r="38594" s="3161" customFormat="1" ht="12.75"/>
    <row r="38595" s="3161" customFormat="1" ht="12.75"/>
    <row r="38596" s="3161" customFormat="1" ht="12.75"/>
    <row r="38597" s="3161" customFormat="1" ht="12.75"/>
    <row r="38598" s="3161" customFormat="1" ht="12.75"/>
    <row r="38599" s="3161" customFormat="1" ht="12.75"/>
    <row r="38600" s="3161" customFormat="1" ht="12.75"/>
    <row r="38601" s="3161" customFormat="1" ht="12.75"/>
    <row r="38602" s="3161" customFormat="1" ht="12.75"/>
    <row r="38603" s="3161" customFormat="1" ht="12.75"/>
    <row r="38604" s="3161" customFormat="1" ht="12.75"/>
    <row r="38605" s="3161" customFormat="1" ht="12.75"/>
    <row r="38606" s="3161" customFormat="1" ht="12.75"/>
    <row r="38607" s="3161" customFormat="1" ht="12.75"/>
    <row r="38608" s="3161" customFormat="1" ht="12.75"/>
    <row r="38609" s="3161" customFormat="1" ht="12.75"/>
    <row r="38610" s="3161" customFormat="1" ht="12.75"/>
    <row r="38611" s="3161" customFormat="1" ht="12.75"/>
    <row r="38612" s="3161" customFormat="1" ht="12.75"/>
    <row r="38613" s="3161" customFormat="1" ht="12.75"/>
    <row r="38614" s="3161" customFormat="1" ht="12.75"/>
    <row r="38615" s="3161" customFormat="1" ht="12.75"/>
    <row r="38616" s="3161" customFormat="1" ht="12.75"/>
    <row r="38617" s="3161" customFormat="1" ht="12.75"/>
    <row r="38618" s="3161" customFormat="1" ht="12.75"/>
    <row r="38619" s="3161" customFormat="1" ht="12.75"/>
    <row r="38620" s="3161" customFormat="1" ht="12.75"/>
    <row r="38621" s="3161" customFormat="1" ht="12.75"/>
    <row r="38622" s="3161" customFormat="1" ht="12.75"/>
    <row r="38623" s="3161" customFormat="1" ht="12.75"/>
    <row r="38624" s="3161" customFormat="1" ht="12.75"/>
    <row r="38625" s="3161" customFormat="1" ht="12.75"/>
    <row r="38626" s="3161" customFormat="1" ht="12.75"/>
    <row r="38627" s="3161" customFormat="1" ht="12.75"/>
    <row r="38628" s="3161" customFormat="1" ht="12.75"/>
    <row r="38629" s="3161" customFormat="1" ht="12.75"/>
    <row r="38630" s="3161" customFormat="1" ht="12.75"/>
    <row r="38631" s="3161" customFormat="1" ht="12.75"/>
    <row r="38632" s="3161" customFormat="1" ht="12.75"/>
    <row r="38633" s="3161" customFormat="1" ht="12.75"/>
    <row r="38634" s="3161" customFormat="1" ht="12.75"/>
    <row r="38635" s="3161" customFormat="1" ht="12.75"/>
    <row r="38636" s="3161" customFormat="1" ht="12.75"/>
    <row r="38637" s="3161" customFormat="1" ht="12.75"/>
    <row r="38638" s="3161" customFormat="1" ht="12.75"/>
    <row r="38639" s="3161" customFormat="1" ht="12.75"/>
    <row r="38640" s="3161" customFormat="1" ht="12.75"/>
    <row r="38641" s="3161" customFormat="1" ht="12.75"/>
    <row r="38642" s="3161" customFormat="1" ht="12.75"/>
    <row r="38643" s="3161" customFormat="1" ht="12.75"/>
    <row r="38644" s="3161" customFormat="1" ht="12.75"/>
    <row r="38645" s="3161" customFormat="1" ht="12.75"/>
    <row r="38646" s="3161" customFormat="1" ht="12.75"/>
    <row r="38647" s="3161" customFormat="1" ht="12.75"/>
    <row r="38648" s="3161" customFormat="1" ht="12.75"/>
    <row r="38649" s="3161" customFormat="1" ht="12.75"/>
    <row r="38650" s="3161" customFormat="1" ht="12.75"/>
    <row r="38651" s="3161" customFormat="1" ht="12.75"/>
    <row r="38652" s="3161" customFormat="1" ht="12.75"/>
    <row r="38653" s="3161" customFormat="1" ht="12.75"/>
    <row r="38654" s="3161" customFormat="1" ht="12.75"/>
    <row r="38655" s="3161" customFormat="1" ht="12.75"/>
    <row r="38656" s="3161" customFormat="1" ht="12.75"/>
    <row r="38657" s="3161" customFormat="1" ht="12.75"/>
    <row r="38658" s="3161" customFormat="1" ht="12.75"/>
    <row r="38659" s="3161" customFormat="1" ht="12.75"/>
    <row r="38660" s="3161" customFormat="1" ht="12.75"/>
    <row r="38661" s="3161" customFormat="1" ht="12.75"/>
    <row r="38662" s="3161" customFormat="1" ht="12.75"/>
    <row r="38663" s="3161" customFormat="1" ht="12.75"/>
    <row r="38664" s="3161" customFormat="1" ht="12.75"/>
    <row r="38665" s="3161" customFormat="1" ht="12.75"/>
    <row r="38666" s="3161" customFormat="1" ht="12.75"/>
    <row r="38667" s="3161" customFormat="1" ht="12.75"/>
    <row r="38668" s="3161" customFormat="1" ht="12.75"/>
    <row r="38669" s="3161" customFormat="1" ht="12.75"/>
    <row r="38670" s="3161" customFormat="1" ht="12.75"/>
    <row r="38671" s="3161" customFormat="1" ht="12.75"/>
    <row r="38672" s="3161" customFormat="1" ht="12.75"/>
    <row r="38673" s="3161" customFormat="1" ht="12.75"/>
    <row r="38674" s="3161" customFormat="1" ht="12.75"/>
    <row r="38675" s="3161" customFormat="1" ht="12.75"/>
    <row r="38676" s="3161" customFormat="1" ht="12.75"/>
    <row r="38677" s="3161" customFormat="1" ht="12.75"/>
    <row r="38678" s="3161" customFormat="1" ht="12.75"/>
    <row r="38679" s="3161" customFormat="1" ht="12.75"/>
    <row r="38680" s="3161" customFormat="1" ht="12.75"/>
    <row r="38681" s="3161" customFormat="1" ht="12.75"/>
    <row r="38682" s="3161" customFormat="1" ht="12.75"/>
    <row r="38683" s="3161" customFormat="1" ht="12.75"/>
    <row r="38684" s="3161" customFormat="1" ht="12.75"/>
    <row r="38685" s="3161" customFormat="1" ht="12.75"/>
    <row r="38686" s="3161" customFormat="1" ht="12.75"/>
    <row r="38687" s="3161" customFormat="1" ht="12.75"/>
    <row r="38688" s="3161" customFormat="1" ht="12.75"/>
    <row r="38689" s="3161" customFormat="1" ht="12.75"/>
    <row r="38690" s="3161" customFormat="1" ht="12.75"/>
    <row r="38691" s="3161" customFormat="1" ht="12.75"/>
    <row r="38692" s="3161" customFormat="1" ht="12.75"/>
    <row r="38693" s="3161" customFormat="1" ht="12.75"/>
    <row r="38694" s="3161" customFormat="1" ht="12.75"/>
    <row r="38695" s="3161" customFormat="1" ht="12.75"/>
    <row r="38696" s="3161" customFormat="1" ht="12.75"/>
    <row r="38697" s="3161" customFormat="1" ht="12.75"/>
    <row r="38698" s="3161" customFormat="1" ht="12.75"/>
    <row r="38699" s="3161" customFormat="1" ht="12.75"/>
    <row r="38700" s="3161" customFormat="1" ht="12.75"/>
    <row r="38701" s="3161" customFormat="1" ht="12.75"/>
    <row r="38702" s="3161" customFormat="1" ht="12.75"/>
    <row r="38703" s="3161" customFormat="1" ht="12.75"/>
    <row r="38704" s="3161" customFormat="1" ht="12.75"/>
    <row r="38705" s="3161" customFormat="1" ht="12.75"/>
    <row r="38706" s="3161" customFormat="1" ht="12.75"/>
    <row r="38707" s="3161" customFormat="1" ht="12.75"/>
    <row r="38708" s="3161" customFormat="1" ht="12.75"/>
    <row r="38709" s="3161" customFormat="1" ht="12.75"/>
    <row r="38710" s="3161" customFormat="1" ht="12.75"/>
    <row r="38711" s="3161" customFormat="1" ht="12.75"/>
    <row r="38712" s="3161" customFormat="1" ht="12.75"/>
    <row r="38713" s="3161" customFormat="1" ht="12.75"/>
    <row r="38714" s="3161" customFormat="1" ht="12.75"/>
    <row r="38715" s="3161" customFormat="1" ht="12.75"/>
    <row r="38716" s="3161" customFormat="1" ht="12.75"/>
    <row r="38717" s="3161" customFormat="1" ht="12.75"/>
    <row r="38718" s="3161" customFormat="1" ht="12.75"/>
    <row r="38719" s="3161" customFormat="1" ht="12.75"/>
    <row r="38720" s="3161" customFormat="1" ht="12.75"/>
    <row r="38721" s="3161" customFormat="1" ht="12.75"/>
    <row r="38722" s="3161" customFormat="1" ht="12.75"/>
    <row r="38723" s="3161" customFormat="1" ht="12.75"/>
    <row r="38724" s="3161" customFormat="1" ht="12.75"/>
    <row r="38725" s="3161" customFormat="1" ht="12.75"/>
    <row r="38726" s="3161" customFormat="1" ht="12.75"/>
    <row r="38727" s="3161" customFormat="1" ht="12.75"/>
    <row r="38728" s="3161" customFormat="1" ht="12.75"/>
    <row r="38729" s="3161" customFormat="1" ht="12.75"/>
    <row r="38730" s="3161" customFormat="1" ht="12.75"/>
    <row r="38731" s="3161" customFormat="1" ht="12.75"/>
    <row r="38732" s="3161" customFormat="1" ht="12.75"/>
    <row r="38733" s="3161" customFormat="1" ht="12.75"/>
    <row r="38734" s="3161" customFormat="1" ht="12.75"/>
    <row r="38735" s="3161" customFormat="1" ht="12.75"/>
    <row r="38736" s="3161" customFormat="1" ht="12.75"/>
    <row r="38737" s="3161" customFormat="1" ht="12.75"/>
    <row r="38738" s="3161" customFormat="1" ht="12.75"/>
    <row r="38739" s="3161" customFormat="1" ht="12.75"/>
    <row r="38740" s="3161" customFormat="1" ht="12.75"/>
    <row r="38741" s="3161" customFormat="1" ht="12.75"/>
    <row r="38742" s="3161" customFormat="1" ht="12.75"/>
    <row r="38743" s="3161" customFormat="1" ht="12.75"/>
    <row r="38744" s="3161" customFormat="1" ht="12.75"/>
    <row r="38745" s="3161" customFormat="1" ht="12.75"/>
    <row r="38746" s="3161" customFormat="1" ht="12.75"/>
    <row r="38747" s="3161" customFormat="1" ht="12.75"/>
    <row r="38748" s="3161" customFormat="1" ht="12.75"/>
    <row r="38749" s="3161" customFormat="1" ht="12.75"/>
    <row r="38750" s="3161" customFormat="1" ht="12.75"/>
    <row r="38751" s="3161" customFormat="1" ht="12.75"/>
    <row r="38752" s="3161" customFormat="1" ht="12.75"/>
    <row r="38753" s="3161" customFormat="1" ht="12.75"/>
    <row r="38754" s="3161" customFormat="1" ht="12.75"/>
    <row r="38755" s="3161" customFormat="1" ht="12.75"/>
    <row r="38756" s="3161" customFormat="1" ht="12.75"/>
    <row r="38757" s="3161" customFormat="1" ht="12.75"/>
    <row r="38758" s="3161" customFormat="1" ht="12.75"/>
    <row r="38759" s="3161" customFormat="1" ht="12.75"/>
    <row r="38760" s="3161" customFormat="1" ht="12.75"/>
    <row r="38761" s="3161" customFormat="1" ht="12.75"/>
    <row r="38762" s="3161" customFormat="1" ht="12.75"/>
    <row r="38763" s="3161" customFormat="1" ht="12.75"/>
    <row r="38764" s="3161" customFormat="1" ht="12.75"/>
    <row r="38765" s="3161" customFormat="1" ht="12.75"/>
    <row r="38766" s="3161" customFormat="1" ht="12.75"/>
    <row r="38767" s="3161" customFormat="1" ht="12.75"/>
    <row r="38768" s="3161" customFormat="1" ht="12.75"/>
    <row r="38769" s="3161" customFormat="1" ht="12.75"/>
    <row r="38770" s="3161" customFormat="1" ht="12.75"/>
    <row r="38771" s="3161" customFormat="1" ht="12.75"/>
    <row r="38772" s="3161" customFormat="1" ht="12.75"/>
    <row r="38773" s="3161" customFormat="1" ht="12.75"/>
    <row r="38774" s="3161" customFormat="1" ht="12.75"/>
    <row r="38775" s="3161" customFormat="1" ht="12.75"/>
    <row r="38776" s="3161" customFormat="1" ht="12.75"/>
    <row r="38777" s="3161" customFormat="1" ht="12.75"/>
    <row r="38778" s="3161" customFormat="1" ht="12.75"/>
    <row r="38779" s="3161" customFormat="1" ht="12.75"/>
    <row r="38780" s="3161" customFormat="1" ht="12.75"/>
    <row r="38781" s="3161" customFormat="1" ht="12.75"/>
    <row r="38782" s="3161" customFormat="1" ht="12.75"/>
    <row r="38783" s="3161" customFormat="1" ht="12.75"/>
    <row r="38784" s="3161" customFormat="1" ht="12.75"/>
    <row r="38785" s="3161" customFormat="1" ht="12.75"/>
    <row r="38786" s="3161" customFormat="1" ht="12.75"/>
    <row r="38787" s="3161" customFormat="1" ht="12.75"/>
    <row r="38788" s="3161" customFormat="1" ht="12.75"/>
    <row r="38789" s="3161" customFormat="1" ht="12.75"/>
    <row r="38790" s="3161" customFormat="1" ht="12.75"/>
    <row r="38791" s="3161" customFormat="1" ht="12.75"/>
    <row r="38792" s="3161" customFormat="1" ht="12.75"/>
    <row r="38793" s="3161" customFormat="1" ht="12.75"/>
    <row r="38794" s="3161" customFormat="1" ht="12.75"/>
    <row r="38795" s="3161" customFormat="1" ht="12.75"/>
    <row r="38796" s="3161" customFormat="1" ht="12.75"/>
    <row r="38797" s="3161" customFormat="1" ht="12.75"/>
    <row r="38798" s="3161" customFormat="1" ht="12.75"/>
    <row r="38799" s="3161" customFormat="1" ht="12.75"/>
    <row r="38800" s="3161" customFormat="1" ht="12.75"/>
    <row r="38801" s="3161" customFormat="1" ht="12.75"/>
    <row r="38802" s="3161" customFormat="1" ht="12.75"/>
    <row r="38803" s="3161" customFormat="1" ht="12.75"/>
    <row r="38804" s="3161" customFormat="1" ht="12.75"/>
    <row r="38805" s="3161" customFormat="1" ht="12.75"/>
    <row r="38806" s="3161" customFormat="1" ht="12.75"/>
    <row r="38807" s="3161" customFormat="1" ht="12.75"/>
    <row r="38808" s="3161" customFormat="1" ht="12.75"/>
    <row r="38809" s="3161" customFormat="1" ht="12.75"/>
    <row r="38810" s="3161" customFormat="1" ht="12.75"/>
    <row r="38811" s="3161" customFormat="1" ht="12.75"/>
    <row r="38812" s="3161" customFormat="1" ht="12.75"/>
    <row r="38813" s="3161" customFormat="1" ht="12.75"/>
    <row r="38814" s="3161" customFormat="1" ht="12.75"/>
    <row r="38815" s="3161" customFormat="1" ht="12.75"/>
    <row r="38816" s="3161" customFormat="1" ht="12.75"/>
    <row r="38817" s="3161" customFormat="1" ht="12.75"/>
    <row r="38818" s="3161" customFormat="1" ht="12.75"/>
    <row r="38819" s="3161" customFormat="1" ht="12.75"/>
    <row r="38820" s="3161" customFormat="1" ht="12.75"/>
    <row r="38821" s="3161" customFormat="1" ht="12.75"/>
    <row r="38822" s="3161" customFormat="1" ht="12.75"/>
    <row r="38823" s="3161" customFormat="1" ht="12.75"/>
    <row r="38824" s="3161" customFormat="1" ht="12.75"/>
    <row r="38825" s="3161" customFormat="1" ht="12.75"/>
    <row r="38826" s="3161" customFormat="1" ht="12.75"/>
    <row r="38827" s="3161" customFormat="1" ht="12.75"/>
    <row r="38828" s="3161" customFormat="1" ht="12.75"/>
    <row r="38829" s="3161" customFormat="1" ht="12.75"/>
    <row r="38830" s="3161" customFormat="1" ht="12.75"/>
    <row r="38831" s="3161" customFormat="1" ht="12.75"/>
    <row r="38832" s="3161" customFormat="1" ht="12.75"/>
    <row r="38833" s="3161" customFormat="1" ht="12.75"/>
    <row r="38834" s="3161" customFormat="1" ht="12.75"/>
    <row r="38835" s="3161" customFormat="1" ht="12.75"/>
    <row r="38836" s="3161" customFormat="1" ht="12.75"/>
    <row r="38837" s="3161" customFormat="1" ht="12.75"/>
    <row r="38838" s="3161" customFormat="1" ht="12.75"/>
    <row r="38839" s="3161" customFormat="1" ht="12.75"/>
    <row r="38840" s="3161" customFormat="1" ht="12.75"/>
    <row r="38841" s="3161" customFormat="1" ht="12.75"/>
    <row r="38842" s="3161" customFormat="1" ht="12.75"/>
    <row r="38843" s="3161" customFormat="1" ht="12.75"/>
    <row r="38844" s="3161" customFormat="1" ht="12.75"/>
    <row r="38845" s="3161" customFormat="1" ht="12.75"/>
    <row r="38846" s="3161" customFormat="1" ht="12.75"/>
    <row r="38847" s="3161" customFormat="1" ht="12.75"/>
    <row r="38848" s="3161" customFormat="1" ht="12.75"/>
    <row r="38849" s="3161" customFormat="1" ht="12.75"/>
    <row r="38850" s="3161" customFormat="1" ht="12.75"/>
    <row r="38851" s="3161" customFormat="1" ht="12.75"/>
    <row r="38852" s="3161" customFormat="1" ht="12.75"/>
    <row r="38853" s="3161" customFormat="1" ht="12.75"/>
    <row r="38854" s="3161" customFormat="1" ht="12.75"/>
    <row r="38855" s="3161" customFormat="1" ht="12.75"/>
    <row r="38856" s="3161" customFormat="1" ht="12.75"/>
    <row r="38857" s="3161" customFormat="1" ht="12.75"/>
    <row r="38858" s="3161" customFormat="1" ht="12.75"/>
    <row r="38859" s="3161" customFormat="1" ht="12.75"/>
    <row r="38860" s="3161" customFormat="1" ht="12.75"/>
    <row r="38861" s="3161" customFormat="1" ht="12.75"/>
    <row r="38862" s="3161" customFormat="1" ht="12.75"/>
    <row r="38863" s="3161" customFormat="1" ht="12.75"/>
    <row r="38864" s="3161" customFormat="1" ht="12.75"/>
    <row r="38865" s="3161" customFormat="1" ht="12.75"/>
    <row r="38866" s="3161" customFormat="1" ht="12.75"/>
    <row r="38867" s="3161" customFormat="1" ht="12.75"/>
    <row r="38868" s="3161" customFormat="1" ht="12.75"/>
    <row r="38869" s="3161" customFormat="1" ht="12.75"/>
    <row r="38870" s="3161" customFormat="1" ht="12.75"/>
    <row r="38871" s="3161" customFormat="1" ht="12.75"/>
    <row r="38872" s="3161" customFormat="1" ht="12.75"/>
    <row r="38873" s="3161" customFormat="1" ht="12.75"/>
    <row r="38874" s="3161" customFormat="1" ht="12.75"/>
    <row r="38875" s="3161" customFormat="1" ht="12.75"/>
    <row r="38876" s="3161" customFormat="1" ht="12.75"/>
    <row r="38877" s="3161" customFormat="1" ht="12.75"/>
    <row r="38878" s="3161" customFormat="1" ht="12.75"/>
    <row r="38879" s="3161" customFormat="1" ht="12.75"/>
    <row r="38880" s="3161" customFormat="1" ht="12.75"/>
    <row r="38881" s="3161" customFormat="1" ht="12.75"/>
    <row r="38882" s="3161" customFormat="1" ht="12.75"/>
    <row r="38883" s="3161" customFormat="1" ht="12.75"/>
    <row r="38884" s="3161" customFormat="1" ht="12.75"/>
    <row r="38885" s="3161" customFormat="1" ht="12.75"/>
    <row r="38886" s="3161" customFormat="1" ht="12.75"/>
    <row r="38887" s="3161" customFormat="1" ht="12.75"/>
    <row r="38888" s="3161" customFormat="1" ht="12.75"/>
    <row r="38889" s="3161" customFormat="1" ht="12.75"/>
    <row r="38890" s="3161" customFormat="1" ht="12.75"/>
    <row r="38891" s="3161" customFormat="1" ht="12.75"/>
    <row r="38892" s="3161" customFormat="1" ht="12.75"/>
    <row r="38893" s="3161" customFormat="1" ht="12.75"/>
    <row r="38894" s="3161" customFormat="1" ht="12.75"/>
    <row r="38895" s="3161" customFormat="1" ht="12.75"/>
    <row r="38896" s="3161" customFormat="1" ht="12.75"/>
    <row r="38897" s="3161" customFormat="1" ht="12.75"/>
    <row r="38898" s="3161" customFormat="1" ht="12.75"/>
    <row r="38899" s="3161" customFormat="1" ht="12.75"/>
    <row r="38900" s="3161" customFormat="1" ht="12.75"/>
    <row r="38901" s="3161" customFormat="1" ht="12.75"/>
    <row r="38902" s="3161" customFormat="1" ht="12.75"/>
    <row r="38903" s="3161" customFormat="1" ht="12.75"/>
    <row r="38904" s="3161" customFormat="1" ht="12.75"/>
    <row r="38905" s="3161" customFormat="1" ht="12.75"/>
    <row r="38906" s="3161" customFormat="1" ht="12.75"/>
    <row r="38907" s="3161" customFormat="1" ht="12.75"/>
    <row r="38908" s="3161" customFormat="1" ht="12.75"/>
    <row r="38909" s="3161" customFormat="1" ht="12.75"/>
    <row r="38910" s="3161" customFormat="1" ht="12.75"/>
    <row r="38911" s="3161" customFormat="1" ht="12.75"/>
    <row r="38912" s="3161" customFormat="1" ht="12.75"/>
    <row r="38913" s="3161" customFormat="1" ht="12.75"/>
    <row r="38914" s="3161" customFormat="1" ht="12.75"/>
    <row r="38915" s="3161" customFormat="1" ht="12.75"/>
    <row r="38916" s="3161" customFormat="1" ht="12.75"/>
    <row r="38917" s="3161" customFormat="1" ht="12.75"/>
    <row r="38918" s="3161" customFormat="1" ht="12.75"/>
    <row r="38919" s="3161" customFormat="1" ht="12.75"/>
    <row r="38920" s="3161" customFormat="1" ht="12.75"/>
    <row r="38921" s="3161" customFormat="1" ht="12.75"/>
    <row r="38922" s="3161" customFormat="1" ht="12.75"/>
    <row r="38923" s="3161" customFormat="1" ht="12.75"/>
    <row r="38924" s="3161" customFormat="1" ht="12.75"/>
    <row r="38925" s="3161" customFormat="1" ht="12.75"/>
    <row r="38926" s="3161" customFormat="1" ht="12.75"/>
    <row r="38927" s="3161" customFormat="1" ht="12.75"/>
    <row r="38928" s="3161" customFormat="1" ht="12.75"/>
    <row r="38929" s="3161" customFormat="1" ht="12.75"/>
    <row r="38930" s="3161" customFormat="1" ht="12.75"/>
    <row r="38931" s="3161" customFormat="1" ht="12.75"/>
    <row r="38932" s="3161" customFormat="1" ht="12.75"/>
    <row r="38933" s="3161" customFormat="1" ht="12.75"/>
    <row r="38934" s="3161" customFormat="1" ht="12.75"/>
    <row r="38935" s="3161" customFormat="1" ht="12.75"/>
    <row r="38936" s="3161" customFormat="1" ht="12.75"/>
    <row r="38937" s="3161" customFormat="1" ht="12.75"/>
    <row r="38938" s="3161" customFormat="1" ht="12.75"/>
    <row r="38939" s="3161" customFormat="1" ht="12.75"/>
    <row r="38940" s="3161" customFormat="1" ht="12.75"/>
    <row r="38941" s="3161" customFormat="1" ht="12.75"/>
    <row r="38942" s="3161" customFormat="1" ht="12.75"/>
    <row r="38943" s="3161" customFormat="1" ht="12.75"/>
    <row r="38944" s="3161" customFormat="1" ht="12.75"/>
    <row r="38945" s="3161" customFormat="1" ht="12.75"/>
    <row r="38946" s="3161" customFormat="1" ht="12.75"/>
    <row r="38947" s="3161" customFormat="1" ht="12.75"/>
    <row r="38948" s="3161" customFormat="1" ht="12.75"/>
    <row r="38949" s="3161" customFormat="1" ht="12.75"/>
    <row r="38950" s="3161" customFormat="1" ht="12.75"/>
    <row r="38951" s="3161" customFormat="1" ht="12.75"/>
    <row r="38952" s="3161" customFormat="1" ht="12.75"/>
    <row r="38953" s="3161" customFormat="1" ht="12.75"/>
    <row r="38954" s="3161" customFormat="1" ht="12.75"/>
    <row r="38955" s="3161" customFormat="1" ht="12.75"/>
    <row r="38956" s="3161" customFormat="1" ht="12.75"/>
    <row r="38957" s="3161" customFormat="1" ht="12.75"/>
    <row r="38958" s="3161" customFormat="1" ht="12.75"/>
    <row r="38959" s="3161" customFormat="1" ht="12.75"/>
    <row r="38960" s="3161" customFormat="1" ht="12.75"/>
    <row r="38961" s="3161" customFormat="1" ht="12.75"/>
    <row r="38962" s="3161" customFormat="1" ht="12.75"/>
    <row r="38963" s="3161" customFormat="1" ht="12.75"/>
    <row r="38964" s="3161" customFormat="1" ht="12.75"/>
    <row r="38965" s="3161" customFormat="1" ht="12.75"/>
    <row r="38966" s="3161" customFormat="1" ht="12.75"/>
    <row r="38967" s="3161" customFormat="1" ht="12.75"/>
    <row r="38968" s="3161" customFormat="1" ht="12.75"/>
    <row r="38969" s="3161" customFormat="1" ht="12.75"/>
    <row r="38970" s="3161" customFormat="1" ht="12.75"/>
    <row r="38971" s="3161" customFormat="1" ht="12.75"/>
    <row r="38972" s="3161" customFormat="1" ht="12.75"/>
    <row r="38973" s="3161" customFormat="1" ht="12.75"/>
    <row r="38974" s="3161" customFormat="1" ht="12.75"/>
    <row r="38975" s="3161" customFormat="1" ht="12.75"/>
    <row r="38976" s="3161" customFormat="1" ht="12.75"/>
    <row r="38977" s="3161" customFormat="1" ht="12.75"/>
    <row r="38978" s="3161" customFormat="1" ht="12.75"/>
    <row r="38979" s="3161" customFormat="1" ht="12.75"/>
    <row r="38980" s="3161" customFormat="1" ht="12.75"/>
    <row r="38981" s="3161" customFormat="1" ht="12.75"/>
    <row r="38982" s="3161" customFormat="1" ht="12.75"/>
    <row r="38983" s="3161" customFormat="1" ht="12.75"/>
    <row r="38984" s="3161" customFormat="1" ht="12.75"/>
    <row r="38985" s="3161" customFormat="1" ht="12.75"/>
    <row r="38986" s="3161" customFormat="1" ht="12.75"/>
    <row r="38987" s="3161" customFormat="1" ht="12.75"/>
    <row r="38988" s="3161" customFormat="1" ht="12.75"/>
    <row r="38989" s="3161" customFormat="1" ht="12.75"/>
    <row r="38990" s="3161" customFormat="1" ht="12.75"/>
    <row r="38991" s="3161" customFormat="1" ht="12.75"/>
    <row r="38992" s="3161" customFormat="1" ht="12.75"/>
    <row r="38993" s="3161" customFormat="1" ht="12.75"/>
    <row r="38994" s="3161" customFormat="1" ht="12.75"/>
    <row r="38995" s="3161" customFormat="1" ht="12.75"/>
    <row r="38996" s="3161" customFormat="1" ht="12.75"/>
    <row r="38997" s="3161" customFormat="1" ht="12.75"/>
    <row r="38998" s="3161" customFormat="1" ht="12.75"/>
    <row r="38999" s="3161" customFormat="1" ht="12.75"/>
    <row r="39000" s="3161" customFormat="1" ht="12.75"/>
    <row r="39001" s="3161" customFormat="1" ht="12.75"/>
    <row r="39002" s="3161" customFormat="1" ht="12.75"/>
    <row r="39003" s="3161" customFormat="1" ht="12.75"/>
    <row r="39004" s="3161" customFormat="1" ht="12.75"/>
    <row r="39005" s="3161" customFormat="1" ht="12.75"/>
    <row r="39006" s="3161" customFormat="1" ht="12.75"/>
    <row r="39007" s="3161" customFormat="1" ht="12.75"/>
    <row r="39008" s="3161" customFormat="1" ht="12.75"/>
    <row r="39009" s="3161" customFormat="1" ht="12.75"/>
    <row r="39010" s="3161" customFormat="1" ht="12.75"/>
    <row r="39011" s="3161" customFormat="1" ht="12.75"/>
    <row r="39012" s="3161" customFormat="1" ht="12.75"/>
    <row r="39013" s="3161" customFormat="1" ht="12.75"/>
    <row r="39014" s="3161" customFormat="1" ht="12.75"/>
    <row r="39015" s="3161" customFormat="1" ht="12.75"/>
    <row r="39016" s="3161" customFormat="1" ht="12.75"/>
    <row r="39017" s="3161" customFormat="1" ht="12.75"/>
    <row r="39018" s="3161" customFormat="1" ht="12.75"/>
    <row r="39019" s="3161" customFormat="1" ht="12.75"/>
    <row r="39020" s="3161" customFormat="1" ht="12.75"/>
    <row r="39021" s="3161" customFormat="1" ht="12.75"/>
    <row r="39022" s="3161" customFormat="1" ht="12.75"/>
    <row r="39023" s="3161" customFormat="1" ht="12.75"/>
    <row r="39024" s="3161" customFormat="1" ht="12.75"/>
    <row r="39025" s="3161" customFormat="1" ht="12.75"/>
    <row r="39026" s="3161" customFormat="1" ht="12.75"/>
    <row r="39027" s="3161" customFormat="1" ht="12.75"/>
    <row r="39028" s="3161" customFormat="1" ht="12.75"/>
    <row r="39029" s="3161" customFormat="1" ht="12.75"/>
    <row r="39030" s="3161" customFormat="1" ht="12.75"/>
    <row r="39031" s="3161" customFormat="1" ht="12.75"/>
    <row r="39032" s="3161" customFormat="1" ht="12.75"/>
    <row r="39033" s="3161" customFormat="1" ht="12.75"/>
    <row r="39034" s="3161" customFormat="1" ht="12.75"/>
    <row r="39035" s="3161" customFormat="1" ht="12.75"/>
    <row r="39036" s="3161" customFormat="1" ht="12.75"/>
    <row r="39037" s="3161" customFormat="1" ht="12.75"/>
    <row r="39038" s="3161" customFormat="1" ht="12.75"/>
    <row r="39039" s="3161" customFormat="1" ht="12.75"/>
    <row r="39040" s="3161" customFormat="1" ht="12.75"/>
    <row r="39041" s="3161" customFormat="1" ht="12.75"/>
    <row r="39042" s="3161" customFormat="1" ht="12.75"/>
    <row r="39043" s="3161" customFormat="1" ht="12.75"/>
    <row r="39044" s="3161" customFormat="1" ht="12.75"/>
    <row r="39045" s="3161" customFormat="1" ht="12.75"/>
    <row r="39046" s="3161" customFormat="1" ht="12.75"/>
    <row r="39047" s="3161" customFormat="1" ht="12.75"/>
    <row r="39048" s="3161" customFormat="1" ht="12.75"/>
    <row r="39049" s="3161" customFormat="1" ht="12.75"/>
    <row r="39050" s="3161" customFormat="1" ht="12.75"/>
    <row r="39051" s="3161" customFormat="1" ht="12.75"/>
    <row r="39052" s="3161" customFormat="1" ht="12.75"/>
    <row r="39053" s="3161" customFormat="1" ht="12.75"/>
    <row r="39054" s="3161" customFormat="1" ht="12.75"/>
    <row r="39055" s="3161" customFormat="1" ht="12.75"/>
    <row r="39056" s="3161" customFormat="1" ht="12.75"/>
    <row r="39057" s="3161" customFormat="1" ht="12.75"/>
    <row r="39058" s="3161" customFormat="1" ht="12.75"/>
    <row r="39059" s="3161" customFormat="1" ht="12.75"/>
    <row r="39060" s="3161" customFormat="1" ht="12.75"/>
    <row r="39061" s="3161" customFormat="1" ht="12.75"/>
    <row r="39062" s="3161" customFormat="1" ht="12.75"/>
    <row r="39063" s="3161" customFormat="1" ht="12.75"/>
    <row r="39064" s="3161" customFormat="1" ht="12.75"/>
    <row r="39065" s="3161" customFormat="1" ht="12.75"/>
    <row r="39066" s="3161" customFormat="1" ht="12.75"/>
    <row r="39067" s="3161" customFormat="1" ht="12.75"/>
    <row r="39068" s="3161" customFormat="1" ht="12.75"/>
    <row r="39069" s="3161" customFormat="1" ht="12.75"/>
    <row r="39070" s="3161" customFormat="1" ht="12.75"/>
    <row r="39071" s="3161" customFormat="1" ht="12.75"/>
    <row r="39072" s="3161" customFormat="1" ht="12.75"/>
    <row r="39073" s="3161" customFormat="1" ht="12.75"/>
    <row r="39074" s="3161" customFormat="1" ht="12.75"/>
    <row r="39075" s="3161" customFormat="1" ht="12.75"/>
    <row r="39076" s="3161" customFormat="1" ht="12.75"/>
    <row r="39077" s="3161" customFormat="1" ht="12.75"/>
    <row r="39078" s="3161" customFormat="1" ht="12.75"/>
    <row r="39079" s="3161" customFormat="1" ht="12.75"/>
    <row r="39080" s="3161" customFormat="1" ht="12.75"/>
    <row r="39081" s="3161" customFormat="1" ht="12.75"/>
    <row r="39082" s="3161" customFormat="1" ht="12.75"/>
    <row r="39083" s="3161" customFormat="1" ht="12.75"/>
    <row r="39084" s="3161" customFormat="1" ht="12.75"/>
    <row r="39085" s="3161" customFormat="1" ht="12.75"/>
    <row r="39086" s="3161" customFormat="1" ht="12.75"/>
    <row r="39087" s="3161" customFormat="1" ht="12.75"/>
    <row r="39088" s="3161" customFormat="1" ht="12.75"/>
    <row r="39089" s="3161" customFormat="1" ht="12.75"/>
    <row r="39090" s="3161" customFormat="1" ht="12.75"/>
    <row r="39091" s="3161" customFormat="1" ht="12.75"/>
    <row r="39092" s="3161" customFormat="1" ht="12.75"/>
    <row r="39093" s="3161" customFormat="1" ht="12.75"/>
    <row r="39094" s="3161" customFormat="1" ht="12.75"/>
    <row r="39095" s="3161" customFormat="1" ht="12.75"/>
    <row r="39096" s="3161" customFormat="1" ht="12.75"/>
    <row r="39097" s="3161" customFormat="1" ht="12.75"/>
    <row r="39098" s="3161" customFormat="1" ht="12.75"/>
    <row r="39099" s="3161" customFormat="1" ht="12.75"/>
    <row r="39100" s="3161" customFormat="1" ht="12.75"/>
    <row r="39101" s="3161" customFormat="1" ht="12.75"/>
    <row r="39102" s="3161" customFormat="1" ht="12.75"/>
    <row r="39103" s="3161" customFormat="1" ht="12.75"/>
    <row r="39104" s="3161" customFormat="1" ht="12.75"/>
    <row r="39105" s="3161" customFormat="1" ht="12.75"/>
    <row r="39106" s="3161" customFormat="1" ht="12.75"/>
    <row r="39107" s="3161" customFormat="1" ht="12.75"/>
    <row r="39108" s="3161" customFormat="1" ht="12.75"/>
    <row r="39109" s="3161" customFormat="1" ht="12.75"/>
    <row r="39110" s="3161" customFormat="1" ht="12.75"/>
    <row r="39111" s="3161" customFormat="1" ht="12.75"/>
    <row r="39112" s="3161" customFormat="1" ht="12.75"/>
    <row r="39113" s="3161" customFormat="1" ht="12.75"/>
    <row r="39114" s="3161" customFormat="1" ht="12.75"/>
    <row r="39115" s="3161" customFormat="1" ht="12.75"/>
    <row r="39116" s="3161" customFormat="1" ht="12.75"/>
    <row r="39117" s="3161" customFormat="1" ht="12.75"/>
    <row r="39118" s="3161" customFormat="1" ht="12.75"/>
    <row r="39119" s="3161" customFormat="1" ht="12.75"/>
    <row r="39120" s="3161" customFormat="1" ht="12.75"/>
    <row r="39121" s="3161" customFormat="1" ht="12.75"/>
    <row r="39122" s="3161" customFormat="1" ht="12.75"/>
    <row r="39123" s="3161" customFormat="1" ht="12.75"/>
    <row r="39124" s="3161" customFormat="1" ht="12.75"/>
    <row r="39125" s="3161" customFormat="1" ht="12.75"/>
    <row r="39126" s="3161" customFormat="1" ht="12.75"/>
    <row r="39127" s="3161" customFormat="1" ht="12.75"/>
    <row r="39128" s="3161" customFormat="1" ht="12.75"/>
    <row r="39129" s="3161" customFormat="1" ht="12.75"/>
    <row r="39130" s="3161" customFormat="1" ht="12.75"/>
    <row r="39131" s="3161" customFormat="1" ht="12.75"/>
    <row r="39132" s="3161" customFormat="1" ht="12.75"/>
    <row r="39133" s="3161" customFormat="1" ht="12.75"/>
    <row r="39134" s="3161" customFormat="1" ht="12.75"/>
    <row r="39135" s="3161" customFormat="1" ht="12.75"/>
    <row r="39136" s="3161" customFormat="1" ht="12.75"/>
    <row r="39137" s="3161" customFormat="1" ht="12.75"/>
    <row r="39138" s="3161" customFormat="1" ht="12.75"/>
    <row r="39139" s="3161" customFormat="1" ht="12.75"/>
    <row r="39140" s="3161" customFormat="1" ht="12.75"/>
    <row r="39141" s="3161" customFormat="1" ht="12.75"/>
    <row r="39142" s="3161" customFormat="1" ht="12.75"/>
    <row r="39143" s="3161" customFormat="1" ht="12.75"/>
    <row r="39144" s="3161" customFormat="1" ht="12.75"/>
    <row r="39145" s="3161" customFormat="1" ht="12.75"/>
    <row r="39146" s="3161" customFormat="1" ht="12.75"/>
    <row r="39147" s="3161" customFormat="1" ht="12.75"/>
    <row r="39148" s="3161" customFormat="1" ht="12.75"/>
    <row r="39149" s="3161" customFormat="1" ht="12.75"/>
    <row r="39150" s="3161" customFormat="1" ht="12.75"/>
    <row r="39151" s="3161" customFormat="1" ht="12.75"/>
    <row r="39152" s="3161" customFormat="1" ht="12.75"/>
    <row r="39153" s="3161" customFormat="1" ht="12.75"/>
    <row r="39154" s="3161" customFormat="1" ht="12.75"/>
    <row r="39155" s="3161" customFormat="1" ht="12.75"/>
    <row r="39156" s="3161" customFormat="1" ht="12.75"/>
    <row r="39157" s="3161" customFormat="1" ht="12.75"/>
    <row r="39158" s="3161" customFormat="1" ht="12.75"/>
    <row r="39159" s="3161" customFormat="1" ht="12.75"/>
    <row r="39160" s="3161" customFormat="1" ht="12.75"/>
    <row r="39161" s="3161" customFormat="1" ht="12.75"/>
    <row r="39162" s="3161" customFormat="1" ht="12.75"/>
    <row r="39163" s="3161" customFormat="1" ht="12.75"/>
    <row r="39164" s="3161" customFormat="1" ht="12.75"/>
    <row r="39165" s="3161" customFormat="1" ht="12.75"/>
    <row r="39166" s="3161" customFormat="1" ht="12.75"/>
    <row r="39167" s="3161" customFormat="1" ht="12.75"/>
    <row r="39168" s="3161" customFormat="1" ht="12.75"/>
    <row r="39169" s="3161" customFormat="1" ht="12.75"/>
    <row r="39170" s="3161" customFormat="1" ht="12.75"/>
    <row r="39171" s="3161" customFormat="1" ht="12.75"/>
    <row r="39172" s="3161" customFormat="1" ht="12.75"/>
    <row r="39173" s="3161" customFormat="1" ht="12.75"/>
    <row r="39174" s="3161" customFormat="1" ht="12.75"/>
    <row r="39175" s="3161" customFormat="1" ht="12.75"/>
    <row r="39176" s="3161" customFormat="1" ht="12.75"/>
    <row r="39177" s="3161" customFormat="1" ht="12.75"/>
    <row r="39178" s="3161" customFormat="1" ht="12.75"/>
    <row r="39179" s="3161" customFormat="1" ht="12.75"/>
    <row r="39180" s="3161" customFormat="1" ht="12.75"/>
    <row r="39181" s="3161" customFormat="1" ht="12.75"/>
    <row r="39182" s="3161" customFormat="1" ht="12.75"/>
    <row r="39183" s="3161" customFormat="1" ht="12.75"/>
    <row r="39184" s="3161" customFormat="1" ht="12.75"/>
    <row r="39185" s="3161" customFormat="1" ht="12.75"/>
    <row r="39186" s="3161" customFormat="1" ht="12.75"/>
    <row r="39187" s="3161" customFormat="1" ht="12.75"/>
    <row r="39188" s="3161" customFormat="1" ht="12.75"/>
    <row r="39189" s="3161" customFormat="1" ht="12.75"/>
    <row r="39190" s="3161" customFormat="1" ht="12.75"/>
    <row r="39191" s="3161" customFormat="1" ht="12.75"/>
    <row r="39192" s="3161" customFormat="1" ht="12.75"/>
    <row r="39193" s="3161" customFormat="1" ht="12.75"/>
    <row r="39194" s="3161" customFormat="1" ht="12.75"/>
    <row r="39195" s="3161" customFormat="1" ht="12.75"/>
    <row r="39196" s="3161" customFormat="1" ht="12.75"/>
    <row r="39197" s="3161" customFormat="1" ht="12.75"/>
    <row r="39198" s="3161" customFormat="1" ht="12.75"/>
    <row r="39199" s="3161" customFormat="1" ht="12.75"/>
    <row r="39200" s="3161" customFormat="1" ht="12.75"/>
    <row r="39201" s="3161" customFormat="1" ht="12.75"/>
    <row r="39202" s="3161" customFormat="1" ht="12.75"/>
    <row r="39203" s="3161" customFormat="1" ht="12.75"/>
    <row r="39204" s="3161" customFormat="1" ht="12.75"/>
    <row r="39205" s="3161" customFormat="1" ht="12.75"/>
    <row r="39206" s="3161" customFormat="1" ht="12.75"/>
    <row r="39207" s="3161" customFormat="1" ht="12.75"/>
    <row r="39208" s="3161" customFormat="1" ht="12.75"/>
    <row r="39209" s="3161" customFormat="1" ht="12.75"/>
    <row r="39210" s="3161" customFormat="1" ht="12.75"/>
    <row r="39211" s="3161" customFormat="1" ht="12.75"/>
    <row r="39212" s="3161" customFormat="1" ht="12.75"/>
    <row r="39213" s="3161" customFormat="1" ht="12.75"/>
    <row r="39214" s="3161" customFormat="1" ht="12.75"/>
    <row r="39215" s="3161" customFormat="1" ht="12.75"/>
    <row r="39216" s="3161" customFormat="1" ht="12.75"/>
    <row r="39217" s="3161" customFormat="1" ht="12.75"/>
    <row r="39218" s="3161" customFormat="1" ht="12.75"/>
    <row r="39219" s="3161" customFormat="1" ht="12.75"/>
    <row r="39220" s="3161" customFormat="1" ht="12.75"/>
    <row r="39221" s="3161" customFormat="1" ht="12.75"/>
    <row r="39222" s="3161" customFormat="1" ht="12.75"/>
    <row r="39223" s="3161" customFormat="1" ht="12.75"/>
    <row r="39224" s="3161" customFormat="1" ht="12.75"/>
    <row r="39225" s="3161" customFormat="1" ht="12.75"/>
    <row r="39226" s="3161" customFormat="1" ht="12.75"/>
    <row r="39227" s="3161" customFormat="1" ht="12.75"/>
    <row r="39228" s="3161" customFormat="1" ht="12.75"/>
    <row r="39229" s="3161" customFormat="1" ht="12.75"/>
    <row r="39230" s="3161" customFormat="1" ht="12.75"/>
    <row r="39231" s="3161" customFormat="1" ht="12.75"/>
    <row r="39232" s="3161" customFormat="1" ht="12.75"/>
    <row r="39233" s="3161" customFormat="1" ht="12.75"/>
    <row r="39234" s="3161" customFormat="1" ht="12.75"/>
    <row r="39235" s="3161" customFormat="1" ht="12.75"/>
    <row r="39236" s="3161" customFormat="1" ht="12.75"/>
    <row r="39237" s="3161" customFormat="1" ht="12.75"/>
    <row r="39238" s="3161" customFormat="1" ht="12.75"/>
    <row r="39239" s="3161" customFormat="1" ht="12.75"/>
    <row r="39240" s="3161" customFormat="1" ht="12.75"/>
    <row r="39241" s="3161" customFormat="1" ht="12.75"/>
    <row r="39242" s="3161" customFormat="1" ht="12.75"/>
    <row r="39243" s="3161" customFormat="1" ht="12.75"/>
    <row r="39244" s="3161" customFormat="1" ht="12.75"/>
    <row r="39245" s="3161" customFormat="1" ht="12.75"/>
    <row r="39246" s="3161" customFormat="1" ht="12.75"/>
    <row r="39247" s="3161" customFormat="1" ht="12.75"/>
    <row r="39248" s="3161" customFormat="1" ht="12.75"/>
    <row r="39249" s="3161" customFormat="1" ht="12.75"/>
    <row r="39250" s="3161" customFormat="1" ht="12.75"/>
    <row r="39251" s="3161" customFormat="1" ht="12.75"/>
    <row r="39252" s="3161" customFormat="1" ht="12.75"/>
    <row r="39253" s="3161" customFormat="1" ht="12.75"/>
    <row r="39254" s="3161" customFormat="1" ht="12.75"/>
    <row r="39255" s="3161" customFormat="1" ht="12.75"/>
    <row r="39256" s="3161" customFormat="1" ht="12.75"/>
    <row r="39257" s="3161" customFormat="1" ht="12.75"/>
    <row r="39258" s="3161" customFormat="1" ht="12.75"/>
    <row r="39259" s="3161" customFormat="1" ht="12.75"/>
    <row r="39260" s="3161" customFormat="1" ht="12.75"/>
    <row r="39261" s="3161" customFormat="1" ht="12.75"/>
    <row r="39262" s="3161" customFormat="1" ht="12.75"/>
    <row r="39263" s="3161" customFormat="1" ht="12.75"/>
    <row r="39264" s="3161" customFormat="1" ht="12.75"/>
    <row r="39265" s="3161" customFormat="1" ht="12.75"/>
    <row r="39266" s="3161" customFormat="1" ht="12.75"/>
    <row r="39267" s="3161" customFormat="1" ht="12.75"/>
    <row r="39268" s="3161" customFormat="1" ht="12.75"/>
    <row r="39269" s="3161" customFormat="1" ht="12.75"/>
    <row r="39270" s="3161" customFormat="1" ht="12.75"/>
    <row r="39271" s="3161" customFormat="1" ht="12.75"/>
    <row r="39272" s="3161" customFormat="1" ht="12.75"/>
    <row r="39273" s="3161" customFormat="1" ht="12.75"/>
    <row r="39274" s="3161" customFormat="1" ht="12.75"/>
    <row r="39275" s="3161" customFormat="1" ht="12.75"/>
    <row r="39276" s="3161" customFormat="1" ht="12.75"/>
    <row r="39277" s="3161" customFormat="1" ht="12.75"/>
    <row r="39278" s="3161" customFormat="1" ht="12.75"/>
    <row r="39279" s="3161" customFormat="1" ht="12.75"/>
    <row r="39280" s="3161" customFormat="1" ht="12.75"/>
    <row r="39281" s="3161" customFormat="1" ht="12.75"/>
    <row r="39282" s="3161" customFormat="1" ht="12.75"/>
    <row r="39283" s="3161" customFormat="1" ht="12.75"/>
    <row r="39284" s="3161" customFormat="1" ht="12.75"/>
    <row r="39285" s="3161" customFormat="1" ht="12.75"/>
    <row r="39286" s="3161" customFormat="1" ht="12.75"/>
    <row r="39287" s="3161" customFormat="1" ht="12.75"/>
    <row r="39288" s="3161" customFormat="1" ht="12.75"/>
    <row r="39289" s="3161" customFormat="1" ht="12.75"/>
    <row r="39290" s="3161" customFormat="1" ht="12.75"/>
    <row r="39291" s="3161" customFormat="1" ht="12.75"/>
    <row r="39292" s="3161" customFormat="1" ht="12.75"/>
    <row r="39293" s="3161" customFormat="1" ht="12.75"/>
    <row r="39294" s="3161" customFormat="1" ht="12.75"/>
    <row r="39295" s="3161" customFormat="1" ht="12.75"/>
    <row r="39296" s="3161" customFormat="1" ht="12.75"/>
    <row r="39297" s="3161" customFormat="1" ht="12.75"/>
    <row r="39298" s="3161" customFormat="1" ht="12.75"/>
    <row r="39299" s="3161" customFormat="1" ht="12.75"/>
    <row r="39300" s="3161" customFormat="1" ht="12.75"/>
    <row r="39301" s="3161" customFormat="1" ht="12.75"/>
    <row r="39302" s="3161" customFormat="1" ht="12.75"/>
    <row r="39303" s="3161" customFormat="1" ht="12.75"/>
    <row r="39304" s="3161" customFormat="1" ht="12.75"/>
    <row r="39305" s="3161" customFormat="1" ht="12.75"/>
    <row r="39306" s="3161" customFormat="1" ht="12.75"/>
    <row r="39307" s="3161" customFormat="1" ht="12.75"/>
    <row r="39308" s="3161" customFormat="1" ht="12.75"/>
    <row r="39309" s="3161" customFormat="1" ht="12.75"/>
    <row r="39310" s="3161" customFormat="1" ht="12.75"/>
    <row r="39311" s="3161" customFormat="1" ht="12.75"/>
    <row r="39312" s="3161" customFormat="1" ht="12.75"/>
    <row r="39313" s="3161" customFormat="1" ht="12.75"/>
    <row r="39314" s="3161" customFormat="1" ht="12.75"/>
    <row r="39315" s="3161" customFormat="1" ht="12.75"/>
    <row r="39316" s="3161" customFormat="1" ht="12.75"/>
    <row r="39317" s="3161" customFormat="1" ht="12.75"/>
    <row r="39318" s="3161" customFormat="1" ht="12.75"/>
    <row r="39319" s="3161" customFormat="1" ht="12.75"/>
    <row r="39320" s="3161" customFormat="1" ht="12.75"/>
    <row r="39321" s="3161" customFormat="1" ht="12.75"/>
    <row r="39322" s="3161" customFormat="1" ht="12.75"/>
    <row r="39323" s="3161" customFormat="1" ht="12.75"/>
    <row r="39324" s="3161" customFormat="1" ht="12.75"/>
    <row r="39325" s="3161" customFormat="1" ht="12.75"/>
    <row r="39326" s="3161" customFormat="1" ht="12.75"/>
    <row r="39327" s="3161" customFormat="1" ht="12.75"/>
    <row r="39328" s="3161" customFormat="1" ht="12.75"/>
    <row r="39329" s="3161" customFormat="1" ht="12.75"/>
    <row r="39330" s="3161" customFormat="1" ht="12.75"/>
    <row r="39331" s="3161" customFormat="1" ht="12.75"/>
    <row r="39332" s="3161" customFormat="1" ht="12.75"/>
    <row r="39333" s="3161" customFormat="1" ht="12.75"/>
    <row r="39334" s="3161" customFormat="1" ht="12.75"/>
    <row r="39335" s="3161" customFormat="1" ht="12.75"/>
    <row r="39336" s="3161" customFormat="1" ht="12.75"/>
    <row r="39337" s="3161" customFormat="1" ht="12.75"/>
    <row r="39338" s="3161" customFormat="1" ht="12.75"/>
    <row r="39339" s="3161" customFormat="1" ht="12.75"/>
    <row r="39340" s="3161" customFormat="1" ht="12.75"/>
    <row r="39341" s="3161" customFormat="1" ht="12.75"/>
    <row r="39342" s="3161" customFormat="1" ht="12.75"/>
    <row r="39343" s="3161" customFormat="1" ht="12.75"/>
    <row r="39344" s="3161" customFormat="1" ht="12.75"/>
    <row r="39345" s="3161" customFormat="1" ht="12.75"/>
    <row r="39346" s="3161" customFormat="1" ht="12.75"/>
    <row r="39347" s="3161" customFormat="1" ht="12.75"/>
    <row r="39348" s="3161" customFormat="1" ht="12.75"/>
    <row r="39349" s="3161" customFormat="1" ht="12.75"/>
    <row r="39350" s="3161" customFormat="1" ht="12.75"/>
    <row r="39351" s="3161" customFormat="1" ht="12.75"/>
    <row r="39352" s="3161" customFormat="1" ht="12.75"/>
    <row r="39353" s="3161" customFormat="1" ht="12.75"/>
    <row r="39354" s="3161" customFormat="1" ht="12.75"/>
    <row r="39355" s="3161" customFormat="1" ht="12.75"/>
    <row r="39356" s="3161" customFormat="1" ht="12.75"/>
    <row r="39357" s="3161" customFormat="1" ht="12.75"/>
    <row r="39358" s="3161" customFormat="1" ht="12.75"/>
    <row r="39359" s="3161" customFormat="1" ht="12.75"/>
    <row r="39360" s="3161" customFormat="1" ht="12.75"/>
    <row r="39361" s="3161" customFormat="1" ht="12.75"/>
    <row r="39362" s="3161" customFormat="1" ht="12.75"/>
    <row r="39363" s="3161" customFormat="1" ht="12.75"/>
    <row r="39364" s="3161" customFormat="1" ht="12.75"/>
    <row r="39365" s="3161" customFormat="1" ht="12.75"/>
    <row r="39366" s="3161" customFormat="1" ht="12.75"/>
    <row r="39367" s="3161" customFormat="1" ht="12.75"/>
    <row r="39368" s="3161" customFormat="1" ht="12.75"/>
    <row r="39369" s="3161" customFormat="1" ht="12.75"/>
    <row r="39370" s="3161" customFormat="1" ht="12.75"/>
    <row r="39371" s="3161" customFormat="1" ht="12.75"/>
    <row r="39372" s="3161" customFormat="1" ht="12.75"/>
    <row r="39373" s="3161" customFormat="1" ht="12.75"/>
    <row r="39374" s="3161" customFormat="1" ht="12.75"/>
    <row r="39375" s="3161" customFormat="1" ht="12.75"/>
    <row r="39376" s="3161" customFormat="1" ht="12.75"/>
    <row r="39377" s="3161" customFormat="1" ht="12.75"/>
    <row r="39378" s="3161" customFormat="1" ht="12.75"/>
    <row r="39379" s="3161" customFormat="1" ht="12.75"/>
    <row r="39380" s="3161" customFormat="1" ht="12.75"/>
    <row r="39381" s="3161" customFormat="1" ht="12.75"/>
    <row r="39382" s="3161" customFormat="1" ht="12.75"/>
    <row r="39383" s="3161" customFormat="1" ht="12.75"/>
    <row r="39384" s="3161" customFormat="1" ht="12.75"/>
    <row r="39385" s="3161" customFormat="1" ht="12.75"/>
    <row r="39386" s="3161" customFormat="1" ht="12.75"/>
    <row r="39387" s="3161" customFormat="1" ht="12.75"/>
    <row r="39388" s="3161" customFormat="1" ht="12.75"/>
    <row r="39389" s="3161" customFormat="1" ht="12.75"/>
    <row r="39390" s="3161" customFormat="1" ht="12.75"/>
    <row r="39391" s="3161" customFormat="1" ht="12.75"/>
    <row r="39392" s="3161" customFormat="1" ht="12.75"/>
    <row r="39393" s="3161" customFormat="1" ht="12.75"/>
    <row r="39394" s="3161" customFormat="1" ht="12.75"/>
    <row r="39395" s="3161" customFormat="1" ht="12.75"/>
    <row r="39396" s="3161" customFormat="1" ht="12.75"/>
    <row r="39397" s="3161" customFormat="1" ht="12.75"/>
    <row r="39398" s="3161" customFormat="1" ht="12.75"/>
    <row r="39399" s="3161" customFormat="1" ht="12.75"/>
    <row r="39400" s="3161" customFormat="1" ht="12.75"/>
    <row r="39401" s="3161" customFormat="1" ht="12.75"/>
    <row r="39402" s="3161" customFormat="1" ht="12.75"/>
    <row r="39403" s="3161" customFormat="1" ht="12.75"/>
    <row r="39404" s="3161" customFormat="1" ht="12.75"/>
    <row r="39405" s="3161" customFormat="1" ht="12.75"/>
    <row r="39406" s="3161" customFormat="1" ht="12.75"/>
    <row r="39407" s="3161" customFormat="1" ht="12.75"/>
    <row r="39408" s="3161" customFormat="1" ht="12.75"/>
    <row r="39409" s="3161" customFormat="1" ht="12.75"/>
    <row r="39410" s="3161" customFormat="1" ht="12.75"/>
    <row r="39411" s="3161" customFormat="1" ht="12.75"/>
    <row r="39412" s="3161" customFormat="1" ht="12.75"/>
    <row r="39413" s="3161" customFormat="1" ht="12.75"/>
    <row r="39414" s="3161" customFormat="1" ht="12.75"/>
    <row r="39415" s="3161" customFormat="1" ht="12.75"/>
    <row r="39416" s="3161" customFormat="1" ht="12.75"/>
    <row r="39417" s="3161" customFormat="1" ht="12.75"/>
    <row r="39418" s="3161" customFormat="1" ht="12.75"/>
    <row r="39419" s="3161" customFormat="1" ht="12.75"/>
    <row r="39420" s="3161" customFormat="1" ht="12.75"/>
    <row r="39421" s="3161" customFormat="1" ht="12.75"/>
    <row r="39422" s="3161" customFormat="1" ht="12.75"/>
    <row r="39423" s="3161" customFormat="1" ht="12.75"/>
    <row r="39424" s="3161" customFormat="1" ht="12.75"/>
    <row r="39425" s="3161" customFormat="1" ht="12.75"/>
    <row r="39426" s="3161" customFormat="1" ht="12.75"/>
    <row r="39427" s="3161" customFormat="1" ht="12.75"/>
    <row r="39428" s="3161" customFormat="1" ht="12.75"/>
    <row r="39429" s="3161" customFormat="1" ht="12.75"/>
    <row r="39430" s="3161" customFormat="1" ht="12.75"/>
    <row r="39431" s="3161" customFormat="1" ht="12.75"/>
    <row r="39432" s="3161" customFormat="1" ht="12.75"/>
    <row r="39433" s="3161" customFormat="1" ht="12.75"/>
    <row r="39434" s="3161" customFormat="1" ht="12.75"/>
    <row r="39435" s="3161" customFormat="1" ht="12.75"/>
    <row r="39436" s="3161" customFormat="1" ht="12.75"/>
    <row r="39437" s="3161" customFormat="1" ht="12.75"/>
    <row r="39438" s="3161" customFormat="1" ht="12.75"/>
    <row r="39439" s="3161" customFormat="1" ht="12.75"/>
    <row r="39440" s="3161" customFormat="1" ht="12.75"/>
    <row r="39441" s="3161" customFormat="1" ht="12.75"/>
    <row r="39442" s="3161" customFormat="1" ht="12.75"/>
    <row r="39443" s="3161" customFormat="1" ht="12.75"/>
    <row r="39444" s="3161" customFormat="1" ht="12.75"/>
    <row r="39445" s="3161" customFormat="1" ht="12.75"/>
    <row r="39446" s="3161" customFormat="1" ht="12.75"/>
    <row r="39447" s="3161" customFormat="1" ht="12.75"/>
    <row r="39448" s="3161" customFormat="1" ht="12.75"/>
    <row r="39449" s="3161" customFormat="1" ht="12.75"/>
    <row r="39450" s="3161" customFormat="1" ht="12.75"/>
    <row r="39451" s="3161" customFormat="1" ht="12.75"/>
    <row r="39452" s="3161" customFormat="1" ht="12.75"/>
    <row r="39453" s="3161" customFormat="1" ht="12.75"/>
    <row r="39454" s="3161" customFormat="1" ht="12.75"/>
    <row r="39455" s="3161" customFormat="1" ht="12.75"/>
    <row r="39456" s="3161" customFormat="1" ht="12.75"/>
    <row r="39457" s="3161" customFormat="1" ht="12.75"/>
    <row r="39458" s="3161" customFormat="1" ht="12.75"/>
    <row r="39459" s="3161" customFormat="1" ht="12.75"/>
    <row r="39460" s="3161" customFormat="1" ht="12.75"/>
    <row r="39461" s="3161" customFormat="1" ht="12.75"/>
    <row r="39462" s="3161" customFormat="1" ht="12.75"/>
    <row r="39463" s="3161" customFormat="1" ht="12.75"/>
    <row r="39464" s="3161" customFormat="1" ht="12.75"/>
    <row r="39465" s="3161" customFormat="1" ht="12.75"/>
    <row r="39466" s="3161" customFormat="1" ht="12.75"/>
    <row r="39467" s="3161" customFormat="1" ht="12.75"/>
    <row r="39468" s="3161" customFormat="1" ht="12.75"/>
    <row r="39469" s="3161" customFormat="1" ht="12.75"/>
    <row r="39470" s="3161" customFormat="1" ht="12.75"/>
    <row r="39471" s="3161" customFormat="1" ht="12.75"/>
    <row r="39472" s="3161" customFormat="1" ht="12.75"/>
    <row r="39473" s="3161" customFormat="1" ht="12.75"/>
    <row r="39474" s="3161" customFormat="1" ht="12.75"/>
    <row r="39475" s="3161" customFormat="1" ht="12.75"/>
    <row r="39476" s="3161" customFormat="1" ht="12.75"/>
    <row r="39477" s="3161" customFormat="1" ht="12.75"/>
    <row r="39478" s="3161" customFormat="1" ht="12.75"/>
    <row r="39479" s="3161" customFormat="1" ht="12.75"/>
    <row r="39480" s="3161" customFormat="1" ht="12.75"/>
    <row r="39481" s="3161" customFormat="1" ht="12.75"/>
    <row r="39482" s="3161" customFormat="1" ht="12.75"/>
    <row r="39483" s="3161" customFormat="1" ht="12.75"/>
    <row r="39484" s="3161" customFormat="1" ht="12.75"/>
    <row r="39485" s="3161" customFormat="1" ht="12.75"/>
    <row r="39486" s="3161" customFormat="1" ht="12.75"/>
    <row r="39487" s="3161" customFormat="1" ht="12.75"/>
    <row r="39488" s="3161" customFormat="1" ht="12.75"/>
    <row r="39489" s="3161" customFormat="1" ht="12.75"/>
    <row r="39490" s="3161" customFormat="1" ht="12.75"/>
    <row r="39491" s="3161" customFormat="1" ht="12.75"/>
    <row r="39492" s="3161" customFormat="1" ht="12.75"/>
    <row r="39493" s="3161" customFormat="1" ht="12.75"/>
    <row r="39494" s="3161" customFormat="1" ht="12.75"/>
    <row r="39495" s="3161" customFormat="1" ht="12.75"/>
    <row r="39496" s="3161" customFormat="1" ht="12.75"/>
    <row r="39497" s="3161" customFormat="1" ht="12.75"/>
    <row r="39498" s="3161" customFormat="1" ht="12.75"/>
    <row r="39499" s="3161" customFormat="1" ht="12.75"/>
    <row r="39500" s="3161" customFormat="1" ht="12.75"/>
    <row r="39501" s="3161" customFormat="1" ht="12.75"/>
    <row r="39502" s="3161" customFormat="1" ht="12.75"/>
    <row r="39503" s="3161" customFormat="1" ht="12.75"/>
    <row r="39504" s="3161" customFormat="1" ht="12.75"/>
    <row r="39505" s="3161" customFormat="1" ht="12.75"/>
    <row r="39506" s="3161" customFormat="1" ht="12.75"/>
    <row r="39507" s="3161" customFormat="1" ht="12.75"/>
    <row r="39508" s="3161" customFormat="1" ht="12.75"/>
    <row r="39509" s="3161" customFormat="1" ht="12.75"/>
    <row r="39510" s="3161" customFormat="1" ht="12.75"/>
    <row r="39511" s="3161" customFormat="1" ht="12.75"/>
    <row r="39512" s="3161" customFormat="1" ht="12.75"/>
    <row r="39513" s="3161" customFormat="1" ht="12.75"/>
    <row r="39514" s="3161" customFormat="1" ht="12.75"/>
    <row r="39515" s="3161" customFormat="1" ht="12.75"/>
    <row r="39516" s="3161" customFormat="1" ht="12.75"/>
    <row r="39517" s="3161" customFormat="1" ht="12.75"/>
    <row r="39518" s="3161" customFormat="1" ht="12.75"/>
    <row r="39519" s="3161" customFormat="1" ht="12.75"/>
    <row r="39520" s="3161" customFormat="1" ht="12.75"/>
    <row r="39521" s="3161" customFormat="1" ht="12.75"/>
    <row r="39522" s="3161" customFormat="1" ht="12.75"/>
    <row r="39523" s="3161" customFormat="1" ht="12.75"/>
    <row r="39524" s="3161" customFormat="1" ht="12.75"/>
    <row r="39525" s="3161" customFormat="1" ht="12.75"/>
    <row r="39526" s="3161" customFormat="1" ht="12.75"/>
    <row r="39527" s="3161" customFormat="1" ht="12.75"/>
    <row r="39528" s="3161" customFormat="1" ht="12.75"/>
    <row r="39529" s="3161" customFormat="1" ht="12.75"/>
    <row r="39530" s="3161" customFormat="1" ht="12.75"/>
    <row r="39531" s="3161" customFormat="1" ht="12.75"/>
    <row r="39532" s="3161" customFormat="1" ht="12.75"/>
    <row r="39533" s="3161" customFormat="1" ht="12.75"/>
    <row r="39534" s="3161" customFormat="1" ht="12.75"/>
    <row r="39535" s="3161" customFormat="1" ht="12.75"/>
    <row r="39536" s="3161" customFormat="1" ht="12.75"/>
    <row r="39537" s="3161" customFormat="1" ht="12.75"/>
    <row r="39538" s="3161" customFormat="1" ht="12.75"/>
    <row r="39539" s="3161" customFormat="1" ht="12.75"/>
    <row r="39540" s="3161" customFormat="1" ht="12.75"/>
    <row r="39541" s="3161" customFormat="1" ht="12.75"/>
    <row r="39542" s="3161" customFormat="1" ht="12.75"/>
    <row r="39543" s="3161" customFormat="1" ht="12.75"/>
    <row r="39544" s="3161" customFormat="1" ht="12.75"/>
    <row r="39545" s="3161" customFormat="1" ht="12.75"/>
    <row r="39546" s="3161" customFormat="1" ht="12.75"/>
    <row r="39547" s="3161" customFormat="1" ht="12.75"/>
    <row r="39548" s="3161" customFormat="1" ht="12.75"/>
    <row r="39549" s="3161" customFormat="1" ht="12.75"/>
    <row r="39550" s="3161" customFormat="1" ht="12.75"/>
    <row r="39551" s="3161" customFormat="1" ht="12.75"/>
    <row r="39552" s="3161" customFormat="1" ht="12.75"/>
    <row r="39553" s="3161" customFormat="1" ht="12.75"/>
    <row r="39554" s="3161" customFormat="1" ht="12.75"/>
    <row r="39555" s="3161" customFormat="1" ht="12.75"/>
    <row r="39556" s="3161" customFormat="1" ht="12.75"/>
    <row r="39557" s="3161" customFormat="1" ht="12.75"/>
    <row r="39558" s="3161" customFormat="1" ht="12.75"/>
    <row r="39559" s="3161" customFormat="1" ht="12.75"/>
    <row r="39560" s="3161" customFormat="1" ht="12.75"/>
    <row r="39561" s="3161" customFormat="1" ht="12.75"/>
    <row r="39562" s="3161" customFormat="1" ht="12.75"/>
    <row r="39563" s="3161" customFormat="1" ht="12.75"/>
    <row r="39564" s="3161" customFormat="1" ht="12.75"/>
    <row r="39565" s="3161" customFormat="1" ht="12.75"/>
    <row r="39566" s="3161" customFormat="1" ht="12.75"/>
    <row r="39567" s="3161" customFormat="1" ht="12.75"/>
    <row r="39568" s="3161" customFormat="1" ht="12.75"/>
    <row r="39569" s="3161" customFormat="1" ht="12.75"/>
    <row r="39570" s="3161" customFormat="1" ht="12.75"/>
    <row r="39571" s="3161" customFormat="1" ht="12.75"/>
    <row r="39572" s="3161" customFormat="1" ht="12.75"/>
    <row r="39573" s="3161" customFormat="1" ht="12.75"/>
    <row r="39574" s="3161" customFormat="1" ht="12.75"/>
    <row r="39575" s="3161" customFormat="1" ht="12.75"/>
    <row r="39576" s="3161" customFormat="1" ht="12.75"/>
    <row r="39577" s="3161" customFormat="1" ht="12.75"/>
    <row r="39578" s="3161" customFormat="1" ht="12.75"/>
    <row r="39579" s="3161" customFormat="1" ht="12.75"/>
    <row r="39580" s="3161" customFormat="1" ht="12.75"/>
    <row r="39581" s="3161" customFormat="1" ht="12.75"/>
    <row r="39582" s="3161" customFormat="1" ht="12.75"/>
    <row r="39583" s="3161" customFormat="1" ht="12.75"/>
    <row r="39584" s="3161" customFormat="1" ht="12.75"/>
    <row r="39585" s="3161" customFormat="1" ht="12.75"/>
    <row r="39586" s="3161" customFormat="1" ht="12.75"/>
    <row r="39587" s="3161" customFormat="1" ht="12.75"/>
    <row r="39588" s="3161" customFormat="1" ht="12.75"/>
    <row r="39589" s="3161" customFormat="1" ht="12.75"/>
    <row r="39590" s="3161" customFormat="1" ht="12.75"/>
    <row r="39591" s="3161" customFormat="1" ht="12.75"/>
    <row r="39592" s="3161" customFormat="1" ht="12.75"/>
    <row r="39593" s="3161" customFormat="1" ht="12.75"/>
    <row r="39594" s="3161" customFormat="1" ht="12.75"/>
    <row r="39595" s="3161" customFormat="1" ht="12.75"/>
    <row r="39596" s="3161" customFormat="1" ht="12.75"/>
    <row r="39597" s="3161" customFormat="1" ht="12.75"/>
    <row r="39598" s="3161" customFormat="1" ht="12.75"/>
    <row r="39599" s="3161" customFormat="1" ht="12.75"/>
    <row r="39600" s="3161" customFormat="1" ht="12.75"/>
    <row r="39601" s="3161" customFormat="1" ht="12.75"/>
    <row r="39602" s="3161" customFormat="1" ht="12.75"/>
    <row r="39603" s="3161" customFormat="1" ht="12.75"/>
    <row r="39604" s="3161" customFormat="1" ht="12.75"/>
    <row r="39605" s="3161" customFormat="1" ht="12.75"/>
    <row r="39606" s="3161" customFormat="1" ht="12.75"/>
    <row r="39607" s="3161" customFormat="1" ht="12.75"/>
    <row r="39608" s="3161" customFormat="1" ht="12.75"/>
    <row r="39609" s="3161" customFormat="1" ht="12.75"/>
    <row r="39610" s="3161" customFormat="1" ht="12.75"/>
    <row r="39611" s="3161" customFormat="1" ht="12.75"/>
    <row r="39612" s="3161" customFormat="1" ht="12.75"/>
    <row r="39613" s="3161" customFormat="1" ht="12.75"/>
    <row r="39614" s="3161" customFormat="1" ht="12.75"/>
    <row r="39615" s="3161" customFormat="1" ht="12.75"/>
    <row r="39616" s="3161" customFormat="1" ht="12.75"/>
    <row r="39617" s="3161" customFormat="1" ht="12.75"/>
    <row r="39618" s="3161" customFormat="1" ht="12.75"/>
    <row r="39619" s="3161" customFormat="1" ht="12.75"/>
    <row r="39620" s="3161" customFormat="1" ht="12.75"/>
    <row r="39621" s="3161" customFormat="1" ht="12.75"/>
    <row r="39622" s="3161" customFormat="1" ht="12.75"/>
    <row r="39623" s="3161" customFormat="1" ht="12.75"/>
    <row r="39624" s="3161" customFormat="1" ht="12.75"/>
    <row r="39625" s="3161" customFormat="1" ht="12.75"/>
    <row r="39626" s="3161" customFormat="1" ht="12.75"/>
    <row r="39627" s="3161" customFormat="1" ht="12.75"/>
    <row r="39628" s="3161" customFormat="1" ht="12.75"/>
    <row r="39629" s="3161" customFormat="1" ht="12.75"/>
    <row r="39630" s="3161" customFormat="1" ht="12.75"/>
    <row r="39631" s="3161" customFormat="1" ht="12.75"/>
    <row r="39632" s="3161" customFormat="1" ht="12.75"/>
    <row r="39633" s="3161" customFormat="1" ht="12.75"/>
    <row r="39634" s="3161" customFormat="1" ht="12.75"/>
    <row r="39635" s="3161" customFormat="1" ht="12.75"/>
    <row r="39636" s="3161" customFormat="1" ht="12.75"/>
    <row r="39637" s="3161" customFormat="1" ht="12.75"/>
    <row r="39638" s="3161" customFormat="1" ht="12.75"/>
    <row r="39639" s="3161" customFormat="1" ht="12.75"/>
    <row r="39640" s="3161" customFormat="1" ht="12.75"/>
    <row r="39641" s="3161" customFormat="1" ht="12.75"/>
    <row r="39642" s="3161" customFormat="1" ht="12.75"/>
    <row r="39643" s="3161" customFormat="1" ht="12.75"/>
    <row r="39644" s="3161" customFormat="1" ht="12.75"/>
    <row r="39645" s="3161" customFormat="1" ht="12.75"/>
    <row r="39646" s="3161" customFormat="1" ht="12.75"/>
    <row r="39647" s="3161" customFormat="1" ht="12.75"/>
    <row r="39648" s="3161" customFormat="1" ht="12.75"/>
    <row r="39649" s="3161" customFormat="1" ht="12.75"/>
    <row r="39650" s="3161" customFormat="1" ht="12.75"/>
    <row r="39651" s="3161" customFormat="1" ht="12.75"/>
    <row r="39652" s="3161" customFormat="1" ht="12.75"/>
    <row r="39653" s="3161" customFormat="1" ht="12.75"/>
    <row r="39654" s="3161" customFormat="1" ht="12.75"/>
    <row r="39655" s="3161" customFormat="1" ht="12.75"/>
    <row r="39656" s="3161" customFormat="1" ht="12.75"/>
    <row r="39657" s="3161" customFormat="1" ht="12.75"/>
    <row r="39658" s="3161" customFormat="1" ht="12.75"/>
    <row r="39659" s="3161" customFormat="1" ht="12.75"/>
    <row r="39660" s="3161" customFormat="1" ht="12.75"/>
    <row r="39661" s="3161" customFormat="1" ht="12.75"/>
    <row r="39662" s="3161" customFormat="1" ht="12.75"/>
    <row r="39663" s="3161" customFormat="1" ht="12.75"/>
    <row r="39664" s="3161" customFormat="1" ht="12.75"/>
    <row r="39665" s="3161" customFormat="1" ht="12.75"/>
    <row r="39666" s="3161" customFormat="1" ht="12.75"/>
    <row r="39667" s="3161" customFormat="1" ht="12.75"/>
    <row r="39668" s="3161" customFormat="1" ht="12.75"/>
    <row r="39669" s="3161" customFormat="1" ht="12.75"/>
    <row r="39670" s="3161" customFormat="1" ht="12.75"/>
    <row r="39671" s="3161" customFormat="1" ht="12.75"/>
    <row r="39672" s="3161" customFormat="1" ht="12.75"/>
    <row r="39673" s="3161" customFormat="1" ht="12.75"/>
    <row r="39674" s="3161" customFormat="1" ht="12.75"/>
    <row r="39675" s="3161" customFormat="1" ht="12.75"/>
    <row r="39676" s="3161" customFormat="1" ht="12.75"/>
    <row r="39677" s="3161" customFormat="1" ht="12.75"/>
    <row r="39678" s="3161" customFormat="1" ht="12.75"/>
    <row r="39679" s="3161" customFormat="1" ht="12.75"/>
    <row r="39680" s="3161" customFormat="1" ht="12.75"/>
    <row r="39681" s="3161" customFormat="1" ht="12.75"/>
    <row r="39682" s="3161" customFormat="1" ht="12.75"/>
    <row r="39683" s="3161" customFormat="1" ht="12.75"/>
    <row r="39684" s="3161" customFormat="1" ht="12.75"/>
    <row r="39685" s="3161" customFormat="1" ht="12.75"/>
    <row r="39686" s="3161" customFormat="1" ht="12.75"/>
    <row r="39687" s="3161" customFormat="1" ht="12.75"/>
    <row r="39688" s="3161" customFormat="1" ht="12.75"/>
    <row r="39689" s="3161" customFormat="1" ht="12.75"/>
    <row r="39690" s="3161" customFormat="1" ht="12.75"/>
    <row r="39691" s="3161" customFormat="1" ht="12.75"/>
    <row r="39692" s="3161" customFormat="1" ht="12.75"/>
    <row r="39693" s="3161" customFormat="1" ht="12.75"/>
    <row r="39694" s="3161" customFormat="1" ht="12.75"/>
    <row r="39695" s="3161" customFormat="1" ht="12.75"/>
    <row r="39696" s="3161" customFormat="1" ht="12.75"/>
    <row r="39697" s="3161" customFormat="1" ht="12.75"/>
    <row r="39698" s="3161" customFormat="1" ht="12.75"/>
    <row r="39699" s="3161" customFormat="1" ht="12.75"/>
    <row r="39700" s="3161" customFormat="1" ht="12.75"/>
    <row r="39701" s="3161" customFormat="1" ht="12.75"/>
    <row r="39702" s="3161" customFormat="1" ht="12.75"/>
    <row r="39703" s="3161" customFormat="1" ht="12.75"/>
    <row r="39704" s="3161" customFormat="1" ht="12.75"/>
    <row r="39705" s="3161" customFormat="1" ht="12.75"/>
    <row r="39706" s="3161" customFormat="1" ht="12.75"/>
    <row r="39707" s="3161" customFormat="1" ht="12.75"/>
    <row r="39708" s="3161" customFormat="1" ht="12.75"/>
    <row r="39709" s="3161" customFormat="1" ht="12.75"/>
    <row r="39710" s="3161" customFormat="1" ht="12.75"/>
    <row r="39711" s="3161" customFormat="1" ht="12.75"/>
    <row r="39712" s="3161" customFormat="1" ht="12.75"/>
    <row r="39713" s="3161" customFormat="1" ht="12.75"/>
    <row r="39714" s="3161" customFormat="1" ht="12.75"/>
    <row r="39715" s="3161" customFormat="1" ht="12.75"/>
    <row r="39716" s="3161" customFormat="1" ht="12.75"/>
    <row r="39717" s="3161" customFormat="1" ht="12.75"/>
    <row r="39718" s="3161" customFormat="1" ht="12.75"/>
    <row r="39719" s="3161" customFormat="1" ht="12.75"/>
    <row r="39720" s="3161" customFormat="1" ht="12.75"/>
    <row r="39721" s="3161" customFormat="1" ht="12.75"/>
    <row r="39722" s="3161" customFormat="1" ht="12.75"/>
    <row r="39723" s="3161" customFormat="1" ht="12.75"/>
    <row r="39724" s="3161" customFormat="1" ht="12.75"/>
    <row r="39725" s="3161" customFormat="1" ht="12.75"/>
    <row r="39726" s="3161" customFormat="1" ht="12.75"/>
    <row r="39727" s="3161" customFormat="1" ht="12.75"/>
    <row r="39728" s="3161" customFormat="1" ht="12.75"/>
    <row r="39729" s="3161" customFormat="1" ht="12.75"/>
    <row r="39730" s="3161" customFormat="1" ht="12.75"/>
    <row r="39731" s="3161" customFormat="1" ht="12.75"/>
    <row r="39732" s="3161" customFormat="1" ht="12.75"/>
    <row r="39733" s="3161" customFormat="1" ht="12.75"/>
    <row r="39734" s="3161" customFormat="1" ht="12.75"/>
    <row r="39735" s="3161" customFormat="1" ht="12.75"/>
    <row r="39736" s="3161" customFormat="1" ht="12.75"/>
    <row r="39737" s="3161" customFormat="1" ht="12.75"/>
    <row r="39738" s="3161" customFormat="1" ht="12.75"/>
    <row r="39739" s="3161" customFormat="1" ht="12.75"/>
    <row r="39740" s="3161" customFormat="1" ht="12.75"/>
    <row r="39741" s="3161" customFormat="1" ht="12.75"/>
    <row r="39742" s="3161" customFormat="1" ht="12.75"/>
    <row r="39743" s="3161" customFormat="1" ht="12.75"/>
    <row r="39744" s="3161" customFormat="1" ht="12.75"/>
    <row r="39745" s="3161" customFormat="1" ht="12.75"/>
    <row r="39746" s="3161" customFormat="1" ht="12.75"/>
    <row r="39747" s="3161" customFormat="1" ht="12.75"/>
    <row r="39748" s="3161" customFormat="1" ht="12.75"/>
    <row r="39749" s="3161" customFormat="1" ht="12.75"/>
    <row r="39750" s="3161" customFormat="1" ht="12.75"/>
    <row r="39751" s="3161" customFormat="1" ht="12.75"/>
    <row r="39752" s="3161" customFormat="1" ht="12.75"/>
    <row r="39753" s="3161" customFormat="1" ht="12.75"/>
    <row r="39754" s="3161" customFormat="1" ht="12.75"/>
    <row r="39755" s="3161" customFormat="1" ht="12.75"/>
    <row r="39756" s="3161" customFormat="1" ht="12.75"/>
    <row r="39757" s="3161" customFormat="1" ht="12.75"/>
    <row r="39758" s="3161" customFormat="1" ht="12.75"/>
    <row r="39759" s="3161" customFormat="1" ht="12.75"/>
    <row r="39760" s="3161" customFormat="1" ht="12.75"/>
    <row r="39761" s="3161" customFormat="1" ht="12.75"/>
    <row r="39762" s="3161" customFormat="1" ht="12.75"/>
    <row r="39763" s="3161" customFormat="1" ht="12.75"/>
    <row r="39764" s="3161" customFormat="1" ht="12.75"/>
    <row r="39765" s="3161" customFormat="1" ht="12.75"/>
    <row r="39766" s="3161" customFormat="1" ht="12.75"/>
    <row r="39767" s="3161" customFormat="1" ht="12.75"/>
    <row r="39768" s="3161" customFormat="1" ht="12.75"/>
    <row r="39769" s="3161" customFormat="1" ht="12.75"/>
    <row r="39770" s="3161" customFormat="1" ht="12.75"/>
    <row r="39771" s="3161" customFormat="1" ht="12.75"/>
    <row r="39772" s="3161" customFormat="1" ht="12.75"/>
    <row r="39773" s="3161" customFormat="1" ht="12.75"/>
    <row r="39774" s="3161" customFormat="1" ht="12.75"/>
    <row r="39775" s="3161" customFormat="1" ht="12.75"/>
    <row r="39776" s="3161" customFormat="1" ht="12.75"/>
    <row r="39777" s="3161" customFormat="1" ht="12.75"/>
    <row r="39778" s="3161" customFormat="1" ht="12.75"/>
    <row r="39779" s="3161" customFormat="1" ht="12.75"/>
    <row r="39780" s="3161" customFormat="1" ht="12.75"/>
    <row r="39781" s="3161" customFormat="1" ht="12.75"/>
    <row r="39782" s="3161" customFormat="1" ht="12.75"/>
    <row r="39783" s="3161" customFormat="1" ht="12.75"/>
    <row r="39784" s="3161" customFormat="1" ht="12.75"/>
    <row r="39785" s="3161" customFormat="1" ht="12.75"/>
    <row r="39786" s="3161" customFormat="1" ht="12.75"/>
    <row r="39787" s="3161" customFormat="1" ht="12.75"/>
    <row r="39788" s="3161" customFormat="1" ht="12.75"/>
    <row r="39789" s="3161" customFormat="1" ht="12.75"/>
    <row r="39790" s="3161" customFormat="1" ht="12.75"/>
    <row r="39791" s="3161" customFormat="1" ht="12.75"/>
    <row r="39792" s="3161" customFormat="1" ht="12.75"/>
    <row r="39793" s="3161" customFormat="1" ht="12.75"/>
    <row r="39794" s="3161" customFormat="1" ht="12.75"/>
    <row r="39795" s="3161" customFormat="1" ht="12.75"/>
    <row r="39796" s="3161" customFormat="1" ht="12.75"/>
    <row r="39797" s="3161" customFormat="1" ht="12.75"/>
    <row r="39798" s="3161" customFormat="1" ht="12.75"/>
    <row r="39799" s="3161" customFormat="1" ht="12.75"/>
    <row r="39800" s="3161" customFormat="1" ht="12.75"/>
    <row r="39801" s="3161" customFormat="1" ht="12.75"/>
    <row r="39802" s="3161" customFormat="1" ht="12.75"/>
    <row r="39803" s="3161" customFormat="1" ht="12.75"/>
    <row r="39804" s="3161" customFormat="1" ht="12.75"/>
    <row r="39805" s="3161" customFormat="1" ht="12.75"/>
    <row r="39806" s="3161" customFormat="1" ht="12.75"/>
    <row r="39807" s="3161" customFormat="1" ht="12.75"/>
    <row r="39808" s="3161" customFormat="1" ht="12.75"/>
    <row r="39809" s="3161" customFormat="1" ht="12.75"/>
    <row r="39810" s="3161" customFormat="1" ht="12.75"/>
    <row r="39811" s="3161" customFormat="1" ht="12.75"/>
    <row r="39812" s="3161" customFormat="1" ht="12.75"/>
    <row r="39813" s="3161" customFormat="1" ht="12.75"/>
    <row r="39814" s="3161" customFormat="1" ht="12.75"/>
    <row r="39815" s="3161" customFormat="1" ht="12.75"/>
    <row r="39816" s="3161" customFormat="1" ht="12.75"/>
    <row r="39817" s="3161" customFormat="1" ht="12.75"/>
    <row r="39818" s="3161" customFormat="1" ht="12.75"/>
    <row r="39819" s="3161" customFormat="1" ht="12.75"/>
    <row r="39820" s="3161" customFormat="1" ht="12.75"/>
    <row r="39821" s="3161" customFormat="1" ht="12.75"/>
    <row r="39822" s="3161" customFormat="1" ht="12.75"/>
    <row r="39823" s="3161" customFormat="1" ht="12.75"/>
    <row r="39824" s="3161" customFormat="1" ht="12.75"/>
    <row r="39825" s="3161" customFormat="1" ht="12.75"/>
    <row r="39826" s="3161" customFormat="1" ht="12.75"/>
    <row r="39827" s="3161" customFormat="1" ht="12.75"/>
    <row r="39828" s="3161" customFormat="1" ht="12.75"/>
    <row r="39829" s="3161" customFormat="1" ht="12.75"/>
    <row r="39830" s="3161" customFormat="1" ht="12.75"/>
    <row r="39831" s="3161" customFormat="1" ht="12.75"/>
    <row r="39832" s="3161" customFormat="1" ht="12.75"/>
    <row r="39833" s="3161" customFormat="1" ht="12.75"/>
    <row r="39834" s="3161" customFormat="1" ht="12.75"/>
    <row r="39835" s="3161" customFormat="1" ht="12.75"/>
    <row r="39836" s="3161" customFormat="1" ht="12.75"/>
    <row r="39837" s="3161" customFormat="1" ht="12.75"/>
    <row r="39838" s="3161" customFormat="1" ht="12.75"/>
    <row r="39839" s="3161" customFormat="1" ht="12.75"/>
    <row r="39840" s="3161" customFormat="1" ht="12.75"/>
    <row r="39841" s="3161" customFormat="1" ht="12.75"/>
    <row r="39842" s="3161" customFormat="1" ht="12.75"/>
    <row r="39843" s="3161" customFormat="1" ht="12.75"/>
    <row r="39844" s="3161" customFormat="1" ht="12.75"/>
    <row r="39845" s="3161" customFormat="1" ht="12.75"/>
    <row r="39846" s="3161" customFormat="1" ht="12.75"/>
    <row r="39847" s="3161" customFormat="1" ht="12.75"/>
    <row r="39848" s="3161" customFormat="1" ht="12.75"/>
    <row r="39849" s="3161" customFormat="1" ht="12.75"/>
    <row r="39850" s="3161" customFormat="1" ht="12.75"/>
    <row r="39851" s="3161" customFormat="1" ht="12.75"/>
    <row r="39852" s="3161" customFormat="1" ht="12.75"/>
    <row r="39853" s="3161" customFormat="1" ht="12.75"/>
    <row r="39854" s="3161" customFormat="1" ht="12.75"/>
    <row r="39855" s="3161" customFormat="1" ht="12.75"/>
    <row r="39856" s="3161" customFormat="1" ht="12.75"/>
    <row r="39857" s="3161" customFormat="1" ht="12.75"/>
    <row r="39858" s="3161" customFormat="1" ht="12.75"/>
    <row r="39859" s="3161" customFormat="1" ht="12.75"/>
    <row r="39860" s="3161" customFormat="1" ht="12.75"/>
    <row r="39861" s="3161" customFormat="1" ht="12.75"/>
    <row r="39862" s="3161" customFormat="1" ht="12.75"/>
    <row r="39863" s="3161" customFormat="1" ht="12.75"/>
    <row r="39864" s="3161" customFormat="1" ht="12.75"/>
    <row r="39865" s="3161" customFormat="1" ht="12.75"/>
    <row r="39866" s="3161" customFormat="1" ht="12.75"/>
    <row r="39867" s="3161" customFormat="1" ht="12.75"/>
    <row r="39868" s="3161" customFormat="1" ht="12.75"/>
    <row r="39869" s="3161" customFormat="1" ht="12.75"/>
    <row r="39870" s="3161" customFormat="1" ht="12.75"/>
    <row r="39871" s="3161" customFormat="1" ht="12.75"/>
    <row r="39872" s="3161" customFormat="1" ht="12.75"/>
    <row r="39873" s="3161" customFormat="1" ht="12.75"/>
    <row r="39874" s="3161" customFormat="1" ht="12.75"/>
    <row r="39875" s="3161" customFormat="1" ht="12.75"/>
    <row r="39876" s="3161" customFormat="1" ht="12.75"/>
    <row r="39877" s="3161" customFormat="1" ht="12.75"/>
    <row r="39878" s="3161" customFormat="1" ht="12.75"/>
    <row r="39879" s="3161" customFormat="1" ht="12.75"/>
    <row r="39880" s="3161" customFormat="1" ht="12.75"/>
    <row r="39881" s="3161" customFormat="1" ht="12.75"/>
    <row r="39882" s="3161" customFormat="1" ht="12.75"/>
    <row r="39883" s="3161" customFormat="1" ht="12.75"/>
    <row r="39884" s="3161" customFormat="1" ht="12.75"/>
    <row r="39885" s="3161" customFormat="1" ht="12.75"/>
    <row r="39886" s="3161" customFormat="1" ht="12.75"/>
    <row r="39887" s="3161" customFormat="1" ht="12.75"/>
    <row r="39888" s="3161" customFormat="1" ht="12.75"/>
    <row r="39889" s="3161" customFormat="1" ht="12.75"/>
    <row r="39890" s="3161" customFormat="1" ht="12.75"/>
    <row r="39891" s="3161" customFormat="1" ht="12.75"/>
    <row r="39892" s="3161" customFormat="1" ht="12.75"/>
    <row r="39893" s="3161" customFormat="1" ht="12.75"/>
    <row r="39894" s="3161" customFormat="1" ht="12.75"/>
    <row r="39895" s="3161" customFormat="1" ht="12.75"/>
    <row r="39896" s="3161" customFormat="1" ht="12.75"/>
    <row r="39897" s="3161" customFormat="1" ht="12.75"/>
    <row r="39898" s="3161" customFormat="1" ht="12.75"/>
    <row r="39899" s="3161" customFormat="1" ht="12.75"/>
    <row r="39900" s="3161" customFormat="1" ht="12.75"/>
    <row r="39901" s="3161" customFormat="1" ht="12.75"/>
    <row r="39902" s="3161" customFormat="1" ht="12.75"/>
    <row r="39903" s="3161" customFormat="1" ht="12.75"/>
    <row r="39904" s="3161" customFormat="1" ht="12.75"/>
    <row r="39905" s="3161" customFormat="1" ht="12.75"/>
    <row r="39906" s="3161" customFormat="1" ht="12.75"/>
    <row r="39907" s="3161" customFormat="1" ht="12.75"/>
    <row r="39908" s="3161" customFormat="1" ht="12.75"/>
    <row r="39909" s="3161" customFormat="1" ht="12.75"/>
    <row r="39910" s="3161" customFormat="1" ht="12.75"/>
    <row r="39911" s="3161" customFormat="1" ht="12.75"/>
    <row r="39912" s="3161" customFormat="1" ht="12.75"/>
    <row r="39913" s="3161" customFormat="1" ht="12.75"/>
    <row r="39914" s="3161" customFormat="1" ht="12.75"/>
    <row r="39915" s="3161" customFormat="1" ht="12.75"/>
    <row r="39916" s="3161" customFormat="1" ht="12.75"/>
    <row r="39917" s="3161" customFormat="1" ht="12.75"/>
    <row r="39918" s="3161" customFormat="1" ht="12.75"/>
    <row r="39919" s="3161" customFormat="1" ht="12.75"/>
    <row r="39920" s="3161" customFormat="1" ht="12.75"/>
    <row r="39921" s="3161" customFormat="1" ht="12.75"/>
    <row r="39922" s="3161" customFormat="1" ht="12.75"/>
    <row r="39923" s="3161" customFormat="1" ht="12.75"/>
    <row r="39924" s="3161" customFormat="1" ht="12.75"/>
    <row r="39925" s="3161" customFormat="1" ht="12.75"/>
    <row r="39926" s="3161" customFormat="1" ht="12.75"/>
    <row r="39927" s="3161" customFormat="1" ht="12.75"/>
    <row r="39928" s="3161" customFormat="1" ht="12.75"/>
    <row r="39929" s="3161" customFormat="1" ht="12.75"/>
    <row r="39930" s="3161" customFormat="1" ht="12.75"/>
    <row r="39931" s="3161" customFormat="1" ht="12.75"/>
    <row r="39932" s="3161" customFormat="1" ht="12.75"/>
    <row r="39933" s="3161" customFormat="1" ht="12.75"/>
    <row r="39934" s="3161" customFormat="1" ht="12.75"/>
    <row r="39935" s="3161" customFormat="1" ht="12.75"/>
    <row r="39936" s="3161" customFormat="1" ht="12.75"/>
    <row r="39937" s="3161" customFormat="1" ht="12.75"/>
    <row r="39938" s="3161" customFormat="1" ht="12.75"/>
    <row r="39939" s="3161" customFormat="1" ht="12.75"/>
    <row r="39940" s="3161" customFormat="1" ht="12.75"/>
    <row r="39941" s="3161" customFormat="1" ht="12.75"/>
    <row r="39942" s="3161" customFormat="1" ht="12.75"/>
    <row r="39943" s="3161" customFormat="1" ht="12.75"/>
    <row r="39944" s="3161" customFormat="1" ht="12.75"/>
    <row r="39945" s="3161" customFormat="1" ht="12.75"/>
    <row r="39946" s="3161" customFormat="1" ht="12.75"/>
    <row r="39947" s="3161" customFormat="1" ht="12.75"/>
    <row r="39948" s="3161" customFormat="1" ht="12.75"/>
    <row r="39949" s="3161" customFormat="1" ht="12.75"/>
    <row r="39950" s="3161" customFormat="1" ht="12.75"/>
    <row r="39951" s="3161" customFormat="1" ht="12.75"/>
    <row r="39952" s="3161" customFormat="1" ht="12.75"/>
    <row r="39953" s="3161" customFormat="1" ht="12.75"/>
    <row r="39954" s="3161" customFormat="1" ht="12.75"/>
    <row r="39955" s="3161" customFormat="1" ht="12.75"/>
    <row r="39956" s="3161" customFormat="1" ht="12.75"/>
    <row r="39957" s="3161" customFormat="1" ht="12.75"/>
    <row r="39958" s="3161" customFormat="1" ht="12.75"/>
    <row r="39959" s="3161" customFormat="1" ht="12.75"/>
    <row r="39960" s="3161" customFormat="1" ht="12.75"/>
    <row r="39961" s="3161" customFormat="1" ht="12.75"/>
    <row r="39962" s="3161" customFormat="1" ht="12.75"/>
    <row r="39963" s="3161" customFormat="1" ht="12.75"/>
    <row r="39964" s="3161" customFormat="1" ht="12.75"/>
    <row r="39965" s="3161" customFormat="1" ht="12.75"/>
    <row r="39966" s="3161" customFormat="1" ht="12.75"/>
    <row r="39967" s="3161" customFormat="1" ht="12.75"/>
    <row r="39968" s="3161" customFormat="1" ht="12.75"/>
    <row r="39969" s="3161" customFormat="1" ht="12.75"/>
    <row r="39970" s="3161" customFormat="1" ht="12.75"/>
    <row r="39971" s="3161" customFormat="1" ht="12.75"/>
    <row r="39972" s="3161" customFormat="1" ht="12.75"/>
    <row r="39973" s="3161" customFormat="1" ht="12.75"/>
    <row r="39974" s="3161" customFormat="1" ht="12.75"/>
    <row r="39975" s="3161" customFormat="1" ht="12.75"/>
    <row r="39976" s="3161" customFormat="1" ht="12.75"/>
    <row r="39977" s="3161" customFormat="1" ht="12.75"/>
    <row r="39978" s="3161" customFormat="1" ht="12.75"/>
    <row r="39979" s="3161" customFormat="1" ht="12.75"/>
    <row r="39980" s="3161" customFormat="1" ht="12.75"/>
    <row r="39981" s="3161" customFormat="1" ht="12.75"/>
    <row r="39982" s="3161" customFormat="1" ht="12.75"/>
    <row r="39983" s="3161" customFormat="1" ht="12.75"/>
    <row r="39984" s="3161" customFormat="1" ht="12.75"/>
    <row r="39985" s="3161" customFormat="1" ht="12.75"/>
    <row r="39986" s="3161" customFormat="1" ht="12.75"/>
    <row r="39987" s="3161" customFormat="1" ht="12.75"/>
    <row r="39988" s="3161" customFormat="1" ht="12.75"/>
    <row r="39989" s="3161" customFormat="1" ht="12.75"/>
    <row r="39990" s="3161" customFormat="1" ht="12.75"/>
    <row r="39991" s="3161" customFormat="1" ht="12.75"/>
    <row r="39992" s="3161" customFormat="1" ht="12.75"/>
    <row r="39993" s="3161" customFormat="1" ht="12.75"/>
    <row r="39994" s="3161" customFormat="1" ht="12.75"/>
    <row r="39995" s="3161" customFormat="1" ht="12.75"/>
    <row r="39996" s="3161" customFormat="1" ht="12.75"/>
    <row r="39997" s="3161" customFormat="1" ht="12.75"/>
    <row r="39998" s="3161" customFormat="1" ht="12.75"/>
    <row r="39999" s="3161" customFormat="1" ht="12.75"/>
    <row r="40000" s="3161" customFormat="1" ht="12.75"/>
    <row r="40001" s="3161" customFormat="1" ht="12.75"/>
    <row r="40002" s="3161" customFormat="1" ht="12.75"/>
    <row r="40003" s="3161" customFormat="1" ht="12.75"/>
    <row r="40004" s="3161" customFormat="1" ht="12.75"/>
    <row r="40005" s="3161" customFormat="1" ht="12.75"/>
    <row r="40006" s="3161" customFormat="1" ht="12.75"/>
    <row r="40007" s="3161" customFormat="1" ht="12.75"/>
    <row r="40008" s="3161" customFormat="1" ht="12.75"/>
    <row r="40009" s="3161" customFormat="1" ht="12.75"/>
    <row r="40010" s="3161" customFormat="1" ht="12.75"/>
    <row r="40011" s="3161" customFormat="1" ht="12.75"/>
    <row r="40012" s="3161" customFormat="1" ht="12.75"/>
    <row r="40013" s="3161" customFormat="1" ht="12.75"/>
    <row r="40014" s="3161" customFormat="1" ht="12.75"/>
    <row r="40015" s="3161" customFormat="1" ht="12.75"/>
    <row r="40016" s="3161" customFormat="1" ht="12.75"/>
    <row r="40017" s="3161" customFormat="1" ht="12.75"/>
    <row r="40018" s="3161" customFormat="1" ht="12.75"/>
    <row r="40019" s="3161" customFormat="1" ht="12.75"/>
    <row r="40020" s="3161" customFormat="1" ht="12.75"/>
    <row r="40021" s="3161" customFormat="1" ht="12.75"/>
    <row r="40022" s="3161" customFormat="1" ht="12.75"/>
    <row r="40023" s="3161" customFormat="1" ht="12.75"/>
    <row r="40024" s="3161" customFormat="1" ht="12.75"/>
    <row r="40025" s="3161" customFormat="1" ht="12.75"/>
    <row r="40026" s="3161" customFormat="1" ht="12.75"/>
    <row r="40027" s="3161" customFormat="1" ht="12.75"/>
    <row r="40028" s="3161" customFormat="1" ht="12.75"/>
    <row r="40029" s="3161" customFormat="1" ht="12.75"/>
    <row r="40030" s="3161" customFormat="1" ht="12.75"/>
    <row r="40031" s="3161" customFormat="1" ht="12.75"/>
    <row r="40032" s="3161" customFormat="1" ht="12.75"/>
    <row r="40033" s="3161" customFormat="1" ht="12.75"/>
    <row r="40034" s="3161" customFormat="1" ht="12.75"/>
    <row r="40035" s="3161" customFormat="1" ht="12.75"/>
    <row r="40036" s="3161" customFormat="1" ht="12.75"/>
    <row r="40037" s="3161" customFormat="1" ht="12.75"/>
    <row r="40038" s="3161" customFormat="1" ht="12.75"/>
    <row r="40039" s="3161" customFormat="1" ht="12.75"/>
    <row r="40040" s="3161" customFormat="1" ht="12.75"/>
    <row r="40041" s="3161" customFormat="1" ht="12.75"/>
    <row r="40042" s="3161" customFormat="1" ht="12.75"/>
    <row r="40043" s="3161" customFormat="1" ht="12.75"/>
    <row r="40044" s="3161" customFormat="1" ht="12.75"/>
    <row r="40045" s="3161" customFormat="1" ht="12.75"/>
    <row r="40046" s="3161" customFormat="1" ht="12.75"/>
    <row r="40047" s="3161" customFormat="1" ht="12.75"/>
    <row r="40048" s="3161" customFormat="1" ht="12.75"/>
    <row r="40049" s="3161" customFormat="1" ht="12.75"/>
    <row r="40050" s="3161" customFormat="1" ht="12.75"/>
    <row r="40051" s="3161" customFormat="1" ht="12.75"/>
    <row r="40052" s="3161" customFormat="1" ht="12.75"/>
    <row r="40053" s="3161" customFormat="1" ht="12.75"/>
    <row r="40054" s="3161" customFormat="1" ht="12.75"/>
    <row r="40055" s="3161" customFormat="1" ht="12.75"/>
    <row r="40056" s="3161" customFormat="1" ht="12.75"/>
    <row r="40057" s="3161" customFormat="1" ht="12.75"/>
    <row r="40058" s="3161" customFormat="1" ht="12.75"/>
    <row r="40059" s="3161" customFormat="1" ht="12.75"/>
    <row r="40060" s="3161" customFormat="1" ht="12.75"/>
    <row r="40061" s="3161" customFormat="1" ht="12.75"/>
    <row r="40062" s="3161" customFormat="1" ht="12.75"/>
    <row r="40063" s="3161" customFormat="1" ht="12.75"/>
    <row r="40064" s="3161" customFormat="1" ht="12.75"/>
    <row r="40065" s="3161" customFormat="1" ht="12.75"/>
    <row r="40066" s="3161" customFormat="1" ht="12.75"/>
    <row r="40067" s="3161" customFormat="1" ht="12.75"/>
    <row r="40068" s="3161" customFormat="1" ht="12.75"/>
    <row r="40069" s="3161" customFormat="1" ht="12.75"/>
    <row r="40070" s="3161" customFormat="1" ht="12.75"/>
    <row r="40071" s="3161" customFormat="1" ht="12.75"/>
    <row r="40072" s="3161" customFormat="1" ht="12.75"/>
    <row r="40073" s="3161" customFormat="1" ht="12.75"/>
    <row r="40074" s="3161" customFormat="1" ht="12.75"/>
    <row r="40075" s="3161" customFormat="1" ht="12.75"/>
    <row r="40076" s="3161" customFormat="1" ht="12.75"/>
    <row r="40077" s="3161" customFormat="1" ht="12.75"/>
    <row r="40078" s="3161" customFormat="1" ht="12.75"/>
    <row r="40079" s="3161" customFormat="1" ht="12.75"/>
    <row r="40080" s="3161" customFormat="1" ht="12.75"/>
    <row r="40081" s="3161" customFormat="1" ht="12.75"/>
    <row r="40082" s="3161" customFormat="1" ht="12.75"/>
    <row r="40083" s="3161" customFormat="1" ht="12.75"/>
    <row r="40084" s="3161" customFormat="1" ht="12.75"/>
    <row r="40085" s="3161" customFormat="1" ht="12.75"/>
    <row r="40086" s="3161" customFormat="1" ht="12.75"/>
    <row r="40087" s="3161" customFormat="1" ht="12.75"/>
    <row r="40088" s="3161" customFormat="1" ht="12.75"/>
    <row r="40089" s="3161" customFormat="1" ht="12.75"/>
    <row r="40090" s="3161" customFormat="1" ht="12.75"/>
    <row r="40091" s="3161" customFormat="1" ht="12.75"/>
    <row r="40092" s="3161" customFormat="1" ht="12.75"/>
    <row r="40093" s="3161" customFormat="1" ht="12.75"/>
    <row r="40094" s="3161" customFormat="1" ht="12.75"/>
    <row r="40095" s="3161" customFormat="1" ht="12.75"/>
    <row r="40096" s="3161" customFormat="1" ht="12.75"/>
    <row r="40097" s="3161" customFormat="1" ht="12.75"/>
    <row r="40098" s="3161" customFormat="1" ht="12.75"/>
    <row r="40099" s="3161" customFormat="1" ht="12.75"/>
    <row r="40100" s="3161" customFormat="1" ht="12.75"/>
    <row r="40101" s="3161" customFormat="1" ht="12.75"/>
    <row r="40102" s="3161" customFormat="1" ht="12.75"/>
    <row r="40103" s="3161" customFormat="1" ht="12.75"/>
    <row r="40104" s="3161" customFormat="1" ht="12.75"/>
    <row r="40105" s="3161" customFormat="1" ht="12.75"/>
    <row r="40106" s="3161" customFormat="1" ht="12.75"/>
    <row r="40107" s="3161" customFormat="1" ht="12.75"/>
    <row r="40108" s="3161" customFormat="1" ht="12.75"/>
    <row r="40109" s="3161" customFormat="1" ht="12.75"/>
    <row r="40110" s="3161" customFormat="1" ht="12.75"/>
    <row r="40111" s="3161" customFormat="1" ht="12.75"/>
    <row r="40112" s="3161" customFormat="1" ht="12.75"/>
    <row r="40113" s="3161" customFormat="1" ht="12.75"/>
    <row r="40114" s="3161" customFormat="1" ht="12.75"/>
    <row r="40115" s="3161" customFormat="1" ht="12.75"/>
    <row r="40116" s="3161" customFormat="1" ht="12.75"/>
    <row r="40117" s="3161" customFormat="1" ht="12.75"/>
    <row r="40118" s="3161" customFormat="1" ht="12.75"/>
    <row r="40119" s="3161" customFormat="1" ht="12.75"/>
    <row r="40120" s="3161" customFormat="1" ht="12.75"/>
    <row r="40121" s="3161" customFormat="1" ht="12.75"/>
    <row r="40122" s="3161" customFormat="1" ht="12.75"/>
    <row r="40123" s="3161" customFormat="1" ht="12.75"/>
    <row r="40124" s="3161" customFormat="1" ht="12.75"/>
    <row r="40125" s="3161" customFormat="1" ht="12.75"/>
    <row r="40126" s="3161" customFormat="1" ht="12.75"/>
    <row r="40127" s="3161" customFormat="1" ht="12.75"/>
    <row r="40128" s="3161" customFormat="1" ht="12.75"/>
    <row r="40129" s="3161" customFormat="1" ht="12.75"/>
    <row r="40130" s="3161" customFormat="1" ht="12.75"/>
    <row r="40131" s="3161" customFormat="1" ht="12.75"/>
    <row r="40132" s="3161" customFormat="1" ht="12.75"/>
    <row r="40133" s="3161" customFormat="1" ht="12.75"/>
    <row r="40134" s="3161" customFormat="1" ht="12.75"/>
    <row r="40135" s="3161" customFormat="1" ht="12.75"/>
    <row r="40136" s="3161" customFormat="1" ht="12.75"/>
    <row r="40137" s="3161" customFormat="1" ht="12.75"/>
    <row r="40138" s="3161" customFormat="1" ht="12.75"/>
    <row r="40139" s="3161" customFormat="1" ht="12.75"/>
    <row r="40140" s="3161" customFormat="1" ht="12.75"/>
    <row r="40141" s="3161" customFormat="1" ht="12.75"/>
    <row r="40142" s="3161" customFormat="1" ht="12.75"/>
    <row r="40143" s="3161" customFormat="1" ht="12.75"/>
    <row r="40144" s="3161" customFormat="1" ht="12.75"/>
    <row r="40145" s="3161" customFormat="1" ht="12.75"/>
    <row r="40146" s="3161" customFormat="1" ht="12.75"/>
    <row r="40147" s="3161" customFormat="1" ht="12.75"/>
    <row r="40148" s="3161" customFormat="1" ht="12.75"/>
    <row r="40149" s="3161" customFormat="1" ht="12.75"/>
    <row r="40150" s="3161" customFormat="1" ht="12.75"/>
    <row r="40151" s="3161" customFormat="1" ht="12.75"/>
    <row r="40152" s="3161" customFormat="1" ht="12.75"/>
    <row r="40153" s="3161" customFormat="1" ht="12.75"/>
    <row r="40154" s="3161" customFormat="1" ht="12.75"/>
    <row r="40155" s="3161" customFormat="1" ht="12.75"/>
    <row r="40156" s="3161" customFormat="1" ht="12.75"/>
    <row r="40157" s="3161" customFormat="1" ht="12.75"/>
    <row r="40158" s="3161" customFormat="1" ht="12.75"/>
    <row r="40159" s="3161" customFormat="1" ht="12.75"/>
    <row r="40160" s="3161" customFormat="1" ht="12.75"/>
    <row r="40161" s="3161" customFormat="1" ht="12.75"/>
    <row r="40162" s="3161" customFormat="1" ht="12.75"/>
    <row r="40163" s="3161" customFormat="1" ht="12.75"/>
    <row r="40164" s="3161" customFormat="1" ht="12.75"/>
    <row r="40165" s="3161" customFormat="1" ht="12.75"/>
    <row r="40166" s="3161" customFormat="1" ht="12.75"/>
    <row r="40167" s="3161" customFormat="1" ht="12.75"/>
    <row r="40168" s="3161" customFormat="1" ht="12.75"/>
    <row r="40169" s="3161" customFormat="1" ht="12.75"/>
    <row r="40170" s="3161" customFormat="1" ht="12.75"/>
    <row r="40171" s="3161" customFormat="1" ht="12.75"/>
    <row r="40172" s="3161" customFormat="1" ht="12.75"/>
    <row r="40173" s="3161" customFormat="1" ht="12.75"/>
    <row r="40174" s="3161" customFormat="1" ht="12.75"/>
    <row r="40175" s="3161" customFormat="1" ht="12.75"/>
    <row r="40176" s="3161" customFormat="1" ht="12.75"/>
    <row r="40177" s="3161" customFormat="1" ht="12.75"/>
    <row r="40178" s="3161" customFormat="1" ht="12.75"/>
    <row r="40179" s="3161" customFormat="1" ht="12.75"/>
    <row r="40180" s="3161" customFormat="1" ht="12.75"/>
    <row r="40181" s="3161" customFormat="1" ht="12.75"/>
    <row r="40182" s="3161" customFormat="1" ht="12.75"/>
    <row r="40183" s="3161" customFormat="1" ht="12.75"/>
    <row r="40184" s="3161" customFormat="1" ht="12.75"/>
    <row r="40185" s="3161" customFormat="1" ht="12.75"/>
    <row r="40186" s="3161" customFormat="1" ht="12.75"/>
    <row r="40187" s="3161" customFormat="1" ht="12.75"/>
    <row r="40188" s="3161" customFormat="1" ht="12.75"/>
    <row r="40189" s="3161" customFormat="1" ht="12.75"/>
    <row r="40190" s="3161" customFormat="1" ht="12.75"/>
    <row r="40191" s="3161" customFormat="1" ht="12.75"/>
    <row r="40192" s="3161" customFormat="1" ht="12.75"/>
    <row r="40193" s="3161" customFormat="1" ht="12.75"/>
    <row r="40194" s="3161" customFormat="1" ht="12.75"/>
    <row r="40195" s="3161" customFormat="1" ht="12.75"/>
    <row r="40196" s="3161" customFormat="1" ht="12.75"/>
    <row r="40197" s="3161" customFormat="1" ht="12.75"/>
    <row r="40198" s="3161" customFormat="1" ht="12.75"/>
    <row r="40199" s="3161" customFormat="1" ht="12.75"/>
    <row r="40200" s="3161" customFormat="1" ht="12.75"/>
    <row r="40201" s="3161" customFormat="1" ht="12.75"/>
    <row r="40202" s="3161" customFormat="1" ht="12.75"/>
    <row r="40203" s="3161" customFormat="1" ht="12.75"/>
    <row r="40204" s="3161" customFormat="1" ht="12.75"/>
    <row r="40205" s="3161" customFormat="1" ht="12.75"/>
    <row r="40206" s="3161" customFormat="1" ht="12.75"/>
    <row r="40207" s="3161" customFormat="1" ht="12.75"/>
    <row r="40208" s="3161" customFormat="1" ht="12.75"/>
    <row r="40209" s="3161" customFormat="1" ht="12.75"/>
    <row r="40210" s="3161" customFormat="1" ht="12.75"/>
    <row r="40211" s="3161" customFormat="1" ht="12.75"/>
    <row r="40212" s="3161" customFormat="1" ht="12.75"/>
    <row r="40213" s="3161" customFormat="1" ht="12.75"/>
    <row r="40214" s="3161" customFormat="1" ht="12.75"/>
    <row r="40215" s="3161" customFormat="1" ht="12.75"/>
    <row r="40216" s="3161" customFormat="1" ht="12.75"/>
    <row r="40217" s="3161" customFormat="1" ht="12.75"/>
    <row r="40218" s="3161" customFormat="1" ht="12.75"/>
    <row r="40219" s="3161" customFormat="1" ht="12.75"/>
    <row r="40220" s="3161" customFormat="1" ht="12.75"/>
    <row r="40221" s="3161" customFormat="1" ht="12.75"/>
    <row r="40222" s="3161" customFormat="1" ht="12.75"/>
    <row r="40223" s="3161" customFormat="1" ht="12.75"/>
    <row r="40224" s="3161" customFormat="1" ht="12.75"/>
    <row r="40225" s="3161" customFormat="1" ht="12.75"/>
    <row r="40226" s="3161" customFormat="1" ht="12.75"/>
    <row r="40227" s="3161" customFormat="1" ht="12.75"/>
    <row r="40228" s="3161" customFormat="1" ht="12.75"/>
    <row r="40229" s="3161" customFormat="1" ht="12.75"/>
    <row r="40230" s="3161" customFormat="1" ht="12.75"/>
    <row r="40231" s="3161" customFormat="1" ht="12.75"/>
    <row r="40232" s="3161" customFormat="1" ht="12.75"/>
    <row r="40233" s="3161" customFormat="1" ht="12.75"/>
    <row r="40234" s="3161" customFormat="1" ht="12.75"/>
    <row r="40235" s="3161" customFormat="1" ht="12.75"/>
    <row r="40236" s="3161" customFormat="1" ht="12.75"/>
    <row r="40237" s="3161" customFormat="1" ht="12.75"/>
    <row r="40238" s="3161" customFormat="1" ht="12.75"/>
    <row r="40239" s="3161" customFormat="1" ht="12.75"/>
    <row r="40240" s="3161" customFormat="1" ht="12.75"/>
    <row r="40241" s="3161" customFormat="1" ht="12.75"/>
    <row r="40242" s="3161" customFormat="1" ht="12.75"/>
    <row r="40243" s="3161" customFormat="1" ht="12.75"/>
    <row r="40244" s="3161" customFormat="1" ht="12.75"/>
    <row r="40245" s="3161" customFormat="1" ht="12.75"/>
    <row r="40246" s="3161" customFormat="1" ht="12.75"/>
    <row r="40247" s="3161" customFormat="1" ht="12.75"/>
    <row r="40248" s="3161" customFormat="1" ht="12.75"/>
    <row r="40249" s="3161" customFormat="1" ht="12.75"/>
    <row r="40250" s="3161" customFormat="1" ht="12.75"/>
    <row r="40251" s="3161" customFormat="1" ht="12.75"/>
    <row r="40252" s="3161" customFormat="1" ht="12.75"/>
    <row r="40253" s="3161" customFormat="1" ht="12.75"/>
    <row r="40254" s="3161" customFormat="1" ht="12.75"/>
    <row r="40255" s="3161" customFormat="1" ht="12.75"/>
    <row r="40256" s="3161" customFormat="1" ht="12.75"/>
    <row r="40257" s="3161" customFormat="1" ht="12.75"/>
    <row r="40258" s="3161" customFormat="1" ht="12.75"/>
    <row r="40259" s="3161" customFormat="1" ht="12.75"/>
    <row r="40260" s="3161" customFormat="1" ht="12.75"/>
    <row r="40261" s="3161" customFormat="1" ht="12.75"/>
    <row r="40262" s="3161" customFormat="1" ht="12.75"/>
    <row r="40263" s="3161" customFormat="1" ht="12.75"/>
    <row r="40264" s="3161" customFormat="1" ht="12.75"/>
    <row r="40265" s="3161" customFormat="1" ht="12.75"/>
    <row r="40266" s="3161" customFormat="1" ht="12.75"/>
    <row r="40267" s="3161" customFormat="1" ht="12.75"/>
    <row r="40268" s="3161" customFormat="1" ht="12.75"/>
    <row r="40269" s="3161" customFormat="1" ht="12.75"/>
    <row r="40270" s="3161" customFormat="1" ht="12.75"/>
    <row r="40271" s="3161" customFormat="1" ht="12.75"/>
    <row r="40272" s="3161" customFormat="1" ht="12.75"/>
    <row r="40273" s="3161" customFormat="1" ht="12.75"/>
    <row r="40274" s="3161" customFormat="1" ht="12.75"/>
    <row r="40275" s="3161" customFormat="1" ht="12.75"/>
    <row r="40276" s="3161" customFormat="1" ht="12.75"/>
    <row r="40277" s="3161" customFormat="1" ht="12.75"/>
    <row r="40278" s="3161" customFormat="1" ht="12.75"/>
    <row r="40279" s="3161" customFormat="1" ht="12.75"/>
    <row r="40280" s="3161" customFormat="1" ht="12.75"/>
    <row r="40281" s="3161" customFormat="1" ht="12.75"/>
    <row r="40282" s="3161" customFormat="1" ht="12.75"/>
    <row r="40283" s="3161" customFormat="1" ht="12.75"/>
    <row r="40284" s="3161" customFormat="1" ht="12.75"/>
    <row r="40285" s="3161" customFormat="1" ht="12.75"/>
    <row r="40286" s="3161" customFormat="1" ht="12.75"/>
    <row r="40287" s="3161" customFormat="1" ht="12.75"/>
    <row r="40288" s="3161" customFormat="1" ht="12.75"/>
    <row r="40289" s="3161" customFormat="1" ht="12.75"/>
    <row r="40290" s="3161" customFormat="1" ht="12.75"/>
    <row r="40291" s="3161" customFormat="1" ht="12.75"/>
    <row r="40292" s="3161" customFormat="1" ht="12.75"/>
    <row r="40293" s="3161" customFormat="1" ht="12.75"/>
    <row r="40294" s="3161" customFormat="1" ht="12.75"/>
    <row r="40295" s="3161" customFormat="1" ht="12.75"/>
    <row r="40296" s="3161" customFormat="1" ht="12.75"/>
    <row r="40297" s="3161" customFormat="1" ht="12.75"/>
    <row r="40298" s="3161" customFormat="1" ht="12.75"/>
    <row r="40299" s="3161" customFormat="1" ht="12.75"/>
    <row r="40300" s="3161" customFormat="1" ht="12.75"/>
    <row r="40301" s="3161" customFormat="1" ht="12.75"/>
    <row r="40302" s="3161" customFormat="1" ht="12.75"/>
    <row r="40303" s="3161" customFormat="1" ht="12.75"/>
    <row r="40304" s="3161" customFormat="1" ht="12.75"/>
    <row r="40305" s="3161" customFormat="1" ht="12.75"/>
    <row r="40306" s="3161" customFormat="1" ht="12.75"/>
    <row r="40307" s="3161" customFormat="1" ht="12.75"/>
    <row r="40308" s="3161" customFormat="1" ht="12.75"/>
    <row r="40309" s="3161" customFormat="1" ht="12.75"/>
    <row r="40310" s="3161" customFormat="1" ht="12.75"/>
    <row r="40311" s="3161" customFormat="1" ht="12.75"/>
    <row r="40312" s="3161" customFormat="1" ht="12.75"/>
    <row r="40313" s="3161" customFormat="1" ht="12.75"/>
    <row r="40314" s="3161" customFormat="1" ht="12.75"/>
    <row r="40315" s="3161" customFormat="1" ht="12.75"/>
    <row r="40316" s="3161" customFormat="1" ht="12.75"/>
    <row r="40317" s="3161" customFormat="1" ht="12.75"/>
    <row r="40318" s="3161" customFormat="1" ht="12.75"/>
    <row r="40319" s="3161" customFormat="1" ht="12.75"/>
    <row r="40320" s="3161" customFormat="1" ht="12.75"/>
    <row r="40321" s="3161" customFormat="1" ht="12.75"/>
    <row r="40322" s="3161" customFormat="1" ht="12.75"/>
    <row r="40323" s="3161" customFormat="1" ht="12.75"/>
    <row r="40324" s="3161" customFormat="1" ht="12.75"/>
    <row r="40325" s="3161" customFormat="1" ht="12.75"/>
    <row r="40326" s="3161" customFormat="1" ht="12.75"/>
    <row r="40327" s="3161" customFormat="1" ht="12.75"/>
    <row r="40328" s="3161" customFormat="1" ht="12.75"/>
    <row r="40329" s="3161" customFormat="1" ht="12.75"/>
    <row r="40330" s="3161" customFormat="1" ht="12.75"/>
    <row r="40331" s="3161" customFormat="1" ht="12.75"/>
    <row r="40332" s="3161" customFormat="1" ht="12.75"/>
    <row r="40333" s="3161" customFormat="1" ht="12.75"/>
    <row r="40334" s="3161" customFormat="1" ht="12.75"/>
    <row r="40335" s="3161" customFormat="1" ht="12.75"/>
    <row r="40336" s="3161" customFormat="1" ht="12.75"/>
    <row r="40337" s="3161" customFormat="1" ht="12.75"/>
    <row r="40338" s="3161" customFormat="1" ht="12.75"/>
    <row r="40339" s="3161" customFormat="1" ht="12.75"/>
    <row r="40340" s="3161" customFormat="1" ht="12.75"/>
    <row r="40341" s="3161" customFormat="1" ht="12.75"/>
    <row r="40342" s="3161" customFormat="1" ht="12.75"/>
    <row r="40343" s="3161" customFormat="1" ht="12.75"/>
    <row r="40344" s="3161" customFormat="1" ht="12.75"/>
    <row r="40345" s="3161" customFormat="1" ht="12.75"/>
    <row r="40346" s="3161" customFormat="1" ht="12.75"/>
    <row r="40347" s="3161" customFormat="1" ht="12.75"/>
    <row r="40348" s="3161" customFormat="1" ht="12.75"/>
    <row r="40349" s="3161" customFormat="1" ht="12.75"/>
    <row r="40350" s="3161" customFormat="1" ht="12.75"/>
    <row r="40351" s="3161" customFormat="1" ht="12.75"/>
    <row r="40352" s="3161" customFormat="1" ht="12.75"/>
    <row r="40353" s="3161" customFormat="1" ht="12.75"/>
    <row r="40354" s="3161" customFormat="1" ht="12.75"/>
    <row r="40355" s="3161" customFormat="1" ht="12.75"/>
    <row r="40356" s="3161" customFormat="1" ht="12.75"/>
    <row r="40357" s="3161" customFormat="1" ht="12.75"/>
    <row r="40358" s="3161" customFormat="1" ht="12.75"/>
    <row r="40359" s="3161" customFormat="1" ht="12.75"/>
    <row r="40360" s="3161" customFormat="1" ht="12.75"/>
    <row r="40361" s="3161" customFormat="1" ht="12.75"/>
    <row r="40362" s="3161" customFormat="1" ht="12.75"/>
    <row r="40363" s="3161" customFormat="1" ht="12.75"/>
    <row r="40364" s="3161" customFormat="1" ht="12.75"/>
    <row r="40365" s="3161" customFormat="1" ht="12.75"/>
    <row r="40366" s="3161" customFormat="1" ht="12.75"/>
    <row r="40367" s="3161" customFormat="1" ht="12.75"/>
    <row r="40368" s="3161" customFormat="1" ht="12.75"/>
    <row r="40369" s="3161" customFormat="1" ht="12.75"/>
    <row r="40370" s="3161" customFormat="1" ht="12.75"/>
    <row r="40371" s="3161" customFormat="1" ht="12.75"/>
    <row r="40372" s="3161" customFormat="1" ht="12.75"/>
    <row r="40373" s="3161" customFormat="1" ht="12.75"/>
    <row r="40374" s="3161" customFormat="1" ht="12.75"/>
    <row r="40375" s="3161" customFormat="1" ht="12.75"/>
    <row r="40376" s="3161" customFormat="1" ht="12.75"/>
    <row r="40377" s="3161" customFormat="1" ht="12.75"/>
    <row r="40378" s="3161" customFormat="1" ht="12.75"/>
    <row r="40379" s="3161" customFormat="1" ht="12.75"/>
    <row r="40380" s="3161" customFormat="1" ht="12.75"/>
    <row r="40381" s="3161" customFormat="1" ht="12.75"/>
    <row r="40382" s="3161" customFormat="1" ht="12.75"/>
    <row r="40383" s="3161" customFormat="1" ht="12.75"/>
    <row r="40384" s="3161" customFormat="1" ht="12.75"/>
    <row r="40385" s="3161" customFormat="1" ht="12.75"/>
    <row r="40386" s="3161" customFormat="1" ht="12.75"/>
    <row r="40387" s="3161" customFormat="1" ht="12.75"/>
    <row r="40388" s="3161" customFormat="1" ht="12.75"/>
    <row r="40389" s="3161" customFormat="1" ht="12.75"/>
    <row r="40390" s="3161" customFormat="1" ht="12.75"/>
    <row r="40391" s="3161" customFormat="1" ht="12.75"/>
    <row r="40392" s="3161" customFormat="1" ht="12.75"/>
    <row r="40393" s="3161" customFormat="1" ht="12.75"/>
    <row r="40394" s="3161" customFormat="1" ht="12.75"/>
    <row r="40395" s="3161" customFormat="1" ht="12.75"/>
    <row r="40396" s="3161" customFormat="1" ht="12.75"/>
    <row r="40397" s="3161" customFormat="1" ht="12.75"/>
    <row r="40398" s="3161" customFormat="1" ht="12.75"/>
    <row r="40399" s="3161" customFormat="1" ht="12.75"/>
    <row r="40400" s="3161" customFormat="1" ht="12.75"/>
    <row r="40401" s="3161" customFormat="1" ht="12.75"/>
    <row r="40402" s="3161" customFormat="1" ht="12.75"/>
    <row r="40403" s="3161" customFormat="1" ht="12.75"/>
    <row r="40404" s="3161" customFormat="1" ht="12.75"/>
    <row r="40405" s="3161" customFormat="1" ht="12.75"/>
    <row r="40406" s="3161" customFormat="1" ht="12.75"/>
    <row r="40407" s="3161" customFormat="1" ht="12.75"/>
    <row r="40408" s="3161" customFormat="1" ht="12.75"/>
    <row r="40409" s="3161" customFormat="1" ht="12.75"/>
    <row r="40410" s="3161" customFormat="1" ht="12.75"/>
    <row r="40411" s="3161" customFormat="1" ht="12.75"/>
    <row r="40412" s="3161" customFormat="1" ht="12.75"/>
    <row r="40413" s="3161" customFormat="1" ht="12.75"/>
    <row r="40414" s="3161" customFormat="1" ht="12.75"/>
    <row r="40415" s="3161" customFormat="1" ht="12.75"/>
    <row r="40416" s="3161" customFormat="1" ht="12.75"/>
    <row r="40417" s="3161" customFormat="1" ht="12.75"/>
    <row r="40418" s="3161" customFormat="1" ht="12.75"/>
    <row r="40419" s="3161" customFormat="1" ht="12.75"/>
    <row r="40420" s="3161" customFormat="1" ht="12.75"/>
    <row r="40421" s="3161" customFormat="1" ht="12.75"/>
    <row r="40422" s="3161" customFormat="1" ht="12.75"/>
    <row r="40423" s="3161" customFormat="1" ht="12.75"/>
    <row r="40424" s="3161" customFormat="1" ht="12.75"/>
    <row r="40425" s="3161" customFormat="1" ht="12.75"/>
    <row r="40426" s="3161" customFormat="1" ht="12.75"/>
    <row r="40427" s="3161" customFormat="1" ht="12.75"/>
    <row r="40428" s="3161" customFormat="1" ht="12.75"/>
    <row r="40429" s="3161" customFormat="1" ht="12.75"/>
    <row r="40430" s="3161" customFormat="1" ht="12.75"/>
    <row r="40431" s="3161" customFormat="1" ht="12.75"/>
    <row r="40432" s="3161" customFormat="1" ht="12.75"/>
    <row r="40433" s="3161" customFormat="1" ht="12.75"/>
    <row r="40434" s="3161" customFormat="1" ht="12.75"/>
    <row r="40435" s="3161" customFormat="1" ht="12.75"/>
    <row r="40436" s="3161" customFormat="1" ht="12.75"/>
    <row r="40437" s="3161" customFormat="1" ht="12.75"/>
    <row r="40438" s="3161" customFormat="1" ht="12.75"/>
    <row r="40439" s="3161" customFormat="1" ht="12.75"/>
    <row r="40440" s="3161" customFormat="1" ht="12.75"/>
    <row r="40441" s="3161" customFormat="1" ht="12.75"/>
    <row r="40442" s="3161" customFormat="1" ht="12.75"/>
    <row r="40443" s="3161" customFormat="1" ht="12.75"/>
    <row r="40444" s="3161" customFormat="1" ht="12.75"/>
    <row r="40445" s="3161" customFormat="1" ht="12.75"/>
    <row r="40446" s="3161" customFormat="1" ht="12.75"/>
    <row r="40447" s="3161" customFormat="1" ht="12.75"/>
    <row r="40448" s="3161" customFormat="1" ht="12.75"/>
    <row r="40449" s="3161" customFormat="1" ht="12.75"/>
    <row r="40450" s="3161" customFormat="1" ht="12.75"/>
    <row r="40451" s="3161" customFormat="1" ht="12.75"/>
    <row r="40452" s="3161" customFormat="1" ht="12.75"/>
    <row r="40453" s="3161" customFormat="1" ht="12.75"/>
    <row r="40454" s="3161" customFormat="1" ht="12.75"/>
    <row r="40455" s="3161" customFormat="1" ht="12.75"/>
    <row r="40456" s="3161" customFormat="1" ht="12.75"/>
    <row r="40457" s="3161" customFormat="1" ht="12.75"/>
    <row r="40458" s="3161" customFormat="1" ht="12.75"/>
    <row r="40459" s="3161" customFormat="1" ht="12.75"/>
    <row r="40460" s="3161" customFormat="1" ht="12.75"/>
    <row r="40461" s="3161" customFormat="1" ht="12.75"/>
    <row r="40462" s="3161" customFormat="1" ht="12.75"/>
    <row r="40463" s="3161" customFormat="1" ht="12.75"/>
    <row r="40464" s="3161" customFormat="1" ht="12.75"/>
    <row r="40465" s="3161" customFormat="1" ht="12.75"/>
    <row r="40466" s="3161" customFormat="1" ht="12.75"/>
    <row r="40467" s="3161" customFormat="1" ht="12.75"/>
    <row r="40468" s="3161" customFormat="1" ht="12.75"/>
    <row r="40469" s="3161" customFormat="1" ht="12.75"/>
    <row r="40470" s="3161" customFormat="1" ht="12.75"/>
    <row r="40471" s="3161" customFormat="1" ht="12.75"/>
    <row r="40472" s="3161" customFormat="1" ht="12.75"/>
    <row r="40473" s="3161" customFormat="1" ht="12.75"/>
    <row r="40474" s="3161" customFormat="1" ht="12.75"/>
    <row r="40475" s="3161" customFormat="1" ht="12.75"/>
    <row r="40476" s="3161" customFormat="1" ht="12.75"/>
    <row r="40477" s="3161" customFormat="1" ht="12.75"/>
    <row r="40478" s="3161" customFormat="1" ht="12.75"/>
    <row r="40479" s="3161" customFormat="1" ht="12.75"/>
    <row r="40480" s="3161" customFormat="1" ht="12.75"/>
    <row r="40481" s="3161" customFormat="1" ht="12.75"/>
    <row r="40482" s="3161" customFormat="1" ht="12.75"/>
    <row r="40483" s="3161" customFormat="1" ht="12.75"/>
    <row r="40484" s="3161" customFormat="1" ht="12.75"/>
    <row r="40485" s="3161" customFormat="1" ht="12.75"/>
    <row r="40486" s="3161" customFormat="1" ht="12.75"/>
    <row r="40487" s="3161" customFormat="1" ht="12.75"/>
    <row r="40488" s="3161" customFormat="1" ht="12.75"/>
    <row r="40489" s="3161" customFormat="1" ht="12.75"/>
    <row r="40490" s="3161" customFormat="1" ht="12.75"/>
    <row r="40491" s="3161" customFormat="1" ht="12.75"/>
    <row r="40492" s="3161" customFormat="1" ht="12.75"/>
    <row r="40493" s="3161" customFormat="1" ht="12.75"/>
    <row r="40494" s="3161" customFormat="1" ht="12.75"/>
    <row r="40495" s="3161" customFormat="1" ht="12.75"/>
    <row r="40496" s="3161" customFormat="1" ht="12.75"/>
    <row r="40497" s="3161" customFormat="1" ht="12.75"/>
    <row r="40498" s="3161" customFormat="1" ht="12.75"/>
    <row r="40499" s="3161" customFormat="1" ht="12.75"/>
    <row r="40500" s="3161" customFormat="1" ht="12.75"/>
    <row r="40501" s="3161" customFormat="1" ht="12.75"/>
    <row r="40502" s="3161" customFormat="1" ht="12.75"/>
    <row r="40503" s="3161" customFormat="1" ht="12.75"/>
    <row r="40504" s="3161" customFormat="1" ht="12.75"/>
    <row r="40505" s="3161" customFormat="1" ht="12.75"/>
    <row r="40506" s="3161" customFormat="1" ht="12.75"/>
    <row r="40507" s="3161" customFormat="1" ht="12.75"/>
    <row r="40508" s="3161" customFormat="1" ht="12.75"/>
    <row r="40509" s="3161" customFormat="1" ht="12.75"/>
    <row r="40510" s="3161" customFormat="1" ht="12.75"/>
    <row r="40511" s="3161" customFormat="1" ht="12.75"/>
    <row r="40512" s="3161" customFormat="1" ht="12.75"/>
    <row r="40513" s="3161" customFormat="1" ht="12.75"/>
    <row r="40514" s="3161" customFormat="1" ht="12.75"/>
    <row r="40515" s="3161" customFormat="1" ht="12.75"/>
    <row r="40516" s="3161" customFormat="1" ht="12.75"/>
    <row r="40517" s="3161" customFormat="1" ht="12.75"/>
    <row r="40518" s="3161" customFormat="1" ht="12.75"/>
    <row r="40519" s="3161" customFormat="1" ht="12.75"/>
    <row r="40520" s="3161" customFormat="1" ht="12.75"/>
    <row r="40521" s="3161" customFormat="1" ht="12.75"/>
    <row r="40522" s="3161" customFormat="1" ht="12.75"/>
    <row r="40523" s="3161" customFormat="1" ht="12.75"/>
    <row r="40524" s="3161" customFormat="1" ht="12.75"/>
    <row r="40525" s="3161" customFormat="1" ht="12.75"/>
    <row r="40526" s="3161" customFormat="1" ht="12.75"/>
    <row r="40527" s="3161" customFormat="1" ht="12.75"/>
    <row r="40528" s="3161" customFormat="1" ht="12.75"/>
    <row r="40529" s="3161" customFormat="1" ht="12.75"/>
    <row r="40530" s="3161" customFormat="1" ht="12.75"/>
    <row r="40531" s="3161" customFormat="1" ht="12.75"/>
    <row r="40532" s="3161" customFormat="1" ht="12.75"/>
    <row r="40533" s="3161" customFormat="1" ht="12.75"/>
    <row r="40534" s="3161" customFormat="1" ht="12.75"/>
    <row r="40535" s="3161" customFormat="1" ht="12.75"/>
    <row r="40536" s="3161" customFormat="1" ht="12.75"/>
    <row r="40537" s="3161" customFormat="1" ht="12.75"/>
    <row r="40538" s="3161" customFormat="1" ht="12.75"/>
    <row r="40539" s="3161" customFormat="1" ht="12.75"/>
    <row r="40540" s="3161" customFormat="1" ht="12.75"/>
    <row r="40541" s="3161" customFormat="1" ht="12.75"/>
    <row r="40542" s="3161" customFormat="1" ht="12.75"/>
    <row r="40543" s="3161" customFormat="1" ht="12.75"/>
    <row r="40544" s="3161" customFormat="1" ht="12.75"/>
    <row r="40545" s="3161" customFormat="1" ht="12.75"/>
    <row r="40546" s="3161" customFormat="1" ht="12.75"/>
    <row r="40547" s="3161" customFormat="1" ht="12.75"/>
    <row r="40548" s="3161" customFormat="1" ht="12.75"/>
    <row r="40549" s="3161" customFormat="1" ht="12.75"/>
    <row r="40550" s="3161" customFormat="1" ht="12.75"/>
    <row r="40551" s="3161" customFormat="1" ht="12.75"/>
    <row r="40552" s="3161" customFormat="1" ht="12.75"/>
    <row r="40553" s="3161" customFormat="1" ht="12.75"/>
    <row r="40554" s="3161" customFormat="1" ht="12.75"/>
    <row r="40555" s="3161" customFormat="1" ht="12.75"/>
    <row r="40556" s="3161" customFormat="1" ht="12.75"/>
    <row r="40557" s="3161" customFormat="1" ht="12.75"/>
    <row r="40558" s="3161" customFormat="1" ht="12.75"/>
    <row r="40559" s="3161" customFormat="1" ht="12.75"/>
    <row r="40560" s="3161" customFormat="1" ht="12.75"/>
    <row r="40561" s="3161" customFormat="1" ht="12.75"/>
    <row r="40562" s="3161" customFormat="1" ht="12.75"/>
    <row r="40563" s="3161" customFormat="1" ht="12.75"/>
    <row r="40564" s="3161" customFormat="1" ht="12.75"/>
    <row r="40565" s="3161" customFormat="1" ht="12.75"/>
    <row r="40566" s="3161" customFormat="1" ht="12.75"/>
    <row r="40567" s="3161" customFormat="1" ht="12.75"/>
    <row r="40568" s="3161" customFormat="1" ht="12.75"/>
    <row r="40569" s="3161" customFormat="1" ht="12.75"/>
    <row r="40570" s="3161" customFormat="1" ht="12.75"/>
    <row r="40571" s="3161" customFormat="1" ht="12.75"/>
    <row r="40572" s="3161" customFormat="1" ht="12.75"/>
    <row r="40573" s="3161" customFormat="1" ht="12.75"/>
    <row r="40574" s="3161" customFormat="1" ht="12.75"/>
    <row r="40575" s="3161" customFormat="1" ht="12.75"/>
    <row r="40576" s="3161" customFormat="1" ht="12.75"/>
    <row r="40577" s="3161" customFormat="1" ht="12.75"/>
    <row r="40578" s="3161" customFormat="1" ht="12.75"/>
    <row r="40579" s="3161" customFormat="1" ht="12.75"/>
    <row r="40580" s="3161" customFormat="1" ht="12.75"/>
    <row r="40581" s="3161" customFormat="1" ht="12.75"/>
    <row r="40582" s="3161" customFormat="1" ht="12.75"/>
    <row r="40583" s="3161" customFormat="1" ht="12.75"/>
    <row r="40584" s="3161" customFormat="1" ht="12.75"/>
    <row r="40585" s="3161" customFormat="1" ht="12.75"/>
    <row r="40586" s="3161" customFormat="1" ht="12.75"/>
    <row r="40587" s="3161" customFormat="1" ht="12.75"/>
    <row r="40588" s="3161" customFormat="1" ht="12.75"/>
    <row r="40589" s="3161" customFormat="1" ht="12.75"/>
    <row r="40590" s="3161" customFormat="1" ht="12.75"/>
    <row r="40591" s="3161" customFormat="1" ht="12.75"/>
    <row r="40592" s="3161" customFormat="1" ht="12.75"/>
    <row r="40593" s="3161" customFormat="1" ht="12.75"/>
    <row r="40594" s="3161" customFormat="1" ht="12.75"/>
    <row r="40595" s="3161" customFormat="1" ht="12.75"/>
    <row r="40596" s="3161" customFormat="1" ht="12.75"/>
    <row r="40597" s="3161" customFormat="1" ht="12.75"/>
    <row r="40598" s="3161" customFormat="1" ht="12.75"/>
    <row r="40599" s="3161" customFormat="1" ht="12.75"/>
    <row r="40600" s="3161" customFormat="1" ht="12.75"/>
    <row r="40601" s="3161" customFormat="1" ht="12.75"/>
    <row r="40602" s="3161" customFormat="1" ht="12.75"/>
    <row r="40603" s="3161" customFormat="1" ht="12.75"/>
    <row r="40604" s="3161" customFormat="1" ht="12.75"/>
    <row r="40605" s="3161" customFormat="1" ht="12.75"/>
    <row r="40606" s="3161" customFormat="1" ht="12.75"/>
    <row r="40607" s="3161" customFormat="1" ht="12.75"/>
    <row r="40608" s="3161" customFormat="1" ht="12.75"/>
    <row r="40609" s="3161" customFormat="1" ht="12.75"/>
    <row r="40610" s="3161" customFormat="1" ht="12.75"/>
    <row r="40611" s="3161" customFormat="1" ht="12.75"/>
    <row r="40612" s="3161" customFormat="1" ht="12.75"/>
    <row r="40613" s="3161" customFormat="1" ht="12.75"/>
    <row r="40614" s="3161" customFormat="1" ht="12.75"/>
    <row r="40615" s="3161" customFormat="1" ht="12.75"/>
    <row r="40616" s="3161" customFormat="1" ht="12.75"/>
    <row r="40617" s="3161" customFormat="1" ht="12.75"/>
    <row r="40618" s="3161" customFormat="1" ht="12.75"/>
    <row r="40619" s="3161" customFormat="1" ht="12.75"/>
    <row r="40620" s="3161" customFormat="1" ht="12.75"/>
    <row r="40621" s="3161" customFormat="1" ht="12.75"/>
    <row r="40622" s="3161" customFormat="1" ht="12.75"/>
    <row r="40623" s="3161" customFormat="1" ht="12.75"/>
    <row r="40624" s="3161" customFormat="1" ht="12.75"/>
    <row r="40625" s="3161" customFormat="1" ht="12.75"/>
    <row r="40626" s="3161" customFormat="1" ht="12.75"/>
    <row r="40627" s="3161" customFormat="1" ht="12.75"/>
    <row r="40628" s="3161" customFormat="1" ht="12.75"/>
    <row r="40629" s="3161" customFormat="1" ht="12.75"/>
    <row r="40630" s="3161" customFormat="1" ht="12.75"/>
    <row r="40631" s="3161" customFormat="1" ht="12.75"/>
    <row r="40632" s="3161" customFormat="1" ht="12.75"/>
    <row r="40633" s="3161" customFormat="1" ht="12.75"/>
    <row r="40634" s="3161" customFormat="1" ht="12.75"/>
    <row r="40635" s="3161" customFormat="1" ht="12.75"/>
    <row r="40636" s="3161" customFormat="1" ht="12.75"/>
    <row r="40637" s="3161" customFormat="1" ht="12.75"/>
    <row r="40638" s="3161" customFormat="1" ht="12.75"/>
    <row r="40639" s="3161" customFormat="1" ht="12.75"/>
    <row r="40640" s="3161" customFormat="1" ht="12.75"/>
    <row r="40641" s="3161" customFormat="1" ht="12.75"/>
    <row r="40642" s="3161" customFormat="1" ht="12.75"/>
    <row r="40643" s="3161" customFormat="1" ht="12.75"/>
    <row r="40644" s="3161" customFormat="1" ht="12.75"/>
    <row r="40645" s="3161" customFormat="1" ht="12.75"/>
    <row r="40646" s="3161" customFormat="1" ht="12.75"/>
    <row r="40647" s="3161" customFormat="1" ht="12.75"/>
    <row r="40648" s="3161" customFormat="1" ht="12.75"/>
    <row r="40649" s="3161" customFormat="1" ht="12.75"/>
    <row r="40650" s="3161" customFormat="1" ht="12.75"/>
    <row r="40651" s="3161" customFormat="1" ht="12.75"/>
    <row r="40652" s="3161" customFormat="1" ht="12.75"/>
    <row r="40653" s="3161" customFormat="1" ht="12.75"/>
    <row r="40654" s="3161" customFormat="1" ht="12.75"/>
    <row r="40655" s="3161" customFormat="1" ht="12.75"/>
    <row r="40656" s="3161" customFormat="1" ht="12.75"/>
    <row r="40657" s="3161" customFormat="1" ht="12.75"/>
    <row r="40658" s="3161" customFormat="1" ht="12.75"/>
    <row r="40659" s="3161" customFormat="1" ht="12.75"/>
    <row r="40660" s="3161" customFormat="1" ht="12.75"/>
    <row r="40661" s="3161" customFormat="1" ht="12.75"/>
    <row r="40662" s="3161" customFormat="1" ht="12.75"/>
    <row r="40663" s="3161" customFormat="1" ht="12.75"/>
    <row r="40664" s="3161" customFormat="1" ht="12.75"/>
    <row r="40665" s="3161" customFormat="1" ht="12.75"/>
    <row r="40666" s="3161" customFormat="1" ht="12.75"/>
    <row r="40667" s="3161" customFormat="1" ht="12.75"/>
    <row r="40668" s="3161" customFormat="1" ht="12.75"/>
    <row r="40669" s="3161" customFormat="1" ht="12.75"/>
    <row r="40670" s="3161" customFormat="1" ht="12.75"/>
    <row r="40671" s="3161" customFormat="1" ht="12.75"/>
    <row r="40672" s="3161" customFormat="1" ht="12.75"/>
    <row r="40673" s="3161" customFormat="1" ht="12.75"/>
    <row r="40674" s="3161" customFormat="1" ht="12.75"/>
    <row r="40675" s="3161" customFormat="1" ht="12.75"/>
    <row r="40676" s="3161" customFormat="1" ht="12.75"/>
    <row r="40677" s="3161" customFormat="1" ht="12.75"/>
    <row r="40678" s="3161" customFormat="1" ht="12.75"/>
    <row r="40679" s="3161" customFormat="1" ht="12.75"/>
    <row r="40680" s="3161" customFormat="1" ht="12.75"/>
    <row r="40681" s="3161" customFormat="1" ht="12.75"/>
    <row r="40682" s="3161" customFormat="1" ht="12.75"/>
    <row r="40683" s="3161" customFormat="1" ht="12.75"/>
    <row r="40684" s="3161" customFormat="1" ht="12.75"/>
    <row r="40685" s="3161" customFormat="1" ht="12.75"/>
    <row r="40686" s="3161" customFormat="1" ht="12.75"/>
    <row r="40687" s="3161" customFormat="1" ht="12.75"/>
    <row r="40688" s="3161" customFormat="1" ht="12.75"/>
    <row r="40689" s="3161" customFormat="1" ht="12.75"/>
    <row r="40690" s="3161" customFormat="1" ht="12.75"/>
    <row r="40691" s="3161" customFormat="1" ht="12.75"/>
    <row r="40692" s="3161" customFormat="1" ht="12.75"/>
    <row r="40693" s="3161" customFormat="1" ht="12.75"/>
    <row r="40694" s="3161" customFormat="1" ht="12.75"/>
    <row r="40695" s="3161" customFormat="1" ht="12.75"/>
    <row r="40696" s="3161" customFormat="1" ht="12.75"/>
    <row r="40697" s="3161" customFormat="1" ht="12.75"/>
    <row r="40698" s="3161" customFormat="1" ht="12.75"/>
    <row r="40699" s="3161" customFormat="1" ht="12.75"/>
    <row r="40700" s="3161" customFormat="1" ht="12.75"/>
    <row r="40701" s="3161" customFormat="1" ht="12.75"/>
    <row r="40702" s="3161" customFormat="1" ht="12.75"/>
    <row r="40703" s="3161" customFormat="1" ht="12.75"/>
    <row r="40704" s="3161" customFormat="1" ht="12.75"/>
    <row r="40705" s="3161" customFormat="1" ht="12.75"/>
    <row r="40706" s="3161" customFormat="1" ht="12.75"/>
    <row r="40707" s="3161" customFormat="1" ht="12.75"/>
    <row r="40708" s="3161" customFormat="1" ht="12.75"/>
    <row r="40709" s="3161" customFormat="1" ht="12.75"/>
    <row r="40710" s="3161" customFormat="1" ht="12.75"/>
    <row r="40711" s="3161" customFormat="1" ht="12.75"/>
    <row r="40712" s="3161" customFormat="1" ht="12.75"/>
    <row r="40713" s="3161" customFormat="1" ht="12.75"/>
    <row r="40714" s="3161" customFormat="1" ht="12.75"/>
    <row r="40715" s="3161" customFormat="1" ht="12.75"/>
    <row r="40716" s="3161" customFormat="1" ht="12.75"/>
    <row r="40717" s="3161" customFormat="1" ht="12.75"/>
    <row r="40718" s="3161" customFormat="1" ht="12.75"/>
    <row r="40719" s="3161" customFormat="1" ht="12.75"/>
    <row r="40720" s="3161" customFormat="1" ht="12.75"/>
    <row r="40721" s="3161" customFormat="1" ht="12.75"/>
    <row r="40722" s="3161" customFormat="1" ht="12.75"/>
    <row r="40723" s="3161" customFormat="1" ht="12.75"/>
    <row r="40724" s="3161" customFormat="1" ht="12.75"/>
    <row r="40725" s="3161" customFormat="1" ht="12.75"/>
    <row r="40726" s="3161" customFormat="1" ht="12.75"/>
    <row r="40727" s="3161" customFormat="1" ht="12.75"/>
    <row r="40728" s="3161" customFormat="1" ht="12.75"/>
    <row r="40729" s="3161" customFormat="1" ht="12.75"/>
    <row r="40730" s="3161" customFormat="1" ht="12.75"/>
    <row r="40731" s="3161" customFormat="1" ht="12.75"/>
    <row r="40732" s="3161" customFormat="1" ht="12.75"/>
    <row r="40733" s="3161" customFormat="1" ht="12.75"/>
    <row r="40734" s="3161" customFormat="1" ht="12.75"/>
    <row r="40735" s="3161" customFormat="1" ht="12.75"/>
    <row r="40736" s="3161" customFormat="1" ht="12.75"/>
    <row r="40737" s="3161" customFormat="1" ht="12.75"/>
    <row r="40738" s="3161" customFormat="1" ht="12.75"/>
    <row r="40739" s="3161" customFormat="1" ht="12.75"/>
    <row r="40740" s="3161" customFormat="1" ht="12.75"/>
    <row r="40741" s="3161" customFormat="1" ht="12.75"/>
    <row r="40742" s="3161" customFormat="1" ht="12.75"/>
    <row r="40743" s="3161" customFormat="1" ht="12.75"/>
    <row r="40744" s="3161" customFormat="1" ht="12.75"/>
    <row r="40745" s="3161" customFormat="1" ht="12.75"/>
    <row r="40746" s="3161" customFormat="1" ht="12.75"/>
    <row r="40747" s="3161" customFormat="1" ht="12.75"/>
    <row r="40748" s="3161" customFormat="1" ht="12.75"/>
    <row r="40749" s="3161" customFormat="1" ht="12.75"/>
    <row r="40750" s="3161" customFormat="1" ht="12.75"/>
    <row r="40751" s="3161" customFormat="1" ht="12.75"/>
    <row r="40752" s="3161" customFormat="1" ht="12.75"/>
    <row r="40753" s="3161" customFormat="1" ht="12.75"/>
    <row r="40754" s="3161" customFormat="1" ht="12.75"/>
    <row r="40755" s="3161" customFormat="1" ht="12.75"/>
    <row r="40756" s="3161" customFormat="1" ht="12.75"/>
    <row r="40757" s="3161" customFormat="1" ht="12.75"/>
    <row r="40758" s="3161" customFormat="1" ht="12.75"/>
    <row r="40759" s="3161" customFormat="1" ht="12.75"/>
    <row r="40760" s="3161" customFormat="1" ht="12.75"/>
    <row r="40761" s="3161" customFormat="1" ht="12.75"/>
    <row r="40762" s="3161" customFormat="1" ht="12.75"/>
    <row r="40763" s="3161" customFormat="1" ht="12.75"/>
    <row r="40764" s="3161" customFormat="1" ht="12.75"/>
    <row r="40765" s="3161" customFormat="1" ht="12.75"/>
    <row r="40766" s="3161" customFormat="1" ht="12.75"/>
    <row r="40767" s="3161" customFormat="1" ht="12.75"/>
    <row r="40768" s="3161" customFormat="1" ht="12.75"/>
    <row r="40769" s="3161" customFormat="1" ht="12.75"/>
    <row r="40770" s="3161" customFormat="1" ht="12.75"/>
    <row r="40771" s="3161" customFormat="1" ht="12.75"/>
    <row r="40772" s="3161" customFormat="1" ht="12.75"/>
    <row r="40773" s="3161" customFormat="1" ht="12.75"/>
    <row r="40774" s="3161" customFormat="1" ht="12.75"/>
    <row r="40775" s="3161" customFormat="1" ht="12.75"/>
    <row r="40776" s="3161" customFormat="1" ht="12.75"/>
    <row r="40777" s="3161" customFormat="1" ht="12.75"/>
    <row r="40778" s="3161" customFormat="1" ht="12.75"/>
    <row r="40779" s="3161" customFormat="1" ht="12.75"/>
    <row r="40780" s="3161" customFormat="1" ht="12.75"/>
    <row r="40781" s="3161" customFormat="1" ht="12.75"/>
    <row r="40782" s="3161" customFormat="1" ht="12.75"/>
    <row r="40783" s="3161" customFormat="1" ht="12.75"/>
    <row r="40784" s="3161" customFormat="1" ht="12.75"/>
    <row r="40785" s="3161" customFormat="1" ht="12.75"/>
    <row r="40786" s="3161" customFormat="1" ht="12.75"/>
    <row r="40787" s="3161" customFormat="1" ht="12.75"/>
    <row r="40788" s="3161" customFormat="1" ht="12.75"/>
    <row r="40789" s="3161" customFormat="1" ht="12.75"/>
    <row r="40790" s="3161" customFormat="1" ht="12.75"/>
    <row r="40791" s="3161" customFormat="1" ht="12.75"/>
    <row r="40792" s="3161" customFormat="1" ht="12.75"/>
    <row r="40793" s="3161" customFormat="1" ht="12.75"/>
    <row r="40794" s="3161" customFormat="1" ht="12.75"/>
    <row r="40795" s="3161" customFormat="1" ht="12.75"/>
    <row r="40796" s="3161" customFormat="1" ht="12.75"/>
    <row r="40797" s="3161" customFormat="1" ht="12.75"/>
    <row r="40798" s="3161" customFormat="1" ht="12.75"/>
    <row r="40799" s="3161" customFormat="1" ht="12.75"/>
    <row r="40800" s="3161" customFormat="1" ht="12.75"/>
    <row r="40801" s="3161" customFormat="1" ht="12.75"/>
    <row r="40802" s="3161" customFormat="1" ht="12.75"/>
    <row r="40803" s="3161" customFormat="1" ht="12.75"/>
    <row r="40804" s="3161" customFormat="1" ht="12.75"/>
    <row r="40805" s="3161" customFormat="1" ht="12.75"/>
    <row r="40806" s="3161" customFormat="1" ht="12.75"/>
    <row r="40807" s="3161" customFormat="1" ht="12.75"/>
    <row r="40808" s="3161" customFormat="1" ht="12.75"/>
    <row r="40809" s="3161" customFormat="1" ht="12.75"/>
    <row r="40810" s="3161" customFormat="1" ht="12.75"/>
    <row r="40811" s="3161" customFormat="1" ht="12.75"/>
    <row r="40812" s="3161" customFormat="1" ht="12.75"/>
    <row r="40813" s="3161" customFormat="1" ht="12.75"/>
    <row r="40814" s="3161" customFormat="1" ht="12.75"/>
    <row r="40815" s="3161" customFormat="1" ht="12.75"/>
    <row r="40816" s="3161" customFormat="1" ht="12.75"/>
    <row r="40817" s="3161" customFormat="1" ht="12.75"/>
    <row r="40818" s="3161" customFormat="1" ht="12.75"/>
    <row r="40819" s="3161" customFormat="1" ht="12.75"/>
    <row r="40820" s="3161" customFormat="1" ht="12.75"/>
    <row r="40821" s="3161" customFormat="1" ht="12.75"/>
    <row r="40822" s="3161" customFormat="1" ht="12.75"/>
    <row r="40823" s="3161" customFormat="1" ht="12.75"/>
    <row r="40824" s="3161" customFormat="1" ht="12.75"/>
    <row r="40825" s="3161" customFormat="1" ht="12.75"/>
    <row r="40826" s="3161" customFormat="1" ht="12.75"/>
    <row r="40827" s="3161" customFormat="1" ht="12.75"/>
    <row r="40828" s="3161" customFormat="1" ht="12.75"/>
    <row r="40829" s="3161" customFormat="1" ht="12.75"/>
    <row r="40830" s="3161" customFormat="1" ht="12.75"/>
    <row r="40831" s="3161" customFormat="1" ht="12.75"/>
    <row r="40832" s="3161" customFormat="1" ht="12.75"/>
    <row r="40833" s="3161" customFormat="1" ht="12.75"/>
    <row r="40834" s="3161" customFormat="1" ht="12.75"/>
    <row r="40835" s="3161" customFormat="1" ht="12.75"/>
    <row r="40836" s="3161" customFormat="1" ht="12.75"/>
    <row r="40837" s="3161" customFormat="1" ht="12.75"/>
    <row r="40838" s="3161" customFormat="1" ht="12.75"/>
    <row r="40839" s="3161" customFormat="1" ht="12.75"/>
    <row r="40840" s="3161" customFormat="1" ht="12.75"/>
    <row r="40841" s="3161" customFormat="1" ht="12.75"/>
    <row r="40842" s="3161" customFormat="1" ht="12.75"/>
    <row r="40843" s="3161" customFormat="1" ht="12.75"/>
    <row r="40844" s="3161" customFormat="1" ht="12.75"/>
    <row r="40845" s="3161" customFormat="1" ht="12.75"/>
    <row r="40846" s="3161" customFormat="1" ht="12.75"/>
    <row r="40847" s="3161" customFormat="1" ht="12.75"/>
    <row r="40848" s="3161" customFormat="1" ht="12.75"/>
    <row r="40849" s="3161" customFormat="1" ht="12.75"/>
    <row r="40850" s="3161" customFormat="1" ht="12.75"/>
    <row r="40851" s="3161" customFormat="1" ht="12.75"/>
    <row r="40852" s="3161" customFormat="1" ht="12.75"/>
    <row r="40853" s="3161" customFormat="1" ht="12.75"/>
    <row r="40854" s="3161" customFormat="1" ht="12.75"/>
    <row r="40855" s="3161" customFormat="1" ht="12.75"/>
    <row r="40856" s="3161" customFormat="1" ht="12.75"/>
    <row r="40857" s="3161" customFormat="1" ht="12.75"/>
    <row r="40858" s="3161" customFormat="1" ht="12.75"/>
    <row r="40859" s="3161" customFormat="1" ht="12.75"/>
    <row r="40860" s="3161" customFormat="1" ht="12.75"/>
    <row r="40861" s="3161" customFormat="1" ht="12.75"/>
    <row r="40862" s="3161" customFormat="1" ht="12.75"/>
    <row r="40863" s="3161" customFormat="1" ht="12.75"/>
    <row r="40864" s="3161" customFormat="1" ht="12.75"/>
    <row r="40865" s="3161" customFormat="1" ht="12.75"/>
    <row r="40866" s="3161" customFormat="1" ht="12.75"/>
    <row r="40867" s="3161" customFormat="1" ht="12.75"/>
    <row r="40868" s="3161" customFormat="1" ht="12.75"/>
    <row r="40869" s="3161" customFormat="1" ht="12.75"/>
    <row r="40870" s="3161" customFormat="1" ht="12.75"/>
    <row r="40871" s="3161" customFormat="1" ht="12.75"/>
    <row r="40872" s="3161" customFormat="1" ht="12.75"/>
    <row r="40873" s="3161" customFormat="1" ht="12.75"/>
    <row r="40874" s="3161" customFormat="1" ht="12.75"/>
    <row r="40875" s="3161" customFormat="1" ht="12.75"/>
    <row r="40876" s="3161" customFormat="1" ht="12.75"/>
    <row r="40877" s="3161" customFormat="1" ht="12.75"/>
    <row r="40878" s="3161" customFormat="1" ht="12.75"/>
    <row r="40879" s="3161" customFormat="1" ht="12.75"/>
    <row r="40880" s="3161" customFormat="1" ht="12.75"/>
    <row r="40881" s="3161" customFormat="1" ht="12.75"/>
    <row r="40882" s="3161" customFormat="1" ht="12.75"/>
    <row r="40883" s="3161" customFormat="1" ht="12.75"/>
    <row r="40884" s="3161" customFormat="1" ht="12.75"/>
    <row r="40885" s="3161" customFormat="1" ht="12.75"/>
    <row r="40886" s="3161" customFormat="1" ht="12.75"/>
    <row r="40887" s="3161" customFormat="1" ht="12.75"/>
    <row r="40888" s="3161" customFormat="1" ht="12.75"/>
    <row r="40889" s="3161" customFormat="1" ht="12.75"/>
    <row r="40890" s="3161" customFormat="1" ht="12.75"/>
    <row r="40891" s="3161" customFormat="1" ht="12.75"/>
    <row r="40892" s="3161" customFormat="1" ht="12.75"/>
    <row r="40893" s="3161" customFormat="1" ht="12.75"/>
    <row r="40894" s="3161" customFormat="1" ht="12.75"/>
    <row r="40895" s="3161" customFormat="1" ht="12.75"/>
    <row r="40896" s="3161" customFormat="1" ht="12.75"/>
    <row r="40897" s="3161" customFormat="1" ht="12.75"/>
    <row r="40898" s="3161" customFormat="1" ht="12.75"/>
    <row r="40899" s="3161" customFormat="1" ht="12.75"/>
    <row r="40900" s="3161" customFormat="1" ht="12.75"/>
    <row r="40901" s="3161" customFormat="1" ht="12.75"/>
    <row r="40902" s="3161" customFormat="1" ht="12.75"/>
    <row r="40903" s="3161" customFormat="1" ht="12.75"/>
    <row r="40904" s="3161" customFormat="1" ht="12.75"/>
    <row r="40905" s="3161" customFormat="1" ht="12.75"/>
    <row r="40906" s="3161" customFormat="1" ht="12.75"/>
    <row r="40907" s="3161" customFormat="1" ht="12.75"/>
    <row r="40908" s="3161" customFormat="1" ht="12.75"/>
    <row r="40909" s="3161" customFormat="1" ht="12.75"/>
    <row r="40910" s="3161" customFormat="1" ht="12.75"/>
    <row r="40911" s="3161" customFormat="1" ht="12.75"/>
    <row r="40912" s="3161" customFormat="1" ht="12.75"/>
    <row r="40913" s="3161" customFormat="1" ht="12.75"/>
    <row r="40914" s="3161" customFormat="1" ht="12.75"/>
    <row r="40915" s="3161" customFormat="1" ht="12.75"/>
    <row r="40916" s="3161" customFormat="1" ht="12.75"/>
    <row r="40917" s="3161" customFormat="1" ht="12.75"/>
    <row r="40918" s="3161" customFormat="1" ht="12.75"/>
    <row r="40919" s="3161" customFormat="1" ht="12.75"/>
    <row r="40920" s="3161" customFormat="1" ht="12.75"/>
    <row r="40921" s="3161" customFormat="1" ht="12.75"/>
    <row r="40922" s="3161" customFormat="1" ht="12.75"/>
    <row r="40923" s="3161" customFormat="1" ht="12.75"/>
    <row r="40924" s="3161" customFormat="1" ht="12.75"/>
    <row r="40925" s="3161" customFormat="1" ht="12.75"/>
    <row r="40926" s="3161" customFormat="1" ht="12.75"/>
    <row r="40927" s="3161" customFormat="1" ht="12.75"/>
    <row r="40928" s="3161" customFormat="1" ht="12.75"/>
    <row r="40929" s="3161" customFormat="1" ht="12.75"/>
    <row r="40930" s="3161" customFormat="1" ht="12.75"/>
    <row r="40931" s="3161" customFormat="1" ht="12.75"/>
    <row r="40932" s="3161" customFormat="1" ht="12.75"/>
    <row r="40933" s="3161" customFormat="1" ht="12.75"/>
    <row r="40934" s="3161" customFormat="1" ht="12.75"/>
    <row r="40935" s="3161" customFormat="1" ht="12.75"/>
    <row r="40936" s="3161" customFormat="1" ht="12.75"/>
    <row r="40937" s="3161" customFormat="1" ht="12.75"/>
    <row r="40938" s="3161" customFormat="1" ht="12.75"/>
    <row r="40939" s="3161" customFormat="1" ht="12.75"/>
    <row r="40940" s="3161" customFormat="1" ht="12.75"/>
    <row r="40941" s="3161" customFormat="1" ht="12.75"/>
    <row r="40942" s="3161" customFormat="1" ht="12.75"/>
    <row r="40943" s="3161" customFormat="1" ht="12.75"/>
    <row r="40944" s="3161" customFormat="1" ht="12.75"/>
    <row r="40945" s="3161" customFormat="1" ht="12.75"/>
    <row r="40946" s="3161" customFormat="1" ht="12.75"/>
    <row r="40947" s="3161" customFormat="1" ht="12.75"/>
    <row r="40948" s="3161" customFormat="1" ht="12.75"/>
    <row r="40949" s="3161" customFormat="1" ht="12.75"/>
    <row r="40950" s="3161" customFormat="1" ht="12.75"/>
    <row r="40951" s="3161" customFormat="1" ht="12.75"/>
    <row r="40952" s="3161" customFormat="1" ht="12.75"/>
    <row r="40953" s="3161" customFormat="1" ht="12.75"/>
    <row r="40954" s="3161" customFormat="1" ht="12.75"/>
    <row r="40955" s="3161" customFormat="1" ht="12.75"/>
    <row r="40956" s="3161" customFormat="1" ht="12.75"/>
    <row r="40957" s="3161" customFormat="1" ht="12.75"/>
    <row r="40958" s="3161" customFormat="1" ht="12.75"/>
    <row r="40959" s="3161" customFormat="1" ht="12.75"/>
    <row r="40960" s="3161" customFormat="1" ht="12.75"/>
    <row r="40961" s="3161" customFormat="1" ht="12.75"/>
    <row r="40962" s="3161" customFormat="1" ht="12.75"/>
    <row r="40963" s="3161" customFormat="1" ht="12.75"/>
    <row r="40964" s="3161" customFormat="1" ht="12.75"/>
    <row r="40965" s="3161" customFormat="1" ht="12.75"/>
    <row r="40966" s="3161" customFormat="1" ht="12.75"/>
    <row r="40967" s="3161" customFormat="1" ht="12.75"/>
    <row r="40968" s="3161" customFormat="1" ht="12.75"/>
    <row r="40969" s="3161" customFormat="1" ht="12.75"/>
    <row r="40970" s="3161" customFormat="1" ht="12.75"/>
    <row r="40971" s="3161" customFormat="1" ht="12.75"/>
    <row r="40972" s="3161" customFormat="1" ht="12.75"/>
    <row r="40973" s="3161" customFormat="1" ht="12.75"/>
    <row r="40974" s="3161" customFormat="1" ht="12.75"/>
    <row r="40975" s="3161" customFormat="1" ht="12.75"/>
    <row r="40976" s="3161" customFormat="1" ht="12.75"/>
    <row r="40977" s="3161" customFormat="1" ht="12.75"/>
    <row r="40978" s="3161" customFormat="1" ht="12.75"/>
    <row r="40979" s="3161" customFormat="1" ht="12.75"/>
    <row r="40980" s="3161" customFormat="1" ht="12.75"/>
    <row r="40981" s="3161" customFormat="1" ht="12.75"/>
    <row r="40982" s="3161" customFormat="1" ht="12.75"/>
    <row r="40983" s="3161" customFormat="1" ht="12.75"/>
    <row r="40984" s="3161" customFormat="1" ht="12.75"/>
    <row r="40985" s="3161" customFormat="1" ht="12.75"/>
    <row r="40986" s="3161" customFormat="1" ht="12.75"/>
    <row r="40987" s="3161" customFormat="1" ht="12.75"/>
    <row r="40988" s="3161" customFormat="1" ht="12.75"/>
    <row r="40989" s="3161" customFormat="1" ht="12.75"/>
    <row r="40990" s="3161" customFormat="1" ht="12.75"/>
    <row r="40991" s="3161" customFormat="1" ht="12.75"/>
    <row r="40992" s="3161" customFormat="1" ht="12.75"/>
    <row r="40993" s="3161" customFormat="1" ht="12.75"/>
    <row r="40994" s="3161" customFormat="1" ht="12.75"/>
    <row r="40995" s="3161" customFormat="1" ht="12.75"/>
    <row r="40996" s="3161" customFormat="1" ht="12.75"/>
    <row r="40997" s="3161" customFormat="1" ht="12.75"/>
    <row r="40998" s="3161" customFormat="1" ht="12.75"/>
    <row r="40999" s="3161" customFormat="1" ht="12.75"/>
    <row r="41000" s="3161" customFormat="1" ht="12.75"/>
    <row r="41001" s="3161" customFormat="1" ht="12.75"/>
    <row r="41002" s="3161" customFormat="1" ht="12.75"/>
    <row r="41003" s="3161" customFormat="1" ht="12.75"/>
    <row r="41004" s="3161" customFormat="1" ht="12.75"/>
    <row r="41005" s="3161" customFormat="1" ht="12.75"/>
    <row r="41006" s="3161" customFormat="1" ht="12.75"/>
    <row r="41007" s="3161" customFormat="1" ht="12.75"/>
    <row r="41008" s="3161" customFormat="1" ht="12.75"/>
    <row r="41009" s="3161" customFormat="1" ht="12.75"/>
    <row r="41010" s="3161" customFormat="1" ht="12.75"/>
    <row r="41011" s="3161" customFormat="1" ht="12.75"/>
    <row r="41012" s="3161" customFormat="1" ht="12.75"/>
    <row r="41013" s="3161" customFormat="1" ht="12.75"/>
    <row r="41014" s="3161" customFormat="1" ht="12.75"/>
    <row r="41015" s="3161" customFormat="1" ht="12.75"/>
    <row r="41016" s="3161" customFormat="1" ht="12.75"/>
    <row r="41017" s="3161" customFormat="1" ht="12.75"/>
    <row r="41018" s="3161" customFormat="1" ht="12.75"/>
    <row r="41019" s="3161" customFormat="1" ht="12.75"/>
    <row r="41020" s="3161" customFormat="1" ht="12.75"/>
    <row r="41021" s="3161" customFormat="1" ht="12.75"/>
    <row r="41022" s="3161" customFormat="1" ht="12.75"/>
    <row r="41023" s="3161" customFormat="1" ht="12.75"/>
    <row r="41024" s="3161" customFormat="1" ht="12.75"/>
    <row r="41025" s="3161" customFormat="1" ht="12.75"/>
    <row r="41026" s="3161" customFormat="1" ht="12.75"/>
    <row r="41027" s="3161" customFormat="1" ht="12.75"/>
    <row r="41028" s="3161" customFormat="1" ht="12.75"/>
    <row r="41029" s="3161" customFormat="1" ht="12.75"/>
    <row r="41030" s="3161" customFormat="1" ht="12.75"/>
    <row r="41031" s="3161" customFormat="1" ht="12.75"/>
    <row r="41032" s="3161" customFormat="1" ht="12.75"/>
    <row r="41033" s="3161" customFormat="1" ht="12.75"/>
    <row r="41034" s="3161" customFormat="1" ht="12.75"/>
    <row r="41035" s="3161" customFormat="1" ht="12.75"/>
    <row r="41036" s="3161" customFormat="1" ht="12.75"/>
    <row r="41037" s="3161" customFormat="1" ht="12.75"/>
    <row r="41038" s="3161" customFormat="1" ht="12.75"/>
    <row r="41039" s="3161" customFormat="1" ht="12.75"/>
    <row r="41040" s="3161" customFormat="1" ht="12.75"/>
    <row r="41041" s="3161" customFormat="1" ht="12.75"/>
    <row r="41042" s="3161" customFormat="1" ht="12.75"/>
    <row r="41043" s="3161" customFormat="1" ht="12.75"/>
    <row r="41044" s="3161" customFormat="1" ht="12.75"/>
    <row r="41045" s="3161" customFormat="1" ht="12.75"/>
    <row r="41046" s="3161" customFormat="1" ht="12.75"/>
    <row r="41047" s="3161" customFormat="1" ht="12.75"/>
    <row r="41048" s="3161" customFormat="1" ht="12.75"/>
    <row r="41049" s="3161" customFormat="1" ht="12.75"/>
    <row r="41050" s="3161" customFormat="1" ht="12.75"/>
    <row r="41051" s="3161" customFormat="1" ht="12.75"/>
    <row r="41052" s="3161" customFormat="1" ht="12.75"/>
    <row r="41053" s="3161" customFormat="1" ht="12.75"/>
    <row r="41054" s="3161" customFormat="1" ht="12.75"/>
    <row r="41055" s="3161" customFormat="1" ht="12.75"/>
    <row r="41056" s="3161" customFormat="1" ht="12.75"/>
    <row r="41057" s="3161" customFormat="1" ht="12.75"/>
    <row r="41058" s="3161" customFormat="1" ht="12.75"/>
    <row r="41059" s="3161" customFormat="1" ht="12.75"/>
    <row r="41060" s="3161" customFormat="1" ht="12.75"/>
    <row r="41061" s="3161" customFormat="1" ht="12.75"/>
    <row r="41062" s="3161" customFormat="1" ht="12.75"/>
    <row r="41063" s="3161" customFormat="1" ht="12.75"/>
    <row r="41064" s="3161" customFormat="1" ht="12.75"/>
    <row r="41065" s="3161" customFormat="1" ht="12.75"/>
    <row r="41066" s="3161" customFormat="1" ht="12.75"/>
    <row r="41067" s="3161" customFormat="1" ht="12.75"/>
    <row r="41068" s="3161" customFormat="1" ht="12.75"/>
    <row r="41069" s="3161" customFormat="1" ht="12.75"/>
    <row r="41070" s="3161" customFormat="1" ht="12.75"/>
    <row r="41071" s="3161" customFormat="1" ht="12.75"/>
    <row r="41072" s="3161" customFormat="1" ht="12.75"/>
    <row r="41073" s="3161" customFormat="1" ht="12.75"/>
    <row r="41074" s="3161" customFormat="1" ht="12.75"/>
    <row r="41075" s="3161" customFormat="1" ht="12.75"/>
    <row r="41076" s="3161" customFormat="1" ht="12.75"/>
    <row r="41077" s="3161" customFormat="1" ht="12.75"/>
    <row r="41078" s="3161" customFormat="1" ht="12.75"/>
    <row r="41079" s="3161" customFormat="1" ht="12.75"/>
    <row r="41080" s="3161" customFormat="1" ht="12.75"/>
    <row r="41081" s="3161" customFormat="1" ht="12.75"/>
    <row r="41082" s="3161" customFormat="1" ht="12.75"/>
    <row r="41083" s="3161" customFormat="1" ht="12.75"/>
    <row r="41084" s="3161" customFormat="1" ht="12.75"/>
    <row r="41085" s="3161" customFormat="1" ht="12.75"/>
    <row r="41086" s="3161" customFormat="1" ht="12.75"/>
    <row r="41087" s="3161" customFormat="1" ht="12.75"/>
    <row r="41088" s="3161" customFormat="1" ht="12.75"/>
    <row r="41089" s="3161" customFormat="1" ht="12.75"/>
    <row r="41090" s="3161" customFormat="1" ht="12.75"/>
    <row r="41091" s="3161" customFormat="1" ht="12.75"/>
    <row r="41092" s="3161" customFormat="1" ht="12.75"/>
    <row r="41093" s="3161" customFormat="1" ht="12.75"/>
    <row r="41094" s="3161" customFormat="1" ht="12.75"/>
    <row r="41095" s="3161" customFormat="1" ht="12.75"/>
    <row r="41096" s="3161" customFormat="1" ht="12.75"/>
    <row r="41097" s="3161" customFormat="1" ht="12.75"/>
    <row r="41098" s="3161" customFormat="1" ht="12.75"/>
    <row r="41099" s="3161" customFormat="1" ht="12.75"/>
    <row r="41100" s="3161" customFormat="1" ht="12.75"/>
    <row r="41101" s="3161" customFormat="1" ht="12.75"/>
    <row r="41102" s="3161" customFormat="1" ht="12.75"/>
    <row r="41103" s="3161" customFormat="1" ht="12.75"/>
    <row r="41104" s="3161" customFormat="1" ht="12.75"/>
    <row r="41105" s="3161" customFormat="1" ht="12.75"/>
    <row r="41106" s="3161" customFormat="1" ht="12.75"/>
    <row r="41107" s="3161" customFormat="1" ht="12.75"/>
    <row r="41108" s="3161" customFormat="1" ht="12.75"/>
    <row r="41109" s="3161" customFormat="1" ht="12.75"/>
    <row r="41110" s="3161" customFormat="1" ht="12.75"/>
    <row r="41111" s="3161" customFormat="1" ht="12.75"/>
    <row r="41112" s="3161" customFormat="1" ht="12.75"/>
    <row r="41113" s="3161" customFormat="1" ht="12.75"/>
    <row r="41114" s="3161" customFormat="1" ht="12.75"/>
    <row r="41115" s="3161" customFormat="1" ht="12.75"/>
    <row r="41116" s="3161" customFormat="1" ht="12.75"/>
    <row r="41117" s="3161" customFormat="1" ht="12.75"/>
    <row r="41118" s="3161" customFormat="1" ht="12.75"/>
    <row r="41119" s="3161" customFormat="1" ht="12.75"/>
    <row r="41120" s="3161" customFormat="1" ht="12.75"/>
    <row r="41121" s="3161" customFormat="1" ht="12.75"/>
    <row r="41122" s="3161" customFormat="1" ht="12.75"/>
    <row r="41123" s="3161" customFormat="1" ht="12.75"/>
    <row r="41124" s="3161" customFormat="1" ht="12.75"/>
    <row r="41125" s="3161" customFormat="1" ht="12.75"/>
    <row r="41126" s="3161" customFormat="1" ht="12.75"/>
    <row r="41127" s="3161" customFormat="1" ht="12.75"/>
    <row r="41128" s="3161" customFormat="1" ht="12.75"/>
    <row r="41129" s="3161" customFormat="1" ht="12.75"/>
    <row r="41130" s="3161" customFormat="1" ht="12.75"/>
    <row r="41131" s="3161" customFormat="1" ht="12.75"/>
    <row r="41132" s="3161" customFormat="1" ht="12.75"/>
    <row r="41133" s="3161" customFormat="1" ht="12.75"/>
    <row r="41134" s="3161" customFormat="1" ht="12.75"/>
    <row r="41135" s="3161" customFormat="1" ht="12.75"/>
    <row r="41136" s="3161" customFormat="1" ht="12.75"/>
    <row r="41137" s="3161" customFormat="1" ht="12.75"/>
    <row r="41138" s="3161" customFormat="1" ht="12.75"/>
    <row r="41139" s="3161" customFormat="1" ht="12.75"/>
    <row r="41140" s="3161" customFormat="1" ht="12.75"/>
    <row r="41141" s="3161" customFormat="1" ht="12.75"/>
    <row r="41142" s="3161" customFormat="1" ht="12.75"/>
    <row r="41143" s="3161" customFormat="1" ht="12.75"/>
    <row r="41144" s="3161" customFormat="1" ht="12.75"/>
    <row r="41145" s="3161" customFormat="1" ht="12.75"/>
    <row r="41146" s="3161" customFormat="1" ht="12.75"/>
    <row r="41147" s="3161" customFormat="1" ht="12.75"/>
    <row r="41148" s="3161" customFormat="1" ht="12.75"/>
    <row r="41149" s="3161" customFormat="1" ht="12.75"/>
    <row r="41150" s="3161" customFormat="1" ht="12.75"/>
    <row r="41151" s="3161" customFormat="1" ht="12.75"/>
    <row r="41152" s="3161" customFormat="1" ht="12.75"/>
    <row r="41153" s="3161" customFormat="1" ht="12.75"/>
    <row r="41154" s="3161" customFormat="1" ht="12.75"/>
    <row r="41155" s="3161" customFormat="1" ht="12.75"/>
    <row r="41156" s="3161" customFormat="1" ht="12.75"/>
    <row r="41157" s="3161" customFormat="1" ht="12.75"/>
    <row r="41158" s="3161" customFormat="1" ht="12.75"/>
    <row r="41159" s="3161" customFormat="1" ht="12.75"/>
    <row r="41160" s="3161" customFormat="1" ht="12.75"/>
    <row r="41161" s="3161" customFormat="1" ht="12.75"/>
    <row r="41162" s="3161" customFormat="1" ht="12.75"/>
    <row r="41163" s="3161" customFormat="1" ht="12.75"/>
    <row r="41164" s="3161" customFormat="1" ht="12.75"/>
    <row r="41165" s="3161" customFormat="1" ht="12.75"/>
    <row r="41166" s="3161" customFormat="1" ht="12.75"/>
    <row r="41167" s="3161" customFormat="1" ht="12.75"/>
    <row r="41168" s="3161" customFormat="1" ht="12.75"/>
    <row r="41169" s="3161" customFormat="1" ht="12.75"/>
    <row r="41170" s="3161" customFormat="1" ht="12.75"/>
    <row r="41171" s="3161" customFormat="1" ht="12.75"/>
    <row r="41172" s="3161" customFormat="1" ht="12.75"/>
    <row r="41173" s="3161" customFormat="1" ht="12.75"/>
    <row r="41174" s="3161" customFormat="1" ht="12.75"/>
    <row r="41175" s="3161" customFormat="1" ht="12.75"/>
    <row r="41176" s="3161" customFormat="1" ht="12.75"/>
    <row r="41177" s="3161" customFormat="1" ht="12.75"/>
    <row r="41178" s="3161" customFormat="1" ht="12.75"/>
    <row r="41179" s="3161" customFormat="1" ht="12.75"/>
    <row r="41180" s="3161" customFormat="1" ht="12.75"/>
    <row r="41181" s="3161" customFormat="1" ht="12.75"/>
    <row r="41182" s="3161" customFormat="1" ht="12.75"/>
    <row r="41183" s="3161" customFormat="1" ht="12.75"/>
    <row r="41184" s="3161" customFormat="1" ht="12.75"/>
    <row r="41185" s="3161" customFormat="1" ht="12.75"/>
    <row r="41186" s="3161" customFormat="1" ht="12.75"/>
    <row r="41187" s="3161" customFormat="1" ht="12.75"/>
    <row r="41188" s="3161" customFormat="1" ht="12.75"/>
    <row r="41189" s="3161" customFormat="1" ht="12.75"/>
    <row r="41190" s="3161" customFormat="1" ht="12.75"/>
    <row r="41191" s="3161" customFormat="1" ht="12.75"/>
    <row r="41192" s="3161" customFormat="1" ht="12.75"/>
    <row r="41193" s="3161" customFormat="1" ht="12.75"/>
    <row r="41194" s="3161" customFormat="1" ht="12.75"/>
    <row r="41195" s="3161" customFormat="1" ht="12.75"/>
    <row r="41196" s="3161" customFormat="1" ht="12.75"/>
    <row r="41197" s="3161" customFormat="1" ht="12.75"/>
    <row r="41198" s="3161" customFormat="1" ht="12.75"/>
    <row r="41199" s="3161" customFormat="1" ht="12.75"/>
    <row r="41200" s="3161" customFormat="1" ht="12.75"/>
    <row r="41201" s="3161" customFormat="1" ht="12.75"/>
    <row r="41202" s="3161" customFormat="1" ht="12.75"/>
    <row r="41203" s="3161" customFormat="1" ht="12.75"/>
    <row r="41204" s="3161" customFormat="1" ht="12.75"/>
    <row r="41205" s="3161" customFormat="1" ht="12.75"/>
    <row r="41206" s="3161" customFormat="1" ht="12.75"/>
    <row r="41207" s="3161" customFormat="1" ht="12.75"/>
    <row r="41208" s="3161" customFormat="1" ht="12.75"/>
    <row r="41209" s="3161" customFormat="1" ht="12.75"/>
    <row r="41210" s="3161" customFormat="1" ht="12.75"/>
    <row r="41211" s="3161" customFormat="1" ht="12.75"/>
    <row r="41212" s="3161" customFormat="1" ht="12.75"/>
    <row r="41213" s="3161" customFormat="1" ht="12.75"/>
    <row r="41214" s="3161" customFormat="1" ht="12.75"/>
    <row r="41215" s="3161" customFormat="1" ht="12.75"/>
    <row r="41216" s="3161" customFormat="1" ht="12.75"/>
    <row r="41217" s="3161" customFormat="1" ht="12.75"/>
    <row r="41218" s="3161" customFormat="1" ht="12.75"/>
    <row r="41219" s="3161" customFormat="1" ht="12.75"/>
    <row r="41220" s="3161" customFormat="1" ht="12.75"/>
    <row r="41221" s="3161" customFormat="1" ht="12.75"/>
    <row r="41222" s="3161" customFormat="1" ht="12.75"/>
    <row r="41223" s="3161" customFormat="1" ht="12.75"/>
    <row r="41224" s="3161" customFormat="1" ht="12.75"/>
    <row r="41225" s="3161" customFormat="1" ht="12.75"/>
    <row r="41226" s="3161" customFormat="1" ht="12.75"/>
    <row r="41227" s="3161" customFormat="1" ht="12.75"/>
    <row r="41228" s="3161" customFormat="1" ht="12.75"/>
    <row r="41229" s="3161" customFormat="1" ht="12.75"/>
    <row r="41230" s="3161" customFormat="1" ht="12.75"/>
    <row r="41231" s="3161" customFormat="1" ht="12.75"/>
    <row r="41232" s="3161" customFormat="1" ht="12.75"/>
    <row r="41233" s="3161" customFormat="1" ht="12.75"/>
    <row r="41234" s="3161" customFormat="1" ht="12.75"/>
    <row r="41235" s="3161" customFormat="1" ht="12.75"/>
    <row r="41236" s="3161" customFormat="1" ht="12.75"/>
    <row r="41237" s="3161" customFormat="1" ht="12.75"/>
    <row r="41238" s="3161" customFormat="1" ht="12.75"/>
    <row r="41239" s="3161" customFormat="1" ht="12.75"/>
    <row r="41240" s="3161" customFormat="1" ht="12.75"/>
    <row r="41241" s="3161" customFormat="1" ht="12.75"/>
    <row r="41242" s="3161" customFormat="1" ht="12.75"/>
    <row r="41243" s="3161" customFormat="1" ht="12.75"/>
    <row r="41244" s="3161" customFormat="1" ht="12.75"/>
    <row r="41245" s="3161" customFormat="1" ht="12.75"/>
    <row r="41246" s="3161" customFormat="1" ht="12.75"/>
    <row r="41247" s="3161" customFormat="1" ht="12.75"/>
    <row r="41248" s="3161" customFormat="1" ht="12.75"/>
    <row r="41249" s="3161" customFormat="1" ht="12.75"/>
    <row r="41250" s="3161" customFormat="1" ht="12.75"/>
    <row r="41251" s="3161" customFormat="1" ht="12.75"/>
    <row r="41252" s="3161" customFormat="1" ht="12.75"/>
    <row r="41253" s="3161" customFormat="1" ht="12.75"/>
    <row r="41254" s="3161" customFormat="1" ht="12.75"/>
    <row r="41255" s="3161" customFormat="1" ht="12.75"/>
    <row r="41256" s="3161" customFormat="1" ht="12.75"/>
    <row r="41257" s="3161" customFormat="1" ht="12.75"/>
    <row r="41258" s="3161" customFormat="1" ht="12.75"/>
    <row r="41259" s="3161" customFormat="1" ht="12.75"/>
    <row r="41260" s="3161" customFormat="1" ht="12.75"/>
    <row r="41261" s="3161" customFormat="1" ht="12.75"/>
    <row r="41262" s="3161" customFormat="1" ht="12.75"/>
    <row r="41263" s="3161" customFormat="1" ht="12.75"/>
    <row r="41264" s="3161" customFormat="1" ht="12.75"/>
    <row r="41265" s="3161" customFormat="1" ht="12.75"/>
    <row r="41266" s="3161" customFormat="1" ht="12.75"/>
    <row r="41267" s="3161" customFormat="1" ht="12.75"/>
    <row r="41268" s="3161" customFormat="1" ht="12.75"/>
    <row r="41269" s="3161" customFormat="1" ht="12.75"/>
    <row r="41270" s="3161" customFormat="1" ht="12.75"/>
    <row r="41271" s="3161" customFormat="1" ht="12.75"/>
    <row r="41272" s="3161" customFormat="1" ht="12.75"/>
    <row r="41273" s="3161" customFormat="1" ht="12.75"/>
    <row r="41274" s="3161" customFormat="1" ht="12.75"/>
    <row r="41275" s="3161" customFormat="1" ht="12.75"/>
    <row r="41276" s="3161" customFormat="1" ht="12.75"/>
    <row r="41277" s="3161" customFormat="1" ht="12.75"/>
    <row r="41278" s="3161" customFormat="1" ht="12.75"/>
    <row r="41279" s="3161" customFormat="1" ht="12.75"/>
    <row r="41280" s="3161" customFormat="1" ht="12.75"/>
    <row r="41281" s="3161" customFormat="1" ht="12.75"/>
    <row r="41282" s="3161" customFormat="1" ht="12.75"/>
    <row r="41283" s="3161" customFormat="1" ht="12.75"/>
    <row r="41284" s="3161" customFormat="1" ht="12.75"/>
    <row r="41285" s="3161" customFormat="1" ht="12.75"/>
    <row r="41286" s="3161" customFormat="1" ht="12.75"/>
    <row r="41287" s="3161" customFormat="1" ht="12.75"/>
    <row r="41288" s="3161" customFormat="1" ht="12.75"/>
    <row r="41289" s="3161" customFormat="1" ht="12.75"/>
    <row r="41290" s="3161" customFormat="1" ht="12.75"/>
    <row r="41291" s="3161" customFormat="1" ht="12.75"/>
    <row r="41292" s="3161" customFormat="1" ht="12.75"/>
    <row r="41293" s="3161" customFormat="1" ht="12.75"/>
    <row r="41294" s="3161" customFormat="1" ht="12.75"/>
    <row r="41295" s="3161" customFormat="1" ht="12.75"/>
    <row r="41296" s="3161" customFormat="1" ht="12.75"/>
    <row r="41297" s="3161" customFormat="1" ht="12.75"/>
    <row r="41298" s="3161" customFormat="1" ht="12.75"/>
    <row r="41299" s="3161" customFormat="1" ht="12.75"/>
    <row r="41300" s="3161" customFormat="1" ht="12.75"/>
    <row r="41301" s="3161" customFormat="1" ht="12.75"/>
    <row r="41302" s="3161" customFormat="1" ht="12.75"/>
    <row r="41303" s="3161" customFormat="1" ht="12.75"/>
    <row r="41304" s="3161" customFormat="1" ht="12.75"/>
    <row r="41305" s="3161" customFormat="1" ht="12.75"/>
    <row r="41306" s="3161" customFormat="1" ht="12.75"/>
    <row r="41307" s="3161" customFormat="1" ht="12.75"/>
    <row r="41308" s="3161" customFormat="1" ht="12.75"/>
    <row r="41309" s="3161" customFormat="1" ht="12.75"/>
    <row r="41310" s="3161" customFormat="1" ht="12.75"/>
    <row r="41311" s="3161" customFormat="1" ht="12.75"/>
    <row r="41312" s="3161" customFormat="1" ht="12.75"/>
    <row r="41313" s="3161" customFormat="1" ht="12.75"/>
    <row r="41314" s="3161" customFormat="1" ht="12.75"/>
    <row r="41315" s="3161" customFormat="1" ht="12.75"/>
    <row r="41316" s="3161" customFormat="1" ht="12.75"/>
    <row r="41317" s="3161" customFormat="1" ht="12.75"/>
    <row r="41318" s="3161" customFormat="1" ht="12.75"/>
    <row r="41319" s="3161" customFormat="1" ht="12.75"/>
    <row r="41320" s="3161" customFormat="1" ht="12.75"/>
    <row r="41321" s="3161" customFormat="1" ht="12.75"/>
    <row r="41322" s="3161" customFormat="1" ht="12.75"/>
    <row r="41323" s="3161" customFormat="1" ht="12.75"/>
    <row r="41324" s="3161" customFormat="1" ht="12.75"/>
    <row r="41325" s="3161" customFormat="1" ht="12.75"/>
    <row r="41326" s="3161" customFormat="1" ht="12.75"/>
    <row r="41327" s="3161" customFormat="1" ht="12.75"/>
    <row r="41328" s="3161" customFormat="1" ht="12.75"/>
    <row r="41329" s="3161" customFormat="1" ht="12.75"/>
    <row r="41330" s="3161" customFormat="1" ht="12.75"/>
    <row r="41331" s="3161" customFormat="1" ht="12.75"/>
    <row r="41332" s="3161" customFormat="1" ht="12.75"/>
    <row r="41333" s="3161" customFormat="1" ht="12.75"/>
    <row r="41334" s="3161" customFormat="1" ht="12.75"/>
    <row r="41335" s="3161" customFormat="1" ht="12.75"/>
    <row r="41336" s="3161" customFormat="1" ht="12.75"/>
    <row r="41337" s="3161" customFormat="1" ht="12.75"/>
    <row r="41338" s="3161" customFormat="1" ht="12.75"/>
    <row r="41339" s="3161" customFormat="1" ht="12.75"/>
    <row r="41340" s="3161" customFormat="1" ht="12.75"/>
    <row r="41341" s="3161" customFormat="1" ht="12.75"/>
    <row r="41342" s="3161" customFormat="1" ht="12.75"/>
    <row r="41343" s="3161" customFormat="1" ht="12.75"/>
    <row r="41344" s="3161" customFormat="1" ht="12.75"/>
    <row r="41345" s="3161" customFormat="1" ht="12.75"/>
    <row r="41346" s="3161" customFormat="1" ht="12.75"/>
    <row r="41347" s="3161" customFormat="1" ht="12.75"/>
    <row r="41348" s="3161" customFormat="1" ht="12.75"/>
    <row r="41349" s="3161" customFormat="1" ht="12.75"/>
    <row r="41350" s="3161" customFormat="1" ht="12.75"/>
    <row r="41351" s="3161" customFormat="1" ht="12.75"/>
    <row r="41352" s="3161" customFormat="1" ht="12.75"/>
    <row r="41353" s="3161" customFormat="1" ht="12.75"/>
    <row r="41354" s="3161" customFormat="1" ht="12.75"/>
    <row r="41355" s="3161" customFormat="1" ht="12.75"/>
    <row r="41356" s="3161" customFormat="1" ht="12.75"/>
    <row r="41357" s="3161" customFormat="1" ht="12.75"/>
    <row r="41358" s="3161" customFormat="1" ht="12.75"/>
    <row r="41359" s="3161" customFormat="1" ht="12.75"/>
    <row r="41360" s="3161" customFormat="1" ht="12.75"/>
    <row r="41361" s="3161" customFormat="1" ht="12.75"/>
    <row r="41362" s="3161" customFormat="1" ht="12.75"/>
    <row r="41363" s="3161" customFormat="1" ht="12.75"/>
    <row r="41364" s="3161" customFormat="1" ht="12.75"/>
    <row r="41365" s="3161" customFormat="1" ht="12.75"/>
    <row r="41366" s="3161" customFormat="1" ht="12.75"/>
    <row r="41367" s="3161" customFormat="1" ht="12.75"/>
    <row r="41368" s="3161" customFormat="1" ht="12.75"/>
    <row r="41369" s="3161" customFormat="1" ht="12.75"/>
    <row r="41370" s="3161" customFormat="1" ht="12.75"/>
    <row r="41371" s="3161" customFormat="1" ht="12.75"/>
    <row r="41372" s="3161" customFormat="1" ht="12.75"/>
    <row r="41373" s="3161" customFormat="1" ht="12.75"/>
    <row r="41374" s="3161" customFormat="1" ht="12.75"/>
    <row r="41375" s="3161" customFormat="1" ht="12.75"/>
    <row r="41376" s="3161" customFormat="1" ht="12.75"/>
    <row r="41377" s="3161" customFormat="1" ht="12.75"/>
    <row r="41378" s="3161" customFormat="1" ht="12.75"/>
    <row r="41379" s="3161" customFormat="1" ht="12.75"/>
    <row r="41380" s="3161" customFormat="1" ht="12.75"/>
    <row r="41381" s="3161" customFormat="1" ht="12.75"/>
    <row r="41382" s="3161" customFormat="1" ht="12.75"/>
    <row r="41383" s="3161" customFormat="1" ht="12.75"/>
    <row r="41384" s="3161" customFormat="1" ht="12.75"/>
    <row r="41385" s="3161" customFormat="1" ht="12.75"/>
    <row r="41386" s="3161" customFormat="1" ht="12.75"/>
    <row r="41387" s="3161" customFormat="1" ht="12.75"/>
    <row r="41388" s="3161" customFormat="1" ht="12.75"/>
    <row r="41389" s="3161" customFormat="1" ht="12.75"/>
    <row r="41390" s="3161" customFormat="1" ht="12.75"/>
    <row r="41391" s="3161" customFormat="1" ht="12.75"/>
    <row r="41392" s="3161" customFormat="1" ht="12.75"/>
    <row r="41393" s="3161" customFormat="1" ht="12.75"/>
    <row r="41394" s="3161" customFormat="1" ht="12.75"/>
    <row r="41395" s="3161" customFormat="1" ht="12.75"/>
    <row r="41396" s="3161" customFormat="1" ht="12.75"/>
    <row r="41397" s="3161" customFormat="1" ht="12.75"/>
    <row r="41398" s="3161" customFormat="1" ht="12.75"/>
    <row r="41399" s="3161" customFormat="1" ht="12.75"/>
    <row r="41400" s="3161" customFormat="1" ht="12.75"/>
    <row r="41401" s="3161" customFormat="1" ht="12.75"/>
    <row r="41402" s="3161" customFormat="1" ht="12.75"/>
    <row r="41403" s="3161" customFormat="1" ht="12.75"/>
    <row r="41404" s="3161" customFormat="1" ht="12.75"/>
    <row r="41405" s="3161" customFormat="1" ht="12.75"/>
    <row r="41406" s="3161" customFormat="1" ht="12.75"/>
    <row r="41407" s="3161" customFormat="1" ht="12.75"/>
    <row r="41408" s="3161" customFormat="1" ht="12.75"/>
    <row r="41409" s="3161" customFormat="1" ht="12.75"/>
    <row r="41410" s="3161" customFormat="1" ht="12.75"/>
    <row r="41411" s="3161" customFormat="1" ht="12.75"/>
    <row r="41412" s="3161" customFormat="1" ht="12.75"/>
    <row r="41413" s="3161" customFormat="1" ht="12.75"/>
    <row r="41414" s="3161" customFormat="1" ht="12.75"/>
    <row r="41415" s="3161" customFormat="1" ht="12.75"/>
    <row r="41416" s="3161" customFormat="1" ht="12.75"/>
    <row r="41417" s="3161" customFormat="1" ht="12.75"/>
    <row r="41418" s="3161" customFormat="1" ht="12.75"/>
    <row r="41419" s="3161" customFormat="1" ht="12.75"/>
    <row r="41420" s="3161" customFormat="1" ht="12.75"/>
    <row r="41421" s="3161" customFormat="1" ht="12.75"/>
    <row r="41422" s="3161" customFormat="1" ht="12.75"/>
    <row r="41423" s="3161" customFormat="1" ht="12.75"/>
    <row r="41424" s="3161" customFormat="1" ht="12.75"/>
    <row r="41425" s="3161" customFormat="1" ht="12.75"/>
    <row r="41426" s="3161" customFormat="1" ht="12.75"/>
    <row r="41427" s="3161" customFormat="1" ht="12.75"/>
    <row r="41428" s="3161" customFormat="1" ht="12.75"/>
    <row r="41429" s="3161" customFormat="1" ht="12.75"/>
    <row r="41430" s="3161" customFormat="1" ht="12.75"/>
    <row r="41431" s="3161" customFormat="1" ht="12.75"/>
    <row r="41432" s="3161" customFormat="1" ht="12.75"/>
    <row r="41433" s="3161" customFormat="1" ht="12.75"/>
    <row r="41434" s="3161" customFormat="1" ht="12.75"/>
    <row r="41435" s="3161" customFormat="1" ht="12.75"/>
    <row r="41436" s="3161" customFormat="1" ht="12.75"/>
    <row r="41437" s="3161" customFormat="1" ht="12.75"/>
    <row r="41438" s="3161" customFormat="1" ht="12.75"/>
    <row r="41439" s="3161" customFormat="1" ht="12.75"/>
    <row r="41440" s="3161" customFormat="1" ht="12.75"/>
    <row r="41441" s="3161" customFormat="1" ht="12.75"/>
    <row r="41442" s="3161" customFormat="1" ht="12.75"/>
    <row r="41443" s="3161" customFormat="1" ht="12.75"/>
    <row r="41444" s="3161" customFormat="1" ht="12.75"/>
    <row r="41445" s="3161" customFormat="1" ht="12.75"/>
    <row r="41446" s="3161" customFormat="1" ht="12.75"/>
    <row r="41447" s="3161" customFormat="1" ht="12.75"/>
    <row r="41448" s="3161" customFormat="1" ht="12.75"/>
    <row r="41449" s="3161" customFormat="1" ht="12.75"/>
    <row r="41450" s="3161" customFormat="1" ht="12.75"/>
    <row r="41451" s="3161" customFormat="1" ht="12.75"/>
    <row r="41452" s="3161" customFormat="1" ht="12.75"/>
    <row r="41453" s="3161" customFormat="1" ht="12.75"/>
    <row r="41454" s="3161" customFormat="1" ht="12.75"/>
    <row r="41455" s="3161" customFormat="1" ht="12.75"/>
    <row r="41456" s="3161" customFormat="1" ht="12.75"/>
    <row r="41457" s="3161" customFormat="1" ht="12.75"/>
    <row r="41458" s="3161" customFormat="1" ht="12.75"/>
    <row r="41459" s="3161" customFormat="1" ht="12.75"/>
    <row r="41460" s="3161" customFormat="1" ht="12.75"/>
    <row r="41461" s="3161" customFormat="1" ht="12.75"/>
    <row r="41462" s="3161" customFormat="1" ht="12.75"/>
    <row r="41463" s="3161" customFormat="1" ht="12.75"/>
    <row r="41464" s="3161" customFormat="1" ht="12.75"/>
    <row r="41465" s="3161" customFormat="1" ht="12.75"/>
    <row r="41466" s="3161" customFormat="1" ht="12.75"/>
    <row r="41467" s="3161" customFormat="1" ht="12.75"/>
    <row r="41468" s="3161" customFormat="1" ht="12.75"/>
    <row r="41469" s="3161" customFormat="1" ht="12.75"/>
    <row r="41470" s="3161" customFormat="1" ht="12.75"/>
    <row r="41471" s="3161" customFormat="1" ht="12.75"/>
    <row r="41472" s="3161" customFormat="1" ht="12.75"/>
    <row r="41473" s="3161" customFormat="1" ht="12.75"/>
    <row r="41474" s="3161" customFormat="1" ht="12.75"/>
    <row r="41475" s="3161" customFormat="1" ht="12.75"/>
    <row r="41476" s="3161" customFormat="1" ht="12.75"/>
    <row r="41477" s="3161" customFormat="1" ht="12.75"/>
    <row r="41478" s="3161" customFormat="1" ht="12.75"/>
    <row r="41479" s="3161" customFormat="1" ht="12.75"/>
    <row r="41480" s="3161" customFormat="1" ht="12.75"/>
    <row r="41481" s="3161" customFormat="1" ht="12.75"/>
    <row r="41482" s="3161" customFormat="1" ht="12.75"/>
    <row r="41483" s="3161" customFormat="1" ht="12.75"/>
    <row r="41484" s="3161" customFormat="1" ht="12.75"/>
    <row r="41485" s="3161" customFormat="1" ht="12.75"/>
    <row r="41486" s="3161" customFormat="1" ht="12.75"/>
    <row r="41487" s="3161" customFormat="1" ht="12.75"/>
    <row r="41488" s="3161" customFormat="1" ht="12.75"/>
    <row r="41489" s="3161" customFormat="1" ht="12.75"/>
    <row r="41490" s="3161" customFormat="1" ht="12.75"/>
    <row r="41491" s="3161" customFormat="1" ht="12.75"/>
    <row r="41492" s="3161" customFormat="1" ht="12.75"/>
    <row r="41493" s="3161" customFormat="1" ht="12.75"/>
    <row r="41494" s="3161" customFormat="1" ht="12.75"/>
    <row r="41495" s="3161" customFormat="1" ht="12.75"/>
    <row r="41496" s="3161" customFormat="1" ht="12.75"/>
    <row r="41497" s="3161" customFormat="1" ht="12.75"/>
    <row r="41498" s="3161" customFormat="1" ht="12.75"/>
    <row r="41499" s="3161" customFormat="1" ht="12.75"/>
    <row r="41500" s="3161" customFormat="1" ht="12.75"/>
    <row r="41501" s="3161" customFormat="1" ht="12.75"/>
    <row r="41502" s="3161" customFormat="1" ht="12.75"/>
    <row r="41503" s="3161" customFormat="1" ht="12.75"/>
    <row r="41504" s="3161" customFormat="1" ht="12.75"/>
    <row r="41505" s="3161" customFormat="1" ht="12.75"/>
    <row r="41506" s="3161" customFormat="1" ht="12.75"/>
    <row r="41507" s="3161" customFormat="1" ht="12.75"/>
    <row r="41508" s="3161" customFormat="1" ht="12.75"/>
    <row r="41509" s="3161" customFormat="1" ht="12.75"/>
    <row r="41510" s="3161" customFormat="1" ht="12.75"/>
    <row r="41511" s="3161" customFormat="1" ht="12.75"/>
    <row r="41512" s="3161" customFormat="1" ht="12.75"/>
    <row r="41513" s="3161" customFormat="1" ht="12.75"/>
    <row r="41514" s="3161" customFormat="1" ht="12.75"/>
    <row r="41515" s="3161" customFormat="1" ht="12.75"/>
    <row r="41516" s="3161" customFormat="1" ht="12.75"/>
    <row r="41517" s="3161" customFormat="1" ht="12.75"/>
    <row r="41518" s="3161" customFormat="1" ht="12.75"/>
    <row r="41519" s="3161" customFormat="1" ht="12.75"/>
    <row r="41520" s="3161" customFormat="1" ht="12.75"/>
    <row r="41521" s="3161" customFormat="1" ht="12.75"/>
    <row r="41522" s="3161" customFormat="1" ht="12.75"/>
    <row r="41523" s="3161" customFormat="1" ht="12.75"/>
    <row r="41524" s="3161" customFormat="1" ht="12.75"/>
    <row r="41525" s="3161" customFormat="1" ht="12.75"/>
    <row r="41526" s="3161" customFormat="1" ht="12.75"/>
    <row r="41527" s="3161" customFormat="1" ht="12.75"/>
    <row r="41528" s="3161" customFormat="1" ht="12.75"/>
    <row r="41529" s="3161" customFormat="1" ht="12.75"/>
    <row r="41530" s="3161" customFormat="1" ht="12.75"/>
    <row r="41531" s="3161" customFormat="1" ht="12.75"/>
    <row r="41532" s="3161" customFormat="1" ht="12.75"/>
    <row r="41533" s="3161" customFormat="1" ht="12.75"/>
    <row r="41534" s="3161" customFormat="1" ht="12.75"/>
    <row r="41535" s="3161" customFormat="1" ht="12.75"/>
    <row r="41536" s="3161" customFormat="1" ht="12.75"/>
    <row r="41537" s="3161" customFormat="1" ht="12.75"/>
    <row r="41538" s="3161" customFormat="1" ht="12.75"/>
    <row r="41539" s="3161" customFormat="1" ht="12.75"/>
    <row r="41540" s="3161" customFormat="1" ht="12.75"/>
    <row r="41541" s="3161" customFormat="1" ht="12.75"/>
    <row r="41542" s="3161" customFormat="1" ht="12.75"/>
    <row r="41543" s="3161" customFormat="1" ht="12.75"/>
    <row r="41544" s="3161" customFormat="1" ht="12.75"/>
    <row r="41545" s="3161" customFormat="1" ht="12.75"/>
    <row r="41546" s="3161" customFormat="1" ht="12.75"/>
    <row r="41547" s="3161" customFormat="1" ht="12.75"/>
    <row r="41548" s="3161" customFormat="1" ht="12.75"/>
    <row r="41549" s="3161" customFormat="1" ht="12.75"/>
    <row r="41550" s="3161" customFormat="1" ht="12.75"/>
    <row r="41551" s="3161" customFormat="1" ht="12.75"/>
    <row r="41552" s="3161" customFormat="1" ht="12.75"/>
    <row r="41553" s="3161" customFormat="1" ht="12.75"/>
    <row r="41554" s="3161" customFormat="1" ht="12.75"/>
    <row r="41555" s="3161" customFormat="1" ht="12.75"/>
    <row r="41556" s="3161" customFormat="1" ht="12.75"/>
    <row r="41557" s="3161" customFormat="1" ht="12.75"/>
    <row r="41558" s="3161" customFormat="1" ht="12.75"/>
    <row r="41559" s="3161" customFormat="1" ht="12.75"/>
    <row r="41560" s="3161" customFormat="1" ht="12.75"/>
    <row r="41561" s="3161" customFormat="1" ht="12.75"/>
    <row r="41562" s="3161" customFormat="1" ht="12.75"/>
    <row r="41563" s="3161" customFormat="1" ht="12.75"/>
    <row r="41564" s="3161" customFormat="1" ht="12.75"/>
    <row r="41565" s="3161" customFormat="1" ht="12.75"/>
    <row r="41566" s="3161" customFormat="1" ht="12.75"/>
    <row r="41567" s="3161" customFormat="1" ht="12.75"/>
    <row r="41568" s="3161" customFormat="1" ht="12.75"/>
    <row r="41569" s="3161" customFormat="1" ht="12.75"/>
    <row r="41570" s="3161" customFormat="1" ht="12.75"/>
    <row r="41571" s="3161" customFormat="1" ht="12.75"/>
    <row r="41572" s="3161" customFormat="1" ht="12.75"/>
    <row r="41573" s="3161" customFormat="1" ht="12.75"/>
    <row r="41574" s="3161" customFormat="1" ht="12.75"/>
    <row r="41575" s="3161" customFormat="1" ht="12.75"/>
    <row r="41576" s="3161" customFormat="1" ht="12.75"/>
    <row r="41577" s="3161" customFormat="1" ht="12.75"/>
    <row r="41578" s="3161" customFormat="1" ht="12.75"/>
    <row r="41579" s="3161" customFormat="1" ht="12.75"/>
    <row r="41580" s="3161" customFormat="1" ht="12.75"/>
    <row r="41581" s="3161" customFormat="1" ht="12.75"/>
    <row r="41582" s="3161" customFormat="1" ht="12.75"/>
    <row r="41583" s="3161" customFormat="1" ht="12.75"/>
    <row r="41584" s="3161" customFormat="1" ht="12.75"/>
    <row r="41585" s="3161" customFormat="1" ht="12.75"/>
    <row r="41586" s="3161" customFormat="1" ht="12.75"/>
    <row r="41587" s="3161" customFormat="1" ht="12.75"/>
    <row r="41588" s="3161" customFormat="1" ht="12.75"/>
    <row r="41589" s="3161" customFormat="1" ht="12.75"/>
    <row r="41590" s="3161" customFormat="1" ht="12.75"/>
    <row r="41591" s="3161" customFormat="1" ht="12.75"/>
    <row r="41592" s="3161" customFormat="1" ht="12.75"/>
    <row r="41593" s="3161" customFormat="1" ht="12.75"/>
    <row r="41594" s="3161" customFormat="1" ht="12.75"/>
    <row r="41595" s="3161" customFormat="1" ht="12.75"/>
    <row r="41596" s="3161" customFormat="1" ht="12.75"/>
    <row r="41597" s="3161" customFormat="1" ht="12.75"/>
    <row r="41598" s="3161" customFormat="1" ht="12.75"/>
    <row r="41599" s="3161" customFormat="1" ht="12.75"/>
    <row r="41600" s="3161" customFormat="1" ht="12.75"/>
    <row r="41601" s="3161" customFormat="1" ht="12.75"/>
    <row r="41602" s="3161" customFormat="1" ht="12.75"/>
    <row r="41603" s="3161" customFormat="1" ht="12.75"/>
    <row r="41604" s="3161" customFormat="1" ht="12.75"/>
    <row r="41605" s="3161" customFormat="1" ht="12.75"/>
    <row r="41606" s="3161" customFormat="1" ht="12.75"/>
    <row r="41607" s="3161" customFormat="1" ht="12.75"/>
    <row r="41608" s="3161" customFormat="1" ht="12.75"/>
    <row r="41609" s="3161" customFormat="1" ht="12.75"/>
    <row r="41610" s="3161" customFormat="1" ht="12.75"/>
    <row r="41611" s="3161" customFormat="1" ht="12.75"/>
    <row r="41612" s="3161" customFormat="1" ht="12.75"/>
    <row r="41613" s="3161" customFormat="1" ht="12.75"/>
    <row r="41614" s="3161" customFormat="1" ht="12.75"/>
    <row r="41615" s="3161" customFormat="1" ht="12.75"/>
    <row r="41616" s="3161" customFormat="1" ht="12.75"/>
    <row r="41617" s="3161" customFormat="1" ht="12.75"/>
    <row r="41618" s="3161" customFormat="1" ht="12.75"/>
    <row r="41619" s="3161" customFormat="1" ht="12.75"/>
    <row r="41620" s="3161" customFormat="1" ht="12.75"/>
    <row r="41621" s="3161" customFormat="1" ht="12.75"/>
    <row r="41622" s="3161" customFormat="1" ht="12.75"/>
    <row r="41623" s="3161" customFormat="1" ht="12.75"/>
    <row r="41624" s="3161" customFormat="1" ht="12.75"/>
    <row r="41625" s="3161" customFormat="1" ht="12.75"/>
    <row r="41626" s="3161" customFormat="1" ht="12.75"/>
    <row r="41627" s="3161" customFormat="1" ht="12.75"/>
    <row r="41628" s="3161" customFormat="1" ht="12.75"/>
    <row r="41629" s="3161" customFormat="1" ht="12.75"/>
    <row r="41630" s="3161" customFormat="1" ht="12.75"/>
    <row r="41631" s="3161" customFormat="1" ht="12.75"/>
    <row r="41632" s="3161" customFormat="1" ht="12.75"/>
    <row r="41633" s="3161" customFormat="1" ht="12.75"/>
    <row r="41634" s="3161" customFormat="1" ht="12.75"/>
    <row r="41635" s="3161" customFormat="1" ht="12.75"/>
    <row r="41636" s="3161" customFormat="1" ht="12.75"/>
    <row r="41637" s="3161" customFormat="1" ht="12.75"/>
    <row r="41638" s="3161" customFormat="1" ht="12.75"/>
    <row r="41639" s="3161" customFormat="1" ht="12.75"/>
    <row r="41640" s="3161" customFormat="1" ht="12.75"/>
    <row r="41641" s="3161" customFormat="1" ht="12.75"/>
    <row r="41642" s="3161" customFormat="1" ht="12.75"/>
    <row r="41643" s="3161" customFormat="1" ht="12.75"/>
    <row r="41644" s="3161" customFormat="1" ht="12.75"/>
    <row r="41645" s="3161" customFormat="1" ht="12.75"/>
    <row r="41646" s="3161" customFormat="1" ht="12.75"/>
    <row r="41647" s="3161" customFormat="1" ht="12.75"/>
    <row r="41648" s="3161" customFormat="1" ht="12.75"/>
    <row r="41649" s="3161" customFormat="1" ht="12.75"/>
    <row r="41650" s="3161" customFormat="1" ht="12.75"/>
    <row r="41651" s="3161" customFormat="1" ht="12.75"/>
    <row r="41652" s="3161" customFormat="1" ht="12.75"/>
    <row r="41653" s="3161" customFormat="1" ht="12.75"/>
    <row r="41654" s="3161" customFormat="1" ht="12.75"/>
    <row r="41655" s="3161" customFormat="1" ht="12.75"/>
    <row r="41656" s="3161" customFormat="1" ht="12.75"/>
    <row r="41657" s="3161" customFormat="1" ht="12.75"/>
    <row r="41658" s="3161" customFormat="1" ht="12.75"/>
    <row r="41659" s="3161" customFormat="1" ht="12.75"/>
    <row r="41660" s="3161" customFormat="1" ht="12.75"/>
    <row r="41661" s="3161" customFormat="1" ht="12.75"/>
    <row r="41662" s="3161" customFormat="1" ht="12.75"/>
    <row r="41663" s="3161" customFormat="1" ht="12.75"/>
    <row r="41664" s="3161" customFormat="1" ht="12.75"/>
    <row r="41665" s="3161" customFormat="1" ht="12.75"/>
    <row r="41666" s="3161" customFormat="1" ht="12.75"/>
    <row r="41667" s="3161" customFormat="1" ht="12.75"/>
    <row r="41668" s="3161" customFormat="1" ht="12.75"/>
    <row r="41669" s="3161" customFormat="1" ht="12.75"/>
    <row r="41670" s="3161" customFormat="1" ht="12.75"/>
    <row r="41671" s="3161" customFormat="1" ht="12.75"/>
    <row r="41672" s="3161" customFormat="1" ht="12.75"/>
    <row r="41673" s="3161" customFormat="1" ht="12.75"/>
    <row r="41674" s="3161" customFormat="1" ht="12.75"/>
    <row r="41675" s="3161" customFormat="1" ht="12.75"/>
    <row r="41676" s="3161" customFormat="1" ht="12.75"/>
    <row r="41677" s="3161" customFormat="1" ht="12.75"/>
    <row r="41678" s="3161" customFormat="1" ht="12.75"/>
    <row r="41679" s="3161" customFormat="1" ht="12.75"/>
    <row r="41680" s="3161" customFormat="1" ht="12.75"/>
    <row r="41681" s="3161" customFormat="1" ht="12.75"/>
    <row r="41682" s="3161" customFormat="1" ht="12.75"/>
    <row r="41683" s="3161" customFormat="1" ht="12.75"/>
    <row r="41684" s="3161" customFormat="1" ht="12.75"/>
    <row r="41685" s="3161" customFormat="1" ht="12.75"/>
    <row r="41686" s="3161" customFormat="1" ht="12.75"/>
    <row r="41687" s="3161" customFormat="1" ht="12.75"/>
    <row r="41688" s="3161" customFormat="1" ht="12.75"/>
    <row r="41689" s="3161" customFormat="1" ht="12.75"/>
    <row r="41690" s="3161" customFormat="1" ht="12.75"/>
    <row r="41691" s="3161" customFormat="1" ht="12.75"/>
    <row r="41692" s="3161" customFormat="1" ht="12.75"/>
    <row r="41693" s="3161" customFormat="1" ht="12.75"/>
    <row r="41694" s="3161" customFormat="1" ht="12.75"/>
    <row r="41695" s="3161" customFormat="1" ht="12.75"/>
    <row r="41696" s="3161" customFormat="1" ht="12.75"/>
    <row r="41697" s="3161" customFormat="1" ht="12.75"/>
    <row r="41698" s="3161" customFormat="1" ht="12.75"/>
    <row r="41699" s="3161" customFormat="1" ht="12.75"/>
    <row r="41700" s="3161" customFormat="1" ht="12.75"/>
    <row r="41701" s="3161" customFormat="1" ht="12.75"/>
    <row r="41702" s="3161" customFormat="1" ht="12.75"/>
    <row r="41703" s="3161" customFormat="1" ht="12.75"/>
    <row r="41704" s="3161" customFormat="1" ht="12.75"/>
    <row r="41705" s="3161" customFormat="1" ht="12.75"/>
    <row r="41706" s="3161" customFormat="1" ht="12.75"/>
    <row r="41707" s="3161" customFormat="1" ht="12.75"/>
    <row r="41708" s="3161" customFormat="1" ht="12.75"/>
    <row r="41709" s="3161" customFormat="1" ht="12.75"/>
    <row r="41710" s="3161" customFormat="1" ht="12.75"/>
    <row r="41711" s="3161" customFormat="1" ht="12.75"/>
    <row r="41712" s="3161" customFormat="1" ht="12.75"/>
    <row r="41713" s="3161" customFormat="1" ht="12.75"/>
    <row r="41714" s="3161" customFormat="1" ht="12.75"/>
    <row r="41715" s="3161" customFormat="1" ht="12.75"/>
    <row r="41716" s="3161" customFormat="1" ht="12.75"/>
    <row r="41717" s="3161" customFormat="1" ht="12.75"/>
    <row r="41718" s="3161" customFormat="1" ht="12.75"/>
    <row r="41719" s="3161" customFormat="1" ht="12.75"/>
    <row r="41720" s="3161" customFormat="1" ht="12.75"/>
    <row r="41721" s="3161" customFormat="1" ht="12.75"/>
    <row r="41722" s="3161" customFormat="1" ht="12.75"/>
    <row r="41723" s="3161" customFormat="1" ht="12.75"/>
    <row r="41724" s="3161" customFormat="1" ht="12.75"/>
    <row r="41725" s="3161" customFormat="1" ht="12.75"/>
    <row r="41726" s="3161" customFormat="1" ht="12.75"/>
    <row r="41727" s="3161" customFormat="1" ht="12.75"/>
    <row r="41728" s="3161" customFormat="1" ht="12.75"/>
    <row r="41729" s="3161" customFormat="1" ht="12.75"/>
    <row r="41730" s="3161" customFormat="1" ht="12.75"/>
    <row r="41731" s="3161" customFormat="1" ht="12.75"/>
    <row r="41732" s="3161" customFormat="1" ht="12.75"/>
    <row r="41733" s="3161" customFormat="1" ht="12.75"/>
    <row r="41734" s="3161" customFormat="1" ht="12.75"/>
    <row r="41735" s="3161" customFormat="1" ht="12.75"/>
    <row r="41736" s="3161" customFormat="1" ht="12.75"/>
    <row r="41737" s="3161" customFormat="1" ht="12.75"/>
    <row r="41738" s="3161" customFormat="1" ht="12.75"/>
    <row r="41739" s="3161" customFormat="1" ht="12.75"/>
    <row r="41740" s="3161" customFormat="1" ht="12.75"/>
    <row r="41741" s="3161" customFormat="1" ht="12.75"/>
    <row r="41742" s="3161" customFormat="1" ht="12.75"/>
    <row r="41743" s="3161" customFormat="1" ht="12.75"/>
    <row r="41744" s="3161" customFormat="1" ht="12.75"/>
    <row r="41745" s="3161" customFormat="1" ht="12.75"/>
    <row r="41746" s="3161" customFormat="1" ht="12.75"/>
    <row r="41747" s="3161" customFormat="1" ht="12.75"/>
    <row r="41748" s="3161" customFormat="1" ht="12.75"/>
    <row r="41749" s="3161" customFormat="1" ht="12.75"/>
    <row r="41750" s="3161" customFormat="1" ht="12.75"/>
    <row r="41751" s="3161" customFormat="1" ht="12.75"/>
    <row r="41752" s="3161" customFormat="1" ht="12.75"/>
    <row r="41753" s="3161" customFormat="1" ht="12.75"/>
    <row r="41754" s="3161" customFormat="1" ht="12.75"/>
    <row r="41755" s="3161" customFormat="1" ht="12.75"/>
    <row r="41756" s="3161" customFormat="1" ht="12.75"/>
    <row r="41757" s="3161" customFormat="1" ht="12.75"/>
    <row r="41758" s="3161" customFormat="1" ht="12.75"/>
    <row r="41759" s="3161" customFormat="1" ht="12.75"/>
    <row r="41760" s="3161" customFormat="1" ht="12.75"/>
    <row r="41761" s="3161" customFormat="1" ht="12.75"/>
    <row r="41762" s="3161" customFormat="1" ht="12.75"/>
    <row r="41763" s="3161" customFormat="1" ht="12.75"/>
    <row r="41764" s="3161" customFormat="1" ht="12.75"/>
    <row r="41765" s="3161" customFormat="1" ht="12.75"/>
    <row r="41766" s="3161" customFormat="1" ht="12.75"/>
    <row r="41767" s="3161" customFormat="1" ht="12.75"/>
    <row r="41768" s="3161" customFormat="1" ht="12.75"/>
    <row r="41769" s="3161" customFormat="1" ht="12.75"/>
    <row r="41770" s="3161" customFormat="1" ht="12.75"/>
    <row r="41771" s="3161" customFormat="1" ht="12.75"/>
    <row r="41772" s="3161" customFormat="1" ht="12.75"/>
    <row r="41773" s="3161" customFormat="1" ht="12.75"/>
    <row r="41774" s="3161" customFormat="1" ht="12.75"/>
    <row r="41775" s="3161" customFormat="1" ht="12.75"/>
    <row r="41776" s="3161" customFormat="1" ht="12.75"/>
    <row r="41777" s="3161" customFormat="1" ht="12.75"/>
    <row r="41778" s="3161" customFormat="1" ht="12.75"/>
    <row r="41779" s="3161" customFormat="1" ht="12.75"/>
    <row r="41780" s="3161" customFormat="1" ht="12.75"/>
    <row r="41781" s="3161" customFormat="1" ht="12.75"/>
    <row r="41782" s="3161" customFormat="1" ht="12.75"/>
    <row r="41783" s="3161" customFormat="1" ht="12.75"/>
    <row r="41784" s="3161" customFormat="1" ht="12.75"/>
    <row r="41785" s="3161" customFormat="1" ht="12.75"/>
    <row r="41786" s="3161" customFormat="1" ht="12.75"/>
    <row r="41787" s="3161" customFormat="1" ht="12.75"/>
    <row r="41788" s="3161" customFormat="1" ht="12.75"/>
    <row r="41789" s="3161" customFormat="1" ht="12.75"/>
    <row r="41790" s="3161" customFormat="1" ht="12.75"/>
    <row r="41791" s="3161" customFormat="1" ht="12.75"/>
    <row r="41792" s="3161" customFormat="1" ht="12.75"/>
    <row r="41793" s="3161" customFormat="1" ht="12.75"/>
    <row r="41794" s="3161" customFormat="1" ht="12.75"/>
    <row r="41795" s="3161" customFormat="1" ht="12.75"/>
    <row r="41796" s="3161" customFormat="1" ht="12.75"/>
    <row r="41797" s="3161" customFormat="1" ht="12.75"/>
    <row r="41798" s="3161" customFormat="1" ht="12.75"/>
    <row r="41799" s="3161" customFormat="1" ht="12.75"/>
    <row r="41800" s="3161" customFormat="1" ht="12.75"/>
    <row r="41801" s="3161" customFormat="1" ht="12.75"/>
    <row r="41802" s="3161" customFormat="1" ht="12.75"/>
    <row r="41803" s="3161" customFormat="1" ht="12.75"/>
    <row r="41804" s="3161" customFormat="1" ht="12.75"/>
    <row r="41805" s="3161" customFormat="1" ht="12.75"/>
    <row r="41806" s="3161" customFormat="1" ht="12.75"/>
    <row r="41807" s="3161" customFormat="1" ht="12.75"/>
    <row r="41808" s="3161" customFormat="1" ht="12.75"/>
    <row r="41809" s="3161" customFormat="1" ht="12.75"/>
    <row r="41810" s="3161" customFormat="1" ht="12.75"/>
    <row r="41811" s="3161" customFormat="1" ht="12.75"/>
    <row r="41812" s="3161" customFormat="1" ht="12.75"/>
    <row r="41813" s="3161" customFormat="1" ht="12.75"/>
    <row r="41814" s="3161" customFormat="1" ht="12.75"/>
    <row r="41815" s="3161" customFormat="1" ht="12.75"/>
    <row r="41816" s="3161" customFormat="1" ht="12.75"/>
    <row r="41817" s="3161" customFormat="1" ht="12.75"/>
    <row r="41818" s="3161" customFormat="1" ht="12.75"/>
    <row r="41819" s="3161" customFormat="1" ht="12.75"/>
    <row r="41820" s="3161" customFormat="1" ht="12.75"/>
    <row r="41821" s="3161" customFormat="1" ht="12.75"/>
    <row r="41822" s="3161" customFormat="1" ht="12.75"/>
    <row r="41823" s="3161" customFormat="1" ht="12.75"/>
    <row r="41824" s="3161" customFormat="1" ht="12.75"/>
    <row r="41825" s="3161" customFormat="1" ht="12.75"/>
    <row r="41826" s="3161" customFormat="1" ht="12.75"/>
    <row r="41827" s="3161" customFormat="1" ht="12.75"/>
    <row r="41828" s="3161" customFormat="1" ht="12.75"/>
    <row r="41829" s="3161" customFormat="1" ht="12.75"/>
    <row r="41830" s="3161" customFormat="1" ht="12.75"/>
    <row r="41831" s="3161" customFormat="1" ht="12.75"/>
    <row r="41832" s="3161" customFormat="1" ht="12.75"/>
    <row r="41833" s="3161" customFormat="1" ht="12.75"/>
    <row r="41834" s="3161" customFormat="1" ht="12.75"/>
    <row r="41835" s="3161" customFormat="1" ht="12.75"/>
    <row r="41836" s="3161" customFormat="1" ht="12.75"/>
    <row r="41837" s="3161" customFormat="1" ht="12.75"/>
    <row r="41838" s="3161" customFormat="1" ht="12.75"/>
    <row r="41839" s="3161" customFormat="1" ht="12.75"/>
    <row r="41840" s="3161" customFormat="1" ht="12.75"/>
    <row r="41841" s="3161" customFormat="1" ht="12.75"/>
    <row r="41842" s="3161" customFormat="1" ht="12.75"/>
    <row r="41843" s="3161" customFormat="1" ht="12.75"/>
    <row r="41844" s="3161" customFormat="1" ht="12.75"/>
    <row r="41845" s="3161" customFormat="1" ht="12.75"/>
    <row r="41846" s="3161" customFormat="1" ht="12.75"/>
    <row r="41847" s="3161" customFormat="1" ht="12.75"/>
    <row r="41848" s="3161" customFormat="1" ht="12.75"/>
    <row r="41849" s="3161" customFormat="1" ht="12.75"/>
    <row r="41850" s="3161" customFormat="1" ht="12.75"/>
    <row r="41851" s="3161" customFormat="1" ht="12.75"/>
    <row r="41852" s="3161" customFormat="1" ht="12.75"/>
    <row r="41853" s="3161" customFormat="1" ht="12.75"/>
    <row r="41854" s="3161" customFormat="1" ht="12.75"/>
    <row r="41855" s="3161" customFormat="1" ht="12.75"/>
    <row r="41856" s="3161" customFormat="1" ht="12.75"/>
    <row r="41857" s="3161" customFormat="1" ht="12.75"/>
    <row r="41858" s="3161" customFormat="1" ht="12.75"/>
    <row r="41859" s="3161" customFormat="1" ht="12.75"/>
    <row r="41860" s="3161" customFormat="1" ht="12.75"/>
    <row r="41861" s="3161" customFormat="1" ht="12.75"/>
    <row r="41862" s="3161" customFormat="1" ht="12.75"/>
    <row r="41863" s="3161" customFormat="1" ht="12.75"/>
    <row r="41864" s="3161" customFormat="1" ht="12.75"/>
    <row r="41865" s="3161" customFormat="1" ht="12.75"/>
    <row r="41866" s="3161" customFormat="1" ht="12.75"/>
    <row r="41867" s="3161" customFormat="1" ht="12.75"/>
    <row r="41868" s="3161" customFormat="1" ht="12.75"/>
    <row r="41869" s="3161" customFormat="1" ht="12.75"/>
    <row r="41870" s="3161" customFormat="1" ht="12.75"/>
    <row r="41871" s="3161" customFormat="1" ht="12.75"/>
    <row r="41872" s="3161" customFormat="1" ht="12.75"/>
    <row r="41873" s="3161" customFormat="1" ht="12.75"/>
    <row r="41874" s="3161" customFormat="1" ht="12.75"/>
    <row r="41875" s="3161" customFormat="1" ht="12.75"/>
    <row r="41876" s="3161" customFormat="1" ht="12.75"/>
    <row r="41877" s="3161" customFormat="1" ht="12.75"/>
    <row r="41878" s="3161" customFormat="1" ht="12.75"/>
    <row r="41879" s="3161" customFormat="1" ht="12.75"/>
    <row r="41880" s="3161" customFormat="1" ht="12.75"/>
    <row r="41881" s="3161" customFormat="1" ht="12.75"/>
    <row r="41882" s="3161" customFormat="1" ht="12.75"/>
    <row r="41883" s="3161" customFormat="1" ht="12.75"/>
    <row r="41884" s="3161" customFormat="1" ht="12.75"/>
    <row r="41885" s="3161" customFormat="1" ht="12.75"/>
    <row r="41886" s="3161" customFormat="1" ht="12.75"/>
    <row r="41887" s="3161" customFormat="1" ht="12.75"/>
    <row r="41888" s="3161" customFormat="1" ht="12.75"/>
    <row r="41889" s="3161" customFormat="1" ht="12.75"/>
    <row r="41890" s="3161" customFormat="1" ht="12.75"/>
    <row r="41891" s="3161" customFormat="1" ht="12.75"/>
    <row r="41892" s="3161" customFormat="1" ht="12.75"/>
    <row r="41893" s="3161" customFormat="1" ht="12.75"/>
    <row r="41894" s="3161" customFormat="1" ht="12.75"/>
    <row r="41895" s="3161" customFormat="1" ht="12.75"/>
    <row r="41896" s="3161" customFormat="1" ht="12.75"/>
    <row r="41897" s="3161" customFormat="1" ht="12.75"/>
    <row r="41898" s="3161" customFormat="1" ht="12.75"/>
    <row r="41899" s="3161" customFormat="1" ht="12.75"/>
    <row r="41900" s="3161" customFormat="1" ht="12.75"/>
    <row r="41901" s="3161" customFormat="1" ht="12.75"/>
    <row r="41902" s="3161" customFormat="1" ht="12.75"/>
    <row r="41903" s="3161" customFormat="1" ht="12.75"/>
    <row r="41904" s="3161" customFormat="1" ht="12.75"/>
    <row r="41905" s="3161" customFormat="1" ht="12.75"/>
    <row r="41906" s="3161" customFormat="1" ht="12.75"/>
    <row r="41907" s="3161" customFormat="1" ht="12.75"/>
    <row r="41908" s="3161" customFormat="1" ht="12.75"/>
    <row r="41909" s="3161" customFormat="1" ht="12.75"/>
    <row r="41910" s="3161" customFormat="1" ht="12.75"/>
    <row r="41911" s="3161" customFormat="1" ht="12.75"/>
    <row r="41912" s="3161" customFormat="1" ht="12.75"/>
    <row r="41913" s="3161" customFormat="1" ht="12.75"/>
    <row r="41914" s="3161" customFormat="1" ht="12.75"/>
    <row r="41915" s="3161" customFormat="1" ht="12.75"/>
    <row r="41916" s="3161" customFormat="1" ht="12.75"/>
    <row r="41917" s="3161" customFormat="1" ht="12.75"/>
    <row r="41918" s="3161" customFormat="1" ht="12.75"/>
    <row r="41919" s="3161" customFormat="1" ht="12.75"/>
    <row r="41920" s="3161" customFormat="1" ht="12.75"/>
    <row r="41921" s="3161" customFormat="1" ht="12.75"/>
    <row r="41922" s="3161" customFormat="1" ht="12.75"/>
    <row r="41923" s="3161" customFormat="1" ht="12.75"/>
    <row r="41924" s="3161" customFormat="1" ht="12.75"/>
    <row r="41925" s="3161" customFormat="1" ht="12.75"/>
    <row r="41926" s="3161" customFormat="1" ht="12.75"/>
    <row r="41927" s="3161" customFormat="1" ht="12.75"/>
    <row r="41928" s="3161" customFormat="1" ht="12.75"/>
    <row r="41929" s="3161" customFormat="1" ht="12.75"/>
    <row r="41930" s="3161" customFormat="1" ht="12.75"/>
    <row r="41931" s="3161" customFormat="1" ht="12.75"/>
    <row r="41932" s="3161" customFormat="1" ht="12.75"/>
    <row r="41933" s="3161" customFormat="1" ht="12.75"/>
    <row r="41934" s="3161" customFormat="1" ht="12.75"/>
    <row r="41935" s="3161" customFormat="1" ht="12.75"/>
    <row r="41936" s="3161" customFormat="1" ht="12.75"/>
    <row r="41937" s="3161" customFormat="1" ht="12.75"/>
    <row r="41938" s="3161" customFormat="1" ht="12.75"/>
    <row r="41939" s="3161" customFormat="1" ht="12.75"/>
    <row r="41940" s="3161" customFormat="1" ht="12.75"/>
    <row r="41941" s="3161" customFormat="1" ht="12.75"/>
    <row r="41942" s="3161" customFormat="1" ht="12.75"/>
    <row r="41943" s="3161" customFormat="1" ht="12.75"/>
    <row r="41944" s="3161" customFormat="1" ht="12.75"/>
    <row r="41945" s="3161" customFormat="1" ht="12.75"/>
    <row r="41946" s="3161" customFormat="1" ht="12.75"/>
    <row r="41947" s="3161" customFormat="1" ht="12.75"/>
    <row r="41948" s="3161" customFormat="1" ht="12.75"/>
    <row r="41949" s="3161" customFormat="1" ht="12.75"/>
    <row r="41950" s="3161" customFormat="1" ht="12.75"/>
    <row r="41951" s="3161" customFormat="1" ht="12.75"/>
    <row r="41952" s="3161" customFormat="1" ht="12.75"/>
    <row r="41953" s="3161" customFormat="1" ht="12.75"/>
    <row r="41954" s="3161" customFormat="1" ht="12.75"/>
    <row r="41955" s="3161" customFormat="1" ht="12.75"/>
    <row r="41956" s="3161" customFormat="1" ht="12.75"/>
    <row r="41957" s="3161" customFormat="1" ht="12.75"/>
    <row r="41958" s="3161" customFormat="1" ht="12.75"/>
    <row r="41959" s="3161" customFormat="1" ht="12.75"/>
    <row r="41960" s="3161" customFormat="1" ht="12.75"/>
    <row r="41961" s="3161" customFormat="1" ht="12.75"/>
    <row r="41962" s="3161" customFormat="1" ht="12.75"/>
    <row r="41963" s="3161" customFormat="1" ht="12.75"/>
    <row r="41964" s="3161" customFormat="1" ht="12.75"/>
    <row r="41965" s="3161" customFormat="1" ht="12.75"/>
    <row r="41966" s="3161" customFormat="1" ht="12.75"/>
    <row r="41967" s="3161" customFormat="1" ht="12.75"/>
    <row r="41968" s="3161" customFormat="1" ht="12.75"/>
    <row r="41969" s="3161" customFormat="1" ht="12.75"/>
    <row r="41970" s="3161" customFormat="1" ht="12.75"/>
    <row r="41971" s="3161" customFormat="1" ht="12.75"/>
    <row r="41972" s="3161" customFormat="1" ht="12.75"/>
    <row r="41973" s="3161" customFormat="1" ht="12.75"/>
    <row r="41974" s="3161" customFormat="1" ht="12.75"/>
    <row r="41975" s="3161" customFormat="1" ht="12.75"/>
    <row r="41976" s="3161" customFormat="1" ht="12.75"/>
    <row r="41977" s="3161" customFormat="1" ht="12.75"/>
    <row r="41978" s="3161" customFormat="1" ht="12.75"/>
    <row r="41979" s="3161" customFormat="1" ht="12.75"/>
    <row r="41980" s="3161" customFormat="1" ht="12.75"/>
    <row r="41981" s="3161" customFormat="1" ht="12.75"/>
    <row r="41982" s="3161" customFormat="1" ht="12.75"/>
    <row r="41983" s="3161" customFormat="1" ht="12.75"/>
    <row r="41984" s="3161" customFormat="1" ht="12.75"/>
    <row r="41985" s="3161" customFormat="1" ht="12.75"/>
    <row r="41986" s="3161" customFormat="1" ht="12.75"/>
    <row r="41987" s="3161" customFormat="1" ht="12.75"/>
    <row r="41988" s="3161" customFormat="1" ht="12.75"/>
    <row r="41989" s="3161" customFormat="1" ht="12.75"/>
    <row r="41990" s="3161" customFormat="1" ht="12.75"/>
    <row r="41991" s="3161" customFormat="1" ht="12.75"/>
    <row r="41992" s="3161" customFormat="1" ht="12.75"/>
    <row r="41993" s="3161" customFormat="1" ht="12.75"/>
    <row r="41994" s="3161" customFormat="1" ht="12.75"/>
    <row r="41995" s="3161" customFormat="1" ht="12.75"/>
    <row r="41996" s="3161" customFormat="1" ht="12.75"/>
    <row r="41997" s="3161" customFormat="1" ht="12.75"/>
    <row r="41998" s="3161" customFormat="1" ht="12.75"/>
    <row r="41999" s="3161" customFormat="1" ht="12.75"/>
    <row r="42000" s="3161" customFormat="1" ht="12.75"/>
    <row r="42001" s="3161" customFormat="1" ht="12.75"/>
    <row r="42002" s="3161" customFormat="1" ht="12.75"/>
    <row r="42003" s="3161" customFormat="1" ht="12.75"/>
    <row r="42004" s="3161" customFormat="1" ht="12.75"/>
    <row r="42005" s="3161" customFormat="1" ht="12.75"/>
    <row r="42006" s="3161" customFormat="1" ht="12.75"/>
    <row r="42007" s="3161" customFormat="1" ht="12.75"/>
    <row r="42008" s="3161" customFormat="1" ht="12.75"/>
    <row r="42009" s="3161" customFormat="1" ht="12.75"/>
    <row r="42010" s="3161" customFormat="1" ht="12.75"/>
    <row r="42011" s="3161" customFormat="1" ht="12.75"/>
    <row r="42012" s="3161" customFormat="1" ht="12.75"/>
    <row r="42013" s="3161" customFormat="1" ht="12.75"/>
    <row r="42014" s="3161" customFormat="1" ht="12.75"/>
    <row r="42015" s="3161" customFormat="1" ht="12.75"/>
    <row r="42016" s="3161" customFormat="1" ht="12.75"/>
    <row r="42017" s="3161" customFormat="1" ht="12.75"/>
    <row r="42018" s="3161" customFormat="1" ht="12.75"/>
    <row r="42019" s="3161" customFormat="1" ht="12.75"/>
    <row r="42020" s="3161" customFormat="1" ht="12.75"/>
    <row r="42021" s="3161" customFormat="1" ht="12.75"/>
    <row r="42022" s="3161" customFormat="1" ht="12.75"/>
    <row r="42023" s="3161" customFormat="1" ht="12.75"/>
    <row r="42024" s="3161" customFormat="1" ht="12.75"/>
    <row r="42025" s="3161" customFormat="1" ht="12.75"/>
    <row r="42026" s="3161" customFormat="1" ht="12.75"/>
    <row r="42027" s="3161" customFormat="1" ht="12.75"/>
    <row r="42028" s="3161" customFormat="1" ht="12.75"/>
    <row r="42029" s="3161" customFormat="1" ht="12.75"/>
    <row r="42030" s="3161" customFormat="1" ht="12.75"/>
    <row r="42031" s="3161" customFormat="1" ht="12.75"/>
    <row r="42032" s="3161" customFormat="1" ht="12.75"/>
    <row r="42033" s="3161" customFormat="1" ht="12.75"/>
    <row r="42034" s="3161" customFormat="1" ht="12.75"/>
    <row r="42035" s="3161" customFormat="1" ht="12.75"/>
    <row r="42036" s="3161" customFormat="1" ht="12.75"/>
    <row r="42037" s="3161" customFormat="1" ht="12.75"/>
    <row r="42038" s="3161" customFormat="1" ht="12.75"/>
    <row r="42039" s="3161" customFormat="1" ht="12.75"/>
    <row r="42040" s="3161" customFormat="1" ht="12.75"/>
    <row r="42041" s="3161" customFormat="1" ht="12.75"/>
    <row r="42042" s="3161" customFormat="1" ht="12.75"/>
    <row r="42043" s="3161" customFormat="1" ht="12.75"/>
    <row r="42044" s="3161" customFormat="1" ht="12.75"/>
    <row r="42045" s="3161" customFormat="1" ht="12.75"/>
    <row r="42046" s="3161" customFormat="1" ht="12.75"/>
    <row r="42047" s="3161" customFormat="1" ht="12.75"/>
    <row r="42048" s="3161" customFormat="1" ht="12.75"/>
    <row r="42049" s="3161" customFormat="1" ht="12.75"/>
    <row r="42050" s="3161" customFormat="1" ht="12.75"/>
    <row r="42051" s="3161" customFormat="1" ht="12.75"/>
    <row r="42052" s="3161" customFormat="1" ht="12.75"/>
    <row r="42053" s="3161" customFormat="1" ht="12.75"/>
    <row r="42054" s="3161" customFormat="1" ht="12.75"/>
    <row r="42055" s="3161" customFormat="1" ht="12.75"/>
    <row r="42056" s="3161" customFormat="1" ht="12.75"/>
    <row r="42057" s="3161" customFormat="1" ht="12.75"/>
    <row r="42058" s="3161" customFormat="1" ht="12.75"/>
    <row r="42059" s="3161" customFormat="1" ht="12.75"/>
    <row r="42060" s="3161" customFormat="1" ht="12.75"/>
    <row r="42061" s="3161" customFormat="1" ht="12.75"/>
    <row r="42062" s="3161" customFormat="1" ht="12.75"/>
    <row r="42063" s="3161" customFormat="1" ht="12.75"/>
    <row r="42064" s="3161" customFormat="1" ht="12.75"/>
    <row r="42065" s="3161" customFormat="1" ht="12.75"/>
    <row r="42066" s="3161" customFormat="1" ht="12.75"/>
    <row r="42067" s="3161" customFormat="1" ht="12.75"/>
    <row r="42068" s="3161" customFormat="1" ht="12.75"/>
    <row r="42069" s="3161" customFormat="1" ht="12.75"/>
    <row r="42070" s="3161" customFormat="1" ht="12.75"/>
    <row r="42071" s="3161" customFormat="1" ht="12.75"/>
    <row r="42072" s="3161" customFormat="1" ht="12.75"/>
    <row r="42073" s="3161" customFormat="1" ht="12.75"/>
    <row r="42074" s="3161" customFormat="1" ht="12.75"/>
    <row r="42075" s="3161" customFormat="1" ht="12.75"/>
    <row r="42076" s="3161" customFormat="1" ht="12.75"/>
    <row r="42077" s="3161" customFormat="1" ht="12.75"/>
    <row r="42078" s="3161" customFormat="1" ht="12.75"/>
    <row r="42079" s="3161" customFormat="1" ht="12.75"/>
    <row r="42080" s="3161" customFormat="1" ht="12.75"/>
    <row r="42081" s="3161" customFormat="1" ht="12.75"/>
    <row r="42082" s="3161" customFormat="1" ht="12.75"/>
    <row r="42083" s="3161" customFormat="1" ht="12.75"/>
    <row r="42084" s="3161" customFormat="1" ht="12.75"/>
    <row r="42085" s="3161" customFormat="1" ht="12.75"/>
    <row r="42086" s="3161" customFormat="1" ht="12.75"/>
    <row r="42087" s="3161" customFormat="1" ht="12.75"/>
    <row r="42088" s="3161" customFormat="1" ht="12.75"/>
    <row r="42089" s="3161" customFormat="1" ht="12.75"/>
    <row r="42090" s="3161" customFormat="1" ht="12.75"/>
    <row r="42091" s="3161" customFormat="1" ht="12.75"/>
    <row r="42092" s="3161" customFormat="1" ht="12.75"/>
    <row r="42093" s="3161" customFormat="1" ht="12.75"/>
    <row r="42094" s="3161" customFormat="1" ht="12.75"/>
    <row r="42095" s="3161" customFormat="1" ht="12.75"/>
    <row r="42096" s="3161" customFormat="1" ht="12.75"/>
    <row r="42097" s="3161" customFormat="1" ht="12.75"/>
    <row r="42098" s="3161" customFormat="1" ht="12.75"/>
    <row r="42099" s="3161" customFormat="1" ht="12.75"/>
    <row r="42100" s="3161" customFormat="1" ht="12.75"/>
    <row r="42101" s="3161" customFormat="1" ht="12.75"/>
    <row r="42102" s="3161" customFormat="1" ht="12.75"/>
    <row r="42103" s="3161" customFormat="1" ht="12.75"/>
    <row r="42104" s="3161" customFormat="1" ht="12.75"/>
    <row r="42105" s="3161" customFormat="1" ht="12.75"/>
    <row r="42106" s="3161" customFormat="1" ht="12.75"/>
    <row r="42107" s="3161" customFormat="1" ht="12.75"/>
    <row r="42108" s="3161" customFormat="1" ht="12.75"/>
    <row r="42109" s="3161" customFormat="1" ht="12.75"/>
    <row r="42110" s="3161" customFormat="1" ht="12.75"/>
    <row r="42111" s="3161" customFormat="1" ht="12.75"/>
    <row r="42112" s="3161" customFormat="1" ht="12.75"/>
    <row r="42113" s="3161" customFormat="1" ht="12.75"/>
    <row r="42114" s="3161" customFormat="1" ht="12.75"/>
    <row r="42115" s="3161" customFormat="1" ht="12.75"/>
    <row r="42116" s="3161" customFormat="1" ht="12.75"/>
    <row r="42117" s="3161" customFormat="1" ht="12.75"/>
    <row r="42118" s="3161" customFormat="1" ht="12.75"/>
    <row r="42119" s="3161" customFormat="1" ht="12.75"/>
    <row r="42120" s="3161" customFormat="1" ht="12.75"/>
    <row r="42121" s="3161" customFormat="1" ht="12.75"/>
    <row r="42122" s="3161" customFormat="1" ht="12.75"/>
    <row r="42123" s="3161" customFormat="1" ht="12.75"/>
    <row r="42124" s="3161" customFormat="1" ht="12.75"/>
    <row r="42125" s="3161" customFormat="1" ht="12.75"/>
    <row r="42126" s="3161" customFormat="1" ht="12.75"/>
    <row r="42127" s="3161" customFormat="1" ht="12.75"/>
    <row r="42128" s="3161" customFormat="1" ht="12.75"/>
    <row r="42129" s="3161" customFormat="1" ht="12.75"/>
    <row r="42130" s="3161" customFormat="1" ht="12.75"/>
    <row r="42131" s="3161" customFormat="1" ht="12.75"/>
    <row r="42132" s="3161" customFormat="1" ht="12.75"/>
    <row r="42133" s="3161" customFormat="1" ht="12.75"/>
    <row r="42134" s="3161" customFormat="1" ht="12.75"/>
    <row r="42135" s="3161" customFormat="1" ht="12.75"/>
    <row r="42136" s="3161" customFormat="1" ht="12.75"/>
    <row r="42137" s="3161" customFormat="1" ht="12.75"/>
    <row r="42138" s="3161" customFormat="1" ht="12.75"/>
    <row r="42139" s="3161" customFormat="1" ht="12.75"/>
    <row r="42140" s="3161" customFormat="1" ht="12.75"/>
    <row r="42141" s="3161" customFormat="1" ht="12.75"/>
    <row r="42142" s="3161" customFormat="1" ht="12.75"/>
    <row r="42143" s="3161" customFormat="1" ht="12.75"/>
    <row r="42144" s="3161" customFormat="1" ht="12.75"/>
    <row r="42145" s="3161" customFormat="1" ht="12.75"/>
    <row r="42146" s="3161" customFormat="1" ht="12.75"/>
    <row r="42147" s="3161" customFormat="1" ht="12.75"/>
    <row r="42148" s="3161" customFormat="1" ht="12.75"/>
    <row r="42149" s="3161" customFormat="1" ht="12.75"/>
    <row r="42150" s="3161" customFormat="1" ht="12.75"/>
    <row r="42151" s="3161" customFormat="1" ht="12.75"/>
    <row r="42152" s="3161" customFormat="1" ht="12.75"/>
    <row r="42153" s="3161" customFormat="1" ht="12.75"/>
    <row r="42154" s="3161" customFormat="1" ht="12.75"/>
    <row r="42155" s="3161" customFormat="1" ht="12.75"/>
    <row r="42156" s="3161" customFormat="1" ht="12.75"/>
    <row r="42157" s="3161" customFormat="1" ht="12.75"/>
    <row r="42158" s="3161" customFormat="1" ht="12.75"/>
    <row r="42159" s="3161" customFormat="1" ht="12.75"/>
    <row r="42160" s="3161" customFormat="1" ht="12.75"/>
    <row r="42161" s="3161" customFormat="1" ht="12.75"/>
    <row r="42162" s="3161" customFormat="1" ht="12.75"/>
    <row r="42163" s="3161" customFormat="1" ht="12.75"/>
    <row r="42164" s="3161" customFormat="1" ht="12.75"/>
    <row r="42165" s="3161" customFormat="1" ht="12.75"/>
    <row r="42166" s="3161" customFormat="1" ht="12.75"/>
    <row r="42167" s="3161" customFormat="1" ht="12.75"/>
    <row r="42168" s="3161" customFormat="1" ht="12.75"/>
    <row r="42169" s="3161" customFormat="1" ht="12.75"/>
    <row r="42170" s="3161" customFormat="1" ht="12.75"/>
    <row r="42171" s="3161" customFormat="1" ht="12.75"/>
    <row r="42172" s="3161" customFormat="1" ht="12.75"/>
    <row r="42173" s="3161" customFormat="1" ht="12.75"/>
    <row r="42174" s="3161" customFormat="1" ht="12.75"/>
    <row r="42175" s="3161" customFormat="1" ht="12.75"/>
    <row r="42176" s="3161" customFormat="1" ht="12.75"/>
    <row r="42177" s="3161" customFormat="1" ht="12.75"/>
    <row r="42178" s="3161" customFormat="1" ht="12.75"/>
    <row r="42179" s="3161" customFormat="1" ht="12.75"/>
    <row r="42180" s="3161" customFormat="1" ht="12.75"/>
    <row r="42181" s="3161" customFormat="1" ht="12.75"/>
    <row r="42182" s="3161" customFormat="1" ht="12.75"/>
    <row r="42183" s="3161" customFormat="1" ht="12.75"/>
    <row r="42184" s="3161" customFormat="1" ht="12.75"/>
    <row r="42185" s="3161" customFormat="1" ht="12.75"/>
    <row r="42186" s="3161" customFormat="1" ht="12.75"/>
    <row r="42187" s="3161" customFormat="1" ht="12.75"/>
    <row r="42188" s="3161" customFormat="1" ht="12.75"/>
    <row r="42189" s="3161" customFormat="1" ht="12.75"/>
    <row r="42190" s="3161" customFormat="1" ht="12.75"/>
    <row r="42191" s="3161" customFormat="1" ht="12.75"/>
    <row r="42192" s="3161" customFormat="1" ht="12.75"/>
    <row r="42193" s="3161" customFormat="1" ht="12.75"/>
    <row r="42194" s="3161" customFormat="1" ht="12.75"/>
    <row r="42195" s="3161" customFormat="1" ht="12.75"/>
    <row r="42196" s="3161" customFormat="1" ht="12.75"/>
    <row r="42197" s="3161" customFormat="1" ht="12.75"/>
    <row r="42198" s="3161" customFormat="1" ht="12.75"/>
    <row r="42199" s="3161" customFormat="1" ht="12.75"/>
    <row r="42200" s="3161" customFormat="1" ht="12.75"/>
    <row r="42201" s="3161" customFormat="1" ht="12.75"/>
    <row r="42202" s="3161" customFormat="1" ht="12.75"/>
    <row r="42203" s="3161" customFormat="1" ht="12.75"/>
    <row r="42204" s="3161" customFormat="1" ht="12.75"/>
    <row r="42205" s="3161" customFormat="1" ht="12.75"/>
    <row r="42206" s="3161" customFormat="1" ht="12.75"/>
    <row r="42207" s="3161" customFormat="1" ht="12.75"/>
    <row r="42208" s="3161" customFormat="1" ht="12.75"/>
    <row r="42209" s="3161" customFormat="1" ht="12.75"/>
    <row r="42210" s="3161" customFormat="1" ht="12.75"/>
    <row r="42211" s="3161" customFormat="1" ht="12.75"/>
    <row r="42212" s="3161" customFormat="1" ht="12.75"/>
    <row r="42213" s="3161" customFormat="1" ht="12.75"/>
    <row r="42214" s="3161" customFormat="1" ht="12.75"/>
    <row r="42215" s="3161" customFormat="1" ht="12.75"/>
    <row r="42216" s="3161" customFormat="1" ht="12.75"/>
    <row r="42217" s="3161" customFormat="1" ht="12.75"/>
    <row r="42218" s="3161" customFormat="1" ht="12.75"/>
    <row r="42219" s="3161" customFormat="1" ht="12.75"/>
    <row r="42220" s="3161" customFormat="1" ht="12.75"/>
    <row r="42221" s="3161" customFormat="1" ht="12.75"/>
    <row r="42222" s="3161" customFormat="1" ht="12.75"/>
    <row r="42223" s="3161" customFormat="1" ht="12.75"/>
    <row r="42224" s="3161" customFormat="1" ht="12.75"/>
    <row r="42225" s="3161" customFormat="1" ht="12.75"/>
    <row r="42226" s="3161" customFormat="1" ht="12.75"/>
    <row r="42227" s="3161" customFormat="1" ht="12.75"/>
    <row r="42228" s="3161" customFormat="1" ht="12.75"/>
    <row r="42229" s="3161" customFormat="1" ht="12.75"/>
    <row r="42230" s="3161" customFormat="1" ht="12.75"/>
    <row r="42231" s="3161" customFormat="1" ht="12.75"/>
    <row r="42232" s="3161" customFormat="1" ht="12.75"/>
    <row r="42233" s="3161" customFormat="1" ht="12.75"/>
    <row r="42234" s="3161" customFormat="1" ht="12.75"/>
    <row r="42235" s="3161" customFormat="1" ht="12.75"/>
    <row r="42236" s="3161" customFormat="1" ht="12.75"/>
    <row r="42237" s="3161" customFormat="1" ht="12.75"/>
    <row r="42238" s="3161" customFormat="1" ht="12.75"/>
    <row r="42239" s="3161" customFormat="1" ht="12.75"/>
    <row r="42240" s="3161" customFormat="1" ht="12.75"/>
    <row r="42241" s="3161" customFormat="1" ht="12.75"/>
    <row r="42242" s="3161" customFormat="1" ht="12.75"/>
    <row r="42243" s="3161" customFormat="1" ht="12.75"/>
    <row r="42244" s="3161" customFormat="1" ht="12.75"/>
    <row r="42245" s="3161" customFormat="1" ht="12.75"/>
    <row r="42246" s="3161" customFormat="1" ht="12.75"/>
    <row r="42247" s="3161" customFormat="1" ht="12.75"/>
    <row r="42248" s="3161" customFormat="1" ht="12.75"/>
    <row r="42249" s="3161" customFormat="1" ht="12.75"/>
    <row r="42250" s="3161" customFormat="1" ht="12.75"/>
    <row r="42251" s="3161" customFormat="1" ht="12.75"/>
    <row r="42252" s="3161" customFormat="1" ht="12.75"/>
    <row r="42253" s="3161" customFormat="1" ht="12.75"/>
    <row r="42254" s="3161" customFormat="1" ht="12.75"/>
    <row r="42255" s="3161" customFormat="1" ht="12.75"/>
    <row r="42256" s="3161" customFormat="1" ht="12.75"/>
    <row r="42257" s="3161" customFormat="1" ht="12.75"/>
    <row r="42258" s="3161" customFormat="1" ht="12.75"/>
    <row r="42259" s="3161" customFormat="1" ht="12.75"/>
    <row r="42260" s="3161" customFormat="1" ht="12.75"/>
    <row r="42261" s="3161" customFormat="1" ht="12.75"/>
    <row r="42262" s="3161" customFormat="1" ht="12.75"/>
    <row r="42263" s="3161" customFormat="1" ht="12.75"/>
    <row r="42264" s="3161" customFormat="1" ht="12.75"/>
    <row r="42265" s="3161" customFormat="1" ht="12.75"/>
    <row r="42266" s="3161" customFormat="1" ht="12.75"/>
    <row r="42267" s="3161" customFormat="1" ht="12.75"/>
    <row r="42268" s="3161" customFormat="1" ht="12.75"/>
    <row r="42269" s="3161" customFormat="1" ht="12.75"/>
    <row r="42270" s="3161" customFormat="1" ht="12.75"/>
    <row r="42271" s="3161" customFormat="1" ht="12.75"/>
    <row r="42272" s="3161" customFormat="1" ht="12.75"/>
    <row r="42273" s="3161" customFormat="1" ht="12.75"/>
    <row r="42274" s="3161" customFormat="1" ht="12.75"/>
    <row r="42275" s="3161" customFormat="1" ht="12.75"/>
    <row r="42276" s="3161" customFormat="1" ht="12.75"/>
    <row r="42277" s="3161" customFormat="1" ht="12.75"/>
    <row r="42278" s="3161" customFormat="1" ht="12.75"/>
    <row r="42279" s="3161" customFormat="1" ht="12.75"/>
    <row r="42280" s="3161" customFormat="1" ht="12.75"/>
    <row r="42281" s="3161" customFormat="1" ht="12.75"/>
    <row r="42282" s="3161" customFormat="1" ht="12.75"/>
    <row r="42283" s="3161" customFormat="1" ht="12.75"/>
    <row r="42284" s="3161" customFormat="1" ht="12.75"/>
    <row r="42285" s="3161" customFormat="1" ht="12.75"/>
    <row r="42286" s="3161" customFormat="1" ht="12.75"/>
    <row r="42287" s="3161" customFormat="1" ht="12.75"/>
    <row r="42288" s="3161" customFormat="1" ht="12.75"/>
    <row r="42289" s="3161" customFormat="1" ht="12.75"/>
    <row r="42290" s="3161" customFormat="1" ht="12.75"/>
    <row r="42291" s="3161" customFormat="1" ht="12.75"/>
    <row r="42292" s="3161" customFormat="1" ht="12.75"/>
    <row r="42293" s="3161" customFormat="1" ht="12.75"/>
    <row r="42294" s="3161" customFormat="1" ht="12.75"/>
    <row r="42295" s="3161" customFormat="1" ht="12.75"/>
    <row r="42296" s="3161" customFormat="1" ht="12.75"/>
    <row r="42297" s="3161" customFormat="1" ht="12.75"/>
    <row r="42298" s="3161" customFormat="1" ht="12.75"/>
    <row r="42299" s="3161" customFormat="1" ht="12.75"/>
    <row r="42300" s="3161" customFormat="1" ht="12.75"/>
    <row r="42301" s="3161" customFormat="1" ht="12.75"/>
    <row r="42302" s="3161" customFormat="1" ht="12.75"/>
    <row r="42303" s="3161" customFormat="1" ht="12.75"/>
    <row r="42304" s="3161" customFormat="1" ht="12.75"/>
    <row r="42305" s="3161" customFormat="1" ht="12.75"/>
    <row r="42306" s="3161" customFormat="1" ht="12.75"/>
    <row r="42307" s="3161" customFormat="1" ht="12.75"/>
    <row r="42308" s="3161" customFormat="1" ht="12.75"/>
    <row r="42309" s="3161" customFormat="1" ht="12.75"/>
    <row r="42310" s="3161" customFormat="1" ht="12.75"/>
    <row r="42311" s="3161" customFormat="1" ht="12.75"/>
    <row r="42312" s="3161" customFormat="1" ht="12.75"/>
    <row r="42313" s="3161" customFormat="1" ht="12.75"/>
    <row r="42314" s="3161" customFormat="1" ht="12.75"/>
    <row r="42315" s="3161" customFormat="1" ht="12.75"/>
    <row r="42316" s="3161" customFormat="1" ht="12.75"/>
    <row r="42317" s="3161" customFormat="1" ht="12.75"/>
    <row r="42318" s="3161" customFormat="1" ht="12.75"/>
    <row r="42319" s="3161" customFormat="1" ht="12.75"/>
    <row r="42320" s="3161" customFormat="1" ht="12.75"/>
    <row r="42321" s="3161" customFormat="1" ht="12.75"/>
    <row r="42322" s="3161" customFormat="1" ht="12.75"/>
    <row r="42323" s="3161" customFormat="1" ht="12.75"/>
    <row r="42324" s="3161" customFormat="1" ht="12.75"/>
    <row r="42325" s="3161" customFormat="1" ht="12.75"/>
    <row r="42326" s="3161" customFormat="1" ht="12.75"/>
    <row r="42327" s="3161" customFormat="1" ht="12.75"/>
    <row r="42328" s="3161" customFormat="1" ht="12.75"/>
    <row r="42329" s="3161" customFormat="1" ht="12.75"/>
    <row r="42330" s="3161" customFormat="1" ht="12.75"/>
    <row r="42331" s="3161" customFormat="1" ht="12.75"/>
    <row r="42332" s="3161" customFormat="1" ht="12.75"/>
    <row r="42333" s="3161" customFormat="1" ht="12.75"/>
    <row r="42334" s="3161" customFormat="1" ht="12.75"/>
    <row r="42335" s="3161" customFormat="1" ht="12.75"/>
    <row r="42336" s="3161" customFormat="1" ht="12.75"/>
    <row r="42337" s="3161" customFormat="1" ht="12.75"/>
    <row r="42338" s="3161" customFormat="1" ht="12.75"/>
    <row r="42339" s="3161" customFormat="1" ht="12.75"/>
    <row r="42340" s="3161" customFormat="1" ht="12.75"/>
    <row r="42341" s="3161" customFormat="1" ht="12.75"/>
    <row r="42342" s="3161" customFormat="1" ht="12.75"/>
    <row r="42343" s="3161" customFormat="1" ht="12.75"/>
    <row r="42344" s="3161" customFormat="1" ht="12.75"/>
    <row r="42345" s="3161" customFormat="1" ht="12.75"/>
    <row r="42346" s="3161" customFormat="1" ht="12.75"/>
    <row r="42347" s="3161" customFormat="1" ht="12.75"/>
    <row r="42348" s="3161" customFormat="1" ht="12.75"/>
    <row r="42349" s="3161" customFormat="1" ht="12.75"/>
    <row r="42350" s="3161" customFormat="1" ht="12.75"/>
    <row r="42351" s="3161" customFormat="1" ht="12.75"/>
    <row r="42352" s="3161" customFormat="1" ht="12.75"/>
    <row r="42353" s="3161" customFormat="1" ht="12.75"/>
    <row r="42354" s="3161" customFormat="1" ht="12.75"/>
    <row r="42355" s="3161" customFormat="1" ht="12.75"/>
    <row r="42356" s="3161" customFormat="1" ht="12.75"/>
    <row r="42357" s="3161" customFormat="1" ht="12.75"/>
    <row r="42358" s="3161" customFormat="1" ht="12.75"/>
    <row r="42359" s="3161" customFormat="1" ht="12.75"/>
    <row r="42360" s="3161" customFormat="1" ht="12.75"/>
    <row r="42361" s="3161" customFormat="1" ht="12.75"/>
    <row r="42362" s="3161" customFormat="1" ht="12.75"/>
    <row r="42363" s="3161" customFormat="1" ht="12.75"/>
    <row r="42364" s="3161" customFormat="1" ht="12.75"/>
    <row r="42365" s="3161" customFormat="1" ht="12.75"/>
    <row r="42366" s="3161" customFormat="1" ht="12.75"/>
    <row r="42367" s="3161" customFormat="1" ht="12.75"/>
    <row r="42368" s="3161" customFormat="1" ht="12.75"/>
    <row r="42369" s="3161" customFormat="1" ht="12.75"/>
    <row r="42370" s="3161" customFormat="1" ht="12.75"/>
    <row r="42371" s="3161" customFormat="1" ht="12.75"/>
    <row r="42372" s="3161" customFormat="1" ht="12.75"/>
    <row r="42373" s="3161" customFormat="1" ht="12.75"/>
    <row r="42374" s="3161" customFormat="1" ht="12.75"/>
    <row r="42375" s="3161" customFormat="1" ht="12.75"/>
    <row r="42376" s="3161" customFormat="1" ht="12.75"/>
    <row r="42377" s="3161" customFormat="1" ht="12.75"/>
    <row r="42378" s="3161" customFormat="1" ht="12.75"/>
    <row r="42379" s="3161" customFormat="1" ht="12.75"/>
    <row r="42380" s="3161" customFormat="1" ht="12.75"/>
    <row r="42381" s="3161" customFormat="1" ht="12.75"/>
    <row r="42382" s="3161" customFormat="1" ht="12.75"/>
    <row r="42383" s="3161" customFormat="1" ht="12.75"/>
    <row r="42384" s="3161" customFormat="1" ht="12.75"/>
    <row r="42385" s="3161" customFormat="1" ht="12.75"/>
    <row r="42386" s="3161" customFormat="1" ht="12.75"/>
    <row r="42387" s="3161" customFormat="1" ht="12.75"/>
    <row r="42388" s="3161" customFormat="1" ht="12.75"/>
    <row r="42389" s="3161" customFormat="1" ht="12.75"/>
    <row r="42390" s="3161" customFormat="1" ht="12.75"/>
    <row r="42391" s="3161" customFormat="1" ht="12.75"/>
    <row r="42392" s="3161" customFormat="1" ht="12.75"/>
    <row r="42393" s="3161" customFormat="1" ht="12.75"/>
    <row r="42394" s="3161" customFormat="1" ht="12.75"/>
    <row r="42395" s="3161" customFormat="1" ht="12.75"/>
    <row r="42396" s="3161" customFormat="1" ht="12.75"/>
    <row r="42397" s="3161" customFormat="1" ht="12.75"/>
    <row r="42398" s="3161" customFormat="1" ht="12.75"/>
    <row r="42399" s="3161" customFormat="1" ht="12.75"/>
    <row r="42400" s="3161" customFormat="1" ht="12.75"/>
    <row r="42401" s="3161" customFormat="1" ht="12.75"/>
    <row r="42402" s="3161" customFormat="1" ht="12.75"/>
    <row r="42403" s="3161" customFormat="1" ht="12.75"/>
    <row r="42404" s="3161" customFormat="1" ht="12.75"/>
    <row r="42405" s="3161" customFormat="1" ht="12.75"/>
    <row r="42406" s="3161" customFormat="1" ht="12.75"/>
    <row r="42407" s="3161" customFormat="1" ht="12.75"/>
    <row r="42408" s="3161" customFormat="1" ht="12.75"/>
    <row r="42409" s="3161" customFormat="1" ht="12.75"/>
    <row r="42410" s="3161" customFormat="1" ht="12.75"/>
    <row r="42411" s="3161" customFormat="1" ht="12.75"/>
    <row r="42412" s="3161" customFormat="1" ht="12.75"/>
    <row r="42413" s="3161" customFormat="1" ht="12.75"/>
    <row r="42414" s="3161" customFormat="1" ht="12.75"/>
    <row r="42415" s="3161" customFormat="1" ht="12.75"/>
    <row r="42416" s="3161" customFormat="1" ht="12.75"/>
    <row r="42417" s="3161" customFormat="1" ht="12.75"/>
    <row r="42418" s="3161" customFormat="1" ht="12.75"/>
    <row r="42419" s="3161" customFormat="1" ht="12.75"/>
    <row r="42420" s="3161" customFormat="1" ht="12.75"/>
    <row r="42421" s="3161" customFormat="1" ht="12.75"/>
    <row r="42422" s="3161" customFormat="1" ht="12.75"/>
    <row r="42423" s="3161" customFormat="1" ht="12.75"/>
    <row r="42424" s="3161" customFormat="1" ht="12.75"/>
    <row r="42425" s="3161" customFormat="1" ht="12.75"/>
    <row r="42426" s="3161" customFormat="1" ht="12.75"/>
    <row r="42427" s="3161" customFormat="1" ht="12.75"/>
    <row r="42428" s="3161" customFormat="1" ht="12.75"/>
    <row r="42429" s="3161" customFormat="1" ht="12.75"/>
    <row r="42430" s="3161" customFormat="1" ht="12.75"/>
    <row r="42431" s="3161" customFormat="1" ht="12.75"/>
    <row r="42432" s="3161" customFormat="1" ht="12.75"/>
    <row r="42433" s="3161" customFormat="1" ht="12.75"/>
    <row r="42434" s="3161" customFormat="1" ht="12.75"/>
    <row r="42435" s="3161" customFormat="1" ht="12.75"/>
    <row r="42436" s="3161" customFormat="1" ht="12.75"/>
    <row r="42437" s="3161" customFormat="1" ht="12.75"/>
    <row r="42438" s="3161" customFormat="1" ht="12.75"/>
    <row r="42439" s="3161" customFormat="1" ht="12.75"/>
    <row r="42440" s="3161" customFormat="1" ht="12.75"/>
    <row r="42441" s="3161" customFormat="1" ht="12.75"/>
    <row r="42442" s="3161" customFormat="1" ht="12.75"/>
    <row r="42443" s="3161" customFormat="1" ht="12.75"/>
    <row r="42444" s="3161" customFormat="1" ht="12.75"/>
    <row r="42445" s="3161" customFormat="1" ht="12.75"/>
    <row r="42446" s="3161" customFormat="1" ht="12.75"/>
    <row r="42447" s="3161" customFormat="1" ht="12.75"/>
    <row r="42448" s="3161" customFormat="1" ht="12.75"/>
    <row r="42449" s="3161" customFormat="1" ht="12.75"/>
    <row r="42450" s="3161" customFormat="1" ht="12.75"/>
    <row r="42451" s="3161" customFormat="1" ht="12.75"/>
    <row r="42452" s="3161" customFormat="1" ht="12.75"/>
    <row r="42453" s="3161" customFormat="1" ht="12.75"/>
    <row r="42454" s="3161" customFormat="1" ht="12.75"/>
    <row r="42455" s="3161" customFormat="1" ht="12.75"/>
    <row r="42456" s="3161" customFormat="1" ht="12.75"/>
    <row r="42457" s="3161" customFormat="1" ht="12.75"/>
    <row r="42458" s="3161" customFormat="1" ht="12.75"/>
    <row r="42459" s="3161" customFormat="1" ht="12.75"/>
    <row r="42460" s="3161" customFormat="1" ht="12.75"/>
    <row r="42461" s="3161" customFormat="1" ht="12.75"/>
    <row r="42462" s="3161" customFormat="1" ht="12.75"/>
    <row r="42463" s="3161" customFormat="1" ht="12.75"/>
    <row r="42464" s="3161" customFormat="1" ht="12.75"/>
    <row r="42465" s="3161" customFormat="1" ht="12.75"/>
    <row r="42466" s="3161" customFormat="1" ht="12.75"/>
    <row r="42467" s="3161" customFormat="1" ht="12.75"/>
    <row r="42468" s="3161" customFormat="1" ht="12.75"/>
    <row r="42469" s="3161" customFormat="1" ht="12.75"/>
    <row r="42470" s="3161" customFormat="1" ht="12.75"/>
    <row r="42471" s="3161" customFormat="1" ht="12.75"/>
    <row r="42472" s="3161" customFormat="1" ht="12.75"/>
    <row r="42473" s="3161" customFormat="1" ht="12.75"/>
    <row r="42474" s="3161" customFormat="1" ht="12.75"/>
    <row r="42475" s="3161" customFormat="1" ht="12.75"/>
    <row r="42476" s="3161" customFormat="1" ht="12.75"/>
    <row r="42477" s="3161" customFormat="1" ht="12.75"/>
    <row r="42478" s="3161" customFormat="1" ht="12.75"/>
    <row r="42479" s="3161" customFormat="1" ht="12.75"/>
    <row r="42480" s="3161" customFormat="1" ht="12.75"/>
    <row r="42481" s="3161" customFormat="1" ht="12.75"/>
    <row r="42482" s="3161" customFormat="1" ht="12.75"/>
    <row r="42483" s="3161" customFormat="1" ht="12.75"/>
    <row r="42484" s="3161" customFormat="1" ht="12.75"/>
    <row r="42485" s="3161" customFormat="1" ht="12.75"/>
    <row r="42486" s="3161" customFormat="1" ht="12.75"/>
    <row r="42487" s="3161" customFormat="1" ht="12.75"/>
    <row r="42488" s="3161" customFormat="1" ht="12.75"/>
    <row r="42489" s="3161" customFormat="1" ht="12.75"/>
    <row r="42490" s="3161" customFormat="1" ht="12.75"/>
    <row r="42491" s="3161" customFormat="1" ht="12.75"/>
    <row r="42492" s="3161" customFormat="1" ht="12.75"/>
    <row r="42493" s="3161" customFormat="1" ht="12.75"/>
    <row r="42494" s="3161" customFormat="1" ht="12.75"/>
    <row r="42495" s="3161" customFormat="1" ht="12.75"/>
    <row r="42496" s="3161" customFormat="1" ht="12.75"/>
    <row r="42497" s="3161" customFormat="1" ht="12.75"/>
    <row r="42498" s="3161" customFormat="1" ht="12.75"/>
    <row r="42499" s="3161" customFormat="1" ht="12.75"/>
    <row r="42500" s="3161" customFormat="1" ht="12.75"/>
    <row r="42501" s="3161" customFormat="1" ht="12.75"/>
    <row r="42502" s="3161" customFormat="1" ht="12.75"/>
    <row r="42503" s="3161" customFormat="1" ht="12.75"/>
    <row r="42504" s="3161" customFormat="1" ht="12.75"/>
    <row r="42505" s="3161" customFormat="1" ht="12.75"/>
    <row r="42506" s="3161" customFormat="1" ht="12.75"/>
    <row r="42507" s="3161" customFormat="1" ht="12.75"/>
    <row r="42508" s="3161" customFormat="1" ht="12.75"/>
    <row r="42509" s="3161" customFormat="1" ht="12.75"/>
    <row r="42510" s="3161" customFormat="1" ht="12.75"/>
    <row r="42511" s="3161" customFormat="1" ht="12.75"/>
    <row r="42512" s="3161" customFormat="1" ht="12.75"/>
    <row r="42513" s="3161" customFormat="1" ht="12.75"/>
    <row r="42514" s="3161" customFormat="1" ht="12.75"/>
    <row r="42515" s="3161" customFormat="1" ht="12.75"/>
    <row r="42516" s="3161" customFormat="1" ht="12.75"/>
    <row r="42517" s="3161" customFormat="1" ht="12.75"/>
    <row r="42518" s="3161" customFormat="1" ht="12.75"/>
    <row r="42519" s="3161" customFormat="1" ht="12.75"/>
    <row r="42520" s="3161" customFormat="1" ht="12.75"/>
    <row r="42521" s="3161" customFormat="1" ht="12.75"/>
    <row r="42522" s="3161" customFormat="1" ht="12.75"/>
    <row r="42523" s="3161" customFormat="1" ht="12.75"/>
    <row r="42524" s="3161" customFormat="1" ht="12.75"/>
    <row r="42525" s="3161" customFormat="1" ht="12.75"/>
    <row r="42526" s="3161" customFormat="1" ht="12.75"/>
    <row r="42527" s="3161" customFormat="1" ht="12.75"/>
    <row r="42528" s="3161" customFormat="1" ht="12.75"/>
    <row r="42529" s="3161" customFormat="1" ht="12.75"/>
    <row r="42530" s="3161" customFormat="1" ht="12.75"/>
    <row r="42531" s="3161" customFormat="1" ht="12.75"/>
    <row r="42532" s="3161" customFormat="1" ht="12.75"/>
    <row r="42533" s="3161" customFormat="1" ht="12.75"/>
    <row r="42534" s="3161" customFormat="1" ht="12.75"/>
    <row r="42535" s="3161" customFormat="1" ht="12.75"/>
    <row r="42536" s="3161" customFormat="1" ht="12.75"/>
    <row r="42537" s="3161" customFormat="1" ht="12.75"/>
    <row r="42538" s="3161" customFormat="1" ht="12.75"/>
    <row r="42539" s="3161" customFormat="1" ht="12.75"/>
    <row r="42540" s="3161" customFormat="1" ht="12.75"/>
    <row r="42541" s="3161" customFormat="1" ht="12.75"/>
    <row r="42542" s="3161" customFormat="1" ht="12.75"/>
    <row r="42543" s="3161" customFormat="1" ht="12.75"/>
    <row r="42544" s="3161" customFormat="1" ht="12.75"/>
    <row r="42545" s="3161" customFormat="1" ht="12.75"/>
    <row r="42546" s="3161" customFormat="1" ht="12.75"/>
    <row r="42547" s="3161" customFormat="1" ht="12.75"/>
    <row r="42548" s="3161" customFormat="1" ht="12.75"/>
    <row r="42549" s="3161" customFormat="1" ht="12.75"/>
    <row r="42550" s="3161" customFormat="1" ht="12.75"/>
    <row r="42551" s="3161" customFormat="1" ht="12.75"/>
    <row r="42552" s="3161" customFormat="1" ht="12.75"/>
    <row r="42553" s="3161" customFormat="1" ht="12.75"/>
    <row r="42554" s="3161" customFormat="1" ht="12.75"/>
    <row r="42555" s="3161" customFormat="1" ht="12.75"/>
    <row r="42556" s="3161" customFormat="1" ht="12.75"/>
    <row r="42557" s="3161" customFormat="1" ht="12.75"/>
    <row r="42558" s="3161" customFormat="1" ht="12.75"/>
    <row r="42559" s="3161" customFormat="1" ht="12.75"/>
    <row r="42560" s="3161" customFormat="1" ht="12.75"/>
    <row r="42561" s="3161" customFormat="1" ht="12.75"/>
    <row r="42562" s="3161" customFormat="1" ht="12.75"/>
    <row r="42563" s="3161" customFormat="1" ht="12.75"/>
    <row r="42564" s="3161" customFormat="1" ht="12.75"/>
    <row r="42565" s="3161" customFormat="1" ht="12.75"/>
    <row r="42566" s="3161" customFormat="1" ht="12.75"/>
    <row r="42567" s="3161" customFormat="1" ht="12.75"/>
    <row r="42568" s="3161" customFormat="1" ht="12.75"/>
    <row r="42569" s="3161" customFormat="1" ht="12.75"/>
    <row r="42570" s="3161" customFormat="1" ht="12.75"/>
    <row r="42571" s="3161" customFormat="1" ht="12.75"/>
    <row r="42572" s="3161" customFormat="1" ht="12.75"/>
    <row r="42573" s="3161" customFormat="1" ht="12.75"/>
    <row r="42574" s="3161" customFormat="1" ht="12.75"/>
    <row r="42575" s="3161" customFormat="1" ht="12.75"/>
    <row r="42576" s="3161" customFormat="1" ht="12.75"/>
    <row r="42577" s="3161" customFormat="1" ht="12.75"/>
    <row r="42578" s="3161" customFormat="1" ht="12.75"/>
    <row r="42579" s="3161" customFormat="1" ht="12.75"/>
    <row r="42580" s="3161" customFormat="1" ht="12.75"/>
    <row r="42581" s="3161" customFormat="1" ht="12.75"/>
    <row r="42582" s="3161" customFormat="1" ht="12.75"/>
    <row r="42583" s="3161" customFormat="1" ht="12.75"/>
    <row r="42584" s="3161" customFormat="1" ht="12.75"/>
    <row r="42585" s="3161" customFormat="1" ht="12.75"/>
    <row r="42586" s="3161" customFormat="1" ht="12.75"/>
    <row r="42587" s="3161" customFormat="1" ht="12.75"/>
    <row r="42588" s="3161" customFormat="1" ht="12.75"/>
    <row r="42589" s="3161" customFormat="1" ht="12.75"/>
    <row r="42590" s="3161" customFormat="1" ht="12.75"/>
    <row r="42591" s="3161" customFormat="1" ht="12.75"/>
    <row r="42592" s="3161" customFormat="1" ht="12.75"/>
    <row r="42593" s="3161" customFormat="1" ht="12.75"/>
    <row r="42594" s="3161" customFormat="1" ht="12.75"/>
    <row r="42595" s="3161" customFormat="1" ht="12.75"/>
    <row r="42596" s="3161" customFormat="1" ht="12.75"/>
    <row r="42597" s="3161" customFormat="1" ht="12.75"/>
    <row r="42598" s="3161" customFormat="1" ht="12.75"/>
    <row r="42599" s="3161" customFormat="1" ht="12.75"/>
    <row r="42600" s="3161" customFormat="1" ht="12.75"/>
    <row r="42601" s="3161" customFormat="1" ht="12.75"/>
    <row r="42602" s="3161" customFormat="1" ht="12.75"/>
    <row r="42603" s="3161" customFormat="1" ht="12.75"/>
    <row r="42604" s="3161" customFormat="1" ht="12.75"/>
    <row r="42605" s="3161" customFormat="1" ht="12.75"/>
    <row r="42606" s="3161" customFormat="1" ht="12.75"/>
    <row r="42607" s="3161" customFormat="1" ht="12.75"/>
    <row r="42608" s="3161" customFormat="1" ht="12.75"/>
    <row r="42609" s="3161" customFormat="1" ht="12.75"/>
    <row r="42610" s="3161" customFormat="1" ht="12.75"/>
    <row r="42611" s="3161" customFormat="1" ht="12.75"/>
    <row r="42612" s="3161" customFormat="1" ht="12.75"/>
    <row r="42613" s="3161" customFormat="1" ht="12.75"/>
    <row r="42614" s="3161" customFormat="1" ht="12.75"/>
    <row r="42615" s="3161" customFormat="1" ht="12.75"/>
    <row r="42616" s="3161" customFormat="1" ht="12.75"/>
    <row r="42617" s="3161" customFormat="1" ht="12.75"/>
    <row r="42618" s="3161" customFormat="1" ht="12.75"/>
    <row r="42619" s="3161" customFormat="1" ht="12.75"/>
    <row r="42620" s="3161" customFormat="1" ht="12.75"/>
    <row r="42621" s="3161" customFormat="1" ht="12.75"/>
    <row r="42622" s="3161" customFormat="1" ht="12.75"/>
    <row r="42623" s="3161" customFormat="1" ht="12.75"/>
    <row r="42624" s="3161" customFormat="1" ht="12.75"/>
    <row r="42625" s="3161" customFormat="1" ht="12.75"/>
    <row r="42626" s="3161" customFormat="1" ht="12.75"/>
    <row r="42627" s="3161" customFormat="1" ht="12.75"/>
    <row r="42628" s="3161" customFormat="1" ht="12.75"/>
    <row r="42629" s="3161" customFormat="1" ht="12.75"/>
    <row r="42630" s="3161" customFormat="1" ht="12.75"/>
    <row r="42631" s="3161" customFormat="1" ht="12.75"/>
    <row r="42632" s="3161" customFormat="1" ht="12.75"/>
    <row r="42633" s="3161" customFormat="1" ht="12.75"/>
    <row r="42634" s="3161" customFormat="1" ht="12.75"/>
    <row r="42635" s="3161" customFormat="1" ht="12.75"/>
    <row r="42636" s="3161" customFormat="1" ht="12.75"/>
    <row r="42637" s="3161" customFormat="1" ht="12.75"/>
    <row r="42638" s="3161" customFormat="1" ht="12.75"/>
    <row r="42639" s="3161" customFormat="1" ht="12.75"/>
    <row r="42640" s="3161" customFormat="1" ht="12.75"/>
    <row r="42641" s="3161" customFormat="1" ht="12.75"/>
    <row r="42642" s="3161" customFormat="1" ht="12.75"/>
    <row r="42643" s="3161" customFormat="1" ht="12.75"/>
    <row r="42644" s="3161" customFormat="1" ht="12.75"/>
    <row r="42645" s="3161" customFormat="1" ht="12.75"/>
    <row r="42646" s="3161" customFormat="1" ht="12.75"/>
    <row r="42647" s="3161" customFormat="1" ht="12.75"/>
    <row r="42648" s="3161" customFormat="1" ht="12.75"/>
    <row r="42649" s="3161" customFormat="1" ht="12.75"/>
    <row r="42650" s="3161" customFormat="1" ht="12.75"/>
    <row r="42651" s="3161" customFormat="1" ht="12.75"/>
    <row r="42652" s="3161" customFormat="1" ht="12.75"/>
    <row r="42653" s="3161" customFormat="1" ht="12.75"/>
    <row r="42654" s="3161" customFormat="1" ht="12.75"/>
    <row r="42655" s="3161" customFormat="1" ht="12.75"/>
    <row r="42656" s="3161" customFormat="1" ht="12.75"/>
    <row r="42657" s="3161" customFormat="1" ht="12.75"/>
    <row r="42658" s="3161" customFormat="1" ht="12.75"/>
    <row r="42659" s="3161" customFormat="1" ht="12.75"/>
    <row r="42660" s="3161" customFormat="1" ht="12.75"/>
    <row r="42661" s="3161" customFormat="1" ht="12.75"/>
    <row r="42662" s="3161" customFormat="1" ht="12.75"/>
    <row r="42663" s="3161" customFormat="1" ht="12.75"/>
    <row r="42664" s="3161" customFormat="1" ht="12.75"/>
    <row r="42665" s="3161" customFormat="1" ht="12.75"/>
    <row r="42666" s="3161" customFormat="1" ht="12.75"/>
    <row r="42667" s="3161" customFormat="1" ht="12.75"/>
    <row r="42668" s="3161" customFormat="1" ht="12.75"/>
    <row r="42669" s="3161" customFormat="1" ht="12.75"/>
    <row r="42670" s="3161" customFormat="1" ht="12.75"/>
    <row r="42671" s="3161" customFormat="1" ht="12.75"/>
    <row r="42672" s="3161" customFormat="1" ht="12.75"/>
    <row r="42673" s="3161" customFormat="1" ht="12.75"/>
    <row r="42674" s="3161" customFormat="1" ht="12.75"/>
    <row r="42675" s="3161" customFormat="1" ht="12.75"/>
    <row r="42676" s="3161" customFormat="1" ht="12.75"/>
    <row r="42677" s="3161" customFormat="1" ht="12.75"/>
    <row r="42678" s="3161" customFormat="1" ht="12.75"/>
    <row r="42679" s="3161" customFormat="1" ht="12.75"/>
    <row r="42680" s="3161" customFormat="1" ht="12.75"/>
    <row r="42681" s="3161" customFormat="1" ht="12.75"/>
    <row r="42682" s="3161" customFormat="1" ht="12.75"/>
    <row r="42683" s="3161" customFormat="1" ht="12.75"/>
    <row r="42684" s="3161" customFormat="1" ht="12.75"/>
    <row r="42685" s="3161" customFormat="1" ht="12.75"/>
    <row r="42686" s="3161" customFormat="1" ht="12.75"/>
    <row r="42687" s="3161" customFormat="1" ht="12.75"/>
    <row r="42688" s="3161" customFormat="1" ht="12.75"/>
    <row r="42689" s="3161" customFormat="1" ht="12.75"/>
    <row r="42690" s="3161" customFormat="1" ht="12.75"/>
    <row r="42691" s="3161" customFormat="1" ht="12.75"/>
    <row r="42692" s="3161" customFormat="1" ht="12.75"/>
    <row r="42693" s="3161" customFormat="1" ht="12.75"/>
    <row r="42694" s="3161" customFormat="1" ht="12.75"/>
    <row r="42695" s="3161" customFormat="1" ht="12.75"/>
    <row r="42696" s="3161" customFormat="1" ht="12.75"/>
    <row r="42697" s="3161" customFormat="1" ht="12.75"/>
    <row r="42698" s="3161" customFormat="1" ht="12.75"/>
    <row r="42699" s="3161" customFormat="1" ht="12.75"/>
    <row r="42700" s="3161" customFormat="1" ht="12.75"/>
    <row r="42701" s="3161" customFormat="1" ht="12.75"/>
    <row r="42702" s="3161" customFormat="1" ht="12.75"/>
    <row r="42703" s="3161" customFormat="1" ht="12.75"/>
    <row r="42704" s="3161" customFormat="1" ht="12.75"/>
    <row r="42705" s="3161" customFormat="1" ht="12.75"/>
    <row r="42706" s="3161" customFormat="1" ht="12.75"/>
    <row r="42707" s="3161" customFormat="1" ht="12.75"/>
    <row r="42708" s="3161" customFormat="1" ht="12.75"/>
    <row r="42709" s="3161" customFormat="1" ht="12.75"/>
    <row r="42710" s="3161" customFormat="1" ht="12.75"/>
    <row r="42711" s="3161" customFormat="1" ht="12.75"/>
    <row r="42712" s="3161" customFormat="1" ht="12.75"/>
    <row r="42713" s="3161" customFormat="1" ht="12.75"/>
    <row r="42714" s="3161" customFormat="1" ht="12.75"/>
    <row r="42715" s="3161" customFormat="1" ht="12.75"/>
    <row r="42716" s="3161" customFormat="1" ht="12.75"/>
    <row r="42717" s="3161" customFormat="1" ht="12.75"/>
    <row r="42718" s="3161" customFormat="1" ht="12.75"/>
    <row r="42719" s="3161" customFormat="1" ht="12.75"/>
    <row r="42720" s="3161" customFormat="1" ht="12.75"/>
    <row r="42721" s="3161" customFormat="1" ht="12.75"/>
    <row r="42722" s="3161" customFormat="1" ht="12.75"/>
    <row r="42723" s="3161" customFormat="1" ht="12.75"/>
    <row r="42724" s="3161" customFormat="1" ht="12.75"/>
    <row r="42725" s="3161" customFormat="1" ht="12.75"/>
    <row r="42726" s="3161" customFormat="1" ht="12.75"/>
    <row r="42727" s="3161" customFormat="1" ht="12.75"/>
    <row r="42728" s="3161" customFormat="1" ht="12.75"/>
    <row r="42729" s="3161" customFormat="1" ht="12.75"/>
    <row r="42730" s="3161" customFormat="1" ht="12.75"/>
    <row r="42731" s="3161" customFormat="1" ht="12.75"/>
    <row r="42732" s="3161" customFormat="1" ht="12.75"/>
    <row r="42733" s="3161" customFormat="1" ht="12.75"/>
    <row r="42734" s="3161" customFormat="1" ht="12.75"/>
    <row r="42735" s="3161" customFormat="1" ht="12.75"/>
    <row r="42736" s="3161" customFormat="1" ht="12.75"/>
    <row r="42737" s="3161" customFormat="1" ht="12.75"/>
    <row r="42738" s="3161" customFormat="1" ht="12.75"/>
    <row r="42739" s="3161" customFormat="1" ht="12.75"/>
    <row r="42740" s="3161" customFormat="1" ht="12.75"/>
    <row r="42741" s="3161" customFormat="1" ht="12.75"/>
    <row r="42742" s="3161" customFormat="1" ht="12.75"/>
    <row r="42743" s="3161" customFormat="1" ht="12.75"/>
    <row r="42744" s="3161" customFormat="1" ht="12.75"/>
    <row r="42745" s="3161" customFormat="1" ht="12.75"/>
    <row r="42746" s="3161" customFormat="1" ht="12.75"/>
    <row r="42747" s="3161" customFormat="1" ht="12.75"/>
    <row r="42748" s="3161" customFormat="1" ht="12.75"/>
    <row r="42749" s="3161" customFormat="1" ht="12.75"/>
    <row r="42750" s="3161" customFormat="1" ht="12.75"/>
    <row r="42751" s="3161" customFormat="1" ht="12.75"/>
    <row r="42752" s="3161" customFormat="1" ht="12.75"/>
    <row r="42753" s="3161" customFormat="1" ht="12.75"/>
    <row r="42754" s="3161" customFormat="1" ht="12.75"/>
    <row r="42755" s="3161" customFormat="1" ht="12.75"/>
    <row r="42756" s="3161" customFormat="1" ht="12.75"/>
    <row r="42757" s="3161" customFormat="1" ht="12.75"/>
    <row r="42758" s="3161" customFormat="1" ht="12.75"/>
    <row r="42759" s="3161" customFormat="1" ht="12.75"/>
    <row r="42760" s="3161" customFormat="1" ht="12.75"/>
    <row r="42761" s="3161" customFormat="1" ht="12.75"/>
    <row r="42762" s="3161" customFormat="1" ht="12.75"/>
    <row r="42763" s="3161" customFormat="1" ht="12.75"/>
    <row r="42764" s="3161" customFormat="1" ht="12.75"/>
    <row r="42765" s="3161" customFormat="1" ht="12.75"/>
    <row r="42766" s="3161" customFormat="1" ht="12.75"/>
    <row r="42767" s="3161" customFormat="1" ht="12.75"/>
    <row r="42768" s="3161" customFormat="1" ht="12.75"/>
    <row r="42769" s="3161" customFormat="1" ht="12.75"/>
    <row r="42770" s="3161" customFormat="1" ht="12.75"/>
    <row r="42771" s="3161" customFormat="1" ht="12.75"/>
    <row r="42772" s="3161" customFormat="1" ht="12.75"/>
    <row r="42773" s="3161" customFormat="1" ht="12.75"/>
    <row r="42774" s="3161" customFormat="1" ht="12.75"/>
    <row r="42775" s="3161" customFormat="1" ht="12.75"/>
    <row r="42776" s="3161" customFormat="1" ht="12.75"/>
    <row r="42777" s="3161" customFormat="1" ht="12.75"/>
    <row r="42778" s="3161" customFormat="1" ht="12.75"/>
    <row r="42779" s="3161" customFormat="1" ht="12.75"/>
    <row r="42780" s="3161" customFormat="1" ht="12.75"/>
    <row r="42781" s="3161" customFormat="1" ht="12.75"/>
    <row r="42782" s="3161" customFormat="1" ht="12.75"/>
    <row r="42783" s="3161" customFormat="1" ht="12.75"/>
    <row r="42784" s="3161" customFormat="1" ht="12.75"/>
    <row r="42785" s="3161" customFormat="1" ht="12.75"/>
    <row r="42786" s="3161" customFormat="1" ht="12.75"/>
    <row r="42787" s="3161" customFormat="1" ht="12.75"/>
    <row r="42788" s="3161" customFormat="1" ht="12.75"/>
    <row r="42789" s="3161" customFormat="1" ht="12.75"/>
    <row r="42790" s="3161" customFormat="1" ht="12.75"/>
    <row r="42791" s="3161" customFormat="1" ht="12.75"/>
    <row r="42792" s="3161" customFormat="1" ht="12.75"/>
    <row r="42793" s="3161" customFormat="1" ht="12.75"/>
    <row r="42794" s="3161" customFormat="1" ht="12.75"/>
    <row r="42795" s="3161" customFormat="1" ht="12.75"/>
    <row r="42796" s="3161" customFormat="1" ht="12.75"/>
    <row r="42797" s="3161" customFormat="1" ht="12.75"/>
    <row r="42798" s="3161" customFormat="1" ht="12.75"/>
    <row r="42799" s="3161" customFormat="1" ht="12.75"/>
    <row r="42800" s="3161" customFormat="1" ht="12.75"/>
    <row r="42801" s="3161" customFormat="1" ht="12.75"/>
    <row r="42802" s="3161" customFormat="1" ht="12.75"/>
    <row r="42803" s="3161" customFormat="1" ht="12.75"/>
    <row r="42804" s="3161" customFormat="1" ht="12.75"/>
    <row r="42805" s="3161" customFormat="1" ht="12.75"/>
    <row r="42806" s="3161" customFormat="1" ht="12.75"/>
    <row r="42807" s="3161" customFormat="1" ht="12.75"/>
    <row r="42808" s="3161" customFormat="1" ht="12.75"/>
    <row r="42809" s="3161" customFormat="1" ht="12.75"/>
    <row r="42810" s="3161" customFormat="1" ht="12.75"/>
    <row r="42811" s="3161" customFormat="1" ht="12.75"/>
    <row r="42812" s="3161" customFormat="1" ht="12.75"/>
    <row r="42813" s="3161" customFormat="1" ht="12.75"/>
    <row r="42814" s="3161" customFormat="1" ht="12.75"/>
    <row r="42815" s="3161" customFormat="1" ht="12.75"/>
    <row r="42816" s="3161" customFormat="1" ht="12.75"/>
    <row r="42817" s="3161" customFormat="1" ht="12.75"/>
    <row r="42818" s="3161" customFormat="1" ht="12.75"/>
    <row r="42819" s="3161" customFormat="1" ht="12.75"/>
    <row r="42820" s="3161" customFormat="1" ht="12.75"/>
    <row r="42821" s="3161" customFormat="1" ht="12.75"/>
    <row r="42822" s="3161" customFormat="1" ht="12.75"/>
    <row r="42823" s="3161" customFormat="1" ht="12.75"/>
    <row r="42824" s="3161" customFormat="1" ht="12.75"/>
    <row r="42825" s="3161" customFormat="1" ht="12.75"/>
    <row r="42826" s="3161" customFormat="1" ht="12.75"/>
    <row r="42827" s="3161" customFormat="1" ht="12.75"/>
    <row r="42828" s="3161" customFormat="1" ht="12.75"/>
    <row r="42829" s="3161" customFormat="1" ht="12.75"/>
    <row r="42830" s="3161" customFormat="1" ht="12.75"/>
    <row r="42831" s="3161" customFormat="1" ht="12.75"/>
    <row r="42832" s="3161" customFormat="1" ht="12.75"/>
    <row r="42833" s="3161" customFormat="1" ht="12.75"/>
    <row r="42834" s="3161" customFormat="1" ht="12.75"/>
    <row r="42835" s="3161" customFormat="1" ht="12.75"/>
    <row r="42836" s="3161" customFormat="1" ht="12.75"/>
    <row r="42837" s="3161" customFormat="1" ht="12.75"/>
    <row r="42838" s="3161" customFormat="1" ht="12.75"/>
    <row r="42839" s="3161" customFormat="1" ht="12.75"/>
    <row r="42840" s="3161" customFormat="1" ht="12.75"/>
    <row r="42841" s="3161" customFormat="1" ht="12.75"/>
    <row r="42842" s="3161" customFormat="1" ht="12.75"/>
    <row r="42843" s="3161" customFormat="1" ht="12.75"/>
    <row r="42844" s="3161" customFormat="1" ht="12.75"/>
    <row r="42845" s="3161" customFormat="1" ht="12.75"/>
    <row r="42846" s="3161" customFormat="1" ht="12.75"/>
    <row r="42847" s="3161" customFormat="1" ht="12.75"/>
    <row r="42848" s="3161" customFormat="1" ht="12.75"/>
    <row r="42849" s="3161" customFormat="1" ht="12.75"/>
    <row r="42850" s="3161" customFormat="1" ht="12.75"/>
    <row r="42851" s="3161" customFormat="1" ht="12.75"/>
    <row r="42852" s="3161" customFormat="1" ht="12.75"/>
    <row r="42853" s="3161" customFormat="1" ht="12.75"/>
    <row r="42854" s="3161" customFormat="1" ht="12.75"/>
    <row r="42855" s="3161" customFormat="1" ht="12.75"/>
    <row r="42856" s="3161" customFormat="1" ht="12.75"/>
    <row r="42857" s="3161" customFormat="1" ht="12.75"/>
    <row r="42858" s="3161" customFormat="1" ht="12.75"/>
    <row r="42859" s="3161" customFormat="1" ht="12.75"/>
    <row r="42860" s="3161" customFormat="1" ht="12.75"/>
    <row r="42861" s="3161" customFormat="1" ht="12.75"/>
    <row r="42862" s="3161" customFormat="1" ht="12.75"/>
    <row r="42863" s="3161" customFormat="1" ht="12.75"/>
    <row r="42864" s="3161" customFormat="1" ht="12.75"/>
    <row r="42865" s="3161" customFormat="1" ht="12.75"/>
    <row r="42866" s="3161" customFormat="1" ht="12.75"/>
    <row r="42867" s="3161" customFormat="1" ht="12.75"/>
    <row r="42868" s="3161" customFormat="1" ht="12.75"/>
    <row r="42869" s="3161" customFormat="1" ht="12.75"/>
    <row r="42870" s="3161" customFormat="1" ht="12.75"/>
    <row r="42871" s="3161" customFormat="1" ht="12.75"/>
    <row r="42872" s="3161" customFormat="1" ht="12.75"/>
    <row r="42873" s="3161" customFormat="1" ht="12.75"/>
    <row r="42874" s="3161" customFormat="1" ht="12.75"/>
    <row r="42875" s="3161" customFormat="1" ht="12.75"/>
    <row r="42876" s="3161" customFormat="1" ht="12.75"/>
    <row r="42877" s="3161" customFormat="1" ht="12.75"/>
    <row r="42878" s="3161" customFormat="1" ht="12.75"/>
    <row r="42879" s="3161" customFormat="1" ht="12.75"/>
    <row r="42880" s="3161" customFormat="1" ht="12.75"/>
    <row r="42881" s="3161" customFormat="1" ht="12.75"/>
    <row r="42882" s="3161" customFormat="1" ht="12.75"/>
    <row r="42883" s="3161" customFormat="1" ht="12.75"/>
    <row r="42884" s="3161" customFormat="1" ht="12.75"/>
    <row r="42885" s="3161" customFormat="1" ht="12.75"/>
    <row r="42886" s="3161" customFormat="1" ht="12.75"/>
    <row r="42887" s="3161" customFormat="1" ht="12.75"/>
    <row r="42888" s="3161" customFormat="1" ht="12.75"/>
    <row r="42889" s="3161" customFormat="1" ht="12.75"/>
    <row r="42890" s="3161" customFormat="1" ht="12.75"/>
    <row r="42891" s="3161" customFormat="1" ht="12.75"/>
    <row r="42892" s="3161" customFormat="1" ht="12.75"/>
    <row r="42893" s="3161" customFormat="1" ht="12.75"/>
    <row r="42894" s="3161" customFormat="1" ht="12.75"/>
    <row r="42895" s="3161" customFormat="1" ht="12.75"/>
    <row r="42896" s="3161" customFormat="1" ht="12.75"/>
    <row r="42897" s="3161" customFormat="1" ht="12.75"/>
    <row r="42898" s="3161" customFormat="1" ht="12.75"/>
    <row r="42899" s="3161" customFormat="1" ht="12.75"/>
    <row r="42900" s="3161" customFormat="1" ht="12.75"/>
    <row r="42901" s="3161" customFormat="1" ht="12.75"/>
    <row r="42902" s="3161" customFormat="1" ht="12.75"/>
    <row r="42903" s="3161" customFormat="1" ht="12.75"/>
    <row r="42904" s="3161" customFormat="1" ht="12.75"/>
    <row r="42905" s="3161" customFormat="1" ht="12.75"/>
    <row r="42906" s="3161" customFormat="1" ht="12.75"/>
    <row r="42907" s="3161" customFormat="1" ht="12.75"/>
    <row r="42908" s="3161" customFormat="1" ht="12.75"/>
    <row r="42909" s="3161" customFormat="1" ht="12.75"/>
    <row r="42910" s="3161" customFormat="1" ht="12.75"/>
    <row r="42911" s="3161" customFormat="1" ht="12.75"/>
    <row r="42912" s="3161" customFormat="1" ht="12.75"/>
    <row r="42913" s="3161" customFormat="1" ht="12.75"/>
    <row r="42914" s="3161" customFormat="1" ht="12.75"/>
    <row r="42915" s="3161" customFormat="1" ht="12.75"/>
    <row r="42916" s="3161" customFormat="1" ht="12.75"/>
    <row r="42917" s="3161" customFormat="1" ht="12.75"/>
    <row r="42918" s="3161" customFormat="1" ht="12.75"/>
    <row r="42919" s="3161" customFormat="1" ht="12.75"/>
    <row r="42920" s="3161" customFormat="1" ht="12.75"/>
    <row r="42921" s="3161" customFormat="1" ht="12.75"/>
    <row r="42922" s="3161" customFormat="1" ht="12.75"/>
    <row r="42923" s="3161" customFormat="1" ht="12.75"/>
    <row r="42924" s="3161" customFormat="1" ht="12.75"/>
    <row r="42925" s="3161" customFormat="1" ht="12.75"/>
    <row r="42926" s="3161" customFormat="1" ht="12.75"/>
    <row r="42927" s="3161" customFormat="1" ht="12.75"/>
    <row r="42928" s="3161" customFormat="1" ht="12.75"/>
    <row r="42929" s="3161" customFormat="1" ht="12.75"/>
    <row r="42930" s="3161" customFormat="1" ht="12.75"/>
    <row r="42931" s="3161" customFormat="1" ht="12.75"/>
    <row r="42932" s="3161" customFormat="1" ht="12.75"/>
    <row r="42933" s="3161" customFormat="1" ht="12.75"/>
    <row r="42934" s="3161" customFormat="1" ht="12.75"/>
    <row r="42935" s="3161" customFormat="1" ht="12.75"/>
    <row r="42936" s="3161" customFormat="1" ht="12.75"/>
    <row r="42937" s="3161" customFormat="1" ht="12.75"/>
    <row r="42938" s="3161" customFormat="1" ht="12.75"/>
    <row r="42939" s="3161" customFormat="1" ht="12.75"/>
    <row r="42940" s="3161" customFormat="1" ht="12.75"/>
    <row r="42941" s="3161" customFormat="1" ht="12.75"/>
    <row r="42942" s="3161" customFormat="1" ht="12.75"/>
    <row r="42943" s="3161" customFormat="1" ht="12.75"/>
    <row r="42944" s="3161" customFormat="1" ht="12.75"/>
    <row r="42945" s="3161" customFormat="1" ht="12.75"/>
    <row r="42946" s="3161" customFormat="1" ht="12.75"/>
    <row r="42947" s="3161" customFormat="1" ht="12.75"/>
    <row r="42948" s="3161" customFormat="1" ht="12.75"/>
    <row r="42949" s="3161" customFormat="1" ht="12.75"/>
    <row r="42950" s="3161" customFormat="1" ht="12.75"/>
    <row r="42951" s="3161" customFormat="1" ht="12.75"/>
    <row r="42952" s="3161" customFormat="1" ht="12.75"/>
    <row r="42953" s="3161" customFormat="1" ht="12.75"/>
    <row r="42954" s="3161" customFormat="1" ht="12.75"/>
    <row r="42955" s="3161" customFormat="1" ht="12.75"/>
    <row r="42956" s="3161" customFormat="1" ht="12.75"/>
    <row r="42957" s="3161" customFormat="1" ht="12.75"/>
    <row r="42958" s="3161" customFormat="1" ht="12.75"/>
    <row r="42959" s="3161" customFormat="1" ht="12.75"/>
    <row r="42960" s="3161" customFormat="1" ht="12.75"/>
    <row r="42961" s="3161" customFormat="1" ht="12.75"/>
    <row r="42962" s="3161" customFormat="1" ht="12.75"/>
    <row r="42963" s="3161" customFormat="1" ht="12.75"/>
    <row r="42964" s="3161" customFormat="1" ht="12.75"/>
    <row r="42965" s="3161" customFormat="1" ht="12.75"/>
    <row r="42966" s="3161" customFormat="1" ht="12.75"/>
    <row r="42967" s="3161" customFormat="1" ht="12.75"/>
    <row r="42968" s="3161" customFormat="1" ht="12.75"/>
    <row r="42969" s="3161" customFormat="1" ht="12.75"/>
    <row r="42970" s="3161" customFormat="1" ht="12.75"/>
    <row r="42971" s="3161" customFormat="1" ht="12.75"/>
    <row r="42972" s="3161" customFormat="1" ht="12.75"/>
    <row r="42973" s="3161" customFormat="1" ht="12.75"/>
    <row r="42974" s="3161" customFormat="1" ht="12.75"/>
    <row r="42975" s="3161" customFormat="1" ht="12.75"/>
    <row r="42976" s="3161" customFormat="1" ht="12.75"/>
    <row r="42977" s="3161" customFormat="1" ht="12.75"/>
    <row r="42978" s="3161" customFormat="1" ht="12.75"/>
    <row r="42979" s="3161" customFormat="1" ht="12.75"/>
    <row r="42980" s="3161" customFormat="1" ht="12.75"/>
    <row r="42981" s="3161" customFormat="1" ht="12.75"/>
    <row r="42982" s="3161" customFormat="1" ht="12.75"/>
    <row r="42983" s="3161" customFormat="1" ht="12.75"/>
    <row r="42984" s="3161" customFormat="1" ht="12.75"/>
    <row r="42985" s="3161" customFormat="1" ht="12.75"/>
    <row r="42986" s="3161" customFormat="1" ht="12.75"/>
    <row r="42987" s="3161" customFormat="1" ht="12.75"/>
    <row r="42988" s="3161" customFormat="1" ht="12.75"/>
    <row r="42989" s="3161" customFormat="1" ht="12.75"/>
    <row r="42990" s="3161" customFormat="1" ht="12.75"/>
    <row r="42991" s="3161" customFormat="1" ht="12.75"/>
    <row r="42992" s="3161" customFormat="1" ht="12.75"/>
    <row r="42993" s="3161" customFormat="1" ht="12.75"/>
    <row r="42994" s="3161" customFormat="1" ht="12.75"/>
    <row r="42995" s="3161" customFormat="1" ht="12.75"/>
    <row r="42996" s="3161" customFormat="1" ht="12.75"/>
    <row r="42997" s="3161" customFormat="1" ht="12.75"/>
    <row r="42998" s="3161" customFormat="1" ht="12.75"/>
    <row r="42999" s="3161" customFormat="1" ht="12.75"/>
    <row r="43000" s="3161" customFormat="1" ht="12.75"/>
    <row r="43001" s="3161" customFormat="1" ht="12.75"/>
    <row r="43002" s="3161" customFormat="1" ht="12.75"/>
    <row r="43003" s="3161" customFormat="1" ht="12.75"/>
    <row r="43004" s="3161" customFormat="1" ht="12.75"/>
    <row r="43005" s="3161" customFormat="1" ht="12.75"/>
    <row r="43006" s="3161" customFormat="1" ht="12.75"/>
    <row r="43007" s="3161" customFormat="1" ht="12.75"/>
    <row r="43008" s="3161" customFormat="1" ht="12.75"/>
    <row r="43009" s="3161" customFormat="1" ht="12.75"/>
    <row r="43010" s="3161" customFormat="1" ht="12.75"/>
    <row r="43011" s="3161" customFormat="1" ht="12.75"/>
    <row r="43012" s="3161" customFormat="1" ht="12.75"/>
    <row r="43013" s="3161" customFormat="1" ht="12.75"/>
    <row r="43014" s="3161" customFormat="1" ht="12.75"/>
    <row r="43015" s="3161" customFormat="1" ht="12.75"/>
    <row r="43016" s="3161" customFormat="1" ht="12.75"/>
    <row r="43017" s="3161" customFormat="1" ht="12.75"/>
    <row r="43018" s="3161" customFormat="1" ht="12.75"/>
    <row r="43019" s="3161" customFormat="1" ht="12.75"/>
    <row r="43020" s="3161" customFormat="1" ht="12.75"/>
    <row r="43021" s="3161" customFormat="1" ht="12.75"/>
    <row r="43022" s="3161" customFormat="1" ht="12.75"/>
    <row r="43023" s="3161" customFormat="1" ht="12.75"/>
    <row r="43024" s="3161" customFormat="1" ht="12.75"/>
    <row r="43025" s="3161" customFormat="1" ht="12.75"/>
    <row r="43026" s="3161" customFormat="1" ht="12.75"/>
    <row r="43027" s="3161" customFormat="1" ht="12.75"/>
    <row r="43028" s="3161" customFormat="1" ht="12.75"/>
    <row r="43029" s="3161" customFormat="1" ht="12.75"/>
    <row r="43030" s="3161" customFormat="1" ht="12.75"/>
    <row r="43031" s="3161" customFormat="1" ht="12.75"/>
    <row r="43032" s="3161" customFormat="1" ht="12.75"/>
    <row r="43033" s="3161" customFormat="1" ht="12.75"/>
    <row r="43034" s="3161" customFormat="1" ht="12.75"/>
    <row r="43035" s="3161" customFormat="1" ht="12.75"/>
    <row r="43036" s="3161" customFormat="1" ht="12.75"/>
    <row r="43037" s="3161" customFormat="1" ht="12.75"/>
    <row r="43038" s="3161" customFormat="1" ht="12.75"/>
    <row r="43039" s="3161" customFormat="1" ht="12.75"/>
    <row r="43040" s="3161" customFormat="1" ht="12.75"/>
    <row r="43041" s="3161" customFormat="1" ht="12.75"/>
    <row r="43042" s="3161" customFormat="1" ht="12.75"/>
    <row r="43043" s="3161" customFormat="1" ht="12.75"/>
    <row r="43044" s="3161" customFormat="1" ht="12.75"/>
    <row r="43045" s="3161" customFormat="1" ht="12.75"/>
    <row r="43046" s="3161" customFormat="1" ht="12.75"/>
    <row r="43047" s="3161" customFormat="1" ht="12.75"/>
    <row r="43048" s="3161" customFormat="1" ht="12.75"/>
    <row r="43049" s="3161" customFormat="1" ht="12.75"/>
    <row r="43050" s="3161" customFormat="1" ht="12.75"/>
    <row r="43051" s="3161" customFormat="1" ht="12.75"/>
    <row r="43052" s="3161" customFormat="1" ht="12.75"/>
    <row r="43053" s="3161" customFormat="1" ht="12.75"/>
    <row r="43054" s="3161" customFormat="1" ht="12.75"/>
    <row r="43055" s="3161" customFormat="1" ht="12.75"/>
    <row r="43056" s="3161" customFormat="1" ht="12.75"/>
    <row r="43057" s="3161" customFormat="1" ht="12.75"/>
    <row r="43058" s="3161" customFormat="1" ht="12.75"/>
    <row r="43059" s="3161" customFormat="1" ht="12.75"/>
    <row r="43060" s="3161" customFormat="1" ht="12.75"/>
    <row r="43061" s="3161" customFormat="1" ht="12.75"/>
    <row r="43062" s="3161" customFormat="1" ht="12.75"/>
    <row r="43063" s="3161" customFormat="1" ht="12.75"/>
    <row r="43064" s="3161" customFormat="1" ht="12.75"/>
    <row r="43065" s="3161" customFormat="1" ht="12.75"/>
    <row r="43066" s="3161" customFormat="1" ht="12.75"/>
    <row r="43067" s="3161" customFormat="1" ht="12.75"/>
    <row r="43068" s="3161" customFormat="1" ht="12.75"/>
    <row r="43069" s="3161" customFormat="1" ht="12.75"/>
    <row r="43070" s="3161" customFormat="1" ht="12.75"/>
    <row r="43071" s="3161" customFormat="1" ht="12.75"/>
    <row r="43072" s="3161" customFormat="1" ht="12.75"/>
    <row r="43073" s="3161" customFormat="1" ht="12.75"/>
    <row r="43074" s="3161" customFormat="1" ht="12.75"/>
    <row r="43075" s="3161" customFormat="1" ht="12.75"/>
    <row r="43076" s="3161" customFormat="1" ht="12.75"/>
    <row r="43077" s="3161" customFormat="1" ht="12.75"/>
    <row r="43078" s="3161" customFormat="1" ht="12.75"/>
    <row r="43079" s="3161" customFormat="1" ht="12.75"/>
    <row r="43080" s="3161" customFormat="1" ht="12.75"/>
    <row r="43081" s="3161" customFormat="1" ht="12.75"/>
    <row r="43082" s="3161" customFormat="1" ht="12.75"/>
    <row r="43083" s="3161" customFormat="1" ht="12.75"/>
    <row r="43084" s="3161" customFormat="1" ht="12.75"/>
    <row r="43085" s="3161" customFormat="1" ht="12.75"/>
    <row r="43086" s="3161" customFormat="1" ht="12.75"/>
    <row r="43087" s="3161" customFormat="1" ht="12.75"/>
    <row r="43088" s="3161" customFormat="1" ht="12.75"/>
    <row r="43089" s="3161" customFormat="1" ht="12.75"/>
    <row r="43090" s="3161" customFormat="1" ht="12.75"/>
    <row r="43091" s="3161" customFormat="1" ht="12.75"/>
    <row r="43092" s="3161" customFormat="1" ht="12.75"/>
    <row r="43093" s="3161" customFormat="1" ht="12.75"/>
    <row r="43094" s="3161" customFormat="1" ht="12.75"/>
    <row r="43095" s="3161" customFormat="1" ht="12.75"/>
    <row r="43096" s="3161" customFormat="1" ht="12.75"/>
    <row r="43097" s="3161" customFormat="1" ht="12.75"/>
    <row r="43098" s="3161" customFormat="1" ht="12.75"/>
    <row r="43099" s="3161" customFormat="1" ht="12.75"/>
    <row r="43100" s="3161" customFormat="1" ht="12.75"/>
    <row r="43101" s="3161" customFormat="1" ht="12.75"/>
    <row r="43102" s="3161" customFormat="1" ht="12.75"/>
    <row r="43103" s="3161" customFormat="1" ht="12.75"/>
    <row r="43104" s="3161" customFormat="1" ht="12.75"/>
    <row r="43105" s="3161" customFormat="1" ht="12.75"/>
    <row r="43106" s="3161" customFormat="1" ht="12.75"/>
    <row r="43107" s="3161" customFormat="1" ht="12.75"/>
    <row r="43108" s="3161" customFormat="1" ht="12.75"/>
    <row r="43109" s="3161" customFormat="1" ht="12.75"/>
    <row r="43110" s="3161" customFormat="1" ht="12.75"/>
    <row r="43111" s="3161" customFormat="1" ht="12.75"/>
    <row r="43112" s="3161" customFormat="1" ht="12.75"/>
    <row r="43113" s="3161" customFormat="1" ht="12.75"/>
    <row r="43114" s="3161" customFormat="1" ht="12.75"/>
    <row r="43115" s="3161" customFormat="1" ht="12.75"/>
    <row r="43116" s="3161" customFormat="1" ht="12.75"/>
    <row r="43117" s="3161" customFormat="1" ht="12.75"/>
    <row r="43118" s="3161" customFormat="1" ht="12.75"/>
    <row r="43119" s="3161" customFormat="1" ht="12.75"/>
    <row r="43120" s="3161" customFormat="1" ht="12.75"/>
    <row r="43121" s="3161" customFormat="1" ht="12.75"/>
    <row r="43122" s="3161" customFormat="1" ht="12.75"/>
    <row r="43123" s="3161" customFormat="1" ht="12.75"/>
    <row r="43124" s="3161" customFormat="1" ht="12.75"/>
    <row r="43125" s="3161" customFormat="1" ht="12.75"/>
    <row r="43126" s="3161" customFormat="1" ht="12.75"/>
    <row r="43127" s="3161" customFormat="1" ht="12.75"/>
    <row r="43128" s="3161" customFormat="1" ht="12.75"/>
    <row r="43129" s="3161" customFormat="1" ht="12.75"/>
    <row r="43130" s="3161" customFormat="1" ht="12.75"/>
    <row r="43131" s="3161" customFormat="1" ht="12.75"/>
    <row r="43132" s="3161" customFormat="1" ht="12.75"/>
    <row r="43133" s="3161" customFormat="1" ht="12.75"/>
    <row r="43134" s="3161" customFormat="1" ht="12.75"/>
    <row r="43135" s="3161" customFormat="1" ht="12.75"/>
    <row r="43136" s="3161" customFormat="1" ht="12.75"/>
    <row r="43137" s="3161" customFormat="1" ht="12.75"/>
    <row r="43138" s="3161" customFormat="1" ht="12.75"/>
    <row r="43139" s="3161" customFormat="1" ht="12.75"/>
    <row r="43140" s="3161" customFormat="1" ht="12.75"/>
    <row r="43141" s="3161" customFormat="1" ht="12.75"/>
    <row r="43142" s="3161" customFormat="1" ht="12.75"/>
    <row r="43143" s="3161" customFormat="1" ht="12.75"/>
    <row r="43144" s="3161" customFormat="1" ht="12.75"/>
    <row r="43145" s="3161" customFormat="1" ht="12.75"/>
    <row r="43146" s="3161" customFormat="1" ht="12.75"/>
    <row r="43147" s="3161" customFormat="1" ht="12.75"/>
    <row r="43148" s="3161" customFormat="1" ht="12.75"/>
    <row r="43149" s="3161" customFormat="1" ht="12.75"/>
    <row r="43150" s="3161" customFormat="1" ht="12.75"/>
    <row r="43151" s="3161" customFormat="1" ht="12.75"/>
    <row r="43152" s="3161" customFormat="1" ht="12.75"/>
    <row r="43153" s="3161" customFormat="1" ht="12.75"/>
    <row r="43154" s="3161" customFormat="1" ht="12.75"/>
    <row r="43155" s="3161" customFormat="1" ht="12.75"/>
    <row r="43156" s="3161" customFormat="1" ht="12.75"/>
    <row r="43157" s="3161" customFormat="1" ht="12.75"/>
    <row r="43158" s="3161" customFormat="1" ht="12.75"/>
    <row r="43159" s="3161" customFormat="1" ht="12.75"/>
    <row r="43160" s="3161" customFormat="1" ht="12.75"/>
    <row r="43161" s="3161" customFormat="1" ht="12.75"/>
    <row r="43162" s="3161" customFormat="1" ht="12.75"/>
    <row r="43163" s="3161" customFormat="1" ht="12.75"/>
    <row r="43164" s="3161" customFormat="1" ht="12.75"/>
    <row r="43165" s="3161" customFormat="1" ht="12.75"/>
    <row r="43166" s="3161" customFormat="1" ht="12.75"/>
    <row r="43167" s="3161" customFormat="1" ht="12.75"/>
    <row r="43168" s="3161" customFormat="1" ht="12.75"/>
    <row r="43169" s="3161" customFormat="1" ht="12.75"/>
    <row r="43170" s="3161" customFormat="1" ht="12.75"/>
    <row r="43171" s="3161" customFormat="1" ht="12.75"/>
    <row r="43172" s="3161" customFormat="1" ht="12.75"/>
    <row r="43173" s="3161" customFormat="1" ht="12.75"/>
    <row r="43174" s="3161" customFormat="1" ht="12.75"/>
    <row r="43175" s="3161" customFormat="1" ht="12.75"/>
    <row r="43176" s="3161" customFormat="1" ht="12.75"/>
    <row r="43177" s="3161" customFormat="1" ht="12.75"/>
    <row r="43178" s="3161" customFormat="1" ht="12.75"/>
    <row r="43179" s="3161" customFormat="1" ht="12.75"/>
    <row r="43180" s="3161" customFormat="1" ht="12.75"/>
    <row r="43181" s="3161" customFormat="1" ht="12.75"/>
    <row r="43182" s="3161" customFormat="1" ht="12.75"/>
    <row r="43183" s="3161" customFormat="1" ht="12.75"/>
    <row r="43184" s="3161" customFormat="1" ht="12.75"/>
    <row r="43185" s="3161" customFormat="1" ht="12.75"/>
    <row r="43186" s="3161" customFormat="1" ht="12.75"/>
    <row r="43187" s="3161" customFormat="1" ht="12.75"/>
    <row r="43188" s="3161" customFormat="1" ht="12.75"/>
    <row r="43189" s="3161" customFormat="1" ht="12.75"/>
    <row r="43190" s="3161" customFormat="1" ht="12.75"/>
    <row r="43191" s="3161" customFormat="1" ht="12.75"/>
    <row r="43192" s="3161" customFormat="1" ht="12.75"/>
    <row r="43193" s="3161" customFormat="1" ht="12.75"/>
    <row r="43194" s="3161" customFormat="1" ht="12.75"/>
    <row r="43195" s="3161" customFormat="1" ht="12.75"/>
    <row r="43196" s="3161" customFormat="1" ht="12.75"/>
    <row r="43197" s="3161" customFormat="1" ht="12.75"/>
    <row r="43198" s="3161" customFormat="1" ht="12.75"/>
    <row r="43199" s="3161" customFormat="1" ht="12.75"/>
    <row r="43200" s="3161" customFormat="1" ht="12.75"/>
    <row r="43201" s="3161" customFormat="1" ht="12.75"/>
    <row r="43202" s="3161" customFormat="1" ht="12.75"/>
    <row r="43203" s="3161" customFormat="1" ht="12.75"/>
    <row r="43204" s="3161" customFormat="1" ht="12.75"/>
    <row r="43205" s="3161" customFormat="1" ht="12.75"/>
    <row r="43206" s="3161" customFormat="1" ht="12.75"/>
    <row r="43207" s="3161" customFormat="1" ht="12.75"/>
    <row r="43208" s="3161" customFormat="1" ht="12.75"/>
    <row r="43209" s="3161" customFormat="1" ht="12.75"/>
    <row r="43210" s="3161" customFormat="1" ht="12.75"/>
    <row r="43211" s="3161" customFormat="1" ht="12.75"/>
    <row r="43212" s="3161" customFormat="1" ht="12.75"/>
    <row r="43213" s="3161" customFormat="1" ht="12.75"/>
    <row r="43214" s="3161" customFormat="1" ht="12.75"/>
    <row r="43215" s="3161" customFormat="1" ht="12.75"/>
    <row r="43216" s="3161" customFormat="1" ht="12.75"/>
    <row r="43217" s="3161" customFormat="1" ht="12.75"/>
    <row r="43218" s="3161" customFormat="1" ht="12.75"/>
    <row r="43219" s="3161" customFormat="1" ht="12.75"/>
    <row r="43220" s="3161" customFormat="1" ht="12.75"/>
    <row r="43221" s="3161" customFormat="1" ht="12.75"/>
    <row r="43222" s="3161" customFormat="1" ht="12.75"/>
    <row r="43223" s="3161" customFormat="1" ht="12.75"/>
    <row r="43224" s="3161" customFormat="1" ht="12.75"/>
    <row r="43225" s="3161" customFormat="1" ht="12.75"/>
    <row r="43226" s="3161" customFormat="1" ht="12.75"/>
    <row r="43227" s="3161" customFormat="1" ht="12.75"/>
    <row r="43228" s="3161" customFormat="1" ht="12.75"/>
    <row r="43229" s="3161" customFormat="1" ht="12.75"/>
    <row r="43230" s="3161" customFormat="1" ht="12.75"/>
    <row r="43231" s="3161" customFormat="1" ht="12.75"/>
    <row r="43232" s="3161" customFormat="1" ht="12.75"/>
    <row r="43233" s="3161" customFormat="1" ht="12.75"/>
    <row r="43234" s="3161" customFormat="1" ht="12.75"/>
    <row r="43235" s="3161" customFormat="1" ht="12.75"/>
    <row r="43236" s="3161" customFormat="1" ht="12.75"/>
    <row r="43237" s="3161" customFormat="1" ht="12.75"/>
    <row r="43238" s="3161" customFormat="1" ht="12.75"/>
    <row r="43239" s="3161" customFormat="1" ht="12.75"/>
    <row r="43240" s="3161" customFormat="1" ht="12.75"/>
    <row r="43241" s="3161" customFormat="1" ht="12.75"/>
    <row r="43242" s="3161" customFormat="1" ht="12.75"/>
    <row r="43243" s="3161" customFormat="1" ht="12.75"/>
    <row r="43244" s="3161" customFormat="1" ht="12.75"/>
    <row r="43245" s="3161" customFormat="1" ht="12.75"/>
    <row r="43246" s="3161" customFormat="1" ht="12.75"/>
    <row r="43247" s="3161" customFormat="1" ht="12.75"/>
    <row r="43248" s="3161" customFormat="1" ht="12.75"/>
    <row r="43249" s="3161" customFormat="1" ht="12.75"/>
    <row r="43250" s="3161" customFormat="1" ht="12.75"/>
    <row r="43251" s="3161" customFormat="1" ht="12.75"/>
    <row r="43252" s="3161" customFormat="1" ht="12.75"/>
    <row r="43253" s="3161" customFormat="1" ht="12.75"/>
    <row r="43254" s="3161" customFormat="1" ht="12.75"/>
    <row r="43255" s="3161" customFormat="1" ht="12.75"/>
    <row r="43256" s="3161" customFormat="1" ht="12.75"/>
    <row r="43257" s="3161" customFormat="1" ht="12.75"/>
    <row r="43258" s="3161" customFormat="1" ht="12.75"/>
    <row r="43259" s="3161" customFormat="1" ht="12.75"/>
    <row r="43260" s="3161" customFormat="1" ht="12.75"/>
    <row r="43261" s="3161" customFormat="1" ht="12.75"/>
    <row r="43262" s="3161" customFormat="1" ht="12.75"/>
    <row r="43263" s="3161" customFormat="1" ht="12.75"/>
    <row r="43264" s="3161" customFormat="1" ht="12.75"/>
    <row r="43265" s="3161" customFormat="1" ht="12.75"/>
    <row r="43266" s="3161" customFormat="1" ht="12.75"/>
    <row r="43267" s="3161" customFormat="1" ht="12.75"/>
    <row r="43268" s="3161" customFormat="1" ht="12.75"/>
    <row r="43269" s="3161" customFormat="1" ht="12.75"/>
    <row r="43270" s="3161" customFormat="1" ht="12.75"/>
    <row r="43271" s="3161" customFormat="1" ht="12.75"/>
    <row r="43272" s="3161" customFormat="1" ht="12.75"/>
    <row r="43273" s="3161" customFormat="1" ht="12.75"/>
    <row r="43274" s="3161" customFormat="1" ht="12.75"/>
    <row r="43275" s="3161" customFormat="1" ht="12.75"/>
    <row r="43276" s="3161" customFormat="1" ht="12.75"/>
    <row r="43277" s="3161" customFormat="1" ht="12.75"/>
    <row r="43278" s="3161" customFormat="1" ht="12.75"/>
    <row r="43279" s="3161" customFormat="1" ht="12.75"/>
    <row r="43280" s="3161" customFormat="1" ht="12.75"/>
    <row r="43281" s="3161" customFormat="1" ht="12.75"/>
    <row r="43282" s="3161" customFormat="1" ht="12.75"/>
    <row r="43283" s="3161" customFormat="1" ht="12.75"/>
    <row r="43284" s="3161" customFormat="1" ht="12.75"/>
    <row r="43285" s="3161" customFormat="1" ht="12.75"/>
    <row r="43286" s="3161" customFormat="1" ht="12.75"/>
    <row r="43287" s="3161" customFormat="1" ht="12.75"/>
    <row r="43288" s="3161" customFormat="1" ht="12.75"/>
    <row r="43289" s="3161" customFormat="1" ht="12.75"/>
    <row r="43290" s="3161" customFormat="1" ht="12.75"/>
    <row r="43291" s="3161" customFormat="1" ht="12.75"/>
    <row r="43292" s="3161" customFormat="1" ht="12.75"/>
    <row r="43293" s="3161" customFormat="1" ht="12.75"/>
    <row r="43294" s="3161" customFormat="1" ht="12.75"/>
    <row r="43295" s="3161" customFormat="1" ht="12.75"/>
    <row r="43296" s="3161" customFormat="1" ht="12.75"/>
    <row r="43297" s="3161" customFormat="1" ht="12.75"/>
    <row r="43298" s="3161" customFormat="1" ht="12.75"/>
    <row r="43299" s="3161" customFormat="1" ht="12.75"/>
    <row r="43300" s="3161" customFormat="1" ht="12.75"/>
    <row r="43301" s="3161" customFormat="1" ht="12.75"/>
    <row r="43302" s="3161" customFormat="1" ht="12.75"/>
    <row r="43303" s="3161" customFormat="1" ht="12.75"/>
    <row r="43304" s="3161" customFormat="1" ht="12.75"/>
    <row r="43305" s="3161" customFormat="1" ht="12.75"/>
    <row r="43306" s="3161" customFormat="1" ht="12.75"/>
    <row r="43307" s="3161" customFormat="1" ht="12.75"/>
    <row r="43308" s="3161" customFormat="1" ht="12.75"/>
    <row r="43309" s="3161" customFormat="1" ht="12.75"/>
    <row r="43310" s="3161" customFormat="1" ht="12.75"/>
    <row r="43311" s="3161" customFormat="1" ht="12.75"/>
    <row r="43312" s="3161" customFormat="1" ht="12.75"/>
    <row r="43313" s="3161" customFormat="1" ht="12.75"/>
    <row r="43314" s="3161" customFormat="1" ht="12.75"/>
    <row r="43315" s="3161" customFormat="1" ht="12.75"/>
    <row r="43316" s="3161" customFormat="1" ht="12.75"/>
    <row r="43317" s="3161" customFormat="1" ht="12.75"/>
    <row r="43318" s="3161" customFormat="1" ht="12.75"/>
    <row r="43319" s="3161" customFormat="1" ht="12.75"/>
    <row r="43320" s="3161" customFormat="1" ht="12.75"/>
    <row r="43321" s="3161" customFormat="1" ht="12.75"/>
    <row r="43322" s="3161" customFormat="1" ht="12.75"/>
    <row r="43323" s="3161" customFormat="1" ht="12.75"/>
    <row r="43324" s="3161" customFormat="1" ht="12.75"/>
    <row r="43325" s="3161" customFormat="1" ht="12.75"/>
    <row r="43326" s="3161" customFormat="1" ht="12.75"/>
    <row r="43327" s="3161" customFormat="1" ht="12.75"/>
    <row r="43328" s="3161" customFormat="1" ht="12.75"/>
    <row r="43329" s="3161" customFormat="1" ht="12.75"/>
    <row r="43330" s="3161" customFormat="1" ht="12.75"/>
    <row r="43331" s="3161" customFormat="1" ht="12.75"/>
    <row r="43332" s="3161" customFormat="1" ht="12.75"/>
    <row r="43333" s="3161" customFormat="1" ht="12.75"/>
    <row r="43334" s="3161" customFormat="1" ht="12.75"/>
    <row r="43335" s="3161" customFormat="1" ht="12.75"/>
    <row r="43336" s="3161" customFormat="1" ht="12.75"/>
    <row r="43337" s="3161" customFormat="1" ht="12.75"/>
    <row r="43338" s="3161" customFormat="1" ht="12.75"/>
    <row r="43339" s="3161" customFormat="1" ht="12.75"/>
    <row r="43340" s="3161" customFormat="1" ht="12.75"/>
    <row r="43341" s="3161" customFormat="1" ht="12.75"/>
    <row r="43342" s="3161" customFormat="1" ht="12.75"/>
    <row r="43343" s="3161" customFormat="1" ht="12.75"/>
    <row r="43344" s="3161" customFormat="1" ht="12.75"/>
    <row r="43345" s="3161" customFormat="1" ht="12.75"/>
    <row r="43346" s="3161" customFormat="1" ht="12.75"/>
    <row r="43347" s="3161" customFormat="1" ht="12.75"/>
    <row r="43348" s="3161" customFormat="1" ht="12.75"/>
    <row r="43349" s="3161" customFormat="1" ht="12.75"/>
    <row r="43350" s="3161" customFormat="1" ht="12.75"/>
    <row r="43351" s="3161" customFormat="1" ht="12.75"/>
    <row r="43352" s="3161" customFormat="1" ht="12.75"/>
    <row r="43353" s="3161" customFormat="1" ht="12.75"/>
    <row r="43354" s="3161" customFormat="1" ht="12.75"/>
    <row r="43355" s="3161" customFormat="1" ht="12.75"/>
    <row r="43356" s="3161" customFormat="1" ht="12.75"/>
    <row r="43357" s="3161" customFormat="1" ht="12.75"/>
    <row r="43358" s="3161" customFormat="1" ht="12.75"/>
    <row r="43359" s="3161" customFormat="1" ht="12.75"/>
    <row r="43360" s="3161" customFormat="1" ht="12.75"/>
    <row r="43361" s="3161" customFormat="1" ht="12.75"/>
    <row r="43362" s="3161" customFormat="1" ht="12.75"/>
    <row r="43363" s="3161" customFormat="1" ht="12.75"/>
    <row r="43364" s="3161" customFormat="1" ht="12.75"/>
    <row r="43365" s="3161" customFormat="1" ht="12.75"/>
    <row r="43366" s="3161" customFormat="1" ht="12.75"/>
    <row r="43367" s="3161" customFormat="1" ht="12.75"/>
    <row r="43368" s="3161" customFormat="1" ht="12.75"/>
    <row r="43369" s="3161" customFormat="1" ht="12.75"/>
    <row r="43370" s="3161" customFormat="1" ht="12.75"/>
    <row r="43371" s="3161" customFormat="1" ht="12.75"/>
    <row r="43372" s="3161" customFormat="1" ht="12.75"/>
    <row r="43373" s="3161" customFormat="1" ht="12.75"/>
    <row r="43374" s="3161" customFormat="1" ht="12.75"/>
    <row r="43375" s="3161" customFormat="1" ht="12.75"/>
    <row r="43376" s="3161" customFormat="1" ht="12.75"/>
    <row r="43377" s="3161" customFormat="1" ht="12.75"/>
    <row r="43378" s="3161" customFormat="1" ht="12.75"/>
    <row r="43379" s="3161" customFormat="1" ht="12.75"/>
    <row r="43380" s="3161" customFormat="1" ht="12.75"/>
    <row r="43381" s="3161" customFormat="1" ht="12.75"/>
    <row r="43382" s="3161" customFormat="1" ht="12.75"/>
    <row r="43383" s="3161" customFormat="1" ht="12.75"/>
    <row r="43384" s="3161" customFormat="1" ht="12.75"/>
    <row r="43385" s="3161" customFormat="1" ht="12.75"/>
    <row r="43386" s="3161" customFormat="1" ht="12.75"/>
    <row r="43387" s="3161" customFormat="1" ht="12.75"/>
    <row r="43388" s="3161" customFormat="1" ht="12.75"/>
    <row r="43389" s="3161" customFormat="1" ht="12.75"/>
    <row r="43390" s="3161" customFormat="1" ht="12.75"/>
    <row r="43391" s="3161" customFormat="1" ht="12.75"/>
    <row r="43392" s="3161" customFormat="1" ht="12.75"/>
    <row r="43393" s="3161" customFormat="1" ht="12.75"/>
    <row r="43394" s="3161" customFormat="1" ht="12.75"/>
    <row r="43395" s="3161" customFormat="1" ht="12.75"/>
    <row r="43396" s="3161" customFormat="1" ht="12.75"/>
    <row r="43397" s="3161" customFormat="1" ht="12.75"/>
    <row r="43398" s="3161" customFormat="1" ht="12.75"/>
    <row r="43399" s="3161" customFormat="1" ht="12.75"/>
    <row r="43400" s="3161" customFormat="1" ht="12.75"/>
    <row r="43401" s="3161" customFormat="1" ht="12.75"/>
    <row r="43402" s="3161" customFormat="1" ht="12.75"/>
    <row r="43403" s="3161" customFormat="1" ht="12.75"/>
    <row r="43404" s="3161" customFormat="1" ht="12.75"/>
    <row r="43405" s="3161" customFormat="1" ht="12.75"/>
    <row r="43406" s="3161" customFormat="1" ht="12.75"/>
    <row r="43407" s="3161" customFormat="1" ht="12.75"/>
    <row r="43408" s="3161" customFormat="1" ht="12.75"/>
    <row r="43409" s="3161" customFormat="1" ht="12.75"/>
    <row r="43410" s="3161" customFormat="1" ht="12.75"/>
    <row r="43411" s="3161" customFormat="1" ht="12.75"/>
    <row r="43412" s="3161" customFormat="1" ht="12.75"/>
    <row r="43413" s="3161" customFormat="1" ht="12.75"/>
    <row r="43414" s="3161" customFormat="1" ht="12.75"/>
    <row r="43415" s="3161" customFormat="1" ht="12.75"/>
    <row r="43416" s="3161" customFormat="1" ht="12.75"/>
    <row r="43417" s="3161" customFormat="1" ht="12.75"/>
    <row r="43418" s="3161" customFormat="1" ht="12.75"/>
    <row r="43419" s="3161" customFormat="1" ht="12.75"/>
    <row r="43420" s="3161" customFormat="1" ht="12.75"/>
    <row r="43421" s="3161" customFormat="1" ht="12.75"/>
    <row r="43422" s="3161" customFormat="1" ht="12.75"/>
    <row r="43423" s="3161" customFormat="1" ht="12.75"/>
    <row r="43424" s="3161" customFormat="1" ht="12.75"/>
    <row r="43425" s="3161" customFormat="1" ht="12.75"/>
    <row r="43426" s="3161" customFormat="1" ht="12.75"/>
    <row r="43427" s="3161" customFormat="1" ht="12.75"/>
    <row r="43428" s="3161" customFormat="1" ht="12.75"/>
    <row r="43429" s="3161" customFormat="1" ht="12.75"/>
    <row r="43430" s="3161" customFormat="1" ht="12.75"/>
    <row r="43431" s="3161" customFormat="1" ht="12.75"/>
    <row r="43432" s="3161" customFormat="1" ht="12.75"/>
    <row r="43433" s="3161" customFormat="1" ht="12.75"/>
    <row r="43434" s="3161" customFormat="1" ht="12.75"/>
    <row r="43435" s="3161" customFormat="1" ht="12.75"/>
    <row r="43436" s="3161" customFormat="1" ht="12.75"/>
    <row r="43437" s="3161" customFormat="1" ht="12.75"/>
    <row r="43438" s="3161" customFormat="1" ht="12.75"/>
    <row r="43439" s="3161" customFormat="1" ht="12.75"/>
    <row r="43440" s="3161" customFormat="1" ht="12.75"/>
    <row r="43441" s="3161" customFormat="1" ht="12.75"/>
    <row r="43442" s="3161" customFormat="1" ht="12.75"/>
    <row r="43443" s="3161" customFormat="1" ht="12.75"/>
    <row r="43444" s="3161" customFormat="1" ht="12.75"/>
    <row r="43445" s="3161" customFormat="1" ht="12.75"/>
    <row r="43446" s="3161" customFormat="1" ht="12.75"/>
    <row r="43447" s="3161" customFormat="1" ht="12.75"/>
    <row r="43448" s="3161" customFormat="1" ht="12.75"/>
    <row r="43449" s="3161" customFormat="1" ht="12.75"/>
    <row r="43450" s="3161" customFormat="1" ht="12.75"/>
    <row r="43451" s="3161" customFormat="1" ht="12.75"/>
    <row r="43452" s="3161" customFormat="1" ht="12.75"/>
    <row r="43453" s="3161" customFormat="1" ht="12.75"/>
    <row r="43454" s="3161" customFormat="1" ht="12.75"/>
    <row r="43455" s="3161" customFormat="1" ht="12.75"/>
    <row r="43456" s="3161" customFormat="1" ht="12.75"/>
    <row r="43457" s="3161" customFormat="1" ht="12.75"/>
    <row r="43458" s="3161" customFormat="1" ht="12.75"/>
    <row r="43459" s="3161" customFormat="1" ht="12.75"/>
    <row r="43460" s="3161" customFormat="1" ht="12.75"/>
    <row r="43461" s="3161" customFormat="1" ht="12.75"/>
    <row r="43462" s="3161" customFormat="1" ht="12.75"/>
    <row r="43463" s="3161" customFormat="1" ht="12.75"/>
    <row r="43464" s="3161" customFormat="1" ht="12.75"/>
    <row r="43465" s="3161" customFormat="1" ht="12.75"/>
    <row r="43466" s="3161" customFormat="1" ht="12.75"/>
    <row r="43467" s="3161" customFormat="1" ht="12.75"/>
    <row r="43468" s="3161" customFormat="1" ht="12.75"/>
    <row r="43469" s="3161" customFormat="1" ht="12.75"/>
    <row r="43470" s="3161" customFormat="1" ht="12.75"/>
    <row r="43471" s="3161" customFormat="1" ht="12.75"/>
    <row r="43472" s="3161" customFormat="1" ht="12.75"/>
    <row r="43473" s="3161" customFormat="1" ht="12.75"/>
    <row r="43474" s="3161" customFormat="1" ht="12.75"/>
    <row r="43475" s="3161" customFormat="1" ht="12.75"/>
    <row r="43476" s="3161" customFormat="1" ht="12.75"/>
    <row r="43477" s="3161" customFormat="1" ht="12.75"/>
    <row r="43478" s="3161" customFormat="1" ht="12.75"/>
    <row r="43479" s="3161" customFormat="1" ht="12.75"/>
    <row r="43480" s="3161" customFormat="1" ht="12.75"/>
    <row r="43481" s="3161" customFormat="1" ht="12.75"/>
    <row r="43482" s="3161" customFormat="1" ht="12.75"/>
    <row r="43483" s="3161" customFormat="1" ht="12.75"/>
    <row r="43484" s="3161" customFormat="1" ht="12.75"/>
    <row r="43485" s="3161" customFormat="1" ht="12.75"/>
    <row r="43486" s="3161" customFormat="1" ht="12.75"/>
    <row r="43487" s="3161" customFormat="1" ht="12.75"/>
    <row r="43488" s="3161" customFormat="1" ht="12.75"/>
    <row r="43489" s="3161" customFormat="1" ht="12.75"/>
    <row r="43490" s="3161" customFormat="1" ht="12.75"/>
    <row r="43491" s="3161" customFormat="1" ht="12.75"/>
    <row r="43492" s="3161" customFormat="1" ht="12.75"/>
    <row r="43493" s="3161" customFormat="1" ht="12.75"/>
    <row r="43494" s="3161" customFormat="1" ht="12.75"/>
    <row r="43495" s="3161" customFormat="1" ht="12.75"/>
    <row r="43496" s="3161" customFormat="1" ht="12.75"/>
    <row r="43497" s="3161" customFormat="1" ht="12.75"/>
    <row r="43498" s="3161" customFormat="1" ht="12.75"/>
    <row r="43499" s="3161" customFormat="1" ht="12.75"/>
    <row r="43500" s="3161" customFormat="1" ht="12.75"/>
    <row r="43501" s="3161" customFormat="1" ht="12.75"/>
    <row r="43502" s="3161" customFormat="1" ht="12.75"/>
    <row r="43503" s="3161" customFormat="1" ht="12.75"/>
    <row r="43504" s="3161" customFormat="1" ht="12.75"/>
    <row r="43505" s="3161" customFormat="1" ht="12.75"/>
    <row r="43506" s="3161" customFormat="1" ht="12.75"/>
    <row r="43507" s="3161" customFormat="1" ht="12.75"/>
    <row r="43508" s="3161" customFormat="1" ht="12.75"/>
    <row r="43509" s="3161" customFormat="1" ht="12.75"/>
    <row r="43510" s="3161" customFormat="1" ht="12.75"/>
    <row r="43511" s="3161" customFormat="1" ht="12.75"/>
    <row r="43512" s="3161" customFormat="1" ht="12.75"/>
    <row r="43513" s="3161" customFormat="1" ht="12.75"/>
    <row r="43514" s="3161" customFormat="1" ht="12.75"/>
    <row r="43515" s="3161" customFormat="1" ht="12.75"/>
    <row r="43516" s="3161" customFormat="1" ht="12.75"/>
    <row r="43517" s="3161" customFormat="1" ht="12.75"/>
    <row r="43518" s="3161" customFormat="1" ht="12.75"/>
    <row r="43519" s="3161" customFormat="1" ht="12.75"/>
    <row r="43520" s="3161" customFormat="1" ht="12.75"/>
    <row r="43521" s="3161" customFormat="1" ht="12.75"/>
    <row r="43522" s="3161" customFormat="1" ht="12.75"/>
    <row r="43523" s="3161" customFormat="1" ht="12.75"/>
    <row r="43524" s="3161" customFormat="1" ht="12.75"/>
    <row r="43525" s="3161" customFormat="1" ht="12.75"/>
    <row r="43526" s="3161" customFormat="1" ht="12.75"/>
    <row r="43527" s="3161" customFormat="1" ht="12.75"/>
    <row r="43528" s="3161" customFormat="1" ht="12.75"/>
    <row r="43529" s="3161" customFormat="1" ht="12.75"/>
    <row r="43530" s="3161" customFormat="1" ht="12.75"/>
    <row r="43531" s="3161" customFormat="1" ht="12.75"/>
    <row r="43532" s="3161" customFormat="1" ht="12.75"/>
    <row r="43533" s="3161" customFormat="1" ht="12.75"/>
    <row r="43534" s="3161" customFormat="1" ht="12.75"/>
    <row r="43535" s="3161" customFormat="1" ht="12.75"/>
    <row r="43536" s="3161" customFormat="1" ht="12.75"/>
    <row r="43537" s="3161" customFormat="1" ht="12.75"/>
    <row r="43538" s="3161" customFormat="1" ht="12.75"/>
    <row r="43539" s="3161" customFormat="1" ht="12.75"/>
    <row r="43540" s="3161" customFormat="1" ht="12.75"/>
    <row r="43541" s="3161" customFormat="1" ht="12.75"/>
    <row r="43542" s="3161" customFormat="1" ht="12.75"/>
    <row r="43543" s="3161" customFormat="1" ht="12.75"/>
    <row r="43544" s="3161" customFormat="1" ht="12.75"/>
    <row r="43545" s="3161" customFormat="1" ht="12.75"/>
    <row r="43546" s="3161" customFormat="1" ht="12.75"/>
    <row r="43547" s="3161" customFormat="1" ht="12.75"/>
    <row r="43548" s="3161" customFormat="1" ht="12.75"/>
    <row r="43549" s="3161" customFormat="1" ht="12.75"/>
    <row r="43550" s="3161" customFormat="1" ht="12.75"/>
    <row r="43551" s="3161" customFormat="1" ht="12.75"/>
    <row r="43552" s="3161" customFormat="1" ht="12.75"/>
    <row r="43553" s="3161" customFormat="1" ht="12.75"/>
    <row r="43554" s="3161" customFormat="1" ht="12.75"/>
    <row r="43555" s="3161" customFormat="1" ht="12.75"/>
    <row r="43556" s="3161" customFormat="1" ht="12.75"/>
    <row r="43557" s="3161" customFormat="1" ht="12.75"/>
    <row r="43558" s="3161" customFormat="1" ht="12.75"/>
    <row r="43559" s="3161" customFormat="1" ht="12.75"/>
    <row r="43560" s="3161" customFormat="1" ht="12.75"/>
    <row r="43561" s="3161" customFormat="1" ht="12.75"/>
    <row r="43562" s="3161" customFormat="1" ht="12.75"/>
    <row r="43563" s="3161" customFormat="1" ht="12.75"/>
    <row r="43564" s="3161" customFormat="1" ht="12.75"/>
    <row r="43565" s="3161" customFormat="1" ht="12.75"/>
    <row r="43566" s="3161" customFormat="1" ht="12.75"/>
    <row r="43567" s="3161" customFormat="1" ht="12.75"/>
    <row r="43568" s="3161" customFormat="1" ht="12.75"/>
    <row r="43569" s="3161" customFormat="1" ht="12.75"/>
    <row r="43570" s="3161" customFormat="1" ht="12.75"/>
    <row r="43571" s="3161" customFormat="1" ht="12.75"/>
    <row r="43572" s="3161" customFormat="1" ht="12.75"/>
    <row r="43573" s="3161" customFormat="1" ht="12.75"/>
    <row r="43574" s="3161" customFormat="1" ht="12.75"/>
    <row r="43575" s="3161" customFormat="1" ht="12.75"/>
    <row r="43576" s="3161" customFormat="1" ht="12.75"/>
    <row r="43577" s="3161" customFormat="1" ht="12.75"/>
    <row r="43578" s="3161" customFormat="1" ht="12.75"/>
    <row r="43579" s="3161" customFormat="1" ht="12.75"/>
    <row r="43580" s="3161" customFormat="1" ht="12.75"/>
    <row r="43581" s="3161" customFormat="1" ht="12.75"/>
    <row r="43582" s="3161" customFormat="1" ht="12.75"/>
    <row r="43583" s="3161" customFormat="1" ht="12.75"/>
    <row r="43584" s="3161" customFormat="1" ht="12.75"/>
    <row r="43585" s="3161" customFormat="1" ht="12.75"/>
    <row r="43586" s="3161" customFormat="1" ht="12.75"/>
    <row r="43587" s="3161" customFormat="1" ht="12.75"/>
    <row r="43588" s="3161" customFormat="1" ht="12.75"/>
    <row r="43589" s="3161" customFormat="1" ht="12.75"/>
    <row r="43590" s="3161" customFormat="1" ht="12.75"/>
    <row r="43591" s="3161" customFormat="1" ht="12.75"/>
    <row r="43592" s="3161" customFormat="1" ht="12.75"/>
    <row r="43593" s="3161" customFormat="1" ht="12.75"/>
    <row r="43594" s="3161" customFormat="1" ht="12.75"/>
    <row r="43595" s="3161" customFormat="1" ht="12.75"/>
    <row r="43596" s="3161" customFormat="1" ht="12.75"/>
    <row r="43597" s="3161" customFormat="1" ht="12.75"/>
    <row r="43598" s="3161" customFormat="1" ht="12.75"/>
    <row r="43599" s="3161" customFormat="1" ht="12.75"/>
    <row r="43600" s="3161" customFormat="1" ht="12.75"/>
    <row r="43601" s="3161" customFormat="1" ht="12.75"/>
    <row r="43602" s="3161" customFormat="1" ht="12.75"/>
    <row r="43603" s="3161" customFormat="1" ht="12.75"/>
    <row r="43604" s="3161" customFormat="1" ht="12.75"/>
    <row r="43605" s="3161" customFormat="1" ht="12.75"/>
    <row r="43606" s="3161" customFormat="1" ht="12.75"/>
    <row r="43607" s="3161" customFormat="1" ht="12.75"/>
    <row r="43608" s="3161" customFormat="1" ht="12.75"/>
    <row r="43609" s="3161" customFormat="1" ht="12.75"/>
    <row r="43610" s="3161" customFormat="1" ht="12.75"/>
    <row r="43611" s="3161" customFormat="1" ht="12.75"/>
    <row r="43612" s="3161" customFormat="1" ht="12.75"/>
    <row r="43613" s="3161" customFormat="1" ht="12.75"/>
    <row r="43614" s="3161" customFormat="1" ht="12.75"/>
    <row r="43615" s="3161" customFormat="1" ht="12.75"/>
    <row r="43616" s="3161" customFormat="1" ht="12.75"/>
    <row r="43617" s="3161" customFormat="1" ht="12.75"/>
    <row r="43618" s="3161" customFormat="1" ht="12.75"/>
    <row r="43619" s="3161" customFormat="1" ht="12.75"/>
    <row r="43620" s="3161" customFormat="1" ht="12.75"/>
    <row r="43621" s="3161" customFormat="1" ht="12.75"/>
    <row r="43622" s="3161" customFormat="1" ht="12.75"/>
    <row r="43623" s="3161" customFormat="1" ht="12.75"/>
    <row r="43624" s="3161" customFormat="1" ht="12.75"/>
    <row r="43625" s="3161" customFormat="1" ht="12.75"/>
    <row r="43626" s="3161" customFormat="1" ht="12.75"/>
    <row r="43627" s="3161" customFormat="1" ht="12.75"/>
    <row r="43628" s="3161" customFormat="1" ht="12.75"/>
    <row r="43629" s="3161" customFormat="1" ht="12.75"/>
    <row r="43630" s="3161" customFormat="1" ht="12.75"/>
    <row r="43631" s="3161" customFormat="1" ht="12.75"/>
    <row r="43632" s="3161" customFormat="1" ht="12.75"/>
    <row r="43633" s="3161" customFormat="1" ht="12.75"/>
    <row r="43634" s="3161" customFormat="1" ht="12.75"/>
    <row r="43635" s="3161" customFormat="1" ht="12.75"/>
    <row r="43636" s="3161" customFormat="1" ht="12.75"/>
    <row r="43637" s="3161" customFormat="1" ht="12.75"/>
    <row r="43638" s="3161" customFormat="1" ht="12.75"/>
    <row r="43639" s="3161" customFormat="1" ht="12.75"/>
    <row r="43640" s="3161" customFormat="1" ht="12.75"/>
    <row r="43641" s="3161" customFormat="1" ht="12.75"/>
    <row r="43642" s="3161" customFormat="1" ht="12.75"/>
    <row r="43643" s="3161" customFormat="1" ht="12.75"/>
    <row r="43644" s="3161" customFormat="1" ht="12.75"/>
    <row r="43645" s="3161" customFormat="1" ht="12.75"/>
    <row r="43646" s="3161" customFormat="1" ht="12.75"/>
    <row r="43647" s="3161" customFormat="1" ht="12.75"/>
    <row r="43648" s="3161" customFormat="1" ht="12.75"/>
    <row r="43649" s="3161" customFormat="1" ht="12.75"/>
    <row r="43650" s="3161" customFormat="1" ht="12.75"/>
    <row r="43651" s="3161" customFormat="1" ht="12.75"/>
    <row r="43652" s="3161" customFormat="1" ht="12.75"/>
    <row r="43653" s="3161" customFormat="1" ht="12.75"/>
    <row r="43654" s="3161" customFormat="1" ht="12.75"/>
    <row r="43655" s="3161" customFormat="1" ht="12.75"/>
    <row r="43656" s="3161" customFormat="1" ht="12.75"/>
    <row r="43657" s="3161" customFormat="1" ht="12.75"/>
    <row r="43658" s="3161" customFormat="1" ht="12.75"/>
    <row r="43659" s="3161" customFormat="1" ht="12.75"/>
    <row r="43660" s="3161" customFormat="1" ht="12.75"/>
    <row r="43661" s="3161" customFormat="1" ht="12.75"/>
    <row r="43662" s="3161" customFormat="1" ht="12.75"/>
    <row r="43663" s="3161" customFormat="1" ht="12.75"/>
    <row r="43664" s="3161" customFormat="1" ht="12.75"/>
    <row r="43665" s="3161" customFormat="1" ht="12.75"/>
    <row r="43666" s="3161" customFormat="1" ht="12.75"/>
    <row r="43667" s="3161" customFormat="1" ht="12.75"/>
    <row r="43668" s="3161" customFormat="1" ht="12.75"/>
    <row r="43669" s="3161" customFormat="1" ht="12.75"/>
    <row r="43670" s="3161" customFormat="1" ht="12.75"/>
    <row r="43671" s="3161" customFormat="1" ht="12.75"/>
    <row r="43672" s="3161" customFormat="1" ht="12.75"/>
    <row r="43673" s="3161" customFormat="1" ht="12.75"/>
    <row r="43674" s="3161" customFormat="1" ht="12.75"/>
    <row r="43675" s="3161" customFormat="1" ht="12.75"/>
    <row r="43676" s="3161" customFormat="1" ht="12.75"/>
    <row r="43677" s="3161" customFormat="1" ht="12.75"/>
    <row r="43678" s="3161" customFormat="1" ht="12.75"/>
    <row r="43679" s="3161" customFormat="1" ht="12.75"/>
    <row r="43680" s="3161" customFormat="1" ht="12.75"/>
    <row r="43681" s="3161" customFormat="1" ht="12.75"/>
    <row r="43682" s="3161" customFormat="1" ht="12.75"/>
    <row r="43683" s="3161" customFormat="1" ht="12.75"/>
    <row r="43684" s="3161" customFormat="1" ht="12.75"/>
    <row r="43685" s="3161" customFormat="1" ht="12.75"/>
    <row r="43686" s="3161" customFormat="1" ht="12.75"/>
    <row r="43687" s="3161" customFormat="1" ht="12.75"/>
    <row r="43688" s="3161" customFormat="1" ht="12.75"/>
    <row r="43689" s="3161" customFormat="1" ht="12.75"/>
    <row r="43690" s="3161" customFormat="1" ht="12.75"/>
    <row r="43691" s="3161" customFormat="1" ht="12.75"/>
    <row r="43692" s="3161" customFormat="1" ht="12.75"/>
    <row r="43693" s="3161" customFormat="1" ht="12.75"/>
    <row r="43694" s="3161" customFormat="1" ht="12.75"/>
    <row r="43695" s="3161" customFormat="1" ht="12.75"/>
    <row r="43696" s="3161" customFormat="1" ht="12.75"/>
    <row r="43697" s="3161" customFormat="1" ht="12.75"/>
    <row r="43698" s="3161" customFormat="1" ht="12.75"/>
    <row r="43699" s="3161" customFormat="1" ht="12.75"/>
    <row r="43700" s="3161" customFormat="1" ht="12.75"/>
    <row r="43701" s="3161" customFormat="1" ht="12.75"/>
    <row r="43702" s="3161" customFormat="1" ht="12.75"/>
    <row r="43703" s="3161" customFormat="1" ht="12.75"/>
    <row r="43704" s="3161" customFormat="1" ht="12.75"/>
    <row r="43705" s="3161" customFormat="1" ht="12.75"/>
    <row r="43706" s="3161" customFormat="1" ht="12.75"/>
    <row r="43707" s="3161" customFormat="1" ht="12.75"/>
    <row r="43708" s="3161" customFormat="1" ht="12.75"/>
    <row r="43709" s="3161" customFormat="1" ht="12.75"/>
    <row r="43710" s="3161" customFormat="1" ht="12.75"/>
    <row r="43711" s="3161" customFormat="1" ht="12.75"/>
    <row r="43712" s="3161" customFormat="1" ht="12.75"/>
    <row r="43713" s="3161" customFormat="1" ht="12.75"/>
    <row r="43714" s="3161" customFormat="1" ht="12.75"/>
    <row r="43715" s="3161" customFormat="1" ht="12.75"/>
    <row r="43716" s="3161" customFormat="1" ht="12.75"/>
    <row r="43717" s="3161" customFormat="1" ht="12.75"/>
    <row r="43718" s="3161" customFormat="1" ht="12.75"/>
    <row r="43719" s="3161" customFormat="1" ht="12.75"/>
    <row r="43720" s="3161" customFormat="1" ht="12.75"/>
    <row r="43721" s="3161" customFormat="1" ht="12.75"/>
    <row r="43722" s="3161" customFormat="1" ht="12.75"/>
    <row r="43723" s="3161" customFormat="1" ht="12.75"/>
    <row r="43724" s="3161" customFormat="1" ht="12.75"/>
    <row r="43725" s="3161" customFormat="1" ht="12.75"/>
    <row r="43726" s="3161" customFormat="1" ht="12.75"/>
    <row r="43727" s="3161" customFormat="1" ht="12.75"/>
    <row r="43728" s="3161" customFormat="1" ht="12.75"/>
    <row r="43729" s="3161" customFormat="1" ht="12.75"/>
    <row r="43730" s="3161" customFormat="1" ht="12.75"/>
    <row r="43731" s="3161" customFormat="1" ht="12.75"/>
    <row r="43732" s="3161" customFormat="1" ht="12.75"/>
    <row r="43733" s="3161" customFormat="1" ht="12.75"/>
    <row r="43734" s="3161" customFormat="1" ht="12.75"/>
    <row r="43735" s="3161" customFormat="1" ht="12.75"/>
    <row r="43736" s="3161" customFormat="1" ht="12.75"/>
    <row r="43737" s="3161" customFormat="1" ht="12.75"/>
    <row r="43738" s="3161" customFormat="1" ht="12.75"/>
    <row r="43739" s="3161" customFormat="1" ht="12.75"/>
    <row r="43740" s="3161" customFormat="1" ht="12.75"/>
    <row r="43741" s="3161" customFormat="1" ht="12.75"/>
    <row r="43742" s="3161" customFormat="1" ht="12.75"/>
    <row r="43743" s="3161" customFormat="1" ht="12.75"/>
    <row r="43744" s="3161" customFormat="1" ht="12.75"/>
    <row r="43745" s="3161" customFormat="1" ht="12.75"/>
    <row r="43746" s="3161" customFormat="1" ht="12.75"/>
    <row r="43747" s="3161" customFormat="1" ht="12.75"/>
    <row r="43748" s="3161" customFormat="1" ht="12.75"/>
    <row r="43749" s="3161" customFormat="1" ht="12.75"/>
    <row r="43750" s="3161" customFormat="1" ht="12.75"/>
    <row r="43751" s="3161" customFormat="1" ht="12.75"/>
    <row r="43752" s="3161" customFormat="1" ht="12.75"/>
    <row r="43753" s="3161" customFormat="1" ht="12.75"/>
    <row r="43754" s="3161" customFormat="1" ht="12.75"/>
    <row r="43755" s="3161" customFormat="1" ht="12.75"/>
    <row r="43756" s="3161" customFormat="1" ht="12.75"/>
    <row r="43757" s="3161" customFormat="1" ht="12.75"/>
    <row r="43758" s="3161" customFormat="1" ht="12.75"/>
    <row r="43759" s="3161" customFormat="1" ht="12.75"/>
    <row r="43760" s="3161" customFormat="1" ht="12.75"/>
    <row r="43761" s="3161" customFormat="1" ht="12.75"/>
    <row r="43762" s="3161" customFormat="1" ht="12.75"/>
    <row r="43763" s="3161" customFormat="1" ht="12.75"/>
    <row r="43764" s="3161" customFormat="1" ht="12.75"/>
    <row r="43765" s="3161" customFormat="1" ht="12.75"/>
    <row r="43766" s="3161" customFormat="1" ht="12.75"/>
    <row r="43767" s="3161" customFormat="1" ht="12.75"/>
    <row r="43768" s="3161" customFormat="1" ht="12.75"/>
    <row r="43769" s="3161" customFormat="1" ht="12.75"/>
    <row r="43770" s="3161" customFormat="1" ht="12.75"/>
    <row r="43771" s="3161" customFormat="1" ht="12.75"/>
    <row r="43772" s="3161" customFormat="1" ht="12.75"/>
    <row r="43773" s="3161" customFormat="1" ht="12.75"/>
    <row r="43774" s="3161" customFormat="1" ht="12.75"/>
    <row r="43775" s="3161" customFormat="1" ht="12.75"/>
    <row r="43776" s="3161" customFormat="1" ht="12.75"/>
    <row r="43777" s="3161" customFormat="1" ht="12.75"/>
    <row r="43778" s="3161" customFormat="1" ht="12.75"/>
    <row r="43779" s="3161" customFormat="1" ht="12.75"/>
    <row r="43780" s="3161" customFormat="1" ht="12.75"/>
    <row r="43781" s="3161" customFormat="1" ht="12.75"/>
    <row r="43782" s="3161" customFormat="1" ht="12.75"/>
    <row r="43783" s="3161" customFormat="1" ht="12.75"/>
    <row r="43784" s="3161" customFormat="1" ht="12.75"/>
    <row r="43785" s="3161" customFormat="1" ht="12.75"/>
    <row r="43786" s="3161" customFormat="1" ht="12.75"/>
    <row r="43787" s="3161" customFormat="1" ht="12.75"/>
    <row r="43788" s="3161" customFormat="1" ht="12.75"/>
    <row r="43789" s="3161" customFormat="1" ht="12.75"/>
    <row r="43790" s="3161" customFormat="1" ht="12.75"/>
    <row r="43791" s="3161" customFormat="1" ht="12.75"/>
    <row r="43792" s="3161" customFormat="1" ht="12.75"/>
    <row r="43793" s="3161" customFormat="1" ht="12.75"/>
    <row r="43794" s="3161" customFormat="1" ht="12.75"/>
    <row r="43795" s="3161" customFormat="1" ht="12.75"/>
    <row r="43796" s="3161" customFormat="1" ht="12.75"/>
    <row r="43797" s="3161" customFormat="1" ht="12.75"/>
    <row r="43798" s="3161" customFormat="1" ht="12.75"/>
    <row r="43799" s="3161" customFormat="1" ht="12.75"/>
    <row r="43800" s="3161" customFormat="1" ht="12.75"/>
    <row r="43801" s="3161" customFormat="1" ht="12.75"/>
    <row r="43802" s="3161" customFormat="1" ht="12.75"/>
    <row r="43803" s="3161" customFormat="1" ht="12.75"/>
    <row r="43804" s="3161" customFormat="1" ht="12.75"/>
    <row r="43805" s="3161" customFormat="1" ht="12.75"/>
    <row r="43806" s="3161" customFormat="1" ht="12.75"/>
    <row r="43807" s="3161" customFormat="1" ht="12.75"/>
    <row r="43808" s="3161" customFormat="1" ht="12.75"/>
    <row r="43809" s="3161" customFormat="1" ht="12.75"/>
    <row r="43810" s="3161" customFormat="1" ht="12.75"/>
    <row r="43811" s="3161" customFormat="1" ht="12.75"/>
    <row r="43812" s="3161" customFormat="1" ht="12.75"/>
    <row r="43813" s="3161" customFormat="1" ht="12.75"/>
    <row r="43814" s="3161" customFormat="1" ht="12.75"/>
    <row r="43815" s="3161" customFormat="1" ht="12.75"/>
    <row r="43816" s="3161" customFormat="1" ht="12.75"/>
    <row r="43817" s="3161" customFormat="1" ht="12.75"/>
    <row r="43818" s="3161" customFormat="1" ht="12.75"/>
    <row r="43819" s="3161" customFormat="1" ht="12.75"/>
    <row r="43820" s="3161" customFormat="1" ht="12.75"/>
    <row r="43821" s="3161" customFormat="1" ht="12.75"/>
    <row r="43822" s="3161" customFormat="1" ht="12.75"/>
    <row r="43823" s="3161" customFormat="1" ht="12.75"/>
    <row r="43824" s="3161" customFormat="1" ht="12.75"/>
    <row r="43825" s="3161" customFormat="1" ht="12.75"/>
    <row r="43826" s="3161" customFormat="1" ht="12.75"/>
    <row r="43827" s="3161" customFormat="1" ht="12.75"/>
    <row r="43828" s="3161" customFormat="1" ht="12.75"/>
    <row r="43829" s="3161" customFormat="1" ht="12.75"/>
    <row r="43830" s="3161" customFormat="1" ht="12.75"/>
    <row r="43831" s="3161" customFormat="1" ht="12.75"/>
    <row r="43832" s="3161" customFormat="1" ht="12.75"/>
    <row r="43833" s="3161" customFormat="1" ht="12.75"/>
    <row r="43834" s="3161" customFormat="1" ht="12.75"/>
    <row r="43835" s="3161" customFormat="1" ht="12.75"/>
    <row r="43836" s="3161" customFormat="1" ht="12.75"/>
    <row r="43837" s="3161" customFormat="1" ht="12.75"/>
    <row r="43838" s="3161" customFormat="1" ht="12.75"/>
    <row r="43839" s="3161" customFormat="1" ht="12.75"/>
    <row r="43840" s="3161" customFormat="1" ht="12.75"/>
    <row r="43841" s="3161" customFormat="1" ht="12.75"/>
    <row r="43842" s="3161" customFormat="1" ht="12.75"/>
    <row r="43843" s="3161" customFormat="1" ht="12.75"/>
    <row r="43844" s="3161" customFormat="1" ht="12.75"/>
    <row r="43845" s="3161" customFormat="1" ht="12.75"/>
    <row r="43846" s="3161" customFormat="1" ht="12.75"/>
    <row r="43847" s="3161" customFormat="1" ht="12.75"/>
    <row r="43848" s="3161" customFormat="1" ht="12.75"/>
    <row r="43849" s="3161" customFormat="1" ht="12.75"/>
    <row r="43850" s="3161" customFormat="1" ht="12.75"/>
    <row r="43851" s="3161" customFormat="1" ht="12.75"/>
    <row r="43852" s="3161" customFormat="1" ht="12.75"/>
    <row r="43853" s="3161" customFormat="1" ht="12.75"/>
    <row r="43854" s="3161" customFormat="1" ht="12.75"/>
    <row r="43855" s="3161" customFormat="1" ht="12.75"/>
    <row r="43856" s="3161" customFormat="1" ht="12.75"/>
    <row r="43857" s="3161" customFormat="1" ht="12.75"/>
    <row r="43858" s="3161" customFormat="1" ht="12.75"/>
    <row r="43859" s="3161" customFormat="1" ht="12.75"/>
    <row r="43860" s="3161" customFormat="1" ht="12.75"/>
    <row r="43861" s="3161" customFormat="1" ht="12.75"/>
    <row r="43862" s="3161" customFormat="1" ht="12.75"/>
    <row r="43863" s="3161" customFormat="1" ht="12.75"/>
    <row r="43864" s="3161" customFormat="1" ht="12.75"/>
    <row r="43865" s="3161" customFormat="1" ht="12.75"/>
    <row r="43866" s="3161" customFormat="1" ht="12.75"/>
    <row r="43867" s="3161" customFormat="1" ht="12.75"/>
    <row r="43868" s="3161" customFormat="1" ht="12.75"/>
    <row r="43869" s="3161" customFormat="1" ht="12.75"/>
    <row r="43870" s="3161" customFormat="1" ht="12.75"/>
    <row r="43871" s="3161" customFormat="1" ht="12.75"/>
    <row r="43872" s="3161" customFormat="1" ht="12.75"/>
    <row r="43873" s="3161" customFormat="1" ht="12.75"/>
    <row r="43874" s="3161" customFormat="1" ht="12.75"/>
    <row r="43875" s="3161" customFormat="1" ht="12.75"/>
    <row r="43876" s="3161" customFormat="1" ht="12.75"/>
    <row r="43877" s="3161" customFormat="1" ht="12.75"/>
    <row r="43878" s="3161" customFormat="1" ht="12.75"/>
    <row r="43879" s="3161" customFormat="1" ht="12.75"/>
    <row r="43880" s="3161" customFormat="1" ht="12.75"/>
    <row r="43881" s="3161" customFormat="1" ht="12.75"/>
    <row r="43882" s="3161" customFormat="1" ht="12.75"/>
    <row r="43883" s="3161" customFormat="1" ht="12.75"/>
    <row r="43884" s="3161" customFormat="1" ht="12.75"/>
    <row r="43885" s="3161" customFormat="1" ht="12.75"/>
    <row r="43886" s="3161" customFormat="1" ht="12.75"/>
    <row r="43887" s="3161" customFormat="1" ht="12.75"/>
    <row r="43888" s="3161" customFormat="1" ht="12.75"/>
    <row r="43889" s="3161" customFormat="1" ht="12.75"/>
    <row r="43890" s="3161" customFormat="1" ht="12.75"/>
    <row r="43891" s="3161" customFormat="1" ht="12.75"/>
    <row r="43892" s="3161" customFormat="1" ht="12.75"/>
    <row r="43893" s="3161" customFormat="1" ht="12.75"/>
    <row r="43894" s="3161" customFormat="1" ht="12.75"/>
    <row r="43895" s="3161" customFormat="1" ht="12.75"/>
    <row r="43896" s="3161" customFormat="1" ht="12.75"/>
    <row r="43897" s="3161" customFormat="1" ht="12.75"/>
    <row r="43898" s="3161" customFormat="1" ht="12.75"/>
    <row r="43899" s="3161" customFormat="1" ht="12.75"/>
    <row r="43900" s="3161" customFormat="1" ht="12.75"/>
    <row r="43901" s="3161" customFormat="1" ht="12.75"/>
    <row r="43902" s="3161" customFormat="1" ht="12.75"/>
    <row r="43903" s="3161" customFormat="1" ht="12.75"/>
    <row r="43904" s="3161" customFormat="1" ht="12.75"/>
    <row r="43905" s="3161" customFormat="1" ht="12.75"/>
    <row r="43906" s="3161" customFormat="1" ht="12.75"/>
    <row r="43907" s="3161" customFormat="1" ht="12.75"/>
    <row r="43908" s="3161" customFormat="1" ht="12.75"/>
    <row r="43909" s="3161" customFormat="1" ht="12.75"/>
    <row r="43910" s="3161" customFormat="1" ht="12.75"/>
    <row r="43911" s="3161" customFormat="1" ht="12.75"/>
    <row r="43912" s="3161" customFormat="1" ht="12.75"/>
    <row r="43913" s="3161" customFormat="1" ht="12.75"/>
    <row r="43914" s="3161" customFormat="1" ht="12.75"/>
    <row r="43915" s="3161" customFormat="1" ht="12.75"/>
    <row r="43916" s="3161" customFormat="1" ht="12.75"/>
    <row r="43917" s="3161" customFormat="1" ht="12.75"/>
    <row r="43918" s="3161" customFormat="1" ht="12.75"/>
    <row r="43919" s="3161" customFormat="1" ht="12.75"/>
    <row r="43920" s="3161" customFormat="1" ht="12.75"/>
    <row r="43921" s="3161" customFormat="1" ht="12.75"/>
    <row r="43922" s="3161" customFormat="1" ht="12.75"/>
    <row r="43923" s="3161" customFormat="1" ht="12.75"/>
    <row r="43924" s="3161" customFormat="1" ht="12.75"/>
    <row r="43925" s="3161" customFormat="1" ht="12.75"/>
    <row r="43926" s="3161" customFormat="1" ht="12.75"/>
    <row r="43927" s="3161" customFormat="1" ht="12.75"/>
    <row r="43928" s="3161" customFormat="1" ht="12.75"/>
    <row r="43929" s="3161" customFormat="1" ht="12.75"/>
    <row r="43930" s="3161" customFormat="1" ht="12.75"/>
    <row r="43931" s="3161" customFormat="1" ht="12.75"/>
    <row r="43932" s="3161" customFormat="1" ht="12.75"/>
    <row r="43933" s="3161" customFormat="1" ht="12.75"/>
    <row r="43934" s="3161" customFormat="1" ht="12.75"/>
    <row r="43935" s="3161" customFormat="1" ht="12.75"/>
    <row r="43936" s="3161" customFormat="1" ht="12.75"/>
    <row r="43937" s="3161" customFormat="1" ht="12.75"/>
    <row r="43938" s="3161" customFormat="1" ht="12.75"/>
    <row r="43939" s="3161" customFormat="1" ht="12.75"/>
    <row r="43940" s="3161" customFormat="1" ht="12.75"/>
    <row r="43941" s="3161" customFormat="1" ht="12.75"/>
    <row r="43942" s="3161" customFormat="1" ht="12.75"/>
    <row r="43943" s="3161" customFormat="1" ht="12.75"/>
    <row r="43944" s="3161" customFormat="1" ht="12.75"/>
    <row r="43945" s="3161" customFormat="1" ht="12.75"/>
    <row r="43946" s="3161" customFormat="1" ht="12.75"/>
    <row r="43947" s="3161" customFormat="1" ht="12.75"/>
    <row r="43948" s="3161" customFormat="1" ht="12.75"/>
    <row r="43949" s="3161" customFormat="1" ht="12.75"/>
    <row r="43950" s="3161" customFormat="1" ht="12.75"/>
    <row r="43951" s="3161" customFormat="1" ht="12.75"/>
    <row r="43952" s="3161" customFormat="1" ht="12.75"/>
    <row r="43953" s="3161" customFormat="1" ht="12.75"/>
    <row r="43954" s="3161" customFormat="1" ht="12.75"/>
    <row r="43955" s="3161" customFormat="1" ht="12.75"/>
    <row r="43956" s="3161" customFormat="1" ht="12.75"/>
    <row r="43957" s="3161" customFormat="1" ht="12.75"/>
    <row r="43958" s="3161" customFormat="1" ht="12.75"/>
    <row r="43959" s="3161" customFormat="1" ht="12.75"/>
    <row r="43960" s="3161" customFormat="1" ht="12.75"/>
    <row r="43961" s="3161" customFormat="1" ht="12.75"/>
    <row r="43962" s="3161" customFormat="1" ht="12.75"/>
    <row r="43963" s="3161" customFormat="1" ht="12.75"/>
    <row r="43964" s="3161" customFormat="1" ht="12.75"/>
    <row r="43965" s="3161" customFormat="1" ht="12.75"/>
    <row r="43966" s="3161" customFormat="1" ht="12.75"/>
    <row r="43967" s="3161" customFormat="1" ht="12.75"/>
    <row r="43968" s="3161" customFormat="1" ht="12.75"/>
    <row r="43969" s="3161" customFormat="1" ht="12.75"/>
    <row r="43970" s="3161" customFormat="1" ht="12.75"/>
    <row r="43971" s="3161" customFormat="1" ht="12.75"/>
    <row r="43972" s="3161" customFormat="1" ht="12.75"/>
    <row r="43973" s="3161" customFormat="1" ht="12.75"/>
    <row r="43974" s="3161" customFormat="1" ht="12.75"/>
    <row r="43975" s="3161" customFormat="1" ht="12.75"/>
    <row r="43976" s="3161" customFormat="1" ht="12.75"/>
    <row r="43977" s="3161" customFormat="1" ht="12.75"/>
    <row r="43978" s="3161" customFormat="1" ht="12.75"/>
    <row r="43979" s="3161" customFormat="1" ht="12.75"/>
    <row r="43980" s="3161" customFormat="1" ht="12.75"/>
    <row r="43981" s="3161" customFormat="1" ht="12.75"/>
    <row r="43982" s="3161" customFormat="1" ht="12.75"/>
    <row r="43983" s="3161" customFormat="1" ht="12.75"/>
    <row r="43984" s="3161" customFormat="1" ht="12.75"/>
    <row r="43985" s="3161" customFormat="1" ht="12.75"/>
    <row r="43986" s="3161" customFormat="1" ht="12.75"/>
    <row r="43987" s="3161" customFormat="1" ht="12.75"/>
    <row r="43988" s="3161" customFormat="1" ht="12.75"/>
    <row r="43989" s="3161" customFormat="1" ht="12.75"/>
    <row r="43990" s="3161" customFormat="1" ht="12.75"/>
    <row r="43991" s="3161" customFormat="1" ht="12.75"/>
    <row r="43992" s="3161" customFormat="1" ht="12.75"/>
    <row r="43993" s="3161" customFormat="1" ht="12.75"/>
    <row r="43994" s="3161" customFormat="1" ht="12.75"/>
    <row r="43995" s="3161" customFormat="1" ht="12.75"/>
    <row r="43996" s="3161" customFormat="1" ht="12.75"/>
    <row r="43997" s="3161" customFormat="1" ht="12.75"/>
    <row r="43998" s="3161" customFormat="1" ht="12.75"/>
    <row r="43999" s="3161" customFormat="1" ht="12.75"/>
    <row r="44000" s="3161" customFormat="1" ht="12.75"/>
    <row r="44001" s="3161" customFormat="1" ht="12.75"/>
    <row r="44002" s="3161" customFormat="1" ht="12.75"/>
    <row r="44003" s="3161" customFormat="1" ht="12.75"/>
    <row r="44004" s="3161" customFormat="1" ht="12.75"/>
    <row r="44005" s="3161" customFormat="1" ht="12.75"/>
    <row r="44006" s="3161" customFormat="1" ht="12.75"/>
    <row r="44007" s="3161" customFormat="1" ht="12.75"/>
    <row r="44008" s="3161" customFormat="1" ht="12.75"/>
    <row r="44009" s="3161" customFormat="1" ht="12.75"/>
    <row r="44010" s="3161" customFormat="1" ht="12.75"/>
    <row r="44011" s="3161" customFormat="1" ht="12.75"/>
    <row r="44012" s="3161" customFormat="1" ht="12.75"/>
    <row r="44013" s="3161" customFormat="1" ht="12.75"/>
    <row r="44014" s="3161" customFormat="1" ht="12.75"/>
    <row r="44015" s="3161" customFormat="1" ht="12.75"/>
    <row r="44016" s="3161" customFormat="1" ht="12.75"/>
    <row r="44017" s="3161" customFormat="1" ht="12.75"/>
    <row r="44018" s="3161" customFormat="1" ht="12.75"/>
    <row r="44019" s="3161" customFormat="1" ht="12.75"/>
    <row r="44020" s="3161" customFormat="1" ht="12.75"/>
    <row r="44021" s="3161" customFormat="1" ht="12.75"/>
    <row r="44022" s="3161" customFormat="1" ht="12.75"/>
    <row r="44023" s="3161" customFormat="1" ht="12.75"/>
    <row r="44024" s="3161" customFormat="1" ht="12.75"/>
    <row r="44025" s="3161" customFormat="1" ht="12.75"/>
    <row r="44026" s="3161" customFormat="1" ht="12.75"/>
    <row r="44027" s="3161" customFormat="1" ht="12.75"/>
    <row r="44028" s="3161" customFormat="1" ht="12.75"/>
    <row r="44029" s="3161" customFormat="1" ht="12.75"/>
    <row r="44030" s="3161" customFormat="1" ht="12.75"/>
    <row r="44031" s="3161" customFormat="1" ht="12.75"/>
    <row r="44032" s="3161" customFormat="1" ht="12.75"/>
    <row r="44033" s="3161" customFormat="1" ht="12.75"/>
    <row r="44034" s="3161" customFormat="1" ht="12.75"/>
    <row r="44035" s="3161" customFormat="1" ht="12.75"/>
    <row r="44036" s="3161" customFormat="1" ht="12.75"/>
    <row r="44037" s="3161" customFormat="1" ht="12.75"/>
    <row r="44038" s="3161" customFormat="1" ht="12.75"/>
    <row r="44039" s="3161" customFormat="1" ht="12.75"/>
    <row r="44040" s="3161" customFormat="1" ht="12.75"/>
    <row r="44041" s="3161" customFormat="1" ht="12.75"/>
    <row r="44042" s="3161" customFormat="1" ht="12.75"/>
    <row r="44043" s="3161" customFormat="1" ht="12.75"/>
    <row r="44044" s="3161" customFormat="1" ht="12.75"/>
    <row r="44045" s="3161" customFormat="1" ht="12.75"/>
    <row r="44046" s="3161" customFormat="1" ht="12.75"/>
    <row r="44047" s="3161" customFormat="1" ht="12.75"/>
    <row r="44048" s="3161" customFormat="1" ht="12.75"/>
    <row r="44049" s="3161" customFormat="1" ht="12.75"/>
    <row r="44050" s="3161" customFormat="1" ht="12.75"/>
    <row r="44051" s="3161" customFormat="1" ht="12.75"/>
    <row r="44052" s="3161" customFormat="1" ht="12.75"/>
    <row r="44053" s="3161" customFormat="1" ht="12.75"/>
    <row r="44054" s="3161" customFormat="1" ht="12.75"/>
    <row r="44055" s="3161" customFormat="1" ht="12.75"/>
    <row r="44056" s="3161" customFormat="1" ht="12.75"/>
    <row r="44057" s="3161" customFormat="1" ht="12.75"/>
    <row r="44058" s="3161" customFormat="1" ht="12.75"/>
    <row r="44059" s="3161" customFormat="1" ht="12.75"/>
    <row r="44060" s="3161" customFormat="1" ht="12.75"/>
    <row r="44061" s="3161" customFormat="1" ht="12.75"/>
    <row r="44062" s="3161" customFormat="1" ht="12.75"/>
    <row r="44063" s="3161" customFormat="1" ht="12.75"/>
    <row r="44064" s="3161" customFormat="1" ht="12.75"/>
    <row r="44065" s="3161" customFormat="1" ht="12.75"/>
    <row r="44066" s="3161" customFormat="1" ht="12.75"/>
    <row r="44067" s="3161" customFormat="1" ht="12.75"/>
    <row r="44068" s="3161" customFormat="1" ht="12.75"/>
    <row r="44069" s="3161" customFormat="1" ht="12.75"/>
    <row r="44070" s="3161" customFormat="1" ht="12.75"/>
    <row r="44071" s="3161" customFormat="1" ht="12.75"/>
    <row r="44072" s="3161" customFormat="1" ht="12.75"/>
    <row r="44073" s="3161" customFormat="1" ht="12.75"/>
    <row r="44074" s="3161" customFormat="1" ht="12.75"/>
    <row r="44075" s="3161" customFormat="1" ht="12.75"/>
    <row r="44076" s="3161" customFormat="1" ht="12.75"/>
    <row r="44077" s="3161" customFormat="1" ht="12.75"/>
    <row r="44078" s="3161" customFormat="1" ht="12.75"/>
    <row r="44079" s="3161" customFormat="1" ht="12.75"/>
    <row r="44080" s="3161" customFormat="1" ht="12.75"/>
    <row r="44081" s="3161" customFormat="1" ht="12.75"/>
    <row r="44082" s="3161" customFormat="1" ht="12.75"/>
    <row r="44083" s="3161" customFormat="1" ht="12.75"/>
    <row r="44084" s="3161" customFormat="1" ht="12.75"/>
    <row r="44085" s="3161" customFormat="1" ht="12.75"/>
    <row r="44086" s="3161" customFormat="1" ht="12.75"/>
    <row r="44087" s="3161" customFormat="1" ht="12.75"/>
    <row r="44088" s="3161" customFormat="1" ht="12.75"/>
    <row r="44089" s="3161" customFormat="1" ht="12.75"/>
    <row r="44090" s="3161" customFormat="1" ht="12.75"/>
    <row r="44091" s="3161" customFormat="1" ht="12.75"/>
    <row r="44092" s="3161" customFormat="1" ht="12.75"/>
    <row r="44093" s="3161" customFormat="1" ht="12.75"/>
    <row r="44094" s="3161" customFormat="1" ht="12.75"/>
    <row r="44095" s="3161" customFormat="1" ht="12.75"/>
    <row r="44096" s="3161" customFormat="1" ht="12.75"/>
    <row r="44097" s="3161" customFormat="1" ht="12.75"/>
    <row r="44098" s="3161" customFormat="1" ht="12.75"/>
    <row r="44099" s="3161" customFormat="1" ht="12.75"/>
    <row r="44100" s="3161" customFormat="1" ht="12.75"/>
    <row r="44101" s="3161" customFormat="1" ht="12.75"/>
    <row r="44102" s="3161" customFormat="1" ht="12.75"/>
    <row r="44103" s="3161" customFormat="1" ht="12.75"/>
    <row r="44104" s="3161" customFormat="1" ht="12.75"/>
    <row r="44105" s="3161" customFormat="1" ht="12.75"/>
    <row r="44106" s="3161" customFormat="1" ht="12.75"/>
    <row r="44107" s="3161" customFormat="1" ht="12.75"/>
    <row r="44108" s="3161" customFormat="1" ht="12.75"/>
    <row r="44109" s="3161" customFormat="1" ht="12.75"/>
    <row r="44110" s="3161" customFormat="1" ht="12.75"/>
    <row r="44111" s="3161" customFormat="1" ht="12.75"/>
    <row r="44112" s="3161" customFormat="1" ht="12.75"/>
    <row r="44113" s="3161" customFormat="1" ht="12.75"/>
    <row r="44114" s="3161" customFormat="1" ht="12.75"/>
    <row r="44115" s="3161" customFormat="1" ht="12.75"/>
    <row r="44116" s="3161" customFormat="1" ht="12.75"/>
    <row r="44117" s="3161" customFormat="1" ht="12.75"/>
    <row r="44118" s="3161" customFormat="1" ht="12.75"/>
    <row r="44119" s="3161" customFormat="1" ht="12.75"/>
    <row r="44120" s="3161" customFormat="1" ht="12.75"/>
    <row r="44121" s="3161" customFormat="1" ht="12.75"/>
    <row r="44122" s="3161" customFormat="1" ht="12.75"/>
    <row r="44123" s="3161" customFormat="1" ht="12.75"/>
    <row r="44124" s="3161" customFormat="1" ht="12.75"/>
    <row r="44125" s="3161" customFormat="1" ht="12.75"/>
    <row r="44126" s="3161" customFormat="1" ht="12.75"/>
    <row r="44127" s="3161" customFormat="1" ht="12.75"/>
    <row r="44128" s="3161" customFormat="1" ht="12.75"/>
    <row r="44129" s="3161" customFormat="1" ht="12.75"/>
    <row r="44130" s="3161" customFormat="1" ht="12.75"/>
    <row r="44131" s="3161" customFormat="1" ht="12.75"/>
    <row r="44132" s="3161" customFormat="1" ht="12.75"/>
    <row r="44133" s="3161" customFormat="1" ht="12.75"/>
    <row r="44134" s="3161" customFormat="1" ht="12.75"/>
    <row r="44135" s="3161" customFormat="1" ht="12.75"/>
    <row r="44136" s="3161" customFormat="1" ht="12.75"/>
    <row r="44137" s="3161" customFormat="1" ht="12.75"/>
    <row r="44138" s="3161" customFormat="1" ht="12.75"/>
    <row r="44139" s="3161" customFormat="1" ht="12.75"/>
    <row r="44140" s="3161" customFormat="1" ht="12.75"/>
    <row r="44141" s="3161" customFormat="1" ht="12.75"/>
    <row r="44142" s="3161" customFormat="1" ht="12.75"/>
    <row r="44143" s="3161" customFormat="1" ht="12.75"/>
    <row r="44144" s="3161" customFormat="1" ht="12.75"/>
    <row r="44145" s="3161" customFormat="1" ht="12.75"/>
    <row r="44146" s="3161" customFormat="1" ht="12.75"/>
    <row r="44147" s="3161" customFormat="1" ht="12.75"/>
    <row r="44148" s="3161" customFormat="1" ht="12.75"/>
    <row r="44149" s="3161" customFormat="1" ht="12.75"/>
    <row r="44150" s="3161" customFormat="1" ht="12.75"/>
    <row r="44151" s="3161" customFormat="1" ht="12.75"/>
    <row r="44152" s="3161" customFormat="1" ht="12.75"/>
    <row r="44153" s="3161" customFormat="1" ht="12.75"/>
    <row r="44154" s="3161" customFormat="1" ht="12.75"/>
    <row r="44155" s="3161" customFormat="1" ht="12.75"/>
    <row r="44156" s="3161" customFormat="1" ht="12.75"/>
    <row r="44157" s="3161" customFormat="1" ht="12.75"/>
    <row r="44158" s="3161" customFormat="1" ht="12.75"/>
    <row r="44159" s="3161" customFormat="1" ht="12.75"/>
    <row r="44160" s="3161" customFormat="1" ht="12.75"/>
    <row r="44161" s="3161" customFormat="1" ht="12.75"/>
    <row r="44162" s="3161" customFormat="1" ht="12.75"/>
    <row r="44163" s="3161" customFormat="1" ht="12.75"/>
    <row r="44164" s="3161" customFormat="1" ht="12.75"/>
    <row r="44165" s="3161" customFormat="1" ht="12.75"/>
    <row r="44166" s="3161" customFormat="1" ht="12.75"/>
    <row r="44167" s="3161" customFormat="1" ht="12.75"/>
    <row r="44168" s="3161" customFormat="1" ht="12.75"/>
    <row r="44169" s="3161" customFormat="1" ht="12.75"/>
    <row r="44170" s="3161" customFormat="1" ht="12.75"/>
    <row r="44171" s="3161" customFormat="1" ht="12.75"/>
    <row r="44172" s="3161" customFormat="1" ht="12.75"/>
    <row r="44173" s="3161" customFormat="1" ht="12.75"/>
    <row r="44174" s="3161" customFormat="1" ht="12.75"/>
    <row r="44175" s="3161" customFormat="1" ht="12.75"/>
    <row r="44176" s="3161" customFormat="1" ht="12.75"/>
    <row r="44177" s="3161" customFormat="1" ht="12.75"/>
    <row r="44178" s="3161" customFormat="1" ht="12.75"/>
    <row r="44179" s="3161" customFormat="1" ht="12.75"/>
    <row r="44180" s="3161" customFormat="1" ht="12.75"/>
    <row r="44181" s="3161" customFormat="1" ht="12.75"/>
    <row r="44182" s="3161" customFormat="1" ht="12.75"/>
    <row r="44183" s="3161" customFormat="1" ht="12.75"/>
    <row r="44184" s="3161" customFormat="1" ht="12.75"/>
    <row r="44185" s="3161" customFormat="1" ht="12.75"/>
    <row r="44186" s="3161" customFormat="1" ht="12.75"/>
    <row r="44187" s="3161" customFormat="1" ht="12.75"/>
    <row r="44188" s="3161" customFormat="1" ht="12.75"/>
    <row r="44189" s="3161" customFormat="1" ht="12.75"/>
    <row r="44190" s="3161" customFormat="1" ht="12.75"/>
    <row r="44191" s="3161" customFormat="1" ht="12.75"/>
    <row r="44192" s="3161" customFormat="1" ht="12.75"/>
    <row r="44193" s="3161" customFormat="1" ht="12.75"/>
    <row r="44194" s="3161" customFormat="1" ht="12.75"/>
    <row r="44195" s="3161" customFormat="1" ht="12.75"/>
    <row r="44196" s="3161" customFormat="1" ht="12.75"/>
    <row r="44197" s="3161" customFormat="1" ht="12.75"/>
    <row r="44198" s="3161" customFormat="1" ht="12.75"/>
    <row r="44199" s="3161" customFormat="1" ht="12.75"/>
    <row r="44200" s="3161" customFormat="1" ht="12.75"/>
    <row r="44201" s="3161" customFormat="1" ht="12.75"/>
    <row r="44202" s="3161" customFormat="1" ht="12.75"/>
    <row r="44203" s="3161" customFormat="1" ht="12.75"/>
    <row r="44204" s="3161" customFormat="1" ht="12.75"/>
    <row r="44205" s="3161" customFormat="1" ht="12.75"/>
    <row r="44206" s="3161" customFormat="1" ht="12.75"/>
    <row r="44207" s="3161" customFormat="1" ht="12.75"/>
    <row r="44208" s="3161" customFormat="1" ht="12.75"/>
    <row r="44209" s="3161" customFormat="1" ht="12.75"/>
    <row r="44210" s="3161" customFormat="1" ht="12.75"/>
    <row r="44211" s="3161" customFormat="1" ht="12.75"/>
    <row r="44212" s="3161" customFormat="1" ht="12.75"/>
    <row r="44213" s="3161" customFormat="1" ht="12.75"/>
    <row r="44214" s="3161" customFormat="1" ht="12.75"/>
    <row r="44215" s="3161" customFormat="1" ht="12.75"/>
    <row r="44216" s="3161" customFormat="1" ht="12.75"/>
    <row r="44217" s="3161" customFormat="1" ht="12.75"/>
    <row r="44218" s="3161" customFormat="1" ht="12.75"/>
    <row r="44219" s="3161" customFormat="1" ht="12.75"/>
    <row r="44220" s="3161" customFormat="1" ht="12.75"/>
    <row r="44221" s="3161" customFormat="1" ht="12.75"/>
    <row r="44222" s="3161" customFormat="1" ht="12.75"/>
    <row r="44223" s="3161" customFormat="1" ht="12.75"/>
    <row r="44224" s="3161" customFormat="1" ht="12.75"/>
    <row r="44225" s="3161" customFormat="1" ht="12.75"/>
    <row r="44226" s="3161" customFormat="1" ht="12.75"/>
    <row r="44227" s="3161" customFormat="1" ht="12.75"/>
    <row r="44228" s="3161" customFormat="1" ht="12.75"/>
    <row r="44229" s="3161" customFormat="1" ht="12.75"/>
    <row r="44230" s="3161" customFormat="1" ht="12.75"/>
    <row r="44231" s="3161" customFormat="1" ht="12.75"/>
    <row r="44232" s="3161" customFormat="1" ht="12.75"/>
    <row r="44233" s="3161" customFormat="1" ht="12.75"/>
    <row r="44234" s="3161" customFormat="1" ht="12.75"/>
    <row r="44235" s="3161" customFormat="1" ht="12.75"/>
    <row r="44236" s="3161" customFormat="1" ht="12.75"/>
    <row r="44237" s="3161" customFormat="1" ht="12.75"/>
    <row r="44238" s="3161" customFormat="1" ht="12.75"/>
    <row r="44239" s="3161" customFormat="1" ht="12.75"/>
    <row r="44240" s="3161" customFormat="1" ht="12.75"/>
    <row r="44241" s="3161" customFormat="1" ht="12.75"/>
    <row r="44242" s="3161" customFormat="1" ht="12.75"/>
    <row r="44243" s="3161" customFormat="1" ht="12.75"/>
    <row r="44244" s="3161" customFormat="1" ht="12.75"/>
    <row r="44245" s="3161" customFormat="1" ht="12.75"/>
    <row r="44246" s="3161" customFormat="1" ht="12.75"/>
    <row r="44247" s="3161" customFormat="1" ht="12.75"/>
    <row r="44248" s="3161" customFormat="1" ht="12.75"/>
    <row r="44249" s="3161" customFormat="1" ht="12.75"/>
    <row r="44250" s="3161" customFormat="1" ht="12.75"/>
    <row r="44251" s="3161" customFormat="1" ht="12.75"/>
    <row r="44252" s="3161" customFormat="1" ht="12.75"/>
    <row r="44253" s="3161" customFormat="1" ht="12.75"/>
    <row r="44254" s="3161" customFormat="1" ht="12.75"/>
    <row r="44255" s="3161" customFormat="1" ht="12.75"/>
    <row r="44256" s="3161" customFormat="1" ht="12.75"/>
    <row r="44257" s="3161" customFormat="1" ht="12.75"/>
    <row r="44258" s="3161" customFormat="1" ht="12.75"/>
    <row r="44259" s="3161" customFormat="1" ht="12.75"/>
    <row r="44260" s="3161" customFormat="1" ht="12.75"/>
    <row r="44261" s="3161" customFormat="1" ht="12.75"/>
    <row r="44262" s="3161" customFormat="1" ht="12.75"/>
    <row r="44263" s="3161" customFormat="1" ht="12.75"/>
    <row r="44264" s="3161" customFormat="1" ht="12.75"/>
    <row r="44265" s="3161" customFormat="1" ht="12.75"/>
    <row r="44266" s="3161" customFormat="1" ht="12.75"/>
    <row r="44267" s="3161" customFormat="1" ht="12.75"/>
    <row r="44268" s="3161" customFormat="1" ht="12.75"/>
    <row r="44269" s="3161" customFormat="1" ht="12.75"/>
    <row r="44270" s="3161" customFormat="1" ht="12.75"/>
    <row r="44271" s="3161" customFormat="1" ht="12.75"/>
    <row r="44272" s="3161" customFormat="1" ht="12.75"/>
    <row r="44273" s="3161" customFormat="1" ht="12.75"/>
    <row r="44274" s="3161" customFormat="1" ht="12.75"/>
    <row r="44275" s="3161" customFormat="1" ht="12.75"/>
    <row r="44276" s="3161" customFormat="1" ht="12.75"/>
    <row r="44277" s="3161" customFormat="1" ht="12.75"/>
    <row r="44278" s="3161" customFormat="1" ht="12.75"/>
    <row r="44279" s="3161" customFormat="1" ht="12.75"/>
    <row r="44280" s="3161" customFormat="1" ht="12.75"/>
    <row r="44281" s="3161" customFormat="1" ht="12.75"/>
    <row r="44282" s="3161" customFormat="1" ht="12.75"/>
    <row r="44283" s="3161" customFormat="1" ht="12.75"/>
    <row r="44284" s="3161" customFormat="1" ht="12.75"/>
    <row r="44285" s="3161" customFormat="1" ht="12.75"/>
    <row r="44286" s="3161" customFormat="1" ht="12.75"/>
    <row r="44287" s="3161" customFormat="1" ht="12.75"/>
    <row r="44288" s="3161" customFormat="1" ht="12.75"/>
    <row r="44289" s="3161" customFormat="1" ht="12.75"/>
    <row r="44290" s="3161" customFormat="1" ht="12.75"/>
    <row r="44291" s="3161" customFormat="1" ht="12.75"/>
    <row r="44292" s="3161" customFormat="1" ht="12.75"/>
    <row r="44293" s="3161" customFormat="1" ht="12.75"/>
    <row r="44294" s="3161" customFormat="1" ht="12.75"/>
    <row r="44295" s="3161" customFormat="1" ht="12.75"/>
    <row r="44296" s="3161" customFormat="1" ht="12.75"/>
    <row r="44297" s="3161" customFormat="1" ht="12.75"/>
    <row r="44298" s="3161" customFormat="1" ht="12.75"/>
    <row r="44299" s="3161" customFormat="1" ht="12.75"/>
    <row r="44300" s="3161" customFormat="1" ht="12.75"/>
    <row r="44301" s="3161" customFormat="1" ht="12.75"/>
    <row r="44302" s="3161" customFormat="1" ht="12.75"/>
    <row r="44303" s="3161" customFormat="1" ht="12.75"/>
    <row r="44304" s="3161" customFormat="1" ht="12.75"/>
    <row r="44305" s="3161" customFormat="1" ht="12.75"/>
    <row r="44306" s="3161" customFormat="1" ht="12.75"/>
    <row r="44307" s="3161" customFormat="1" ht="12.75"/>
    <row r="44308" s="3161" customFormat="1" ht="12.75"/>
    <row r="44309" s="3161" customFormat="1" ht="12.75"/>
    <row r="44310" s="3161" customFormat="1" ht="12.75"/>
    <row r="44311" s="3161" customFormat="1" ht="12.75"/>
    <row r="44312" s="3161" customFormat="1" ht="12.75"/>
    <row r="44313" s="3161" customFormat="1" ht="12.75"/>
    <row r="44314" s="3161" customFormat="1" ht="12.75"/>
    <row r="44315" s="3161" customFormat="1" ht="12.75"/>
    <row r="44316" s="3161" customFormat="1" ht="12.75"/>
    <row r="44317" s="3161" customFormat="1" ht="12.75"/>
    <row r="44318" s="3161" customFormat="1" ht="12.75"/>
    <row r="44319" s="3161" customFormat="1" ht="12.75"/>
    <row r="44320" s="3161" customFormat="1" ht="12.75"/>
    <row r="44321" s="3161" customFormat="1" ht="12.75"/>
    <row r="44322" s="3161" customFormat="1" ht="12.75"/>
    <row r="44323" s="3161" customFormat="1" ht="12.75"/>
    <row r="44324" s="3161" customFormat="1" ht="12.75"/>
    <row r="44325" s="3161" customFormat="1" ht="12.75"/>
    <row r="44326" s="3161" customFormat="1" ht="12.75"/>
    <row r="44327" s="3161" customFormat="1" ht="12.75"/>
    <row r="44328" s="3161" customFormat="1" ht="12.75"/>
    <row r="44329" s="3161" customFormat="1" ht="12.75"/>
    <row r="44330" s="3161" customFormat="1" ht="12.75"/>
    <row r="44331" s="3161" customFormat="1" ht="12.75"/>
    <row r="44332" s="3161" customFormat="1" ht="12.75"/>
    <row r="44333" s="3161" customFormat="1" ht="12.75"/>
    <row r="44334" s="3161" customFormat="1" ht="12.75"/>
    <row r="44335" s="3161" customFormat="1" ht="12.75"/>
    <row r="44336" s="3161" customFormat="1" ht="12.75"/>
    <row r="44337" s="3161" customFormat="1" ht="12.75"/>
    <row r="44338" s="3161" customFormat="1" ht="12.75"/>
    <row r="44339" s="3161" customFormat="1" ht="12.75"/>
    <row r="44340" s="3161" customFormat="1" ht="12.75"/>
    <row r="44341" s="3161" customFormat="1" ht="12.75"/>
    <row r="44342" s="3161" customFormat="1" ht="12.75"/>
    <row r="44343" s="3161" customFormat="1" ht="12.75"/>
    <row r="44344" s="3161" customFormat="1" ht="12.75"/>
    <row r="44345" s="3161" customFormat="1" ht="12.75"/>
    <row r="44346" s="3161" customFormat="1" ht="12.75"/>
    <row r="44347" s="3161" customFormat="1" ht="12.75"/>
    <row r="44348" s="3161" customFormat="1" ht="12.75"/>
    <row r="44349" s="3161" customFormat="1" ht="12.75"/>
    <row r="44350" s="3161" customFormat="1" ht="12.75"/>
    <row r="44351" s="3161" customFormat="1" ht="12.75"/>
    <row r="44352" s="3161" customFormat="1" ht="12.75"/>
    <row r="44353" s="3161" customFormat="1" ht="12.75"/>
    <row r="44354" s="3161" customFormat="1" ht="12.75"/>
    <row r="44355" s="3161" customFormat="1" ht="12.75"/>
    <row r="44356" s="3161" customFormat="1" ht="12.75"/>
    <row r="44357" s="3161" customFormat="1" ht="12.75"/>
    <row r="44358" s="3161" customFormat="1" ht="12.75"/>
    <row r="44359" s="3161" customFormat="1" ht="12.75"/>
    <row r="44360" s="3161" customFormat="1" ht="12.75"/>
    <row r="44361" s="3161" customFormat="1" ht="12.75"/>
    <row r="44362" s="3161" customFormat="1" ht="12.75"/>
    <row r="44363" s="3161" customFormat="1" ht="12.75"/>
    <row r="44364" s="3161" customFormat="1" ht="12.75"/>
    <row r="44365" s="3161" customFormat="1" ht="12.75"/>
    <row r="44366" s="3161" customFormat="1" ht="12.75"/>
    <row r="44367" s="3161" customFormat="1" ht="12.75"/>
    <row r="44368" s="3161" customFormat="1" ht="12.75"/>
    <row r="44369" s="3161" customFormat="1" ht="12.75"/>
    <row r="44370" s="3161" customFormat="1" ht="12.75"/>
    <row r="44371" s="3161" customFormat="1" ht="12.75"/>
    <row r="44372" s="3161" customFormat="1" ht="12.75"/>
    <row r="44373" s="3161" customFormat="1" ht="12.75"/>
    <row r="44374" s="3161" customFormat="1" ht="12.75"/>
    <row r="44375" s="3161" customFormat="1" ht="12.75"/>
    <row r="44376" s="3161" customFormat="1" ht="12.75"/>
    <row r="44377" s="3161" customFormat="1" ht="12.75"/>
    <row r="44378" s="3161" customFormat="1" ht="12.75"/>
    <row r="44379" s="3161" customFormat="1" ht="12.75"/>
    <row r="44380" s="3161" customFormat="1" ht="12.75"/>
    <row r="44381" s="3161" customFormat="1" ht="12.75"/>
    <row r="44382" s="3161" customFormat="1" ht="12.75"/>
    <row r="44383" s="3161" customFormat="1" ht="12.75"/>
    <row r="44384" s="3161" customFormat="1" ht="12.75"/>
    <row r="44385" s="3161" customFormat="1" ht="12.75"/>
    <row r="44386" s="3161" customFormat="1" ht="12.75"/>
    <row r="44387" s="3161" customFormat="1" ht="12.75"/>
    <row r="44388" s="3161" customFormat="1" ht="12.75"/>
    <row r="44389" s="3161" customFormat="1" ht="12.75"/>
    <row r="44390" s="3161" customFormat="1" ht="12.75"/>
    <row r="44391" s="3161" customFormat="1" ht="12.75"/>
    <row r="44392" s="3161" customFormat="1" ht="12.75"/>
    <row r="44393" s="3161" customFormat="1" ht="12.75"/>
    <row r="44394" s="3161" customFormat="1" ht="12.75"/>
    <row r="44395" s="3161" customFormat="1" ht="12.75"/>
    <row r="44396" s="3161" customFormat="1" ht="12.75"/>
    <row r="44397" s="3161" customFormat="1" ht="12.75"/>
    <row r="44398" s="3161" customFormat="1" ht="12.75"/>
    <row r="44399" s="3161" customFormat="1" ht="12.75"/>
    <row r="44400" s="3161" customFormat="1" ht="12.75"/>
    <row r="44401" s="3161" customFormat="1" ht="12.75"/>
    <row r="44402" s="3161" customFormat="1" ht="12.75"/>
    <row r="44403" s="3161" customFormat="1" ht="12.75"/>
    <row r="44404" s="3161" customFormat="1" ht="12.75"/>
    <row r="44405" s="3161" customFormat="1" ht="12.75"/>
    <row r="44406" s="3161" customFormat="1" ht="12.75"/>
    <row r="44407" s="3161" customFormat="1" ht="12.75"/>
    <row r="44408" s="3161" customFormat="1" ht="12.75"/>
    <row r="44409" s="3161" customFormat="1" ht="12.75"/>
    <row r="44410" s="3161" customFormat="1" ht="12.75"/>
    <row r="44411" s="3161" customFormat="1" ht="12.75"/>
    <row r="44412" s="3161" customFormat="1" ht="12.75"/>
    <row r="44413" s="3161" customFormat="1" ht="12.75"/>
    <row r="44414" s="3161" customFormat="1" ht="12.75"/>
    <row r="44415" s="3161" customFormat="1" ht="12.75"/>
    <row r="44416" s="3161" customFormat="1" ht="12.75"/>
    <row r="44417" s="3161" customFormat="1" ht="12.75"/>
    <row r="44418" s="3161" customFormat="1" ht="12.75"/>
    <row r="44419" s="3161" customFormat="1" ht="12.75"/>
    <row r="44420" s="3161" customFormat="1" ht="12.75"/>
    <row r="44421" s="3161" customFormat="1" ht="12.75"/>
    <row r="44422" s="3161" customFormat="1" ht="12.75"/>
    <row r="44423" s="3161" customFormat="1" ht="12.75"/>
    <row r="44424" s="3161" customFormat="1" ht="12.75"/>
    <row r="44425" s="3161" customFormat="1" ht="12.75"/>
    <row r="44426" s="3161" customFormat="1" ht="12.75"/>
    <row r="44427" s="3161" customFormat="1" ht="12.75"/>
    <row r="44428" s="3161" customFormat="1" ht="12.75"/>
    <row r="44429" s="3161" customFormat="1" ht="12.75"/>
    <row r="44430" s="3161" customFormat="1" ht="12.75"/>
    <row r="44431" s="3161" customFormat="1" ht="12.75"/>
    <row r="44432" s="3161" customFormat="1" ht="12.75"/>
    <row r="44433" s="3161" customFormat="1" ht="12.75"/>
    <row r="44434" s="3161" customFormat="1" ht="12.75"/>
    <row r="44435" s="3161" customFormat="1" ht="12.75"/>
    <row r="44436" s="3161" customFormat="1" ht="12.75"/>
    <row r="44437" s="3161" customFormat="1" ht="12.75"/>
    <row r="44438" s="3161" customFormat="1" ht="12.75"/>
    <row r="44439" s="3161" customFormat="1" ht="12.75"/>
    <row r="44440" s="3161" customFormat="1" ht="12.75"/>
    <row r="44441" s="3161" customFormat="1" ht="12.75"/>
    <row r="44442" s="3161" customFormat="1" ht="12.75"/>
    <row r="44443" s="3161" customFormat="1" ht="12.75"/>
    <row r="44444" s="3161" customFormat="1" ht="12.75"/>
    <row r="44445" s="3161" customFormat="1" ht="12.75"/>
    <row r="44446" s="3161" customFormat="1" ht="12.75"/>
    <row r="44447" s="3161" customFormat="1" ht="12.75"/>
    <row r="44448" s="3161" customFormat="1" ht="12.75"/>
    <row r="44449" s="3161" customFormat="1" ht="12.75"/>
    <row r="44450" s="3161" customFormat="1" ht="12.75"/>
    <row r="44451" s="3161" customFormat="1" ht="12.75"/>
    <row r="44452" s="3161" customFormat="1" ht="12.75"/>
    <row r="44453" s="3161" customFormat="1" ht="12.75"/>
    <row r="44454" s="3161" customFormat="1" ht="12.75"/>
    <row r="44455" s="3161" customFormat="1" ht="12.75"/>
    <row r="44456" s="3161" customFormat="1" ht="12.75"/>
    <row r="44457" s="3161" customFormat="1" ht="12.75"/>
    <row r="44458" s="3161" customFormat="1" ht="12.75"/>
    <row r="44459" s="3161" customFormat="1" ht="12.75"/>
    <row r="44460" s="3161" customFormat="1" ht="12.75"/>
    <row r="44461" s="3161" customFormat="1" ht="12.75"/>
    <row r="44462" s="3161" customFormat="1" ht="12.75"/>
    <row r="44463" s="3161" customFormat="1" ht="12.75"/>
    <row r="44464" s="3161" customFormat="1" ht="12.75"/>
    <row r="44465" s="3161" customFormat="1" ht="12.75"/>
    <row r="44466" s="3161" customFormat="1" ht="12.75"/>
    <row r="44467" s="3161" customFormat="1" ht="12.75"/>
    <row r="44468" s="3161" customFormat="1" ht="12.75"/>
    <row r="44469" s="3161" customFormat="1" ht="12.75"/>
    <row r="44470" s="3161" customFormat="1" ht="12.75"/>
    <row r="44471" s="3161" customFormat="1" ht="12.75"/>
    <row r="44472" s="3161" customFormat="1" ht="12.75"/>
    <row r="44473" s="3161" customFormat="1" ht="12.75"/>
    <row r="44474" s="3161" customFormat="1" ht="12.75"/>
    <row r="44475" s="3161" customFormat="1" ht="12.75"/>
    <row r="44476" s="3161" customFormat="1" ht="12.75"/>
    <row r="44477" s="3161" customFormat="1" ht="12.75"/>
    <row r="44478" s="3161" customFormat="1" ht="12.75"/>
    <row r="44479" s="3161" customFormat="1" ht="12.75"/>
    <row r="44480" s="3161" customFormat="1" ht="12.75"/>
    <row r="44481" s="3161" customFormat="1" ht="12.75"/>
    <row r="44482" s="3161" customFormat="1" ht="12.75"/>
    <row r="44483" s="3161" customFormat="1" ht="12.75"/>
    <row r="44484" s="3161" customFormat="1" ht="12.75"/>
    <row r="44485" s="3161" customFormat="1" ht="12.75"/>
    <row r="44486" s="3161" customFormat="1" ht="12.75"/>
    <row r="44487" s="3161" customFormat="1" ht="12.75"/>
    <row r="44488" s="3161" customFormat="1" ht="12.75"/>
    <row r="44489" s="3161" customFormat="1" ht="12.75"/>
    <row r="44490" s="3161" customFormat="1" ht="12.75"/>
    <row r="44491" s="3161" customFormat="1" ht="12.75"/>
    <row r="44492" s="3161" customFormat="1" ht="12.75"/>
    <row r="44493" s="3161" customFormat="1" ht="12.75"/>
    <row r="44494" s="3161" customFormat="1" ht="12.75"/>
    <row r="44495" s="3161" customFormat="1" ht="12.75"/>
    <row r="44496" s="3161" customFormat="1" ht="12.75"/>
    <row r="44497" s="3161" customFormat="1" ht="12.75"/>
    <row r="44498" s="3161" customFormat="1" ht="12.75"/>
    <row r="44499" s="3161" customFormat="1" ht="12.75"/>
    <row r="44500" s="3161" customFormat="1" ht="12.75"/>
    <row r="44501" s="3161" customFormat="1" ht="12.75"/>
    <row r="44502" s="3161" customFormat="1" ht="12.75"/>
    <row r="44503" s="3161" customFormat="1" ht="12.75"/>
    <row r="44504" s="3161" customFormat="1" ht="12.75"/>
    <row r="44505" s="3161" customFormat="1" ht="12.75"/>
    <row r="44506" s="3161" customFormat="1" ht="12.75"/>
    <row r="44507" s="3161" customFormat="1" ht="12.75"/>
    <row r="44508" s="3161" customFormat="1" ht="12.75"/>
    <row r="44509" s="3161" customFormat="1" ht="12.75"/>
    <row r="44510" s="3161" customFormat="1" ht="12.75"/>
    <row r="44511" s="3161" customFormat="1" ht="12.75"/>
    <row r="44512" s="3161" customFormat="1" ht="12.75"/>
    <row r="44513" s="3161" customFormat="1" ht="12.75"/>
    <row r="44514" s="3161" customFormat="1" ht="12.75"/>
    <row r="44515" s="3161" customFormat="1" ht="12.75"/>
    <row r="44516" s="3161" customFormat="1" ht="12.75"/>
    <row r="44517" s="3161" customFormat="1" ht="12.75"/>
    <row r="44518" s="3161" customFormat="1" ht="12.75"/>
    <row r="44519" s="3161" customFormat="1" ht="12.75"/>
    <row r="44520" s="3161" customFormat="1" ht="12.75"/>
    <row r="44521" s="3161" customFormat="1" ht="12.75"/>
    <row r="44522" s="3161" customFormat="1" ht="12.75"/>
    <row r="44523" s="3161" customFormat="1" ht="12.75"/>
    <row r="44524" s="3161" customFormat="1" ht="12.75"/>
    <row r="44525" s="3161" customFormat="1" ht="12.75"/>
    <row r="44526" s="3161" customFormat="1" ht="12.75"/>
    <row r="44527" s="3161" customFormat="1" ht="12.75"/>
    <row r="44528" s="3161" customFormat="1" ht="12.75"/>
    <row r="44529" s="3161" customFormat="1" ht="12.75"/>
    <row r="44530" s="3161" customFormat="1" ht="12.75"/>
    <row r="44531" s="3161" customFormat="1" ht="12.75"/>
    <row r="44532" s="3161" customFormat="1" ht="12.75"/>
    <row r="44533" s="3161" customFormat="1" ht="12.75"/>
    <row r="44534" s="3161" customFormat="1" ht="12.75"/>
    <row r="44535" s="3161" customFormat="1" ht="12.75"/>
    <row r="44536" s="3161" customFormat="1" ht="12.75"/>
    <row r="44537" s="3161" customFormat="1" ht="12.75"/>
    <row r="44538" s="3161" customFormat="1" ht="12.75"/>
    <row r="44539" s="3161" customFormat="1" ht="12.75"/>
    <row r="44540" s="3161" customFormat="1" ht="12.75"/>
    <row r="44541" s="3161" customFormat="1" ht="12.75"/>
    <row r="44542" s="3161" customFormat="1" ht="12.75"/>
    <row r="44543" s="3161" customFormat="1" ht="12.75"/>
    <row r="44544" s="3161" customFormat="1" ht="12.75"/>
    <row r="44545" s="3161" customFormat="1" ht="12.75"/>
    <row r="44546" s="3161" customFormat="1" ht="12.75"/>
    <row r="44547" s="3161" customFormat="1" ht="12.75"/>
    <row r="44548" s="3161" customFormat="1" ht="12.75"/>
    <row r="44549" s="3161" customFormat="1" ht="12.75"/>
    <row r="44550" s="3161" customFormat="1" ht="12.75"/>
    <row r="44551" s="3161" customFormat="1" ht="12.75"/>
    <row r="44552" s="3161" customFormat="1" ht="12.75"/>
    <row r="44553" s="3161" customFormat="1" ht="12.75"/>
    <row r="44554" s="3161" customFormat="1" ht="12.75"/>
    <row r="44555" s="3161" customFormat="1" ht="12.75"/>
    <row r="44556" s="3161" customFormat="1" ht="12.75"/>
    <row r="44557" s="3161" customFormat="1" ht="12.75"/>
    <row r="44558" s="3161" customFormat="1" ht="12.75"/>
    <row r="44559" s="3161" customFormat="1" ht="12.75"/>
    <row r="44560" s="3161" customFormat="1" ht="12.75"/>
    <row r="44561" s="3161" customFormat="1" ht="12.75"/>
    <row r="44562" s="3161" customFormat="1" ht="12.75"/>
    <row r="44563" s="3161" customFormat="1" ht="12.75"/>
    <row r="44564" s="3161" customFormat="1" ht="12.75"/>
    <row r="44565" s="3161" customFormat="1" ht="12.75"/>
    <row r="44566" s="3161" customFormat="1" ht="12.75"/>
    <row r="44567" s="3161" customFormat="1" ht="12.75"/>
    <row r="44568" s="3161" customFormat="1" ht="12.75"/>
    <row r="44569" s="3161" customFormat="1" ht="12.75"/>
    <row r="44570" s="3161" customFormat="1" ht="12.75"/>
    <row r="44571" s="3161" customFormat="1" ht="12.75"/>
    <row r="44572" s="3161" customFormat="1" ht="12.75"/>
    <row r="44573" s="3161" customFormat="1" ht="12.75"/>
    <row r="44574" s="3161" customFormat="1" ht="12.75"/>
    <row r="44575" s="3161" customFormat="1" ht="12.75"/>
    <row r="44576" s="3161" customFormat="1" ht="12.75"/>
    <row r="44577" s="3161" customFormat="1" ht="12.75"/>
    <row r="44578" s="3161" customFormat="1" ht="12.75"/>
    <row r="44579" s="3161" customFormat="1" ht="12.75"/>
    <row r="44580" s="3161" customFormat="1" ht="12.75"/>
    <row r="44581" s="3161" customFormat="1" ht="12.75"/>
    <row r="44582" s="3161" customFormat="1" ht="12.75"/>
    <row r="44583" s="3161" customFormat="1" ht="12.75"/>
    <row r="44584" s="3161" customFormat="1" ht="12.75"/>
    <row r="44585" s="3161" customFormat="1" ht="12.75"/>
    <row r="44586" s="3161" customFormat="1" ht="12.75"/>
    <row r="44587" s="3161" customFormat="1" ht="12.75"/>
    <row r="44588" s="3161" customFormat="1" ht="12.75"/>
    <row r="44589" s="3161" customFormat="1" ht="12.75"/>
    <row r="44590" s="3161" customFormat="1" ht="12.75"/>
    <row r="44591" s="3161" customFormat="1" ht="12.75"/>
    <row r="44592" s="3161" customFormat="1" ht="12.75"/>
    <row r="44593" s="3161" customFormat="1" ht="12.75"/>
    <row r="44594" s="3161" customFormat="1" ht="12.75"/>
    <row r="44595" s="3161" customFormat="1" ht="12.75"/>
    <row r="44596" s="3161" customFormat="1" ht="12.75"/>
    <row r="44597" s="3161" customFormat="1" ht="12.75"/>
    <row r="44598" s="3161" customFormat="1" ht="12.75"/>
    <row r="44599" s="3161" customFormat="1" ht="12.75"/>
    <row r="44600" s="3161" customFormat="1" ht="12.75"/>
    <row r="44601" s="3161" customFormat="1" ht="12.75"/>
    <row r="44602" s="3161" customFormat="1" ht="12.75"/>
    <row r="44603" s="3161" customFormat="1" ht="12.75"/>
    <row r="44604" s="3161" customFormat="1" ht="12.75"/>
    <row r="44605" s="3161" customFormat="1" ht="12.75"/>
    <row r="44606" s="3161" customFormat="1" ht="12.75"/>
    <row r="44607" s="3161" customFormat="1" ht="12.75"/>
    <row r="44608" s="3161" customFormat="1" ht="12.75"/>
    <row r="44609" s="3161" customFormat="1" ht="12.75"/>
    <row r="44610" s="3161" customFormat="1" ht="12.75"/>
    <row r="44611" s="3161" customFormat="1" ht="12.75"/>
    <row r="44612" s="3161" customFormat="1" ht="12.75"/>
    <row r="44613" s="3161" customFormat="1" ht="12.75"/>
    <row r="44614" s="3161" customFormat="1" ht="12.75"/>
    <row r="44615" s="3161" customFormat="1" ht="12.75"/>
    <row r="44616" s="3161" customFormat="1" ht="12.75"/>
    <row r="44617" s="3161" customFormat="1" ht="12.75"/>
    <row r="44618" s="3161" customFormat="1" ht="12.75"/>
    <row r="44619" s="3161" customFormat="1" ht="12.75"/>
    <row r="44620" s="3161" customFormat="1" ht="12.75"/>
    <row r="44621" s="3161" customFormat="1" ht="12.75"/>
    <row r="44622" s="3161" customFormat="1" ht="12.75"/>
    <row r="44623" s="3161" customFormat="1" ht="12.75"/>
    <row r="44624" s="3161" customFormat="1" ht="12.75"/>
    <row r="44625" s="3161" customFormat="1" ht="12.75"/>
    <row r="44626" s="3161" customFormat="1" ht="12.75"/>
    <row r="44627" s="3161" customFormat="1" ht="12.75"/>
    <row r="44628" s="3161" customFormat="1" ht="12.75"/>
    <row r="44629" s="3161" customFormat="1" ht="12.75"/>
    <row r="44630" s="3161" customFormat="1" ht="12.75"/>
    <row r="44631" s="3161" customFormat="1" ht="12.75"/>
    <row r="44632" s="3161" customFormat="1" ht="12.75"/>
    <row r="44633" s="3161" customFormat="1" ht="12.75"/>
    <row r="44634" s="3161" customFormat="1" ht="12.75"/>
    <row r="44635" s="3161" customFormat="1" ht="12.75"/>
    <row r="44636" s="3161" customFormat="1" ht="12.75"/>
    <row r="44637" s="3161" customFormat="1" ht="12.75"/>
    <row r="44638" s="3161" customFormat="1" ht="12.75"/>
    <row r="44639" s="3161" customFormat="1" ht="12.75"/>
    <row r="44640" s="3161" customFormat="1" ht="12.75"/>
    <row r="44641" s="3161" customFormat="1" ht="12.75"/>
    <row r="44642" s="3161" customFormat="1" ht="12.75"/>
    <row r="44643" s="3161" customFormat="1" ht="12.75"/>
    <row r="44644" s="3161" customFormat="1" ht="12.75"/>
    <row r="44645" s="3161" customFormat="1" ht="12.75"/>
    <row r="44646" s="3161" customFormat="1" ht="12.75"/>
    <row r="44647" s="3161" customFormat="1" ht="12.75"/>
    <row r="44648" s="3161" customFormat="1" ht="12.75"/>
    <row r="44649" s="3161" customFormat="1" ht="12.75"/>
    <row r="44650" s="3161" customFormat="1" ht="12.75"/>
    <row r="44651" s="3161" customFormat="1" ht="12.75"/>
    <row r="44652" s="3161" customFormat="1" ht="12.75"/>
    <row r="44653" s="3161" customFormat="1" ht="12.75"/>
    <row r="44654" s="3161" customFormat="1" ht="12.75"/>
    <row r="44655" s="3161" customFormat="1" ht="12.75"/>
    <row r="44656" s="3161" customFormat="1" ht="12.75"/>
    <row r="44657" s="3161" customFormat="1" ht="12.75"/>
    <row r="44658" s="3161" customFormat="1" ht="12.75"/>
    <row r="44659" s="3161" customFormat="1" ht="12.75"/>
    <row r="44660" s="3161" customFormat="1" ht="12.75"/>
    <row r="44661" s="3161" customFormat="1" ht="12.75"/>
    <row r="44662" s="3161" customFormat="1" ht="12.75"/>
    <row r="44663" s="3161" customFormat="1" ht="12.75"/>
    <row r="44664" s="3161" customFormat="1" ht="12.75"/>
    <row r="44665" s="3161" customFormat="1" ht="12.75"/>
    <row r="44666" s="3161" customFormat="1" ht="12.75"/>
    <row r="44667" s="3161" customFormat="1" ht="12.75"/>
    <row r="44668" s="3161" customFormat="1" ht="12.75"/>
    <row r="44669" s="3161" customFormat="1" ht="12.75"/>
    <row r="44670" s="3161" customFormat="1" ht="12.75"/>
    <row r="44671" s="3161" customFormat="1" ht="12.75"/>
    <row r="44672" s="3161" customFormat="1" ht="12.75"/>
    <row r="44673" s="3161" customFormat="1" ht="12.75"/>
    <row r="44674" s="3161" customFormat="1" ht="12.75"/>
    <row r="44675" s="3161" customFormat="1" ht="12.75"/>
    <row r="44676" s="3161" customFormat="1" ht="12.75"/>
    <row r="44677" s="3161" customFormat="1" ht="12.75"/>
    <row r="44678" s="3161" customFormat="1" ht="12.75"/>
    <row r="44679" s="3161" customFormat="1" ht="12.75"/>
    <row r="44680" s="3161" customFormat="1" ht="12.75"/>
    <row r="44681" s="3161" customFormat="1" ht="12.75"/>
    <row r="44682" s="3161" customFormat="1" ht="12.75"/>
    <row r="44683" s="3161" customFormat="1" ht="12.75"/>
    <row r="44684" s="3161" customFormat="1" ht="12.75"/>
    <row r="44685" s="3161" customFormat="1" ht="12.75"/>
    <row r="44686" s="3161" customFormat="1" ht="12.75"/>
    <row r="44687" s="3161" customFormat="1" ht="12.75"/>
    <row r="44688" s="3161" customFormat="1" ht="12.75"/>
    <row r="44689" s="3161" customFormat="1" ht="12.75"/>
    <row r="44690" s="3161" customFormat="1" ht="12.75"/>
    <row r="44691" s="3161" customFormat="1" ht="12.75"/>
    <row r="44692" s="3161" customFormat="1" ht="12.75"/>
    <row r="44693" s="3161" customFormat="1" ht="12.75"/>
    <row r="44694" s="3161" customFormat="1" ht="12.75"/>
    <row r="44695" s="3161" customFormat="1" ht="12.75"/>
    <row r="44696" s="3161" customFormat="1" ht="12.75"/>
    <row r="44697" s="3161" customFormat="1" ht="12.75"/>
    <row r="44698" s="3161" customFormat="1" ht="12.75"/>
    <row r="44699" s="3161" customFormat="1" ht="12.75"/>
    <row r="44700" s="3161" customFormat="1" ht="12.75"/>
    <row r="44701" s="3161" customFormat="1" ht="12.75"/>
    <row r="44702" s="3161" customFormat="1" ht="12.75"/>
    <row r="44703" s="3161" customFormat="1" ht="12.75"/>
    <row r="44704" s="3161" customFormat="1" ht="12.75"/>
    <row r="44705" s="3161" customFormat="1" ht="12.75"/>
    <row r="44706" s="3161" customFormat="1" ht="12.75"/>
    <row r="44707" s="3161" customFormat="1" ht="12.75"/>
    <row r="44708" s="3161" customFormat="1" ht="12.75"/>
    <row r="44709" s="3161" customFormat="1" ht="12.75"/>
    <row r="44710" s="3161" customFormat="1" ht="12.75"/>
    <row r="44711" s="3161" customFormat="1" ht="12.75"/>
    <row r="44712" s="3161" customFormat="1" ht="12.75"/>
    <row r="44713" s="3161" customFormat="1" ht="12.75"/>
    <row r="44714" s="3161" customFormat="1" ht="12.75"/>
    <row r="44715" s="3161" customFormat="1" ht="12.75"/>
    <row r="44716" s="3161" customFormat="1" ht="12.75"/>
    <row r="44717" s="3161" customFormat="1" ht="12.75"/>
    <row r="44718" s="3161" customFormat="1" ht="12.75"/>
    <row r="44719" s="3161" customFormat="1" ht="12.75"/>
    <row r="44720" s="3161" customFormat="1" ht="12.75"/>
    <row r="44721" s="3161" customFormat="1" ht="12.75"/>
    <row r="44722" s="3161" customFormat="1" ht="12.75"/>
    <row r="44723" s="3161" customFormat="1" ht="12.75"/>
    <row r="44724" s="3161" customFormat="1" ht="12.75"/>
    <row r="44725" s="3161" customFormat="1" ht="12.75"/>
    <row r="44726" s="3161" customFormat="1" ht="12.75"/>
    <row r="44727" s="3161" customFormat="1" ht="12.75"/>
    <row r="44728" s="3161" customFormat="1" ht="12.75"/>
    <row r="44729" s="3161" customFormat="1" ht="12.75"/>
    <row r="44730" s="3161" customFormat="1" ht="12.75"/>
    <row r="44731" s="3161" customFormat="1" ht="12.75"/>
    <row r="44732" s="3161" customFormat="1" ht="12.75"/>
    <row r="44733" s="3161" customFormat="1" ht="12.75"/>
    <row r="44734" s="3161" customFormat="1" ht="12.75"/>
    <row r="44735" s="3161" customFormat="1" ht="12.75"/>
    <row r="44736" s="3161" customFormat="1" ht="12.75"/>
    <row r="44737" s="3161" customFormat="1" ht="12.75"/>
    <row r="44738" s="3161" customFormat="1" ht="12.75"/>
    <row r="44739" s="3161" customFormat="1" ht="12.75"/>
    <row r="44740" s="3161" customFormat="1" ht="12.75"/>
    <row r="44741" s="3161" customFormat="1" ht="12.75"/>
    <row r="44742" s="3161" customFormat="1" ht="12.75"/>
    <row r="44743" s="3161" customFormat="1" ht="12.75"/>
    <row r="44744" s="3161" customFormat="1" ht="12.75"/>
    <row r="44745" s="3161" customFormat="1" ht="12.75"/>
    <row r="44746" s="3161" customFormat="1" ht="12.75"/>
    <row r="44747" s="3161" customFormat="1" ht="12.75"/>
    <row r="44748" s="3161" customFormat="1" ht="12.75"/>
    <row r="44749" s="3161" customFormat="1" ht="12.75"/>
    <row r="44750" s="3161" customFormat="1" ht="12.75"/>
    <row r="44751" s="3161" customFormat="1" ht="12.75"/>
    <row r="44752" s="3161" customFormat="1" ht="12.75"/>
    <row r="44753" s="3161" customFormat="1" ht="12.75"/>
    <row r="44754" s="3161" customFormat="1" ht="12.75"/>
    <row r="44755" s="3161" customFormat="1" ht="12.75"/>
    <row r="44756" s="3161" customFormat="1" ht="12.75"/>
    <row r="44757" s="3161" customFormat="1" ht="12.75"/>
    <row r="44758" s="3161" customFormat="1" ht="12.75"/>
    <row r="44759" s="3161" customFormat="1" ht="12.75"/>
    <row r="44760" s="3161" customFormat="1" ht="12.75"/>
    <row r="44761" s="3161" customFormat="1" ht="12.75"/>
    <row r="44762" s="3161" customFormat="1" ht="12.75"/>
    <row r="44763" s="3161" customFormat="1" ht="12.75"/>
    <row r="44764" s="3161" customFormat="1" ht="12.75"/>
    <row r="44765" s="3161" customFormat="1" ht="12.75"/>
    <row r="44766" s="3161" customFormat="1" ht="12.75"/>
    <row r="44767" s="3161" customFormat="1" ht="12.75"/>
    <row r="44768" s="3161" customFormat="1" ht="12.75"/>
    <row r="44769" s="3161" customFormat="1" ht="12.75"/>
    <row r="44770" s="3161" customFormat="1" ht="12.75"/>
    <row r="44771" s="3161" customFormat="1" ht="12.75"/>
    <row r="44772" s="3161" customFormat="1" ht="12.75"/>
    <row r="44773" s="3161" customFormat="1" ht="12.75"/>
    <row r="44774" s="3161" customFormat="1" ht="12.75"/>
    <row r="44775" s="3161" customFormat="1" ht="12.75"/>
    <row r="44776" s="3161" customFormat="1" ht="12.75"/>
    <row r="44777" s="3161" customFormat="1" ht="12.75"/>
    <row r="44778" s="3161" customFormat="1" ht="12.75"/>
    <row r="44779" s="3161" customFormat="1" ht="12.75"/>
    <row r="44780" s="3161" customFormat="1" ht="12.75"/>
    <row r="44781" s="3161" customFormat="1" ht="12.75"/>
    <row r="44782" s="3161" customFormat="1" ht="12.75"/>
    <row r="44783" s="3161" customFormat="1" ht="12.75"/>
    <row r="44784" s="3161" customFormat="1" ht="12.75"/>
    <row r="44785" s="3161" customFormat="1" ht="12.75"/>
    <row r="44786" s="3161" customFormat="1" ht="12.75"/>
    <row r="44787" s="3161" customFormat="1" ht="12.75"/>
    <row r="44788" s="3161" customFormat="1" ht="12.75"/>
    <row r="44789" s="3161" customFormat="1" ht="12.75"/>
    <row r="44790" s="3161" customFormat="1" ht="12.75"/>
    <row r="44791" s="3161" customFormat="1" ht="12.75"/>
    <row r="44792" s="3161" customFormat="1" ht="12.75"/>
    <row r="44793" s="3161" customFormat="1" ht="12.75"/>
    <row r="44794" s="3161" customFormat="1" ht="12.75"/>
    <row r="44795" s="3161" customFormat="1" ht="12.75"/>
    <row r="44796" s="3161" customFormat="1" ht="12.75"/>
    <row r="44797" s="3161" customFormat="1" ht="12.75"/>
    <row r="44798" s="3161" customFormat="1" ht="12.75"/>
    <row r="44799" s="3161" customFormat="1" ht="12.75"/>
    <row r="44800" s="3161" customFormat="1" ht="12.75"/>
    <row r="44801" s="3161" customFormat="1" ht="12.75"/>
    <row r="44802" s="3161" customFormat="1" ht="12.75"/>
    <row r="44803" s="3161" customFormat="1" ht="12.75"/>
    <row r="44804" s="3161" customFormat="1" ht="12.75"/>
    <row r="44805" s="3161" customFormat="1" ht="12.75"/>
    <row r="44806" s="3161" customFormat="1" ht="12.75"/>
    <row r="44807" s="3161" customFormat="1" ht="12.75"/>
    <row r="44808" s="3161" customFormat="1" ht="12.75"/>
    <row r="44809" s="3161" customFormat="1" ht="12.75"/>
    <row r="44810" s="3161" customFormat="1" ht="12.75"/>
    <row r="44811" s="3161" customFormat="1" ht="12.75"/>
    <row r="44812" s="3161" customFormat="1" ht="12.75"/>
    <row r="44813" s="3161" customFormat="1" ht="12.75"/>
    <row r="44814" s="3161" customFormat="1" ht="12.75"/>
    <row r="44815" s="3161" customFormat="1" ht="12.75"/>
    <row r="44816" s="3161" customFormat="1" ht="12.75"/>
    <row r="44817" s="3161" customFormat="1" ht="12.75"/>
    <row r="44818" s="3161" customFormat="1" ht="12.75"/>
    <row r="44819" s="3161" customFormat="1" ht="12.75"/>
    <row r="44820" s="3161" customFormat="1" ht="12.75"/>
    <row r="44821" s="3161" customFormat="1" ht="12.75"/>
    <row r="44822" s="3161" customFormat="1" ht="12.75"/>
    <row r="44823" s="3161" customFormat="1" ht="12.75"/>
    <row r="44824" s="3161" customFormat="1" ht="12.75"/>
    <row r="44825" s="3161" customFormat="1" ht="12.75"/>
    <row r="44826" s="3161" customFormat="1" ht="12.75"/>
    <row r="44827" s="3161" customFormat="1" ht="12.75"/>
    <row r="44828" s="3161" customFormat="1" ht="12.75"/>
    <row r="44829" s="3161" customFormat="1" ht="12.75"/>
    <row r="44830" s="3161" customFormat="1" ht="12.75"/>
    <row r="44831" s="3161" customFormat="1" ht="12.75"/>
    <row r="44832" s="3161" customFormat="1" ht="12.75"/>
    <row r="44833" s="3161" customFormat="1" ht="12.75"/>
    <row r="44834" s="3161" customFormat="1" ht="12.75"/>
    <row r="44835" s="3161" customFormat="1" ht="12.75"/>
    <row r="44836" s="3161" customFormat="1" ht="12.75"/>
    <row r="44837" s="3161" customFormat="1" ht="12.75"/>
    <row r="44838" s="3161" customFormat="1" ht="12.75"/>
    <row r="44839" s="3161" customFormat="1" ht="12.75"/>
    <row r="44840" s="3161" customFormat="1" ht="12.75"/>
    <row r="44841" s="3161" customFormat="1" ht="12.75"/>
    <row r="44842" s="3161" customFormat="1" ht="12.75"/>
    <row r="44843" s="3161" customFormat="1" ht="12.75"/>
    <row r="44844" s="3161" customFormat="1" ht="12.75"/>
    <row r="44845" s="3161" customFormat="1" ht="12.75"/>
    <row r="44846" s="3161" customFormat="1" ht="12.75"/>
    <row r="44847" s="3161" customFormat="1" ht="12.75"/>
    <row r="44848" s="3161" customFormat="1" ht="12.75"/>
    <row r="44849" s="3161" customFormat="1" ht="12.75"/>
    <row r="44850" s="3161" customFormat="1" ht="12.75"/>
    <row r="44851" s="3161" customFormat="1" ht="12.75"/>
    <row r="44852" s="3161" customFormat="1" ht="12.75"/>
    <row r="44853" s="3161" customFormat="1" ht="12.75"/>
    <row r="44854" s="3161" customFormat="1" ht="12.75"/>
    <row r="44855" s="3161" customFormat="1" ht="12.75"/>
    <row r="44856" s="3161" customFormat="1" ht="12.75"/>
    <row r="44857" s="3161" customFormat="1" ht="12.75"/>
    <row r="44858" s="3161" customFormat="1" ht="12.75"/>
    <row r="44859" s="3161" customFormat="1" ht="12.75"/>
    <row r="44860" s="3161" customFormat="1" ht="12.75"/>
    <row r="44861" s="3161" customFormat="1" ht="12.75"/>
    <row r="44862" s="3161" customFormat="1" ht="12.75"/>
    <row r="44863" s="3161" customFormat="1" ht="12.75"/>
    <row r="44864" s="3161" customFormat="1" ht="12.75"/>
    <row r="44865" s="3161" customFormat="1" ht="12.75"/>
    <row r="44866" s="3161" customFormat="1" ht="12.75"/>
    <row r="44867" s="3161" customFormat="1" ht="12.75"/>
    <row r="44868" s="3161" customFormat="1" ht="12.75"/>
    <row r="44869" s="3161" customFormat="1" ht="12.75"/>
    <row r="44870" s="3161" customFormat="1" ht="12.75"/>
    <row r="44871" s="3161" customFormat="1" ht="12.75"/>
    <row r="44872" s="3161" customFormat="1" ht="12.75"/>
    <row r="44873" s="3161" customFormat="1" ht="12.75"/>
    <row r="44874" s="3161" customFormat="1" ht="12.75"/>
    <row r="44875" s="3161" customFormat="1" ht="12.75"/>
    <row r="44876" s="3161" customFormat="1" ht="12.75"/>
    <row r="44877" s="3161" customFormat="1" ht="12.75"/>
    <row r="44878" s="3161" customFormat="1" ht="12.75"/>
    <row r="44879" s="3161" customFormat="1" ht="12.75"/>
    <row r="44880" s="3161" customFormat="1" ht="12.75"/>
    <row r="44881" s="3161" customFormat="1" ht="12.75"/>
    <row r="44882" s="3161" customFormat="1" ht="12.75"/>
    <row r="44883" s="3161" customFormat="1" ht="12.75"/>
    <row r="44884" s="3161" customFormat="1" ht="12.75"/>
    <row r="44885" s="3161" customFormat="1" ht="12.75"/>
    <row r="44886" s="3161" customFormat="1" ht="12.75"/>
    <row r="44887" s="3161" customFormat="1" ht="12.75"/>
    <row r="44888" s="3161" customFormat="1" ht="12.75"/>
    <row r="44889" s="3161" customFormat="1" ht="12.75"/>
    <row r="44890" s="3161" customFormat="1" ht="12.75"/>
    <row r="44891" s="3161" customFormat="1" ht="12.75"/>
    <row r="44892" s="3161" customFormat="1" ht="12.75"/>
    <row r="44893" s="3161" customFormat="1" ht="12.75"/>
    <row r="44894" s="3161" customFormat="1" ht="12.75"/>
    <row r="44895" s="3161" customFormat="1" ht="12.75"/>
    <row r="44896" s="3161" customFormat="1" ht="12.75"/>
    <row r="44897" s="3161" customFormat="1" ht="12.75"/>
    <row r="44898" s="3161" customFormat="1" ht="12.75"/>
    <row r="44899" s="3161" customFormat="1" ht="12.75"/>
    <row r="44900" s="3161" customFormat="1" ht="12.75"/>
    <row r="44901" s="3161" customFormat="1" ht="12.75"/>
    <row r="44902" s="3161" customFormat="1" ht="12.75"/>
    <row r="44903" s="3161" customFormat="1" ht="12.75"/>
    <row r="44904" s="3161" customFormat="1" ht="12.75"/>
    <row r="44905" s="3161" customFormat="1" ht="12.75"/>
    <row r="44906" s="3161" customFormat="1" ht="12.75"/>
    <row r="44907" s="3161" customFormat="1" ht="12.75"/>
    <row r="44908" s="3161" customFormat="1" ht="12.75"/>
    <row r="44909" s="3161" customFormat="1" ht="12.75"/>
    <row r="44910" s="3161" customFormat="1" ht="12.75"/>
    <row r="44911" s="3161" customFormat="1" ht="12.75"/>
    <row r="44912" s="3161" customFormat="1" ht="12.75"/>
    <row r="44913" s="3161" customFormat="1" ht="12.75"/>
    <row r="44914" s="3161" customFormat="1" ht="12.75"/>
    <row r="44915" s="3161" customFormat="1" ht="12.75"/>
    <row r="44916" s="3161" customFormat="1" ht="12.75"/>
    <row r="44917" s="3161" customFormat="1" ht="12.75"/>
    <row r="44918" s="3161" customFormat="1" ht="12.75"/>
    <row r="44919" s="3161" customFormat="1" ht="12.75"/>
    <row r="44920" s="3161" customFormat="1" ht="12.75"/>
    <row r="44921" s="3161" customFormat="1" ht="12.75"/>
    <row r="44922" s="3161" customFormat="1" ht="12.75"/>
    <row r="44923" s="3161" customFormat="1" ht="12.75"/>
    <row r="44924" s="3161" customFormat="1" ht="12.75"/>
    <row r="44925" s="3161" customFormat="1" ht="12.75"/>
    <row r="44926" s="3161" customFormat="1" ht="12.75"/>
    <row r="44927" s="3161" customFormat="1" ht="12.75"/>
    <row r="44928" s="3161" customFormat="1" ht="12.75"/>
    <row r="44929" s="3161" customFormat="1" ht="12.75"/>
    <row r="44930" s="3161" customFormat="1" ht="12.75"/>
    <row r="44931" s="3161" customFormat="1" ht="12.75"/>
    <row r="44932" s="3161" customFormat="1" ht="12.75"/>
    <row r="44933" s="3161" customFormat="1" ht="12.75"/>
    <row r="44934" s="3161" customFormat="1" ht="12.75"/>
    <row r="44935" s="3161" customFormat="1" ht="12.75"/>
    <row r="44936" s="3161" customFormat="1" ht="12.75"/>
    <row r="44937" s="3161" customFormat="1" ht="12.75"/>
    <row r="44938" s="3161" customFormat="1" ht="12.75"/>
    <row r="44939" s="3161" customFormat="1" ht="12.75"/>
    <row r="44940" s="3161" customFormat="1" ht="12.75"/>
    <row r="44941" s="3161" customFormat="1" ht="12.75"/>
    <row r="44942" s="3161" customFormat="1" ht="12.75"/>
    <row r="44943" s="3161" customFormat="1" ht="12.75"/>
    <row r="44944" s="3161" customFormat="1" ht="12.75"/>
    <row r="44945" s="3161" customFormat="1" ht="12.75"/>
    <row r="44946" s="3161" customFormat="1" ht="12.75"/>
    <row r="44947" s="3161" customFormat="1" ht="12.75"/>
    <row r="44948" s="3161" customFormat="1" ht="12.75"/>
    <row r="44949" s="3161" customFormat="1" ht="12.75"/>
    <row r="44950" s="3161" customFormat="1" ht="12.75"/>
    <row r="44951" s="3161" customFormat="1" ht="12.75"/>
    <row r="44952" s="3161" customFormat="1" ht="12.75"/>
    <row r="44953" s="3161" customFormat="1" ht="12.75"/>
    <row r="44954" s="3161" customFormat="1" ht="12.75"/>
    <row r="44955" s="3161" customFormat="1" ht="12.75"/>
    <row r="44956" s="3161" customFormat="1" ht="12.75"/>
    <row r="44957" s="3161" customFormat="1" ht="12.75"/>
    <row r="44958" s="3161" customFormat="1" ht="12.75"/>
    <row r="44959" s="3161" customFormat="1" ht="12.75"/>
    <row r="44960" s="3161" customFormat="1" ht="12.75"/>
    <row r="44961" s="3161" customFormat="1" ht="12.75"/>
    <row r="44962" s="3161" customFormat="1" ht="12.75"/>
    <row r="44963" s="3161" customFormat="1" ht="12.75"/>
    <row r="44964" s="3161" customFormat="1" ht="12.75"/>
    <row r="44965" s="3161" customFormat="1" ht="12.75"/>
    <row r="44966" s="3161" customFormat="1" ht="12.75"/>
    <row r="44967" s="3161" customFormat="1" ht="12.75"/>
    <row r="44968" s="3161" customFormat="1" ht="12.75"/>
    <row r="44969" s="3161" customFormat="1" ht="12.75"/>
    <row r="44970" s="3161" customFormat="1" ht="12.75"/>
    <row r="44971" s="3161" customFormat="1" ht="12.75"/>
    <row r="44972" s="3161" customFormat="1" ht="12.75"/>
    <row r="44973" s="3161" customFormat="1" ht="12.75"/>
    <row r="44974" s="3161" customFormat="1" ht="12.75"/>
    <row r="44975" s="3161" customFormat="1" ht="12.75"/>
    <row r="44976" s="3161" customFormat="1" ht="12.75"/>
    <row r="44977" s="3161" customFormat="1" ht="12.75"/>
    <row r="44978" s="3161" customFormat="1" ht="12.75"/>
    <row r="44979" s="3161" customFormat="1" ht="12.75"/>
    <row r="44980" s="3161" customFormat="1" ht="12.75"/>
    <row r="44981" s="3161" customFormat="1" ht="12.75"/>
    <row r="44982" s="3161" customFormat="1" ht="12.75"/>
    <row r="44983" s="3161" customFormat="1" ht="12.75"/>
    <row r="44984" s="3161" customFormat="1" ht="12.75"/>
    <row r="44985" s="3161" customFormat="1" ht="12.75"/>
    <row r="44986" s="3161" customFormat="1" ht="12.75"/>
    <row r="44987" s="3161" customFormat="1" ht="12.75"/>
    <row r="44988" s="3161" customFormat="1" ht="12.75"/>
    <row r="44989" s="3161" customFormat="1" ht="12.75"/>
    <row r="44990" s="3161" customFormat="1" ht="12.75"/>
    <row r="44991" s="3161" customFormat="1" ht="12.75"/>
    <row r="44992" s="3161" customFormat="1" ht="12.75"/>
    <row r="44993" s="3161" customFormat="1" ht="12.75"/>
    <row r="44994" s="3161" customFormat="1" ht="12.75"/>
    <row r="44995" s="3161" customFormat="1" ht="12.75"/>
    <row r="44996" s="3161" customFormat="1" ht="12.75"/>
    <row r="44997" s="3161" customFormat="1" ht="12.75"/>
    <row r="44998" s="3161" customFormat="1" ht="12.75"/>
    <row r="44999" s="3161" customFormat="1" ht="12.75"/>
    <row r="45000" s="3161" customFormat="1" ht="12.75"/>
    <row r="45001" s="3161" customFormat="1" ht="12.75"/>
    <row r="45002" s="3161" customFormat="1" ht="12.75"/>
    <row r="45003" s="3161" customFormat="1" ht="12.75"/>
    <row r="45004" s="3161" customFormat="1" ht="12.75"/>
    <row r="45005" s="3161" customFormat="1" ht="12.75"/>
    <row r="45006" s="3161" customFormat="1" ht="12.75"/>
    <row r="45007" s="3161" customFormat="1" ht="12.75"/>
    <row r="45008" s="3161" customFormat="1" ht="12.75"/>
    <row r="45009" s="3161" customFormat="1" ht="12.75"/>
    <row r="45010" s="3161" customFormat="1" ht="12.75"/>
    <row r="45011" s="3161" customFormat="1" ht="12.75"/>
    <row r="45012" s="3161" customFormat="1" ht="12.75"/>
    <row r="45013" s="3161" customFormat="1" ht="12.75"/>
    <row r="45014" s="3161" customFormat="1" ht="12.75"/>
    <row r="45015" s="3161" customFormat="1" ht="12.75"/>
    <row r="45016" s="3161" customFormat="1" ht="12.75"/>
    <row r="45017" s="3161" customFormat="1" ht="12.75"/>
    <row r="45018" s="3161" customFormat="1" ht="12.75"/>
    <row r="45019" s="3161" customFormat="1" ht="12.75"/>
    <row r="45020" s="3161" customFormat="1" ht="12.75"/>
    <row r="45021" s="3161" customFormat="1" ht="12.75"/>
    <row r="45022" s="3161" customFormat="1" ht="12.75"/>
    <row r="45023" s="3161" customFormat="1" ht="12.75"/>
    <row r="45024" s="3161" customFormat="1" ht="12.75"/>
    <row r="45025" s="3161" customFormat="1" ht="12.75"/>
    <row r="45026" s="3161" customFormat="1" ht="12.75"/>
    <row r="45027" s="3161" customFormat="1" ht="12.75"/>
    <row r="45028" s="3161" customFormat="1" ht="12.75"/>
    <row r="45029" s="3161" customFormat="1" ht="12.75"/>
    <row r="45030" s="3161" customFormat="1" ht="12.75"/>
    <row r="45031" s="3161" customFormat="1" ht="12.75"/>
    <row r="45032" s="3161" customFormat="1" ht="12.75"/>
    <row r="45033" s="3161" customFormat="1" ht="12.75"/>
    <row r="45034" s="3161" customFormat="1" ht="12.75"/>
    <row r="45035" s="3161" customFormat="1" ht="12.75"/>
    <row r="45036" s="3161" customFormat="1" ht="12.75"/>
    <row r="45037" s="3161" customFormat="1" ht="12.75"/>
    <row r="45038" s="3161" customFormat="1" ht="12.75"/>
    <row r="45039" s="3161" customFormat="1" ht="12.75"/>
    <row r="45040" s="3161" customFormat="1" ht="12.75"/>
    <row r="45041" s="3161" customFormat="1" ht="12.75"/>
    <row r="45042" s="3161" customFormat="1" ht="12.75"/>
    <row r="45043" s="3161" customFormat="1" ht="12.75"/>
    <row r="45044" s="3161" customFormat="1" ht="12.75"/>
    <row r="45045" s="3161" customFormat="1" ht="12.75"/>
    <row r="45046" s="3161" customFormat="1" ht="12.75"/>
    <row r="45047" s="3161" customFormat="1" ht="12.75"/>
    <row r="45048" s="3161" customFormat="1" ht="12.75"/>
    <row r="45049" s="3161" customFormat="1" ht="12.75"/>
    <row r="45050" s="3161" customFormat="1" ht="12.75"/>
    <row r="45051" s="3161" customFormat="1" ht="12.75"/>
    <row r="45052" s="3161" customFormat="1" ht="12.75"/>
    <row r="45053" s="3161" customFormat="1" ht="12.75"/>
    <row r="45054" s="3161" customFormat="1" ht="12.75"/>
    <row r="45055" s="3161" customFormat="1" ht="12.75"/>
    <row r="45056" s="3161" customFormat="1" ht="12.75"/>
    <row r="45057" s="3161" customFormat="1" ht="12.75"/>
    <row r="45058" s="3161" customFormat="1" ht="12.75"/>
    <row r="45059" s="3161" customFormat="1" ht="12.75"/>
    <row r="45060" s="3161" customFormat="1" ht="12.75"/>
    <row r="45061" s="3161" customFormat="1" ht="12.75"/>
    <row r="45062" s="3161" customFormat="1" ht="12.75"/>
    <row r="45063" s="3161" customFormat="1" ht="12.75"/>
    <row r="45064" s="3161" customFormat="1" ht="12.75"/>
    <row r="45065" s="3161" customFormat="1" ht="12.75"/>
    <row r="45066" s="3161" customFormat="1" ht="12.75"/>
    <row r="45067" s="3161" customFormat="1" ht="12.75"/>
    <row r="45068" s="3161" customFormat="1" ht="12.75"/>
    <row r="45069" s="3161" customFormat="1" ht="12.75"/>
    <row r="45070" s="3161" customFormat="1" ht="12.75"/>
    <row r="45071" s="3161" customFormat="1" ht="12.75"/>
    <row r="45072" s="3161" customFormat="1" ht="12.75"/>
    <row r="45073" s="3161" customFormat="1" ht="12.75"/>
    <row r="45074" s="3161" customFormat="1" ht="12.75"/>
    <row r="45075" s="3161" customFormat="1" ht="12.75"/>
    <row r="45076" s="3161" customFormat="1" ht="12.75"/>
    <row r="45077" s="3161" customFormat="1" ht="12.75"/>
    <row r="45078" s="3161" customFormat="1" ht="12.75"/>
    <row r="45079" s="3161" customFormat="1" ht="12.75"/>
    <row r="45080" s="3161" customFormat="1" ht="12.75"/>
    <row r="45081" s="3161" customFormat="1" ht="12.75"/>
    <row r="45082" s="3161" customFormat="1" ht="12.75"/>
    <row r="45083" s="3161" customFormat="1" ht="12.75"/>
    <row r="45084" s="3161" customFormat="1" ht="12.75"/>
    <row r="45085" s="3161" customFormat="1" ht="12.75"/>
    <row r="45086" s="3161" customFormat="1" ht="12.75"/>
    <row r="45087" s="3161" customFormat="1" ht="12.75"/>
    <row r="45088" s="3161" customFormat="1" ht="12.75"/>
    <row r="45089" s="3161" customFormat="1" ht="12.75"/>
    <row r="45090" s="3161" customFormat="1" ht="12.75"/>
    <row r="45091" s="3161" customFormat="1" ht="12.75"/>
    <row r="45092" s="3161" customFormat="1" ht="12.75"/>
    <row r="45093" s="3161" customFormat="1" ht="12.75"/>
    <row r="45094" s="3161" customFormat="1" ht="12.75"/>
    <row r="45095" s="3161" customFormat="1" ht="12.75"/>
    <row r="45096" s="3161" customFormat="1" ht="12.75"/>
    <row r="45097" s="3161" customFormat="1" ht="12.75"/>
    <row r="45098" s="3161" customFormat="1" ht="12.75"/>
    <row r="45099" s="3161" customFormat="1" ht="12.75"/>
    <row r="45100" s="3161" customFormat="1" ht="12.75"/>
    <row r="45101" s="3161" customFormat="1" ht="12.75"/>
    <row r="45102" s="3161" customFormat="1" ht="12.75"/>
    <row r="45103" s="3161" customFormat="1" ht="12.75"/>
    <row r="45104" s="3161" customFormat="1" ht="12.75"/>
    <row r="45105" s="3161" customFormat="1" ht="12.75"/>
    <row r="45106" s="3161" customFormat="1" ht="12.75"/>
    <row r="45107" s="3161" customFormat="1" ht="12.75"/>
    <row r="45108" s="3161" customFormat="1" ht="12.75"/>
    <row r="45109" s="3161" customFormat="1" ht="12.75"/>
    <row r="45110" s="3161" customFormat="1" ht="12.75"/>
    <row r="45111" s="3161" customFormat="1" ht="12.75"/>
    <row r="45112" s="3161" customFormat="1" ht="12.75"/>
    <row r="45113" s="3161" customFormat="1" ht="12.75"/>
    <row r="45114" s="3161" customFormat="1" ht="12.75"/>
    <row r="45115" s="3161" customFormat="1" ht="12.75"/>
    <row r="45116" s="3161" customFormat="1" ht="12.75"/>
    <row r="45117" s="3161" customFormat="1" ht="12.75"/>
    <row r="45118" s="3161" customFormat="1" ht="12.75"/>
    <row r="45119" s="3161" customFormat="1" ht="12.75"/>
    <row r="45120" s="3161" customFormat="1" ht="12.75"/>
    <row r="45121" s="3161" customFormat="1" ht="12.75"/>
    <row r="45122" s="3161" customFormat="1" ht="12.75"/>
    <row r="45123" s="3161" customFormat="1" ht="12.75"/>
    <row r="45124" s="3161" customFormat="1" ht="12.75"/>
    <row r="45125" s="3161" customFormat="1" ht="12.75"/>
    <row r="45126" s="3161" customFormat="1" ht="12.75"/>
    <row r="45127" s="3161" customFormat="1" ht="12.75"/>
    <row r="45128" s="3161" customFormat="1" ht="12.75"/>
    <row r="45129" s="3161" customFormat="1" ht="12.75"/>
    <row r="45130" s="3161" customFormat="1" ht="12.75"/>
    <row r="45131" s="3161" customFormat="1" ht="12.75"/>
    <row r="45132" s="3161" customFormat="1" ht="12.75"/>
    <row r="45133" s="3161" customFormat="1" ht="12.75"/>
    <row r="45134" s="3161" customFormat="1" ht="12.75"/>
    <row r="45135" s="3161" customFormat="1" ht="12.75"/>
    <row r="45136" s="3161" customFormat="1" ht="12.75"/>
    <row r="45137" s="3161" customFormat="1" ht="12.75"/>
    <row r="45138" s="3161" customFormat="1" ht="12.75"/>
    <row r="45139" s="3161" customFormat="1" ht="12.75"/>
    <row r="45140" s="3161" customFormat="1" ht="12.75"/>
    <row r="45141" s="3161" customFormat="1" ht="12.75"/>
    <row r="45142" s="3161" customFormat="1" ht="12.75"/>
    <row r="45143" s="3161" customFormat="1" ht="12.75"/>
    <row r="45144" s="3161" customFormat="1" ht="12.75"/>
    <row r="45145" s="3161" customFormat="1" ht="12.75"/>
    <row r="45146" s="3161" customFormat="1" ht="12.75"/>
    <row r="45147" s="3161" customFormat="1" ht="12.75"/>
    <row r="45148" s="3161" customFormat="1" ht="12.75"/>
    <row r="45149" s="3161" customFormat="1" ht="12.75"/>
    <row r="45150" s="3161" customFormat="1" ht="12.75"/>
    <row r="45151" s="3161" customFormat="1" ht="12.75"/>
    <row r="45152" s="3161" customFormat="1" ht="12.75"/>
    <row r="45153" s="3161" customFormat="1" ht="12.75"/>
    <row r="45154" s="3161" customFormat="1" ht="12.75"/>
    <row r="45155" s="3161" customFormat="1" ht="12.75"/>
    <row r="45156" s="3161" customFormat="1" ht="12.75"/>
    <row r="45157" s="3161" customFormat="1" ht="12.75"/>
    <row r="45158" s="3161" customFormat="1" ht="12.75"/>
    <row r="45159" s="3161" customFormat="1" ht="12.75"/>
    <row r="45160" s="3161" customFormat="1" ht="12.75"/>
    <row r="45161" s="3161" customFormat="1" ht="12.75"/>
    <row r="45162" s="3161" customFormat="1" ht="12.75"/>
    <row r="45163" s="3161" customFormat="1" ht="12.75"/>
    <row r="45164" s="3161" customFormat="1" ht="12.75"/>
    <row r="45165" s="3161" customFormat="1" ht="12.75"/>
    <row r="45166" s="3161" customFormat="1" ht="12.75"/>
    <row r="45167" s="3161" customFormat="1" ht="12.75"/>
    <row r="45168" s="3161" customFormat="1" ht="12.75"/>
    <row r="45169" s="3161" customFormat="1" ht="12.75"/>
    <row r="45170" s="3161" customFormat="1" ht="12.75"/>
    <row r="45171" s="3161" customFormat="1" ht="12.75"/>
    <row r="45172" s="3161" customFormat="1" ht="12.75"/>
    <row r="45173" s="3161" customFormat="1" ht="12.75"/>
    <row r="45174" s="3161" customFormat="1" ht="12.75"/>
    <row r="45175" s="3161" customFormat="1" ht="12.75"/>
    <row r="45176" s="3161" customFormat="1" ht="12.75"/>
    <row r="45177" s="3161" customFormat="1" ht="12.75"/>
    <row r="45178" s="3161" customFormat="1" ht="12.75"/>
    <row r="45179" s="3161" customFormat="1" ht="12.75"/>
    <row r="45180" s="3161" customFormat="1" ht="12.75"/>
    <row r="45181" s="3161" customFormat="1" ht="12.75"/>
    <row r="45182" s="3161" customFormat="1" ht="12.75"/>
    <row r="45183" s="3161" customFormat="1" ht="12.75"/>
    <row r="45184" s="3161" customFormat="1" ht="12.75"/>
    <row r="45185" s="3161" customFormat="1" ht="12.75"/>
    <row r="45186" s="3161" customFormat="1" ht="12.75"/>
    <row r="45187" s="3161" customFormat="1" ht="12.75"/>
    <row r="45188" s="3161" customFormat="1" ht="12.75"/>
    <row r="45189" s="3161" customFormat="1" ht="12.75"/>
    <row r="45190" s="3161" customFormat="1" ht="12.75"/>
    <row r="45191" s="3161" customFormat="1" ht="12.75"/>
    <row r="45192" s="3161" customFormat="1" ht="12.75"/>
    <row r="45193" s="3161" customFormat="1" ht="12.75"/>
    <row r="45194" s="3161" customFormat="1" ht="12.75"/>
    <row r="45195" s="3161" customFormat="1" ht="12.75"/>
    <row r="45196" s="3161" customFormat="1" ht="12.75"/>
    <row r="45197" s="3161" customFormat="1" ht="12.75"/>
    <row r="45198" s="3161" customFormat="1" ht="12.75"/>
    <row r="45199" s="3161" customFormat="1" ht="12.75"/>
    <row r="45200" s="3161" customFormat="1" ht="12.75"/>
    <row r="45201" s="3161" customFormat="1" ht="12.75"/>
    <row r="45202" s="3161" customFormat="1" ht="12.75"/>
    <row r="45203" s="3161" customFormat="1" ht="12.75"/>
    <row r="45204" s="3161" customFormat="1" ht="12.75"/>
    <row r="45205" s="3161" customFormat="1" ht="12.75"/>
    <row r="45206" s="3161" customFormat="1" ht="12.75"/>
    <row r="45207" s="3161" customFormat="1" ht="12.75"/>
    <row r="45208" s="3161" customFormat="1" ht="12.75"/>
    <row r="45209" s="3161" customFormat="1" ht="12.75"/>
    <row r="45210" s="3161" customFormat="1" ht="12.75"/>
    <row r="45211" s="3161" customFormat="1" ht="12.75"/>
    <row r="45212" s="3161" customFormat="1" ht="12.75"/>
    <row r="45213" s="3161" customFormat="1" ht="12.75"/>
    <row r="45214" s="3161" customFormat="1" ht="12.75"/>
    <row r="45215" s="3161" customFormat="1" ht="12.75"/>
    <row r="45216" s="3161" customFormat="1" ht="12.75"/>
    <row r="45217" s="3161" customFormat="1" ht="12.75"/>
    <row r="45218" s="3161" customFormat="1" ht="12.75"/>
    <row r="45219" s="3161" customFormat="1" ht="12.75"/>
    <row r="45220" s="3161" customFormat="1" ht="12.75"/>
    <row r="45221" s="3161" customFormat="1" ht="12.75"/>
    <row r="45222" s="3161" customFormat="1" ht="12.75"/>
    <row r="45223" s="3161" customFormat="1" ht="12.75"/>
    <row r="45224" s="3161" customFormat="1" ht="12.75"/>
    <row r="45225" s="3161" customFormat="1" ht="12.75"/>
    <row r="45226" s="3161" customFormat="1" ht="12.75"/>
    <row r="45227" s="3161" customFormat="1" ht="12.75"/>
    <row r="45228" s="3161" customFormat="1" ht="12.75"/>
    <row r="45229" s="3161" customFormat="1" ht="12.75"/>
    <row r="45230" s="3161" customFormat="1" ht="12.75"/>
    <row r="45231" s="3161" customFormat="1" ht="12.75"/>
    <row r="45232" s="3161" customFormat="1" ht="12.75"/>
    <row r="45233" s="3161" customFormat="1" ht="12.75"/>
    <row r="45234" s="3161" customFormat="1" ht="12.75"/>
    <row r="45235" s="3161" customFormat="1" ht="12.75"/>
    <row r="45236" s="3161" customFormat="1" ht="12.75"/>
    <row r="45237" s="3161" customFormat="1" ht="12.75"/>
    <row r="45238" s="3161" customFormat="1" ht="12.75"/>
    <row r="45239" s="3161" customFormat="1" ht="12.75"/>
    <row r="45240" s="3161" customFormat="1" ht="12.75"/>
    <row r="45241" s="3161" customFormat="1" ht="12.75"/>
    <row r="45242" s="3161" customFormat="1" ht="12.75"/>
    <row r="45243" s="3161" customFormat="1" ht="12.75"/>
    <row r="45244" s="3161" customFormat="1" ht="12.75"/>
    <row r="45245" s="3161" customFormat="1" ht="12.75"/>
    <row r="45246" s="3161" customFormat="1" ht="12.75"/>
    <row r="45247" s="3161" customFormat="1" ht="12.75"/>
    <row r="45248" s="3161" customFormat="1" ht="12.75"/>
    <row r="45249" s="3161" customFormat="1" ht="12.75"/>
    <row r="45250" s="3161" customFormat="1" ht="12.75"/>
    <row r="45251" s="3161" customFormat="1" ht="12.75"/>
    <row r="45252" s="3161" customFormat="1" ht="12.75"/>
    <row r="45253" s="3161" customFormat="1" ht="12.75"/>
    <row r="45254" s="3161" customFormat="1" ht="12.75"/>
    <row r="45255" s="3161" customFormat="1" ht="12.75"/>
    <row r="45256" s="3161" customFormat="1" ht="12.75"/>
    <row r="45257" s="3161" customFormat="1" ht="12.75"/>
    <row r="45258" s="3161" customFormat="1" ht="12.75"/>
    <row r="45259" s="3161" customFormat="1" ht="12.75"/>
    <row r="45260" s="3161" customFormat="1" ht="12.75"/>
    <row r="45261" s="3161" customFormat="1" ht="12.75"/>
    <row r="45262" s="3161" customFormat="1" ht="12.75"/>
    <row r="45263" s="3161" customFormat="1" ht="12.75"/>
    <row r="45264" s="3161" customFormat="1" ht="12.75"/>
    <row r="45265" s="3161" customFormat="1" ht="12.75"/>
    <row r="45266" s="3161" customFormat="1" ht="12.75"/>
    <row r="45267" s="3161" customFormat="1" ht="12.75"/>
    <row r="45268" s="3161" customFormat="1" ht="12.75"/>
    <row r="45269" s="3161" customFormat="1" ht="12.75"/>
    <row r="45270" s="3161" customFormat="1" ht="12.75"/>
    <row r="45271" s="3161" customFormat="1" ht="12.75"/>
    <row r="45272" s="3161" customFormat="1" ht="12.75"/>
    <row r="45273" s="3161" customFormat="1" ht="12.75"/>
    <row r="45274" s="3161" customFormat="1" ht="12.75"/>
    <row r="45275" s="3161" customFormat="1" ht="12.75"/>
    <row r="45276" s="3161" customFormat="1" ht="12.75"/>
    <row r="45277" s="3161" customFormat="1" ht="12.75"/>
    <row r="45278" s="3161" customFormat="1" ht="12.75"/>
    <row r="45279" s="3161" customFormat="1" ht="12.75"/>
    <row r="45280" s="3161" customFormat="1" ht="12.75"/>
    <row r="45281" s="3161" customFormat="1" ht="12.75"/>
    <row r="45282" s="3161" customFormat="1" ht="12.75"/>
    <row r="45283" s="3161" customFormat="1" ht="12.75"/>
    <row r="45284" s="3161" customFormat="1" ht="12.75"/>
    <row r="45285" s="3161" customFormat="1" ht="12.75"/>
    <row r="45286" s="3161" customFormat="1" ht="12.75"/>
    <row r="45287" s="3161" customFormat="1" ht="12.75"/>
    <row r="45288" s="3161" customFormat="1" ht="12.75"/>
    <row r="45289" s="3161" customFormat="1" ht="12.75"/>
    <row r="45290" s="3161" customFormat="1" ht="12.75"/>
    <row r="45291" s="3161" customFormat="1" ht="12.75"/>
    <row r="45292" s="3161" customFormat="1" ht="12.75"/>
    <row r="45293" s="3161" customFormat="1" ht="12.75"/>
    <row r="45294" s="3161" customFormat="1" ht="12.75"/>
    <row r="45295" s="3161" customFormat="1" ht="12.75"/>
    <row r="45296" s="3161" customFormat="1" ht="12.75"/>
    <row r="45297" s="3161" customFormat="1" ht="12.75"/>
    <row r="45298" s="3161" customFormat="1" ht="12.75"/>
    <row r="45299" s="3161" customFormat="1" ht="12.75"/>
    <row r="45300" s="3161" customFormat="1" ht="12.75"/>
    <row r="45301" s="3161" customFormat="1" ht="12.75"/>
    <row r="45302" s="3161" customFormat="1" ht="12.75"/>
    <row r="45303" s="3161" customFormat="1" ht="12.75"/>
    <row r="45304" s="3161" customFormat="1" ht="12.75"/>
    <row r="45305" s="3161" customFormat="1" ht="12.75"/>
    <row r="45306" s="3161" customFormat="1" ht="12.75"/>
    <row r="45307" s="3161" customFormat="1" ht="12.75"/>
    <row r="45308" s="3161" customFormat="1" ht="12.75"/>
    <row r="45309" s="3161" customFormat="1" ht="12.75"/>
    <row r="45310" s="3161" customFormat="1" ht="12.75"/>
    <row r="45311" s="3161" customFormat="1" ht="12.75"/>
    <row r="45312" s="3161" customFormat="1" ht="12.75"/>
    <row r="45313" s="3161" customFormat="1" ht="12.75"/>
    <row r="45314" s="3161" customFormat="1" ht="12.75"/>
    <row r="45315" s="3161" customFormat="1" ht="12.75"/>
    <row r="45316" s="3161" customFormat="1" ht="12.75"/>
    <row r="45317" s="3161" customFormat="1" ht="12.75"/>
    <row r="45318" s="3161" customFormat="1" ht="12.75"/>
    <row r="45319" s="3161" customFormat="1" ht="12.75"/>
    <row r="45320" s="3161" customFormat="1" ht="12.75"/>
    <row r="45321" s="3161" customFormat="1" ht="12.75"/>
    <row r="45322" s="3161" customFormat="1" ht="12.75"/>
    <row r="45323" s="3161" customFormat="1" ht="12.75"/>
    <row r="45324" s="3161" customFormat="1" ht="12.75"/>
    <row r="45325" s="3161" customFormat="1" ht="12.75"/>
    <row r="45326" s="3161" customFormat="1" ht="12.75"/>
    <row r="45327" s="3161" customFormat="1" ht="12.75"/>
    <row r="45328" s="3161" customFormat="1" ht="12.75"/>
    <row r="45329" s="3161" customFormat="1" ht="12.75"/>
    <row r="45330" s="3161" customFormat="1" ht="12.75"/>
    <row r="45331" s="3161" customFormat="1" ht="12.75"/>
    <row r="45332" s="3161" customFormat="1" ht="12.75"/>
    <row r="45333" s="3161" customFormat="1" ht="12.75"/>
    <row r="45334" s="3161" customFormat="1" ht="12.75"/>
    <row r="45335" s="3161" customFormat="1" ht="12.75"/>
    <row r="45336" s="3161" customFormat="1" ht="12.75"/>
    <row r="45337" s="3161" customFormat="1" ht="12.75"/>
    <row r="45338" s="3161" customFormat="1" ht="12.75"/>
    <row r="45339" s="3161" customFormat="1" ht="12.75"/>
    <row r="45340" s="3161" customFormat="1" ht="12.75"/>
    <row r="45341" s="3161" customFormat="1" ht="12.75"/>
    <row r="45342" s="3161" customFormat="1" ht="12.75"/>
    <row r="45343" s="3161" customFormat="1" ht="12.75"/>
    <row r="45344" s="3161" customFormat="1" ht="12.75"/>
    <row r="45345" s="3161" customFormat="1" ht="12.75"/>
    <row r="45346" s="3161" customFormat="1" ht="12.75"/>
    <row r="45347" s="3161" customFormat="1" ht="12.75"/>
    <row r="45348" s="3161" customFormat="1" ht="12.75"/>
    <row r="45349" s="3161" customFormat="1" ht="12.75"/>
    <row r="45350" s="3161" customFormat="1" ht="12.75"/>
    <row r="45351" s="3161" customFormat="1" ht="12.75"/>
    <row r="45352" s="3161" customFormat="1" ht="12.75"/>
    <row r="45353" s="3161" customFormat="1" ht="12.75"/>
    <row r="45354" s="3161" customFormat="1" ht="12.75"/>
    <row r="45355" s="3161" customFormat="1" ht="12.75"/>
    <row r="45356" s="3161" customFormat="1" ht="12.75"/>
    <row r="45357" s="3161" customFormat="1" ht="12.75"/>
    <row r="45358" s="3161" customFormat="1" ht="12.75"/>
    <row r="45359" s="3161" customFormat="1" ht="12.75"/>
    <row r="45360" s="3161" customFormat="1" ht="12.75"/>
    <row r="45361" s="3161" customFormat="1" ht="12.75"/>
    <row r="45362" s="3161" customFormat="1" ht="12.75"/>
    <row r="45363" s="3161" customFormat="1" ht="12.75"/>
    <row r="45364" s="3161" customFormat="1" ht="12.75"/>
    <row r="45365" s="3161" customFormat="1" ht="12.75"/>
    <row r="45366" s="3161" customFormat="1" ht="12.75"/>
    <row r="45367" s="3161" customFormat="1" ht="12.75"/>
    <row r="45368" s="3161" customFormat="1" ht="12.75"/>
    <row r="45369" s="3161" customFormat="1" ht="12.75"/>
    <row r="45370" s="3161" customFormat="1" ht="12.75"/>
    <row r="45371" s="3161" customFormat="1" ht="12.75"/>
    <row r="45372" s="3161" customFormat="1" ht="12.75"/>
    <row r="45373" s="3161" customFormat="1" ht="12.75"/>
    <row r="45374" s="3161" customFormat="1" ht="12.75"/>
    <row r="45375" s="3161" customFormat="1" ht="12.75"/>
    <row r="45376" s="3161" customFormat="1" ht="12.75"/>
    <row r="45377" s="3161" customFormat="1" ht="12.75"/>
    <row r="45378" s="3161" customFormat="1" ht="12.75"/>
    <row r="45379" s="3161" customFormat="1" ht="12.75"/>
    <row r="45380" s="3161" customFormat="1" ht="12.75"/>
    <row r="45381" s="3161" customFormat="1" ht="12.75"/>
    <row r="45382" s="3161" customFormat="1" ht="12.75"/>
    <row r="45383" s="3161" customFormat="1" ht="12.75"/>
    <row r="45384" s="3161" customFormat="1" ht="12.75"/>
    <row r="45385" s="3161" customFormat="1" ht="12.75"/>
    <row r="45386" s="3161" customFormat="1" ht="12.75"/>
    <row r="45387" s="3161" customFormat="1" ht="12.75"/>
    <row r="45388" s="3161" customFormat="1" ht="12.75"/>
    <row r="45389" s="3161" customFormat="1" ht="12.75"/>
    <row r="45390" s="3161" customFormat="1" ht="12.75"/>
    <row r="45391" s="3161" customFormat="1" ht="12.75"/>
    <row r="45392" s="3161" customFormat="1" ht="12.75"/>
    <row r="45393" s="3161" customFormat="1" ht="12.75"/>
    <row r="45394" s="3161" customFormat="1" ht="12.75"/>
    <row r="45395" s="3161" customFormat="1" ht="12.75"/>
    <row r="45396" s="3161" customFormat="1" ht="12.75"/>
    <row r="45397" s="3161" customFormat="1" ht="12.75"/>
    <row r="45398" s="3161" customFormat="1" ht="12.75"/>
    <row r="45399" s="3161" customFormat="1" ht="12.75"/>
    <row r="45400" s="3161" customFormat="1" ht="12.75"/>
    <row r="45401" s="3161" customFormat="1" ht="12.75"/>
    <row r="45402" s="3161" customFormat="1" ht="12.75"/>
    <row r="45403" s="3161" customFormat="1" ht="12.75"/>
    <row r="45404" s="3161" customFormat="1" ht="12.75"/>
    <row r="45405" s="3161" customFormat="1" ht="12.75"/>
    <row r="45406" s="3161" customFormat="1" ht="12.75"/>
    <row r="45407" s="3161" customFormat="1" ht="12.75"/>
    <row r="45408" s="3161" customFormat="1" ht="12.75"/>
    <row r="45409" s="3161" customFormat="1" ht="12.75"/>
    <row r="45410" s="3161" customFormat="1" ht="12.75"/>
    <row r="45411" s="3161" customFormat="1" ht="12.75"/>
    <row r="45412" s="3161" customFormat="1" ht="12.75"/>
    <row r="45413" s="3161" customFormat="1" ht="12.75"/>
    <row r="45414" s="3161" customFormat="1" ht="12.75"/>
    <row r="45415" s="3161" customFormat="1" ht="12.75"/>
    <row r="45416" s="3161" customFormat="1" ht="12.75"/>
    <row r="45417" s="3161" customFormat="1" ht="12.75"/>
    <row r="45418" s="3161" customFormat="1" ht="12.75"/>
    <row r="45419" s="3161" customFormat="1" ht="12.75"/>
    <row r="45420" s="3161" customFormat="1" ht="12.75"/>
    <row r="45421" s="3161" customFormat="1" ht="12.75"/>
    <row r="45422" s="3161" customFormat="1" ht="12.75"/>
    <row r="45423" s="3161" customFormat="1" ht="12.75"/>
    <row r="45424" s="3161" customFormat="1" ht="12.75"/>
    <row r="45425" s="3161" customFormat="1" ht="12.75"/>
    <row r="45426" s="3161" customFormat="1" ht="12.75"/>
    <row r="45427" s="3161" customFormat="1" ht="12.75"/>
    <row r="45428" s="3161" customFormat="1" ht="12.75"/>
    <row r="45429" s="3161" customFormat="1" ht="12.75"/>
    <row r="45430" s="3161" customFormat="1" ht="12.75"/>
    <row r="45431" s="3161" customFormat="1" ht="12.75"/>
    <row r="45432" s="3161" customFormat="1" ht="12.75"/>
    <row r="45433" s="3161" customFormat="1" ht="12.75"/>
    <row r="45434" s="3161" customFormat="1" ht="12.75"/>
    <row r="45435" s="3161" customFormat="1" ht="12.75"/>
    <row r="45436" s="3161" customFormat="1" ht="12.75"/>
    <row r="45437" s="3161" customFormat="1" ht="12.75"/>
    <row r="45438" s="3161" customFormat="1" ht="12.75"/>
    <row r="45439" s="3161" customFormat="1" ht="12.75"/>
    <row r="45440" s="3161" customFormat="1" ht="12.75"/>
    <row r="45441" s="3161" customFormat="1" ht="12.75"/>
    <row r="45442" s="3161" customFormat="1" ht="12.75"/>
    <row r="45443" s="3161" customFormat="1" ht="12.75"/>
    <row r="45444" s="3161" customFormat="1" ht="12.75"/>
    <row r="45445" s="3161" customFormat="1" ht="12.75"/>
    <row r="45446" s="3161" customFormat="1" ht="12.75"/>
    <row r="45447" s="3161" customFormat="1" ht="12.75"/>
    <row r="45448" s="3161" customFormat="1" ht="12.75"/>
    <row r="45449" s="3161" customFormat="1" ht="12.75"/>
    <row r="45450" s="3161" customFormat="1" ht="12.75"/>
    <row r="45451" s="3161" customFormat="1" ht="12.75"/>
    <row r="45452" s="3161" customFormat="1" ht="12.75"/>
    <row r="45453" s="3161" customFormat="1" ht="12.75"/>
    <row r="45454" s="3161" customFormat="1" ht="12.75"/>
    <row r="45455" s="3161" customFormat="1" ht="12.75"/>
    <row r="45456" s="3161" customFormat="1" ht="12.75"/>
    <row r="45457" s="3161" customFormat="1" ht="12.75"/>
    <row r="45458" s="3161" customFormat="1" ht="12.75"/>
    <row r="45459" s="3161" customFormat="1" ht="12.75"/>
    <row r="45460" s="3161" customFormat="1" ht="12.75"/>
    <row r="45461" s="3161" customFormat="1" ht="12.75"/>
    <row r="45462" s="3161" customFormat="1" ht="12.75"/>
    <row r="45463" s="3161" customFormat="1" ht="12.75"/>
    <row r="45464" s="3161" customFormat="1" ht="12.75"/>
    <row r="45465" s="3161" customFormat="1" ht="12.75"/>
    <row r="45466" s="3161" customFormat="1" ht="12.75"/>
    <row r="45467" s="3161" customFormat="1" ht="12.75"/>
    <row r="45468" s="3161" customFormat="1" ht="12.75"/>
    <row r="45469" s="3161" customFormat="1" ht="12.75"/>
    <row r="45470" s="3161" customFormat="1" ht="12.75"/>
    <row r="45471" s="3161" customFormat="1" ht="12.75"/>
    <row r="45472" s="3161" customFormat="1" ht="12.75"/>
    <row r="45473" s="3161" customFormat="1" ht="12.75"/>
    <row r="45474" s="3161" customFormat="1" ht="12.75"/>
    <row r="45475" s="3161" customFormat="1" ht="12.75"/>
    <row r="45476" s="3161" customFormat="1" ht="12.75"/>
    <row r="45477" s="3161" customFormat="1" ht="12.75"/>
    <row r="45478" s="3161" customFormat="1" ht="12.75"/>
    <row r="45479" s="3161" customFormat="1" ht="12.75"/>
    <row r="45480" s="3161" customFormat="1" ht="12.75"/>
    <row r="45481" s="3161" customFormat="1" ht="12.75"/>
    <row r="45482" s="3161" customFormat="1" ht="12.75"/>
    <row r="45483" s="3161" customFormat="1" ht="12.75"/>
    <row r="45484" s="3161" customFormat="1" ht="12.75"/>
    <row r="45485" s="3161" customFormat="1" ht="12.75"/>
    <row r="45486" s="3161" customFormat="1" ht="12.75"/>
    <row r="45487" s="3161" customFormat="1" ht="12.75"/>
    <row r="45488" s="3161" customFormat="1" ht="12.75"/>
    <row r="45489" s="3161" customFormat="1" ht="12.75"/>
    <row r="45490" s="3161" customFormat="1" ht="12.75"/>
    <row r="45491" s="3161" customFormat="1" ht="12.75"/>
    <row r="45492" s="3161" customFormat="1" ht="12.75"/>
    <row r="45493" s="3161" customFormat="1" ht="12.75"/>
    <row r="45494" s="3161" customFormat="1" ht="12.75"/>
    <row r="45495" s="3161" customFormat="1" ht="12.75"/>
    <row r="45496" s="3161" customFormat="1" ht="12.75"/>
    <row r="45497" s="3161" customFormat="1" ht="12.75"/>
    <row r="45498" s="3161" customFormat="1" ht="12.75"/>
    <row r="45499" s="3161" customFormat="1" ht="12.75"/>
    <row r="45500" s="3161" customFormat="1" ht="12.75"/>
    <row r="45501" s="3161" customFormat="1" ht="12.75"/>
    <row r="45502" s="3161" customFormat="1" ht="12.75"/>
    <row r="45503" s="3161" customFormat="1" ht="12.75"/>
    <row r="45504" s="3161" customFormat="1" ht="12.75"/>
    <row r="45505" s="3161" customFormat="1" ht="12.75"/>
    <row r="45506" s="3161" customFormat="1" ht="12.75"/>
    <row r="45507" s="3161" customFormat="1" ht="12.75"/>
    <row r="45508" s="3161" customFormat="1" ht="12.75"/>
    <row r="45509" s="3161" customFormat="1" ht="12.75"/>
    <row r="45510" s="3161" customFormat="1" ht="12.75"/>
    <row r="45511" s="3161" customFormat="1" ht="12.75"/>
    <row r="45512" s="3161" customFormat="1" ht="12.75"/>
    <row r="45513" s="3161" customFormat="1" ht="12.75"/>
    <row r="45514" s="3161" customFormat="1" ht="12.75"/>
    <row r="45515" s="3161" customFormat="1" ht="12.75"/>
    <row r="45516" s="3161" customFormat="1" ht="12.75"/>
    <row r="45517" s="3161" customFormat="1" ht="12.75"/>
    <row r="45518" s="3161" customFormat="1" ht="12.75"/>
    <row r="45519" s="3161" customFormat="1" ht="12.75"/>
    <row r="45520" s="3161" customFormat="1" ht="12.75"/>
    <row r="45521" s="3161" customFormat="1" ht="12.75"/>
    <row r="45522" s="3161" customFormat="1" ht="12.75"/>
    <row r="45523" s="3161" customFormat="1" ht="12.75"/>
    <row r="45524" s="3161" customFormat="1" ht="12.75"/>
    <row r="45525" s="3161" customFormat="1" ht="12.75"/>
    <row r="45526" s="3161" customFormat="1" ht="12.75"/>
    <row r="45527" s="3161" customFormat="1" ht="12.75"/>
    <row r="45528" s="3161" customFormat="1" ht="12.75"/>
    <row r="45529" s="3161" customFormat="1" ht="12.75"/>
    <row r="45530" s="3161" customFormat="1" ht="12.75"/>
    <row r="45531" s="3161" customFormat="1" ht="12.75"/>
    <row r="45532" s="3161" customFormat="1" ht="12.75"/>
    <row r="45533" s="3161" customFormat="1" ht="12.75"/>
    <row r="45534" s="3161" customFormat="1" ht="12.75"/>
    <row r="45535" s="3161" customFormat="1" ht="12.75"/>
    <row r="45536" s="3161" customFormat="1" ht="12.75"/>
    <row r="45537" s="3161" customFormat="1" ht="12.75"/>
    <row r="45538" s="3161" customFormat="1" ht="12.75"/>
    <row r="45539" s="3161" customFormat="1" ht="12.75"/>
    <row r="45540" s="3161" customFormat="1" ht="12.75"/>
    <row r="45541" s="3161" customFormat="1" ht="12.75"/>
    <row r="45542" s="3161" customFormat="1" ht="12.75"/>
    <row r="45543" s="3161" customFormat="1" ht="12.75"/>
    <row r="45544" s="3161" customFormat="1" ht="12.75"/>
    <row r="45545" s="3161" customFormat="1" ht="12.75"/>
    <row r="45546" s="3161" customFormat="1" ht="12.75"/>
    <row r="45547" s="3161" customFormat="1" ht="12.75"/>
    <row r="45548" s="3161" customFormat="1" ht="12.75"/>
    <row r="45549" s="3161" customFormat="1" ht="12.75"/>
    <row r="45550" s="3161" customFormat="1" ht="12.75"/>
    <row r="45551" s="3161" customFormat="1" ht="12.75"/>
    <row r="45552" s="3161" customFormat="1" ht="12.75"/>
    <row r="45553" s="3161" customFormat="1" ht="12.75"/>
    <row r="45554" s="3161" customFormat="1" ht="12.75"/>
    <row r="45555" s="3161" customFormat="1" ht="12.75"/>
    <row r="45556" s="3161" customFormat="1" ht="12.75"/>
    <row r="45557" s="3161" customFormat="1" ht="12.75"/>
    <row r="45558" s="3161" customFormat="1" ht="12.75"/>
    <row r="45559" s="3161" customFormat="1" ht="12.75"/>
    <row r="45560" s="3161" customFormat="1" ht="12.75"/>
    <row r="45561" s="3161" customFormat="1" ht="12.75"/>
    <row r="45562" s="3161" customFormat="1" ht="12.75"/>
    <row r="45563" s="3161" customFormat="1" ht="12.75"/>
    <row r="45564" s="3161" customFormat="1" ht="12.75"/>
    <row r="45565" s="3161" customFormat="1" ht="12.75"/>
    <row r="45566" s="3161" customFormat="1" ht="12.75"/>
    <row r="45567" s="3161" customFormat="1" ht="12.75"/>
    <row r="45568" s="3161" customFormat="1" ht="12.75"/>
    <row r="45569" s="3161" customFormat="1" ht="12.75"/>
    <row r="45570" s="3161" customFormat="1" ht="12.75"/>
    <row r="45571" s="3161" customFormat="1" ht="12.75"/>
    <row r="45572" s="3161" customFormat="1" ht="12.75"/>
    <row r="45573" s="3161" customFormat="1" ht="12.75"/>
    <row r="45574" s="3161" customFormat="1" ht="12.75"/>
    <row r="45575" s="3161" customFormat="1" ht="12.75"/>
    <row r="45576" s="3161" customFormat="1" ht="12.75"/>
    <row r="45577" s="3161" customFormat="1" ht="12.75"/>
    <row r="45578" s="3161" customFormat="1" ht="12.75"/>
    <row r="45579" s="3161" customFormat="1" ht="12.75"/>
    <row r="45580" s="3161" customFormat="1" ht="12.75"/>
    <row r="45581" s="3161" customFormat="1" ht="12.75"/>
    <row r="45582" s="3161" customFormat="1" ht="12.75"/>
    <row r="45583" s="3161" customFormat="1" ht="12.75"/>
    <row r="45584" s="3161" customFormat="1" ht="12.75"/>
    <row r="45585" s="3161" customFormat="1" ht="12.75"/>
    <row r="45586" s="3161" customFormat="1" ht="12.75"/>
    <row r="45587" s="3161" customFormat="1" ht="12.75"/>
    <row r="45588" s="3161" customFormat="1" ht="12.75"/>
    <row r="45589" s="3161" customFormat="1" ht="12.75"/>
    <row r="45590" s="3161" customFormat="1" ht="12.75"/>
    <row r="45591" s="3161" customFormat="1" ht="12.75"/>
    <row r="45592" s="3161" customFormat="1" ht="12.75"/>
    <row r="45593" s="3161" customFormat="1" ht="12.75"/>
    <row r="45594" s="3161" customFormat="1" ht="12.75"/>
    <row r="45595" s="3161" customFormat="1" ht="12.75"/>
    <row r="45596" s="3161" customFormat="1" ht="12.75"/>
    <row r="45597" s="3161" customFormat="1" ht="12.75"/>
    <row r="45598" s="3161" customFormat="1" ht="12.75"/>
    <row r="45599" s="3161" customFormat="1" ht="12.75"/>
    <row r="45600" s="3161" customFormat="1" ht="12.75"/>
    <row r="45601" s="3161" customFormat="1" ht="12.75"/>
    <row r="45602" s="3161" customFormat="1" ht="12.75"/>
    <row r="45603" s="3161" customFormat="1" ht="12.75"/>
    <row r="45604" s="3161" customFormat="1" ht="12.75"/>
    <row r="45605" s="3161" customFormat="1" ht="12.75"/>
    <row r="45606" s="3161" customFormat="1" ht="12.75"/>
    <row r="45607" s="3161" customFormat="1" ht="12.75"/>
    <row r="45608" s="3161" customFormat="1" ht="12.75"/>
    <row r="45609" s="3161" customFormat="1" ht="12.75"/>
    <row r="45610" s="3161" customFormat="1" ht="12.75"/>
    <row r="45611" s="3161" customFormat="1" ht="12.75"/>
    <row r="45612" s="3161" customFormat="1" ht="12.75"/>
    <row r="45613" s="3161" customFormat="1" ht="12.75"/>
    <row r="45614" s="3161" customFormat="1" ht="12.75"/>
    <row r="45615" s="3161" customFormat="1" ht="12.75"/>
    <row r="45616" s="3161" customFormat="1" ht="12.75"/>
    <row r="45617" s="3161" customFormat="1" ht="12.75"/>
    <row r="45618" s="3161" customFormat="1" ht="12.75"/>
    <row r="45619" s="3161" customFormat="1" ht="12.75"/>
    <row r="45620" s="3161" customFormat="1" ht="12.75"/>
    <row r="45621" s="3161" customFormat="1" ht="12.75"/>
    <row r="45622" s="3161" customFormat="1" ht="12.75"/>
    <row r="45623" s="3161" customFormat="1" ht="12.75"/>
    <row r="45624" s="3161" customFormat="1" ht="12.75"/>
    <row r="45625" s="3161" customFormat="1" ht="12.75"/>
    <row r="45626" s="3161" customFormat="1" ht="12.75"/>
    <row r="45627" s="3161" customFormat="1" ht="12.75"/>
    <row r="45628" s="3161" customFormat="1" ht="12.75"/>
    <row r="45629" s="3161" customFormat="1" ht="12.75"/>
    <row r="45630" s="3161" customFormat="1" ht="12.75"/>
    <row r="45631" s="3161" customFormat="1" ht="12.75"/>
    <row r="45632" s="3161" customFormat="1" ht="12.75"/>
    <row r="45633" s="3161" customFormat="1" ht="12.75"/>
    <row r="45634" s="3161" customFormat="1" ht="12.75"/>
    <row r="45635" s="3161" customFormat="1" ht="12.75"/>
    <row r="45636" s="3161" customFormat="1" ht="12.75"/>
    <row r="45637" s="3161" customFormat="1" ht="12.75"/>
    <row r="45638" s="3161" customFormat="1" ht="12.75"/>
    <row r="45639" s="3161" customFormat="1" ht="12.75"/>
    <row r="45640" s="3161" customFormat="1" ht="12.75"/>
    <row r="45641" s="3161" customFormat="1" ht="12.75"/>
    <row r="45642" s="3161" customFormat="1" ht="12.75"/>
    <row r="45643" s="3161" customFormat="1" ht="12.75"/>
    <row r="45644" s="3161" customFormat="1" ht="12.75"/>
    <row r="45645" s="3161" customFormat="1" ht="12.75"/>
    <row r="45646" s="3161" customFormat="1" ht="12.75"/>
    <row r="45647" s="3161" customFormat="1" ht="12.75"/>
    <row r="45648" s="3161" customFormat="1" ht="12.75"/>
    <row r="45649" s="3161" customFormat="1" ht="12.75"/>
    <row r="45650" s="3161" customFormat="1" ht="12.75"/>
    <row r="45651" s="3161" customFormat="1" ht="12.75"/>
    <row r="45652" s="3161" customFormat="1" ht="12.75"/>
    <row r="45653" s="3161" customFormat="1" ht="12.75"/>
    <row r="45654" s="3161" customFormat="1" ht="12.75"/>
    <row r="45655" s="3161" customFormat="1" ht="12.75"/>
    <row r="45656" s="3161" customFormat="1" ht="12.75"/>
    <row r="45657" s="3161" customFormat="1" ht="12.75"/>
    <row r="45658" s="3161" customFormat="1" ht="12.75"/>
    <row r="45659" s="3161" customFormat="1" ht="12.75"/>
    <row r="45660" s="3161" customFormat="1" ht="12.75"/>
    <row r="45661" s="3161" customFormat="1" ht="12.75"/>
    <row r="45662" s="3161" customFormat="1" ht="12.75"/>
    <row r="45663" s="3161" customFormat="1" ht="12.75"/>
    <row r="45664" s="3161" customFormat="1" ht="12.75"/>
    <row r="45665" s="3161" customFormat="1" ht="12.75"/>
    <row r="45666" s="3161" customFormat="1" ht="12.75"/>
    <row r="45667" s="3161" customFormat="1" ht="12.75"/>
    <row r="45668" s="3161" customFormat="1" ht="12.75"/>
    <row r="45669" s="3161" customFormat="1" ht="12.75"/>
    <row r="45670" s="3161" customFormat="1" ht="12.75"/>
    <row r="45671" s="3161" customFormat="1" ht="12.75"/>
    <row r="45672" s="3161" customFormat="1" ht="12.75"/>
    <row r="45673" s="3161" customFormat="1" ht="12.75"/>
    <row r="45674" s="3161" customFormat="1" ht="12.75"/>
    <row r="45675" s="3161" customFormat="1" ht="12.75"/>
    <row r="45676" s="3161" customFormat="1" ht="12.75"/>
    <row r="45677" s="3161" customFormat="1" ht="12.75"/>
    <row r="45678" s="3161" customFormat="1" ht="12.75"/>
    <row r="45679" s="3161" customFormat="1" ht="12.75"/>
    <row r="45680" s="3161" customFormat="1" ht="12.75"/>
    <row r="45681" s="3161" customFormat="1" ht="12.75"/>
    <row r="45682" s="3161" customFormat="1" ht="12.75"/>
    <row r="45683" s="3161" customFormat="1" ht="12.75"/>
    <row r="45684" s="3161" customFormat="1" ht="12.75"/>
    <row r="45685" s="3161" customFormat="1" ht="12.75"/>
    <row r="45686" s="3161" customFormat="1" ht="12.75"/>
    <row r="45687" s="3161" customFormat="1" ht="12.75"/>
    <row r="45688" s="3161" customFormat="1" ht="12.75"/>
    <row r="45689" s="3161" customFormat="1" ht="12.75"/>
    <row r="45690" s="3161" customFormat="1" ht="12.75"/>
    <row r="45691" s="3161" customFormat="1" ht="12.75"/>
    <row r="45692" s="3161" customFormat="1" ht="12.75"/>
    <row r="45693" s="3161" customFormat="1" ht="12.75"/>
    <row r="45694" s="3161" customFormat="1" ht="12.75"/>
    <row r="45695" s="3161" customFormat="1" ht="12.75"/>
    <row r="45696" s="3161" customFormat="1" ht="12.75"/>
    <row r="45697" s="3161" customFormat="1" ht="12.75"/>
    <row r="45698" s="3161" customFormat="1" ht="12.75"/>
    <row r="45699" s="3161" customFormat="1" ht="12.75"/>
    <row r="45700" s="3161" customFormat="1" ht="12.75"/>
    <row r="45701" s="3161" customFormat="1" ht="12.75"/>
    <row r="45702" s="3161" customFormat="1" ht="12.75"/>
    <row r="45703" s="3161" customFormat="1" ht="12.75"/>
    <row r="45704" s="3161" customFormat="1" ht="12.75"/>
    <row r="45705" s="3161" customFormat="1" ht="12.75"/>
    <row r="45706" s="3161" customFormat="1" ht="12.75"/>
    <row r="45707" s="3161" customFormat="1" ht="12.75"/>
    <row r="45708" s="3161" customFormat="1" ht="12.75"/>
    <row r="45709" s="3161" customFormat="1" ht="12.75"/>
    <row r="45710" s="3161" customFormat="1" ht="12.75"/>
    <row r="45711" s="3161" customFormat="1" ht="12.75"/>
    <row r="45712" s="3161" customFormat="1" ht="12.75"/>
    <row r="45713" s="3161" customFormat="1" ht="12.75"/>
    <row r="45714" s="3161" customFormat="1" ht="12.75"/>
    <row r="45715" s="3161" customFormat="1" ht="12.75"/>
    <row r="45716" s="3161" customFormat="1" ht="12.75"/>
    <row r="45717" s="3161" customFormat="1" ht="12.75"/>
    <row r="45718" s="3161" customFormat="1" ht="12.75"/>
    <row r="45719" s="3161" customFormat="1" ht="12.75"/>
    <row r="45720" s="3161" customFormat="1" ht="12.75"/>
    <row r="45721" s="3161" customFormat="1" ht="12.75"/>
    <row r="45722" s="3161" customFormat="1" ht="12.75"/>
    <row r="45723" s="3161" customFormat="1" ht="12.75"/>
    <row r="45724" s="3161" customFormat="1" ht="12.75"/>
    <row r="45725" s="3161" customFormat="1" ht="12.75"/>
    <row r="45726" s="3161" customFormat="1" ht="12.75"/>
    <row r="45727" s="3161" customFormat="1" ht="12.75"/>
    <row r="45728" s="3161" customFormat="1" ht="12.75"/>
    <row r="45729" s="3161" customFormat="1" ht="12.75"/>
    <row r="45730" s="3161" customFormat="1" ht="12.75"/>
    <row r="45731" s="3161" customFormat="1" ht="12.75"/>
    <row r="45732" s="3161" customFormat="1" ht="12.75"/>
    <row r="45733" s="3161" customFormat="1" ht="12.75"/>
    <row r="45734" s="3161" customFormat="1" ht="12.75"/>
    <row r="45735" s="3161" customFormat="1" ht="12.75"/>
    <row r="45736" s="3161" customFormat="1" ht="12.75"/>
    <row r="45737" s="3161" customFormat="1" ht="12.75"/>
    <row r="45738" s="3161" customFormat="1" ht="12.75"/>
    <row r="45739" s="3161" customFormat="1" ht="12.75"/>
    <row r="45740" s="3161" customFormat="1" ht="12.75"/>
    <row r="45741" s="3161" customFormat="1" ht="12.75"/>
    <row r="45742" s="3161" customFormat="1" ht="12.75"/>
    <row r="45743" s="3161" customFormat="1" ht="12.75"/>
    <row r="45744" s="3161" customFormat="1" ht="12.75"/>
    <row r="45745" s="3161" customFormat="1" ht="12.75"/>
    <row r="45746" s="3161" customFormat="1" ht="12.75"/>
    <row r="45747" s="3161" customFormat="1" ht="12.75"/>
    <row r="45748" s="3161" customFormat="1" ht="12.75"/>
    <row r="45749" s="3161" customFormat="1" ht="12.75"/>
    <row r="45750" s="3161" customFormat="1" ht="12.75"/>
    <row r="45751" s="3161" customFormat="1" ht="12.75"/>
    <row r="45752" s="3161" customFormat="1" ht="12.75"/>
    <row r="45753" s="3161" customFormat="1" ht="12.75"/>
    <row r="45754" s="3161" customFormat="1" ht="12.75"/>
    <row r="45755" s="3161" customFormat="1" ht="12.75"/>
    <row r="45756" s="3161" customFormat="1" ht="12.75"/>
    <row r="45757" s="3161" customFormat="1" ht="12.75"/>
    <row r="45758" s="3161" customFormat="1" ht="12.75"/>
    <row r="45759" s="3161" customFormat="1" ht="12.75"/>
    <row r="45760" s="3161" customFormat="1" ht="12.75"/>
    <row r="45761" s="3161" customFormat="1" ht="12.75"/>
    <row r="45762" s="3161" customFormat="1" ht="12.75"/>
    <row r="45763" s="3161" customFormat="1" ht="12.75"/>
    <row r="45764" s="3161" customFormat="1" ht="12.75"/>
    <row r="45765" s="3161" customFormat="1" ht="12.75"/>
    <row r="45766" s="3161" customFormat="1" ht="12.75"/>
    <row r="45767" s="3161" customFormat="1" ht="12.75"/>
    <row r="45768" s="3161" customFormat="1" ht="12.75"/>
    <row r="45769" s="3161" customFormat="1" ht="12.75"/>
    <row r="45770" s="3161" customFormat="1" ht="12.75"/>
    <row r="45771" s="3161" customFormat="1" ht="12.75"/>
    <row r="45772" s="3161" customFormat="1" ht="12.75"/>
    <row r="45773" s="3161" customFormat="1" ht="12.75"/>
    <row r="45774" s="3161" customFormat="1" ht="12.75"/>
    <row r="45775" s="3161" customFormat="1" ht="12.75"/>
    <row r="45776" s="3161" customFormat="1" ht="12.75"/>
    <row r="45777" s="3161" customFormat="1" ht="12.75"/>
    <row r="45778" s="3161" customFormat="1" ht="12.75"/>
    <row r="45779" s="3161" customFormat="1" ht="12.75"/>
    <row r="45780" s="3161" customFormat="1" ht="12.75"/>
    <row r="45781" s="3161" customFormat="1" ht="12.75"/>
    <row r="45782" s="3161" customFormat="1" ht="12.75"/>
    <row r="45783" s="3161" customFormat="1" ht="12.75"/>
    <row r="45784" s="3161" customFormat="1" ht="12.75"/>
    <row r="45785" s="3161" customFormat="1" ht="12.75"/>
    <row r="45786" s="3161" customFormat="1" ht="12.75"/>
    <row r="45787" s="3161" customFormat="1" ht="12.75"/>
    <row r="45788" s="3161" customFormat="1" ht="12.75"/>
    <row r="45789" s="3161" customFormat="1" ht="12.75"/>
    <row r="45790" s="3161" customFormat="1" ht="12.75"/>
    <row r="45791" s="3161" customFormat="1" ht="12.75"/>
    <row r="45792" s="3161" customFormat="1" ht="12.75"/>
    <row r="45793" s="3161" customFormat="1" ht="12.75"/>
    <row r="45794" s="3161" customFormat="1" ht="12.75"/>
    <row r="45795" s="3161" customFormat="1" ht="12.75"/>
    <row r="45796" s="3161" customFormat="1" ht="12.75"/>
    <row r="45797" s="3161" customFormat="1" ht="12.75"/>
    <row r="45798" s="3161" customFormat="1" ht="12.75"/>
    <row r="45799" s="3161" customFormat="1" ht="12.75"/>
    <row r="45800" s="3161" customFormat="1" ht="12.75"/>
    <row r="45801" s="3161" customFormat="1" ht="12.75"/>
    <row r="45802" s="3161" customFormat="1" ht="12.75"/>
    <row r="45803" s="3161" customFormat="1" ht="12.75"/>
    <row r="45804" s="3161" customFormat="1" ht="12.75"/>
    <row r="45805" s="3161" customFormat="1" ht="12.75"/>
    <row r="45806" s="3161" customFormat="1" ht="12.75"/>
    <row r="45807" s="3161" customFormat="1" ht="12.75"/>
    <row r="45808" s="3161" customFormat="1" ht="12.75"/>
    <row r="45809" s="3161" customFormat="1" ht="12.75"/>
    <row r="45810" s="3161" customFormat="1" ht="12.75"/>
    <row r="45811" s="3161" customFormat="1" ht="12.75"/>
    <row r="45812" s="3161" customFormat="1" ht="12.75"/>
    <row r="45813" s="3161" customFormat="1" ht="12.75"/>
    <row r="45814" s="3161" customFormat="1" ht="12.75"/>
    <row r="45815" s="3161" customFormat="1" ht="12.75"/>
    <row r="45816" s="3161" customFormat="1" ht="12.75"/>
    <row r="45817" s="3161" customFormat="1" ht="12.75"/>
    <row r="45818" s="3161" customFormat="1" ht="12.75"/>
    <row r="45819" s="3161" customFormat="1" ht="12.75"/>
    <row r="45820" s="3161" customFormat="1" ht="12.75"/>
    <row r="45821" s="3161" customFormat="1" ht="12.75"/>
    <row r="45822" s="3161" customFormat="1" ht="12.75"/>
    <row r="45823" s="3161" customFormat="1" ht="12.75"/>
    <row r="45824" s="3161" customFormat="1" ht="12.75"/>
    <row r="45825" s="3161" customFormat="1" ht="12.75"/>
    <row r="45826" s="3161" customFormat="1" ht="12.75"/>
    <row r="45827" s="3161" customFormat="1" ht="12.75"/>
    <row r="45828" s="3161" customFormat="1" ht="12.75"/>
    <row r="45829" s="3161" customFormat="1" ht="12.75"/>
    <row r="45830" s="3161" customFormat="1" ht="12.75"/>
    <row r="45831" s="3161" customFormat="1" ht="12.75"/>
    <row r="45832" s="3161" customFormat="1" ht="12.75"/>
    <row r="45833" s="3161" customFormat="1" ht="12.75"/>
    <row r="45834" s="3161" customFormat="1" ht="12.75"/>
    <row r="45835" s="3161" customFormat="1" ht="12.75"/>
    <row r="45836" s="3161" customFormat="1" ht="12.75"/>
    <row r="45837" s="3161" customFormat="1" ht="12.75"/>
    <row r="45838" s="3161" customFormat="1" ht="12.75"/>
    <row r="45839" s="3161" customFormat="1" ht="12.75"/>
    <row r="45840" s="3161" customFormat="1" ht="12.75"/>
    <row r="45841" s="3161" customFormat="1" ht="12.75"/>
    <row r="45842" s="3161" customFormat="1" ht="12.75"/>
    <row r="45843" s="3161" customFormat="1" ht="12.75"/>
    <row r="45844" s="3161" customFormat="1" ht="12.75"/>
    <row r="45845" s="3161" customFormat="1" ht="12.75"/>
    <row r="45846" s="3161" customFormat="1" ht="12.75"/>
    <row r="45847" s="3161" customFormat="1" ht="12.75"/>
    <row r="45848" s="3161" customFormat="1" ht="12.75"/>
    <row r="45849" s="3161" customFormat="1" ht="12.75"/>
    <row r="45850" s="3161" customFormat="1" ht="12.75"/>
    <row r="45851" s="3161" customFormat="1" ht="12.75"/>
    <row r="45852" s="3161" customFormat="1" ht="12.75"/>
    <row r="45853" s="3161" customFormat="1" ht="12.75"/>
    <row r="45854" s="3161" customFormat="1" ht="12.75"/>
    <row r="45855" s="3161" customFormat="1" ht="12.75"/>
    <row r="45856" s="3161" customFormat="1" ht="12.75"/>
    <row r="45857" s="3161" customFormat="1" ht="12.75"/>
    <row r="45858" s="3161" customFormat="1" ht="12.75"/>
    <row r="45859" s="3161" customFormat="1" ht="12.75"/>
    <row r="45860" s="3161" customFormat="1" ht="12.75"/>
    <row r="45861" s="3161" customFormat="1" ht="12.75"/>
    <row r="45862" s="3161" customFormat="1" ht="12.75"/>
    <row r="45863" s="3161" customFormat="1" ht="12.75"/>
    <row r="45864" s="3161" customFormat="1" ht="12.75"/>
    <row r="45865" s="3161" customFormat="1" ht="12.75"/>
    <row r="45866" s="3161" customFormat="1" ht="12.75"/>
    <row r="45867" s="3161" customFormat="1" ht="12.75"/>
    <row r="45868" s="3161" customFormat="1" ht="12.75"/>
    <row r="45869" s="3161" customFormat="1" ht="12.75"/>
    <row r="45870" s="3161" customFormat="1" ht="12.75"/>
    <row r="45871" s="3161" customFormat="1" ht="12.75"/>
    <row r="45872" s="3161" customFormat="1" ht="12.75"/>
    <row r="45873" s="3161" customFormat="1" ht="12.75"/>
    <row r="45874" s="3161" customFormat="1" ht="12.75"/>
    <row r="45875" s="3161" customFormat="1" ht="12.75"/>
    <row r="45876" s="3161" customFormat="1" ht="12.75"/>
    <row r="45877" s="3161" customFormat="1" ht="12.75"/>
    <row r="45878" s="3161" customFormat="1" ht="12.75"/>
    <row r="45879" s="3161" customFormat="1" ht="12.75"/>
    <row r="45880" s="3161" customFormat="1" ht="12.75"/>
    <row r="45881" s="3161" customFormat="1" ht="12.75"/>
    <row r="45882" s="3161" customFormat="1" ht="12.75"/>
    <row r="45883" s="3161" customFormat="1" ht="12.75"/>
    <row r="45884" s="3161" customFormat="1" ht="12.75"/>
    <row r="45885" s="3161" customFormat="1" ht="12.75"/>
    <row r="45886" s="3161" customFormat="1" ht="12.75"/>
    <row r="45887" s="3161" customFormat="1" ht="12.75"/>
    <row r="45888" s="3161" customFormat="1" ht="12.75"/>
    <row r="45889" s="3161" customFormat="1" ht="12.75"/>
    <row r="45890" s="3161" customFormat="1" ht="12.75"/>
    <row r="45891" s="3161" customFormat="1" ht="12.75"/>
    <row r="45892" s="3161" customFormat="1" ht="12.75"/>
    <row r="45893" s="3161" customFormat="1" ht="12.75"/>
    <row r="45894" s="3161" customFormat="1" ht="12.75"/>
    <row r="45895" s="3161" customFormat="1" ht="12.75"/>
    <row r="45896" s="3161" customFormat="1" ht="12.75"/>
    <row r="45897" s="3161" customFormat="1" ht="12.75"/>
    <row r="45898" s="3161" customFormat="1" ht="12.75"/>
    <row r="45899" s="3161" customFormat="1" ht="12.75"/>
    <row r="45900" s="3161" customFormat="1" ht="12.75"/>
    <row r="45901" s="3161" customFormat="1" ht="12.75"/>
    <row r="45902" s="3161" customFormat="1" ht="12.75"/>
    <row r="45903" s="3161" customFormat="1" ht="12.75"/>
    <row r="45904" s="3161" customFormat="1" ht="12.75"/>
    <row r="45905" s="3161" customFormat="1" ht="12.75"/>
    <row r="45906" s="3161" customFormat="1" ht="12.75"/>
    <row r="45907" s="3161" customFormat="1" ht="12.75"/>
    <row r="45908" s="3161" customFormat="1" ht="12.75"/>
    <row r="45909" s="3161" customFormat="1" ht="12.75"/>
    <row r="45910" s="3161" customFormat="1" ht="12.75"/>
    <row r="45911" s="3161" customFormat="1" ht="12.75"/>
    <row r="45912" s="3161" customFormat="1" ht="12.75"/>
    <row r="45913" s="3161" customFormat="1" ht="12.75"/>
    <row r="45914" s="3161" customFormat="1" ht="12.75"/>
    <row r="45915" s="3161" customFormat="1" ht="12.75"/>
    <row r="45916" s="3161" customFormat="1" ht="12.75"/>
    <row r="45917" s="3161" customFormat="1" ht="12.75"/>
    <row r="45918" s="3161" customFormat="1" ht="12.75"/>
    <row r="45919" s="3161" customFormat="1" ht="12.75"/>
    <row r="45920" s="3161" customFormat="1" ht="12.75"/>
    <row r="45921" s="3161" customFormat="1" ht="12.75"/>
    <row r="45922" s="3161" customFormat="1" ht="12.75"/>
    <row r="45923" s="3161" customFormat="1" ht="12.75"/>
    <row r="45924" s="3161" customFormat="1" ht="12.75"/>
    <row r="45925" s="3161" customFormat="1" ht="12.75"/>
    <row r="45926" s="3161" customFormat="1" ht="12.75"/>
    <row r="45927" s="3161" customFormat="1" ht="12.75"/>
    <row r="45928" s="3161" customFormat="1" ht="12.75"/>
    <row r="45929" s="3161" customFormat="1" ht="12.75"/>
    <row r="45930" s="3161" customFormat="1" ht="12.75"/>
    <row r="45931" s="3161" customFormat="1" ht="12.75"/>
    <row r="45932" s="3161" customFormat="1" ht="12.75"/>
    <row r="45933" s="3161" customFormat="1" ht="12.75"/>
    <row r="45934" s="3161" customFormat="1" ht="12.75"/>
    <row r="45935" s="3161" customFormat="1" ht="12.75"/>
    <row r="45936" s="3161" customFormat="1" ht="12.75"/>
    <row r="45937" s="3161" customFormat="1" ht="12.75"/>
    <row r="45938" s="3161" customFormat="1" ht="12.75"/>
    <row r="45939" s="3161" customFormat="1" ht="12.75"/>
    <row r="45940" s="3161" customFormat="1" ht="12.75"/>
    <row r="45941" s="3161" customFormat="1" ht="12.75"/>
    <row r="45942" s="3161" customFormat="1" ht="12.75"/>
    <row r="45943" s="3161" customFormat="1" ht="12.75"/>
    <row r="45944" s="3161" customFormat="1" ht="12.75"/>
    <row r="45945" s="3161" customFormat="1" ht="12.75"/>
    <row r="45946" s="3161" customFormat="1" ht="12.75"/>
    <row r="45947" s="3161" customFormat="1" ht="12.75"/>
    <row r="45948" s="3161" customFormat="1" ht="12.75"/>
    <row r="45949" s="3161" customFormat="1" ht="12.75"/>
    <row r="45950" s="3161" customFormat="1" ht="12.75"/>
    <row r="45951" s="3161" customFormat="1" ht="12.75"/>
    <row r="45952" s="3161" customFormat="1" ht="12.75"/>
    <row r="45953" s="3161" customFormat="1" ht="12.75"/>
    <row r="45954" s="3161" customFormat="1" ht="12.75"/>
    <row r="45955" s="3161" customFormat="1" ht="12.75"/>
    <row r="45956" s="3161" customFormat="1" ht="12.75"/>
    <row r="45957" s="3161" customFormat="1" ht="12.75"/>
    <row r="45958" s="3161" customFormat="1" ht="12.75"/>
    <row r="45959" s="3161" customFormat="1" ht="12.75"/>
    <row r="45960" s="3161" customFormat="1" ht="12.75"/>
    <row r="45961" s="3161" customFormat="1" ht="12.75"/>
    <row r="45962" s="3161" customFormat="1" ht="12.75"/>
    <row r="45963" s="3161" customFormat="1" ht="12.75"/>
    <row r="45964" s="3161" customFormat="1" ht="12.75"/>
    <row r="45965" s="3161" customFormat="1" ht="12.75"/>
    <row r="45966" s="3161" customFormat="1" ht="12.75"/>
    <row r="45967" s="3161" customFormat="1" ht="12.75"/>
    <row r="45968" s="3161" customFormat="1" ht="12.75"/>
    <row r="45969" s="3161" customFormat="1" ht="12.75"/>
    <row r="45970" s="3161" customFormat="1" ht="12.75"/>
    <row r="45971" s="3161" customFormat="1" ht="12.75"/>
    <row r="45972" s="3161" customFormat="1" ht="12.75"/>
    <row r="45973" s="3161" customFormat="1" ht="12.75"/>
    <row r="45974" s="3161" customFormat="1" ht="12.75"/>
    <row r="45975" s="3161" customFormat="1" ht="12.75"/>
    <row r="45976" s="3161" customFormat="1" ht="12.75"/>
    <row r="45977" s="3161" customFormat="1" ht="12.75"/>
    <row r="45978" s="3161" customFormat="1" ht="12.75"/>
    <row r="45979" s="3161" customFormat="1" ht="12.75"/>
    <row r="45980" s="3161" customFormat="1" ht="12.75"/>
    <row r="45981" s="3161" customFormat="1" ht="12.75"/>
    <row r="45982" s="3161" customFormat="1" ht="12.75"/>
    <row r="45983" s="3161" customFormat="1" ht="12.75"/>
    <row r="45984" s="3161" customFormat="1" ht="12.75"/>
    <row r="45985" s="3161" customFormat="1" ht="12.75"/>
    <row r="45986" s="3161" customFormat="1" ht="12.75"/>
    <row r="45987" s="3161" customFormat="1" ht="12.75"/>
    <row r="45988" s="3161" customFormat="1" ht="12.75"/>
    <row r="45989" s="3161" customFormat="1" ht="12.75"/>
    <row r="45990" s="3161" customFormat="1" ht="12.75"/>
    <row r="45991" s="3161" customFormat="1" ht="12.75"/>
    <row r="45992" s="3161" customFormat="1" ht="12.75"/>
    <row r="45993" s="3161" customFormat="1" ht="12.75"/>
    <row r="45994" s="3161" customFormat="1" ht="12.75"/>
    <row r="45995" s="3161" customFormat="1" ht="12.75"/>
    <row r="45996" s="3161" customFormat="1" ht="12.75"/>
    <row r="45997" s="3161" customFormat="1" ht="12.75"/>
    <row r="45998" s="3161" customFormat="1" ht="12.75"/>
    <row r="45999" s="3161" customFormat="1" ht="12.75"/>
    <row r="46000" s="3161" customFormat="1" ht="12.75"/>
    <row r="46001" s="3161" customFormat="1" ht="12.75"/>
    <row r="46002" s="3161" customFormat="1" ht="12.75"/>
    <row r="46003" s="3161" customFormat="1" ht="12.75"/>
    <row r="46004" s="3161" customFormat="1" ht="12.75"/>
    <row r="46005" s="3161" customFormat="1" ht="12.75"/>
    <row r="46006" s="3161" customFormat="1" ht="12.75"/>
    <row r="46007" s="3161" customFormat="1" ht="12.75"/>
    <row r="46008" s="3161" customFormat="1" ht="12.75"/>
    <row r="46009" s="3161" customFormat="1" ht="12.75"/>
    <row r="46010" s="3161" customFormat="1" ht="12.75"/>
    <row r="46011" s="3161" customFormat="1" ht="12.75"/>
    <row r="46012" s="3161" customFormat="1" ht="12.75"/>
    <row r="46013" s="3161" customFormat="1" ht="12.75"/>
    <row r="46014" s="3161" customFormat="1" ht="12.75"/>
    <row r="46015" s="3161" customFormat="1" ht="12.75"/>
    <row r="46016" s="3161" customFormat="1" ht="12.75"/>
    <row r="46017" s="3161" customFormat="1" ht="12.75"/>
    <row r="46018" s="3161" customFormat="1" ht="12.75"/>
    <row r="46019" s="3161" customFormat="1" ht="12.75"/>
    <row r="46020" s="3161" customFormat="1" ht="12.75"/>
    <row r="46021" s="3161" customFormat="1" ht="12.75"/>
    <row r="46022" s="3161" customFormat="1" ht="12.75"/>
    <row r="46023" s="3161" customFormat="1" ht="12.75"/>
    <row r="46024" s="3161" customFormat="1" ht="12.75"/>
    <row r="46025" s="3161" customFormat="1" ht="12.75"/>
    <row r="46026" s="3161" customFormat="1" ht="12.75"/>
    <row r="46027" s="3161" customFormat="1" ht="12.75"/>
    <row r="46028" s="3161" customFormat="1" ht="12.75"/>
    <row r="46029" s="3161" customFormat="1" ht="12.75"/>
    <row r="46030" s="3161" customFormat="1" ht="12.75"/>
    <row r="46031" s="3161" customFormat="1" ht="12.75"/>
    <row r="46032" s="3161" customFormat="1" ht="12.75"/>
    <row r="46033" s="3161" customFormat="1" ht="12.75"/>
    <row r="46034" s="3161" customFormat="1" ht="12.75"/>
    <row r="46035" s="3161" customFormat="1" ht="12.75"/>
    <row r="46036" s="3161" customFormat="1" ht="12.75"/>
    <row r="46037" s="3161" customFormat="1" ht="12.75"/>
    <row r="46038" s="3161" customFormat="1" ht="12.75"/>
    <row r="46039" s="3161" customFormat="1" ht="12.75"/>
    <row r="46040" s="3161" customFormat="1" ht="12.75"/>
    <row r="46041" s="3161" customFormat="1" ht="12.75"/>
    <row r="46042" s="3161" customFormat="1" ht="12.75"/>
    <row r="46043" s="3161" customFormat="1" ht="12.75"/>
    <row r="46044" s="3161" customFormat="1" ht="12.75"/>
    <row r="46045" s="3161" customFormat="1" ht="12.75"/>
    <row r="46046" s="3161" customFormat="1" ht="12.75"/>
    <row r="46047" s="3161" customFormat="1" ht="12.75"/>
    <row r="46048" s="3161" customFormat="1" ht="12.75"/>
    <row r="46049" s="3161" customFormat="1" ht="12.75"/>
    <row r="46050" s="3161" customFormat="1" ht="12.75"/>
    <row r="46051" s="3161" customFormat="1" ht="12.75"/>
    <row r="46052" s="3161" customFormat="1" ht="12.75"/>
    <row r="46053" s="3161" customFormat="1" ht="12.75"/>
    <row r="46054" s="3161" customFormat="1" ht="12.75"/>
    <row r="46055" s="3161" customFormat="1" ht="12.75"/>
    <row r="46056" s="3161" customFormat="1" ht="12.75"/>
    <row r="46057" s="3161" customFormat="1" ht="12.75"/>
    <row r="46058" s="3161" customFormat="1" ht="12.75"/>
    <row r="46059" s="3161" customFormat="1" ht="12.75"/>
    <row r="46060" s="3161" customFormat="1" ht="12.75"/>
    <row r="46061" s="3161" customFormat="1" ht="12.75"/>
    <row r="46062" s="3161" customFormat="1" ht="12.75"/>
    <row r="46063" s="3161" customFormat="1" ht="12.75"/>
    <row r="46064" s="3161" customFormat="1" ht="12.75"/>
    <row r="46065" s="3161" customFormat="1" ht="12.75"/>
    <row r="46066" s="3161" customFormat="1" ht="12.75"/>
    <row r="46067" s="3161" customFormat="1" ht="12.75"/>
    <row r="46068" s="3161" customFormat="1" ht="12.75"/>
    <row r="46069" s="3161" customFormat="1" ht="12.75"/>
    <row r="46070" s="3161" customFormat="1" ht="12.75"/>
    <row r="46071" s="3161" customFormat="1" ht="12.75"/>
    <row r="46072" s="3161" customFormat="1" ht="12.75"/>
    <row r="46073" s="3161" customFormat="1" ht="12.75"/>
    <row r="46074" s="3161" customFormat="1" ht="12.75"/>
    <row r="46075" s="3161" customFormat="1" ht="12.75"/>
    <row r="46076" s="3161" customFormat="1" ht="12.75"/>
    <row r="46077" s="3161" customFormat="1" ht="12.75"/>
    <row r="46078" s="3161" customFormat="1" ht="12.75"/>
    <row r="46079" s="3161" customFormat="1" ht="12.75"/>
    <row r="46080" s="3161" customFormat="1" ht="12.75"/>
    <row r="46081" s="3161" customFormat="1" ht="12.75"/>
    <row r="46082" s="3161" customFormat="1" ht="12.75"/>
    <row r="46083" s="3161" customFormat="1" ht="12.75"/>
    <row r="46084" s="3161" customFormat="1" ht="12.75"/>
    <row r="46085" s="3161" customFormat="1" ht="12.75"/>
    <row r="46086" s="3161" customFormat="1" ht="12.75"/>
    <row r="46087" s="3161" customFormat="1" ht="12.75"/>
    <row r="46088" s="3161" customFormat="1" ht="12.75"/>
    <row r="46089" s="3161" customFormat="1" ht="12.75"/>
    <row r="46090" s="3161" customFormat="1" ht="12.75"/>
    <row r="46091" s="3161" customFormat="1" ht="12.75"/>
    <row r="46092" s="3161" customFormat="1" ht="12.75"/>
    <row r="46093" s="3161" customFormat="1" ht="12.75"/>
    <row r="46094" s="3161" customFormat="1" ht="12.75"/>
    <row r="46095" s="3161" customFormat="1" ht="12.75"/>
    <row r="46096" s="3161" customFormat="1" ht="12.75"/>
    <row r="46097" s="3161" customFormat="1" ht="12.75"/>
    <row r="46098" s="3161" customFormat="1" ht="12.75"/>
    <row r="46099" s="3161" customFormat="1" ht="12.75"/>
    <row r="46100" s="3161" customFormat="1" ht="12.75"/>
    <row r="46101" s="3161" customFormat="1" ht="12.75"/>
    <row r="46102" s="3161" customFormat="1" ht="12.75"/>
    <row r="46103" s="3161" customFormat="1" ht="12.75"/>
    <row r="46104" s="3161" customFormat="1" ht="12.75"/>
    <row r="46105" s="3161" customFormat="1" ht="12.75"/>
    <row r="46106" s="3161" customFormat="1" ht="12.75"/>
    <row r="46107" s="3161" customFormat="1" ht="12.75"/>
    <row r="46108" s="3161" customFormat="1" ht="12.75"/>
    <row r="46109" s="3161" customFormat="1" ht="12.75"/>
    <row r="46110" s="3161" customFormat="1" ht="12.75"/>
    <row r="46111" s="3161" customFormat="1" ht="12.75"/>
    <row r="46112" s="3161" customFormat="1" ht="12.75"/>
    <row r="46113" s="3161" customFormat="1" ht="12.75"/>
    <row r="46114" s="3161" customFormat="1" ht="12.75"/>
    <row r="46115" s="3161" customFormat="1" ht="12.75"/>
    <row r="46116" s="3161" customFormat="1" ht="12.75"/>
    <row r="46117" s="3161" customFormat="1" ht="12.75"/>
    <row r="46118" s="3161" customFormat="1" ht="12.75"/>
    <row r="46119" s="3161" customFormat="1" ht="12.75"/>
    <row r="46120" s="3161" customFormat="1" ht="12.75"/>
    <row r="46121" s="3161" customFormat="1" ht="12.75"/>
    <row r="46122" s="3161" customFormat="1" ht="12.75"/>
    <row r="46123" s="3161" customFormat="1" ht="12.75"/>
    <row r="46124" s="3161" customFormat="1" ht="12.75"/>
    <row r="46125" s="3161" customFormat="1" ht="12.75"/>
    <row r="46126" s="3161" customFormat="1" ht="12.75"/>
    <row r="46127" s="3161" customFormat="1" ht="12.75"/>
    <row r="46128" s="3161" customFormat="1" ht="12.75"/>
    <row r="46129" s="3161" customFormat="1" ht="12.75"/>
    <row r="46130" s="3161" customFormat="1" ht="12.75"/>
    <row r="46131" s="3161" customFormat="1" ht="12.75"/>
    <row r="46132" s="3161" customFormat="1" ht="12.75"/>
    <row r="46133" s="3161" customFormat="1" ht="12.75"/>
    <row r="46134" s="3161" customFormat="1" ht="12.75"/>
    <row r="46135" s="3161" customFormat="1" ht="12.75"/>
    <row r="46136" s="3161" customFormat="1" ht="12.75"/>
    <row r="46137" s="3161" customFormat="1" ht="12.75"/>
    <row r="46138" s="3161" customFormat="1" ht="12.75"/>
    <row r="46139" s="3161" customFormat="1" ht="12.75"/>
    <row r="46140" s="3161" customFormat="1" ht="12.75"/>
    <row r="46141" s="3161" customFormat="1" ht="12.75"/>
    <row r="46142" s="3161" customFormat="1" ht="12.75"/>
    <row r="46143" s="3161" customFormat="1" ht="12.75"/>
    <row r="46144" s="3161" customFormat="1" ht="12.75"/>
    <row r="46145" s="3161" customFormat="1" ht="12.75"/>
    <row r="46146" s="3161" customFormat="1" ht="12.75"/>
    <row r="46147" s="3161" customFormat="1" ht="12.75"/>
    <row r="46148" s="3161" customFormat="1" ht="12.75"/>
    <row r="46149" s="3161" customFormat="1" ht="12.75"/>
    <row r="46150" s="3161" customFormat="1" ht="12.75"/>
    <row r="46151" s="3161" customFormat="1" ht="12.75"/>
    <row r="46152" s="3161" customFormat="1" ht="12.75"/>
    <row r="46153" s="3161" customFormat="1" ht="12.75"/>
    <row r="46154" s="3161" customFormat="1" ht="12.75"/>
    <row r="46155" s="3161" customFormat="1" ht="12.75"/>
    <row r="46156" s="3161" customFormat="1" ht="12.75"/>
    <row r="46157" s="3161" customFormat="1" ht="12.75"/>
    <row r="46158" s="3161" customFormat="1" ht="12.75"/>
    <row r="46159" s="3161" customFormat="1" ht="12.75"/>
    <row r="46160" s="3161" customFormat="1" ht="12.75"/>
    <row r="46161" s="3161" customFormat="1" ht="12.75"/>
    <row r="46162" s="3161" customFormat="1" ht="12.75"/>
    <row r="46163" s="3161" customFormat="1" ht="12.75"/>
    <row r="46164" s="3161" customFormat="1" ht="12.75"/>
    <row r="46165" s="3161" customFormat="1" ht="12.75"/>
    <row r="46166" s="3161" customFormat="1" ht="12.75"/>
    <row r="46167" s="3161" customFormat="1" ht="12.75"/>
    <row r="46168" s="3161" customFormat="1" ht="12.75"/>
    <row r="46169" s="3161" customFormat="1" ht="12.75"/>
    <row r="46170" s="3161" customFormat="1" ht="12.75"/>
    <row r="46171" s="3161" customFormat="1" ht="12.75"/>
    <row r="46172" s="3161" customFormat="1" ht="12.75"/>
    <row r="46173" s="3161" customFormat="1" ht="12.75"/>
    <row r="46174" s="3161" customFormat="1" ht="12.75"/>
    <row r="46175" s="3161" customFormat="1" ht="12.75"/>
    <row r="46176" s="3161" customFormat="1" ht="12.75"/>
    <row r="46177" s="3161" customFormat="1" ht="12.75"/>
    <row r="46178" s="3161" customFormat="1" ht="12.75"/>
    <row r="46179" s="3161" customFormat="1" ht="12.75"/>
    <row r="46180" s="3161" customFormat="1" ht="12.75"/>
    <row r="46181" s="3161" customFormat="1" ht="12.75"/>
    <row r="46182" s="3161" customFormat="1" ht="12.75"/>
    <row r="46183" s="3161" customFormat="1" ht="12.75"/>
    <row r="46184" s="3161" customFormat="1" ht="12.75"/>
    <row r="46185" s="3161" customFormat="1" ht="12.75"/>
    <row r="46186" s="3161" customFormat="1" ht="12.75"/>
    <row r="46187" s="3161" customFormat="1" ht="12.75"/>
    <row r="46188" s="3161" customFormat="1" ht="12.75"/>
    <row r="46189" s="3161" customFormat="1" ht="12.75"/>
    <row r="46190" s="3161" customFormat="1" ht="12.75"/>
    <row r="46191" s="3161" customFormat="1" ht="12.75"/>
    <row r="46192" s="3161" customFormat="1" ht="12.75"/>
    <row r="46193" s="3161" customFormat="1" ht="12.75"/>
    <row r="46194" s="3161" customFormat="1" ht="12.75"/>
    <row r="46195" s="3161" customFormat="1" ht="12.75"/>
    <row r="46196" s="3161" customFormat="1" ht="12.75"/>
    <row r="46197" s="3161" customFormat="1" ht="12.75"/>
    <row r="46198" s="3161" customFormat="1" ht="12.75"/>
    <row r="46199" s="3161" customFormat="1" ht="12.75"/>
    <row r="46200" s="3161" customFormat="1" ht="12.75"/>
    <row r="46201" s="3161" customFormat="1" ht="12.75"/>
    <row r="46202" s="3161" customFormat="1" ht="12.75"/>
    <row r="46203" s="3161" customFormat="1" ht="12.75"/>
    <row r="46204" s="3161" customFormat="1" ht="12.75"/>
    <row r="46205" s="3161" customFormat="1" ht="12.75"/>
    <row r="46206" s="3161" customFormat="1" ht="12.75"/>
    <row r="46207" s="3161" customFormat="1" ht="12.75"/>
    <row r="46208" s="3161" customFormat="1" ht="12.75"/>
    <row r="46209" s="3161" customFormat="1" ht="12.75"/>
    <row r="46210" s="3161" customFormat="1" ht="12.75"/>
    <row r="46211" s="3161" customFormat="1" ht="12.75"/>
    <row r="46212" s="3161" customFormat="1" ht="12.75"/>
    <row r="46213" s="3161" customFormat="1" ht="12.75"/>
    <row r="46214" s="3161" customFormat="1" ht="12.75"/>
    <row r="46215" s="3161" customFormat="1" ht="12.75"/>
    <row r="46216" s="3161" customFormat="1" ht="12.75"/>
    <row r="46217" s="3161" customFormat="1" ht="12.75"/>
    <row r="46218" s="3161" customFormat="1" ht="12.75"/>
    <row r="46219" s="3161" customFormat="1" ht="12.75"/>
    <row r="46220" s="3161" customFormat="1" ht="12.75"/>
    <row r="46221" s="3161" customFormat="1" ht="12.75"/>
    <row r="46222" s="3161" customFormat="1" ht="12.75"/>
    <row r="46223" s="3161" customFormat="1" ht="12.75"/>
    <row r="46224" s="3161" customFormat="1" ht="12.75"/>
    <row r="46225" s="3161" customFormat="1" ht="12.75"/>
    <row r="46226" s="3161" customFormat="1" ht="12.75"/>
    <row r="46227" s="3161" customFormat="1" ht="12.75"/>
    <row r="46228" s="3161" customFormat="1" ht="12.75"/>
    <row r="46229" s="3161" customFormat="1" ht="12.75"/>
    <row r="46230" s="3161" customFormat="1" ht="12.75"/>
    <row r="46231" s="3161" customFormat="1" ht="12.75"/>
    <row r="46232" s="3161" customFormat="1" ht="12.75"/>
    <row r="46233" s="3161" customFormat="1" ht="12.75"/>
    <row r="46234" s="3161" customFormat="1" ht="12.75"/>
    <row r="46235" s="3161" customFormat="1" ht="12.75"/>
    <row r="46236" s="3161" customFormat="1" ht="12.75"/>
    <row r="46237" s="3161" customFormat="1" ht="12.75"/>
    <row r="46238" s="3161" customFormat="1" ht="12.75"/>
    <row r="46239" s="3161" customFormat="1" ht="12.75"/>
    <row r="46240" s="3161" customFormat="1" ht="12.75"/>
    <row r="46241" s="3161" customFormat="1" ht="12.75"/>
    <row r="46242" s="3161" customFormat="1" ht="12.75"/>
    <row r="46243" s="3161" customFormat="1" ht="12.75"/>
    <row r="46244" s="3161" customFormat="1" ht="12.75"/>
    <row r="46245" s="3161" customFormat="1" ht="12.75"/>
    <row r="46246" s="3161" customFormat="1" ht="12.75"/>
    <row r="46247" s="3161" customFormat="1" ht="12.75"/>
    <row r="46248" s="3161" customFormat="1" ht="12.75"/>
    <row r="46249" s="3161" customFormat="1" ht="12.75"/>
    <row r="46250" s="3161" customFormat="1" ht="12.75"/>
    <row r="46251" s="3161" customFormat="1" ht="12.75"/>
    <row r="46252" s="3161" customFormat="1" ht="12.75"/>
    <row r="46253" s="3161" customFormat="1" ht="12.75"/>
    <row r="46254" s="3161" customFormat="1" ht="12.75"/>
    <row r="46255" s="3161" customFormat="1" ht="12.75"/>
    <row r="46256" s="3161" customFormat="1" ht="12.75"/>
    <row r="46257" s="3161" customFormat="1" ht="12.75"/>
    <row r="46258" s="3161" customFormat="1" ht="12.75"/>
    <row r="46259" s="3161" customFormat="1" ht="12.75"/>
    <row r="46260" s="3161" customFormat="1" ht="12.75"/>
    <row r="46261" s="3161" customFormat="1" ht="12.75"/>
    <row r="46262" s="3161" customFormat="1" ht="12.75"/>
    <row r="46263" s="3161" customFormat="1" ht="12.75"/>
    <row r="46264" s="3161" customFormat="1" ht="12.75"/>
    <row r="46265" s="3161" customFormat="1" ht="12.75"/>
    <row r="46266" s="3161" customFormat="1" ht="12.75"/>
    <row r="46267" s="3161" customFormat="1" ht="12.75"/>
    <row r="46268" s="3161" customFormat="1" ht="12.75"/>
    <row r="46269" s="3161" customFormat="1" ht="12.75"/>
    <row r="46270" s="3161" customFormat="1" ht="12.75"/>
    <row r="46271" s="3161" customFormat="1" ht="12.75"/>
    <row r="46272" s="3161" customFormat="1" ht="12.75"/>
    <row r="46273" s="3161" customFormat="1" ht="12.75"/>
    <row r="46274" s="3161" customFormat="1" ht="12.75"/>
    <row r="46275" s="3161" customFormat="1" ht="12.75"/>
    <row r="46276" s="3161" customFormat="1" ht="12.75"/>
    <row r="46277" s="3161" customFormat="1" ht="12.75"/>
    <row r="46278" s="3161" customFormat="1" ht="12.75"/>
    <row r="46279" s="3161" customFormat="1" ht="12.75"/>
    <row r="46280" s="3161" customFormat="1" ht="12.75"/>
    <row r="46281" s="3161" customFormat="1" ht="12.75"/>
    <row r="46282" s="3161" customFormat="1" ht="12.75"/>
    <row r="46283" s="3161" customFormat="1" ht="12.75"/>
    <row r="46284" s="3161" customFormat="1" ht="12.75"/>
    <row r="46285" s="3161" customFormat="1" ht="12.75"/>
    <row r="46286" s="3161" customFormat="1" ht="12.75"/>
    <row r="46287" s="3161" customFormat="1" ht="12.75"/>
    <row r="46288" s="3161" customFormat="1" ht="12.75"/>
    <row r="46289" s="3161" customFormat="1" ht="12.75"/>
    <row r="46290" s="3161" customFormat="1" ht="12.75"/>
    <row r="46291" s="3161" customFormat="1" ht="12.75"/>
    <row r="46292" s="3161" customFormat="1" ht="12.75"/>
    <row r="46293" s="3161" customFormat="1" ht="12.75"/>
    <row r="46294" s="3161" customFormat="1" ht="12.75"/>
    <row r="46295" s="3161" customFormat="1" ht="12.75"/>
    <row r="46296" s="3161" customFormat="1" ht="12.75"/>
    <row r="46297" s="3161" customFormat="1" ht="12.75"/>
    <row r="46298" s="3161" customFormat="1" ht="12.75"/>
    <row r="46299" s="3161" customFormat="1" ht="12.75"/>
    <row r="46300" s="3161" customFormat="1" ht="12.75"/>
    <row r="46301" s="3161" customFormat="1" ht="12.75"/>
    <row r="46302" s="3161" customFormat="1" ht="12.75"/>
    <row r="46303" s="3161" customFormat="1" ht="12.75"/>
    <row r="46304" s="3161" customFormat="1" ht="12.75"/>
    <row r="46305" s="3161" customFormat="1" ht="12.75"/>
    <row r="46306" s="3161" customFormat="1" ht="12.75"/>
    <row r="46307" s="3161" customFormat="1" ht="12.75"/>
    <row r="46308" s="3161" customFormat="1" ht="12.75"/>
    <row r="46309" s="3161" customFormat="1" ht="12.75"/>
    <row r="46310" s="3161" customFormat="1" ht="12.75"/>
    <row r="46311" s="3161" customFormat="1" ht="12.75"/>
    <row r="46312" s="3161" customFormat="1" ht="12.75"/>
    <row r="46313" s="3161" customFormat="1" ht="12.75"/>
    <row r="46314" s="3161" customFormat="1" ht="12.75"/>
    <row r="46315" s="3161" customFormat="1" ht="12.75"/>
    <row r="46316" s="3161" customFormat="1" ht="12.75"/>
    <row r="46317" s="3161" customFormat="1" ht="12.75"/>
    <row r="46318" s="3161" customFormat="1" ht="12.75"/>
    <row r="46319" s="3161" customFormat="1" ht="12.75"/>
    <row r="46320" s="3161" customFormat="1" ht="12.75"/>
    <row r="46321" s="3161" customFormat="1" ht="12.75"/>
    <row r="46322" s="3161" customFormat="1" ht="12.75"/>
    <row r="46323" s="3161" customFormat="1" ht="12.75"/>
    <row r="46324" s="3161" customFormat="1" ht="12.75"/>
    <row r="46325" s="3161" customFormat="1" ht="12.75"/>
    <row r="46326" s="3161" customFormat="1" ht="12.75"/>
    <row r="46327" s="3161" customFormat="1" ht="12.75"/>
    <row r="46328" s="3161" customFormat="1" ht="12.75"/>
    <row r="46329" s="3161" customFormat="1" ht="12.75"/>
    <row r="46330" s="3161" customFormat="1" ht="12.75"/>
    <row r="46331" s="3161" customFormat="1" ht="12.75"/>
    <row r="46332" s="3161" customFormat="1" ht="12.75"/>
    <row r="46333" s="3161" customFormat="1" ht="12.75"/>
    <row r="46334" s="3161" customFormat="1" ht="12.75"/>
    <row r="46335" s="3161" customFormat="1" ht="12.75"/>
    <row r="46336" s="3161" customFormat="1" ht="12.75"/>
    <row r="46337" s="3161" customFormat="1" ht="12.75"/>
    <row r="46338" s="3161" customFormat="1" ht="12.75"/>
    <row r="46339" s="3161" customFormat="1" ht="12.75"/>
    <row r="46340" s="3161" customFormat="1" ht="12.75"/>
    <row r="46341" s="3161" customFormat="1" ht="12.75"/>
    <row r="46342" s="3161" customFormat="1" ht="12.75"/>
    <row r="46343" s="3161" customFormat="1" ht="12.75"/>
    <row r="46344" s="3161" customFormat="1" ht="12.75"/>
    <row r="46345" s="3161" customFormat="1" ht="12.75"/>
    <row r="46346" s="3161" customFormat="1" ht="12.75"/>
    <row r="46347" s="3161" customFormat="1" ht="12.75"/>
    <row r="46348" s="3161" customFormat="1" ht="12.75"/>
    <row r="46349" s="3161" customFormat="1" ht="12.75"/>
    <row r="46350" s="3161" customFormat="1" ht="12.75"/>
    <row r="46351" s="3161" customFormat="1" ht="12.75"/>
    <row r="46352" s="3161" customFormat="1" ht="12.75"/>
    <row r="46353" s="3161" customFormat="1" ht="12.75"/>
    <row r="46354" s="3161" customFormat="1" ht="12.75"/>
    <row r="46355" s="3161" customFormat="1" ht="12.75"/>
    <row r="46356" s="3161" customFormat="1" ht="12.75"/>
    <row r="46357" s="3161" customFormat="1" ht="12.75"/>
    <row r="46358" s="3161" customFormat="1" ht="12.75"/>
    <row r="46359" s="3161" customFormat="1" ht="12.75"/>
    <row r="46360" s="3161" customFormat="1" ht="12.75"/>
    <row r="46361" s="3161" customFormat="1" ht="12.75"/>
    <row r="46362" s="3161" customFormat="1" ht="12.75"/>
    <row r="46363" s="3161" customFormat="1" ht="12.75"/>
    <row r="46364" s="3161" customFormat="1" ht="12.75"/>
    <row r="46365" s="3161" customFormat="1" ht="12.75"/>
    <row r="46366" s="3161" customFormat="1" ht="12.75"/>
    <row r="46367" s="3161" customFormat="1" ht="12.75"/>
    <row r="46368" s="3161" customFormat="1" ht="12.75"/>
    <row r="46369" s="3161" customFormat="1" ht="12.75"/>
    <row r="46370" s="3161" customFormat="1" ht="12.75"/>
    <row r="46371" s="3161" customFormat="1" ht="12.75"/>
    <row r="46372" s="3161" customFormat="1" ht="12.75"/>
    <row r="46373" s="3161" customFormat="1" ht="12.75"/>
    <row r="46374" s="3161" customFormat="1" ht="12.75"/>
    <row r="46375" s="3161" customFormat="1" ht="12.75"/>
    <row r="46376" s="3161" customFormat="1" ht="12.75"/>
    <row r="46377" s="3161" customFormat="1" ht="12.75"/>
    <row r="46378" s="3161" customFormat="1" ht="12.75"/>
    <row r="46379" s="3161" customFormat="1" ht="12.75"/>
    <row r="46380" s="3161" customFormat="1" ht="12.75"/>
    <row r="46381" s="3161" customFormat="1" ht="12.75"/>
    <row r="46382" s="3161" customFormat="1" ht="12.75"/>
    <row r="46383" s="3161" customFormat="1" ht="12.75"/>
    <row r="46384" s="3161" customFormat="1" ht="12.75"/>
    <row r="46385" s="3161" customFormat="1" ht="12.75"/>
    <row r="46386" s="3161" customFormat="1" ht="12.75"/>
    <row r="46387" s="3161" customFormat="1" ht="12.75"/>
    <row r="46388" s="3161" customFormat="1" ht="12.75"/>
    <row r="46389" s="3161" customFormat="1" ht="12.75"/>
    <row r="46390" s="3161" customFormat="1" ht="12.75"/>
    <row r="46391" s="3161" customFormat="1" ht="12.75"/>
    <row r="46392" s="3161" customFormat="1" ht="12.75"/>
    <row r="46393" s="3161" customFormat="1" ht="12.75"/>
    <row r="46394" s="3161" customFormat="1" ht="12.75"/>
    <row r="46395" s="3161" customFormat="1" ht="12.75"/>
    <row r="46396" s="3161" customFormat="1" ht="12.75"/>
    <row r="46397" s="3161" customFormat="1" ht="12.75"/>
    <row r="46398" s="3161" customFormat="1" ht="12.75"/>
    <row r="46399" s="3161" customFormat="1" ht="12.75"/>
    <row r="46400" s="3161" customFormat="1" ht="12.75"/>
    <row r="46401" s="3161" customFormat="1" ht="12.75"/>
    <row r="46402" s="3161" customFormat="1" ht="12.75"/>
    <row r="46403" s="3161" customFormat="1" ht="12.75"/>
    <row r="46404" s="3161" customFormat="1" ht="12.75"/>
    <row r="46405" s="3161" customFormat="1" ht="12.75"/>
    <row r="46406" s="3161" customFormat="1" ht="12.75"/>
    <row r="46407" s="3161" customFormat="1" ht="12.75"/>
    <row r="46408" s="3161" customFormat="1" ht="12.75"/>
    <row r="46409" s="3161" customFormat="1" ht="12.75"/>
    <row r="46410" s="3161" customFormat="1" ht="12.75"/>
    <row r="46411" s="3161" customFormat="1" ht="12.75"/>
    <row r="46412" s="3161" customFormat="1" ht="12.75"/>
    <row r="46413" s="3161" customFormat="1" ht="12.75"/>
    <row r="46414" s="3161" customFormat="1" ht="12.75"/>
    <row r="46415" s="3161" customFormat="1" ht="12.75"/>
    <row r="46416" s="3161" customFormat="1" ht="12.75"/>
    <row r="46417" s="3161" customFormat="1" ht="12.75"/>
    <row r="46418" s="3161" customFormat="1" ht="12.75"/>
    <row r="46419" s="3161" customFormat="1" ht="12.75"/>
    <row r="46420" s="3161" customFormat="1" ht="12.75"/>
    <row r="46421" s="3161" customFormat="1" ht="12.75"/>
    <row r="46422" s="3161" customFormat="1" ht="12.75"/>
    <row r="46423" s="3161" customFormat="1" ht="12.75"/>
    <row r="46424" s="3161" customFormat="1" ht="12.75"/>
    <row r="46425" s="3161" customFormat="1" ht="12.75"/>
    <row r="46426" s="3161" customFormat="1" ht="12.75"/>
    <row r="46427" s="3161" customFormat="1" ht="12.75"/>
    <row r="46428" s="3161" customFormat="1" ht="12.75"/>
    <row r="46429" s="3161" customFormat="1" ht="12.75"/>
    <row r="46430" s="3161" customFormat="1" ht="12.75"/>
    <row r="46431" s="3161" customFormat="1" ht="12.75"/>
    <row r="46432" s="3161" customFormat="1" ht="12.75"/>
    <row r="46433" s="3161" customFormat="1" ht="12.75"/>
    <row r="46434" s="3161" customFormat="1" ht="12.75"/>
    <row r="46435" s="3161" customFormat="1" ht="12.75"/>
    <row r="46436" s="3161" customFormat="1" ht="12.75"/>
    <row r="46437" s="3161" customFormat="1" ht="12.75"/>
    <row r="46438" s="3161" customFormat="1" ht="12.75"/>
    <row r="46439" s="3161" customFormat="1" ht="12.75"/>
    <row r="46440" s="3161" customFormat="1" ht="12.75"/>
    <row r="46441" s="3161" customFormat="1" ht="12.75"/>
    <row r="46442" s="3161" customFormat="1" ht="12.75"/>
    <row r="46443" s="3161" customFormat="1" ht="12.75"/>
    <row r="46444" s="3161" customFormat="1" ht="12.75"/>
    <row r="46445" s="3161" customFormat="1" ht="12.75"/>
    <row r="46446" s="3161" customFormat="1" ht="12.75"/>
    <row r="46447" s="3161" customFormat="1" ht="12.75"/>
    <row r="46448" s="3161" customFormat="1" ht="12.75"/>
    <row r="46449" s="3161" customFormat="1" ht="12.75"/>
    <row r="46450" s="3161" customFormat="1" ht="12.75"/>
    <row r="46451" s="3161" customFormat="1" ht="12.75"/>
    <row r="46452" s="3161" customFormat="1" ht="12.75"/>
    <row r="46453" s="3161" customFormat="1" ht="12.75"/>
    <row r="46454" s="3161" customFormat="1" ht="12.75"/>
    <row r="46455" s="3161" customFormat="1" ht="12.75"/>
    <row r="46456" s="3161" customFormat="1" ht="12.75"/>
    <row r="46457" s="3161" customFormat="1" ht="12.75"/>
    <row r="46458" s="3161" customFormat="1" ht="12.75"/>
    <row r="46459" s="3161" customFormat="1" ht="12.75"/>
    <row r="46460" s="3161" customFormat="1" ht="12.75"/>
    <row r="46461" s="3161" customFormat="1" ht="12.75"/>
    <row r="46462" s="3161" customFormat="1" ht="12.75"/>
    <row r="46463" s="3161" customFormat="1" ht="12.75"/>
    <row r="46464" s="3161" customFormat="1" ht="12.75"/>
    <row r="46465" s="3161" customFormat="1" ht="12.75"/>
    <row r="46466" s="3161" customFormat="1" ht="12.75"/>
    <row r="46467" s="3161" customFormat="1" ht="12.75"/>
    <row r="46468" s="3161" customFormat="1" ht="12.75"/>
    <row r="46469" s="3161" customFormat="1" ht="12.75"/>
    <row r="46470" s="3161" customFormat="1" ht="12.75"/>
    <row r="46471" s="3161" customFormat="1" ht="12.75"/>
    <row r="46472" s="3161" customFormat="1" ht="12.75"/>
    <row r="46473" s="3161" customFormat="1" ht="12.75"/>
    <row r="46474" s="3161" customFormat="1" ht="12.75"/>
    <row r="46475" s="3161" customFormat="1" ht="12.75"/>
    <row r="46476" s="3161" customFormat="1" ht="12.75"/>
    <row r="46477" s="3161" customFormat="1" ht="12.75"/>
    <row r="46478" s="3161" customFormat="1" ht="12.75"/>
    <row r="46479" s="3161" customFormat="1" ht="12.75"/>
    <row r="46480" s="3161" customFormat="1" ht="12.75"/>
    <row r="46481" s="3161" customFormat="1" ht="12.75"/>
    <row r="46482" s="3161" customFormat="1" ht="12.75"/>
    <row r="46483" s="3161" customFormat="1" ht="12.75"/>
    <row r="46484" s="3161" customFormat="1" ht="12.75"/>
    <row r="46485" s="3161" customFormat="1" ht="12.75"/>
    <row r="46486" s="3161" customFormat="1" ht="12.75"/>
    <row r="46487" s="3161" customFormat="1" ht="12.75"/>
    <row r="46488" s="3161" customFormat="1" ht="12.75"/>
    <row r="46489" s="3161" customFormat="1" ht="12.75"/>
    <row r="46490" s="3161" customFormat="1" ht="12.75"/>
    <row r="46491" s="3161" customFormat="1" ht="12.75"/>
    <row r="46492" s="3161" customFormat="1" ht="12.75"/>
    <row r="46493" s="3161" customFormat="1" ht="12.75"/>
    <row r="46494" s="3161" customFormat="1" ht="12.75"/>
    <row r="46495" s="3161" customFormat="1" ht="12.75"/>
    <row r="46496" s="3161" customFormat="1" ht="12.75"/>
    <row r="46497" s="3161" customFormat="1" ht="12.75"/>
    <row r="46498" s="3161" customFormat="1" ht="12.75"/>
    <row r="46499" s="3161" customFormat="1" ht="12.75"/>
    <row r="46500" s="3161" customFormat="1" ht="12.75"/>
    <row r="46501" s="3161" customFormat="1" ht="12.75"/>
    <row r="46502" s="3161" customFormat="1" ht="12.75"/>
    <row r="46503" s="3161" customFormat="1" ht="12.75"/>
    <row r="46504" s="3161" customFormat="1" ht="12.75"/>
    <row r="46505" s="3161" customFormat="1" ht="12.75"/>
    <row r="46506" s="3161" customFormat="1" ht="12.75"/>
    <row r="46507" s="3161" customFormat="1" ht="12.75"/>
    <row r="46508" s="3161" customFormat="1" ht="12.75"/>
    <row r="46509" s="3161" customFormat="1" ht="12.75"/>
    <row r="46510" s="3161" customFormat="1" ht="12.75"/>
    <row r="46511" s="3161" customFormat="1" ht="12.75"/>
    <row r="46512" s="3161" customFormat="1" ht="12.75"/>
    <row r="46513" s="3161" customFormat="1" ht="12.75"/>
    <row r="46514" s="3161" customFormat="1" ht="12.75"/>
    <row r="46515" s="3161" customFormat="1" ht="12.75"/>
    <row r="46516" s="3161" customFormat="1" ht="12.75"/>
    <row r="46517" s="3161" customFormat="1" ht="12.75"/>
    <row r="46518" s="3161" customFormat="1" ht="12.75"/>
    <row r="46519" s="3161" customFormat="1" ht="12.75"/>
    <row r="46520" s="3161" customFormat="1" ht="12.75"/>
    <row r="46521" s="3161" customFormat="1" ht="12.75"/>
    <row r="46522" s="3161" customFormat="1" ht="12.75"/>
    <row r="46523" s="3161" customFormat="1" ht="12.75"/>
    <row r="46524" s="3161" customFormat="1" ht="12.75"/>
    <row r="46525" s="3161" customFormat="1" ht="12.75"/>
    <row r="46526" s="3161" customFormat="1" ht="12.75"/>
    <row r="46527" s="3161" customFormat="1" ht="12.75"/>
    <row r="46528" s="3161" customFormat="1" ht="12.75"/>
    <row r="46529" s="3161" customFormat="1" ht="12.75"/>
    <row r="46530" s="3161" customFormat="1" ht="12.75"/>
    <row r="46531" s="3161" customFormat="1" ht="12.75"/>
    <row r="46532" s="3161" customFormat="1" ht="12.75"/>
    <row r="46533" s="3161" customFormat="1" ht="12.75"/>
    <row r="46534" s="3161" customFormat="1" ht="12.75"/>
    <row r="46535" s="3161" customFormat="1" ht="12.75"/>
    <row r="46536" s="3161" customFormat="1" ht="12.75"/>
    <row r="46537" s="3161" customFormat="1" ht="12.75"/>
    <row r="46538" s="3161" customFormat="1" ht="12.75"/>
    <row r="46539" s="3161" customFormat="1" ht="12.75"/>
    <row r="46540" s="3161" customFormat="1" ht="12.75"/>
    <row r="46541" s="3161" customFormat="1" ht="12.75"/>
    <row r="46542" s="3161" customFormat="1" ht="12.75"/>
    <row r="46543" s="3161" customFormat="1" ht="12.75"/>
    <row r="46544" s="3161" customFormat="1" ht="12.75"/>
    <row r="46545" s="3161" customFormat="1" ht="12.75"/>
    <row r="46546" s="3161" customFormat="1" ht="12.75"/>
    <row r="46547" s="3161" customFormat="1" ht="12.75"/>
    <row r="46548" s="3161" customFormat="1" ht="12.75"/>
    <row r="46549" s="3161" customFormat="1" ht="12.75"/>
    <row r="46550" s="3161" customFormat="1" ht="12.75"/>
    <row r="46551" s="3161" customFormat="1" ht="12.75"/>
    <row r="46552" s="3161" customFormat="1" ht="12.75"/>
    <row r="46553" s="3161" customFormat="1" ht="12.75"/>
    <row r="46554" s="3161" customFormat="1" ht="12.75"/>
    <row r="46555" s="3161" customFormat="1" ht="12.75"/>
    <row r="46556" s="3161" customFormat="1" ht="12.75"/>
    <row r="46557" s="3161" customFormat="1" ht="12.75"/>
    <row r="46558" s="3161" customFormat="1" ht="12.75"/>
    <row r="46559" s="3161" customFormat="1" ht="12.75"/>
    <row r="46560" s="3161" customFormat="1" ht="12.75"/>
    <row r="46561" s="3161" customFormat="1" ht="12.75"/>
    <row r="46562" s="3161" customFormat="1" ht="12.75"/>
    <row r="46563" s="3161" customFormat="1" ht="12.75"/>
    <row r="46564" s="3161" customFormat="1" ht="12.75"/>
    <row r="46565" s="3161" customFormat="1" ht="12.75"/>
    <row r="46566" s="3161" customFormat="1" ht="12.75"/>
    <row r="46567" s="3161" customFormat="1" ht="12.75"/>
    <row r="46568" s="3161" customFormat="1" ht="12.75"/>
    <row r="46569" s="3161" customFormat="1" ht="12.75"/>
    <row r="46570" s="3161" customFormat="1" ht="12.75"/>
    <row r="46571" s="3161" customFormat="1" ht="12.75"/>
    <row r="46572" s="3161" customFormat="1" ht="12.75"/>
    <row r="46573" s="3161" customFormat="1" ht="12.75"/>
    <row r="46574" s="3161" customFormat="1" ht="12.75"/>
    <row r="46575" s="3161" customFormat="1" ht="12.75"/>
    <row r="46576" s="3161" customFormat="1" ht="12.75"/>
    <row r="46577" s="3161" customFormat="1" ht="12.75"/>
    <row r="46578" s="3161" customFormat="1" ht="12.75"/>
    <row r="46579" s="3161" customFormat="1" ht="12.75"/>
    <row r="46580" s="3161" customFormat="1" ht="12.75"/>
    <row r="46581" s="3161" customFormat="1" ht="12.75"/>
    <row r="46582" s="3161" customFormat="1" ht="12.75"/>
    <row r="46583" s="3161" customFormat="1" ht="12.75"/>
    <row r="46584" s="3161" customFormat="1" ht="12.75"/>
    <row r="46585" s="3161" customFormat="1" ht="12.75"/>
    <row r="46586" s="3161" customFormat="1" ht="12.75"/>
    <row r="46587" s="3161" customFormat="1" ht="12.75"/>
    <row r="46588" s="3161" customFormat="1" ht="12.75"/>
    <row r="46589" s="3161" customFormat="1" ht="12.75"/>
    <row r="46590" s="3161" customFormat="1" ht="12.75"/>
    <row r="46591" s="3161" customFormat="1" ht="12.75"/>
    <row r="46592" s="3161" customFormat="1" ht="12.75"/>
    <row r="46593" s="3161" customFormat="1" ht="12.75"/>
    <row r="46594" s="3161" customFormat="1" ht="12.75"/>
    <row r="46595" s="3161" customFormat="1" ht="12.75"/>
    <row r="46596" s="3161" customFormat="1" ht="12.75"/>
    <row r="46597" s="3161" customFormat="1" ht="12.75"/>
    <row r="46598" s="3161" customFormat="1" ht="12.75"/>
    <row r="46599" s="3161" customFormat="1" ht="12.75"/>
    <row r="46600" s="3161" customFormat="1" ht="12.75"/>
    <row r="46601" s="3161" customFormat="1" ht="12.75"/>
    <row r="46602" s="3161" customFormat="1" ht="12.75"/>
    <row r="46603" s="3161" customFormat="1" ht="12.75"/>
    <row r="46604" s="3161" customFormat="1" ht="12.75"/>
    <row r="46605" s="3161" customFormat="1" ht="12.75"/>
    <row r="46606" s="3161" customFormat="1" ht="12.75"/>
    <row r="46607" s="3161" customFormat="1" ht="12.75"/>
    <row r="46608" s="3161" customFormat="1" ht="12.75"/>
    <row r="46609" s="3161" customFormat="1" ht="12.75"/>
    <row r="46610" s="3161" customFormat="1" ht="12.75"/>
    <row r="46611" s="3161" customFormat="1" ht="12.75"/>
    <row r="46612" s="3161" customFormat="1" ht="12.75"/>
    <row r="46613" s="3161" customFormat="1" ht="12.75"/>
    <row r="46614" s="3161" customFormat="1" ht="12.75"/>
    <row r="46615" s="3161" customFormat="1" ht="12.75"/>
    <row r="46616" s="3161" customFormat="1" ht="12.75"/>
    <row r="46617" s="3161" customFormat="1" ht="12.75"/>
    <row r="46618" s="3161" customFormat="1" ht="12.75"/>
    <row r="46619" s="3161" customFormat="1" ht="12.75"/>
    <row r="46620" s="3161" customFormat="1" ht="12.75"/>
    <row r="46621" s="3161" customFormat="1" ht="12.75"/>
    <row r="46622" s="3161" customFormat="1" ht="12.75"/>
    <row r="46623" s="3161" customFormat="1" ht="12.75"/>
    <row r="46624" s="3161" customFormat="1" ht="12.75"/>
    <row r="46625" s="3161" customFormat="1" ht="12.75"/>
    <row r="46626" s="3161" customFormat="1" ht="12.75"/>
    <row r="46627" s="3161" customFormat="1" ht="12.75"/>
    <row r="46628" s="3161" customFormat="1" ht="12.75"/>
    <row r="46629" s="3161" customFormat="1" ht="12.75"/>
    <row r="46630" s="3161" customFormat="1" ht="12.75"/>
    <row r="46631" s="3161" customFormat="1" ht="12.75"/>
    <row r="46632" s="3161" customFormat="1" ht="12.75"/>
    <row r="46633" s="3161" customFormat="1" ht="12.75"/>
    <row r="46634" s="3161" customFormat="1" ht="12.75"/>
    <row r="46635" s="3161" customFormat="1" ht="12.75"/>
    <row r="46636" s="3161" customFormat="1" ht="12.75"/>
    <row r="46637" s="3161" customFormat="1" ht="12.75"/>
    <row r="46638" s="3161" customFormat="1" ht="12.75"/>
    <row r="46639" s="3161" customFormat="1" ht="12.75"/>
    <row r="46640" s="3161" customFormat="1" ht="12.75"/>
    <row r="46641" s="3161" customFormat="1" ht="12.75"/>
    <row r="46642" s="3161" customFormat="1" ht="12.75"/>
    <row r="46643" s="3161" customFormat="1" ht="12.75"/>
    <row r="46644" s="3161" customFormat="1" ht="12.75"/>
    <row r="46645" s="3161" customFormat="1" ht="12.75"/>
    <row r="46646" s="3161" customFormat="1" ht="12.75"/>
    <row r="46647" s="3161" customFormat="1" ht="12.75"/>
    <row r="46648" s="3161" customFormat="1" ht="12.75"/>
    <row r="46649" s="3161" customFormat="1" ht="12.75"/>
    <row r="46650" s="3161" customFormat="1" ht="12.75"/>
    <row r="46651" s="3161" customFormat="1" ht="12.75"/>
    <row r="46652" s="3161" customFormat="1" ht="12.75"/>
    <row r="46653" s="3161" customFormat="1" ht="12.75"/>
    <row r="46654" s="3161" customFormat="1" ht="12.75"/>
    <row r="46655" s="3161" customFormat="1" ht="12.75"/>
    <row r="46656" s="3161" customFormat="1" ht="12.75"/>
    <row r="46657" s="3161" customFormat="1" ht="12.75"/>
    <row r="46658" s="3161" customFormat="1" ht="12.75"/>
    <row r="46659" s="3161" customFormat="1" ht="12.75"/>
    <row r="46660" s="3161" customFormat="1" ht="12.75"/>
    <row r="46661" s="3161" customFormat="1" ht="12.75"/>
    <row r="46662" s="3161" customFormat="1" ht="12.75"/>
    <row r="46663" s="3161" customFormat="1" ht="12.75"/>
    <row r="46664" s="3161" customFormat="1" ht="12.75"/>
    <row r="46665" s="3161" customFormat="1" ht="12.75"/>
    <row r="46666" s="3161" customFormat="1" ht="12.75"/>
    <row r="46667" s="3161" customFormat="1" ht="12.75"/>
    <row r="46668" s="3161" customFormat="1" ht="12.75"/>
    <row r="46669" s="3161" customFormat="1" ht="12.75"/>
    <row r="46670" s="3161" customFormat="1" ht="12.75"/>
    <row r="46671" s="3161" customFormat="1" ht="12.75"/>
    <row r="46672" s="3161" customFormat="1" ht="12.75"/>
    <row r="46673" s="3161" customFormat="1" ht="12.75"/>
    <row r="46674" s="3161" customFormat="1" ht="12.75"/>
    <row r="46675" s="3161" customFormat="1" ht="12.75"/>
    <row r="46676" s="3161" customFormat="1" ht="12.75"/>
    <row r="46677" s="3161" customFormat="1" ht="12.75"/>
    <row r="46678" s="3161" customFormat="1" ht="12.75"/>
    <row r="46679" s="3161" customFormat="1" ht="12.75"/>
    <row r="46680" s="3161" customFormat="1" ht="12.75"/>
    <row r="46681" s="3161" customFormat="1" ht="12.75"/>
    <row r="46682" s="3161" customFormat="1" ht="12.75"/>
    <row r="46683" s="3161" customFormat="1" ht="12.75"/>
    <row r="46684" s="3161" customFormat="1" ht="12.75"/>
    <row r="46685" s="3161" customFormat="1" ht="12.75"/>
    <row r="46686" s="3161" customFormat="1" ht="12.75"/>
    <row r="46687" s="3161" customFormat="1" ht="12.75"/>
    <row r="46688" s="3161" customFormat="1" ht="12.75"/>
    <row r="46689" s="3161" customFormat="1" ht="12.75"/>
    <row r="46690" s="3161" customFormat="1" ht="12.75"/>
    <row r="46691" s="3161" customFormat="1" ht="12.75"/>
    <row r="46692" s="3161" customFormat="1" ht="12.75"/>
    <row r="46693" s="3161" customFormat="1" ht="12.75"/>
    <row r="46694" s="3161" customFormat="1" ht="12.75"/>
    <row r="46695" s="3161" customFormat="1" ht="12.75"/>
    <row r="46696" s="3161" customFormat="1" ht="12.75"/>
    <row r="46697" s="3161" customFormat="1" ht="12.75"/>
    <row r="46698" s="3161" customFormat="1" ht="12.75"/>
    <row r="46699" s="3161" customFormat="1" ht="12.75"/>
    <row r="46700" s="3161" customFormat="1" ht="12.75"/>
    <row r="46701" s="3161" customFormat="1" ht="12.75"/>
    <row r="46702" s="3161" customFormat="1" ht="12.75"/>
    <row r="46703" s="3161" customFormat="1" ht="12.75"/>
    <row r="46704" s="3161" customFormat="1" ht="12.75"/>
    <row r="46705" s="3161" customFormat="1" ht="12.75"/>
    <row r="46706" s="3161" customFormat="1" ht="12.75"/>
    <row r="46707" s="3161" customFormat="1" ht="12.75"/>
    <row r="46708" s="3161" customFormat="1" ht="12.75"/>
    <row r="46709" s="3161" customFormat="1" ht="12.75"/>
    <row r="46710" s="3161" customFormat="1" ht="12.75"/>
    <row r="46711" s="3161" customFormat="1" ht="12.75"/>
    <row r="46712" s="3161" customFormat="1" ht="12.75"/>
    <row r="46713" s="3161" customFormat="1" ht="12.75"/>
    <row r="46714" s="3161" customFormat="1" ht="12.75"/>
    <row r="46715" s="3161" customFormat="1" ht="12.75"/>
    <row r="46716" s="3161" customFormat="1" ht="12.75"/>
    <row r="46717" s="3161" customFormat="1" ht="12.75"/>
    <row r="46718" s="3161" customFormat="1" ht="12.75"/>
    <row r="46719" s="3161" customFormat="1" ht="12.75"/>
    <row r="46720" s="3161" customFormat="1" ht="12.75"/>
    <row r="46721" s="3161" customFormat="1" ht="12.75"/>
    <row r="46722" s="3161" customFormat="1" ht="12.75"/>
    <row r="46723" s="3161" customFormat="1" ht="12.75"/>
    <row r="46724" s="3161" customFormat="1" ht="12.75"/>
    <row r="46725" s="3161" customFormat="1" ht="12.75"/>
    <row r="46726" s="3161" customFormat="1" ht="12.75"/>
    <row r="46727" s="3161" customFormat="1" ht="12.75"/>
    <row r="46728" s="3161" customFormat="1" ht="12.75"/>
    <row r="46729" s="3161" customFormat="1" ht="12.75"/>
    <row r="46730" s="3161" customFormat="1" ht="12.75"/>
    <row r="46731" s="3161" customFormat="1" ht="12.75"/>
    <row r="46732" s="3161" customFormat="1" ht="12.75"/>
    <row r="46733" s="3161" customFormat="1" ht="12.75"/>
    <row r="46734" s="3161" customFormat="1" ht="12.75"/>
    <row r="46735" s="3161" customFormat="1" ht="12.75"/>
    <row r="46736" s="3161" customFormat="1" ht="12.75"/>
    <row r="46737" s="3161" customFormat="1" ht="12.75"/>
    <row r="46738" s="3161" customFormat="1" ht="12.75"/>
    <row r="46739" s="3161" customFormat="1" ht="12.75"/>
    <row r="46740" s="3161" customFormat="1" ht="12.75"/>
    <row r="46741" s="3161" customFormat="1" ht="12.75"/>
    <row r="46742" s="3161" customFormat="1" ht="12.75"/>
    <row r="46743" s="3161" customFormat="1" ht="12.75"/>
    <row r="46744" s="3161" customFormat="1" ht="12.75"/>
    <row r="46745" s="3161" customFormat="1" ht="12.75"/>
    <row r="46746" s="3161" customFormat="1" ht="12.75"/>
    <row r="46747" s="3161" customFormat="1" ht="12.75"/>
    <row r="46748" s="3161" customFormat="1" ht="12.75"/>
    <row r="46749" s="3161" customFormat="1" ht="12.75"/>
    <row r="46750" s="3161" customFormat="1" ht="12.75"/>
    <row r="46751" s="3161" customFormat="1" ht="12.75"/>
    <row r="46752" s="3161" customFormat="1" ht="12.75"/>
    <row r="46753" s="3161" customFormat="1" ht="12.75"/>
    <row r="46754" s="3161" customFormat="1" ht="12.75"/>
    <row r="46755" s="3161" customFormat="1" ht="12.75"/>
    <row r="46756" s="3161" customFormat="1" ht="12.75"/>
    <row r="46757" s="3161" customFormat="1" ht="12.75"/>
    <row r="46758" s="3161" customFormat="1" ht="12.75"/>
    <row r="46759" s="3161" customFormat="1" ht="12.75"/>
    <row r="46760" s="3161" customFormat="1" ht="12.75"/>
    <row r="46761" s="3161" customFormat="1" ht="12.75"/>
    <row r="46762" s="3161" customFormat="1" ht="12.75"/>
    <row r="46763" s="3161" customFormat="1" ht="12.75"/>
    <row r="46764" s="3161" customFormat="1" ht="12.75"/>
    <row r="46765" s="3161" customFormat="1" ht="12.75"/>
    <row r="46766" s="3161" customFormat="1" ht="12.75"/>
    <row r="46767" s="3161" customFormat="1" ht="12.75"/>
    <row r="46768" s="3161" customFormat="1" ht="12.75"/>
    <row r="46769" s="3161" customFormat="1" ht="12.75"/>
    <row r="46770" s="3161" customFormat="1" ht="12.75"/>
    <row r="46771" s="3161" customFormat="1" ht="12.75"/>
    <row r="46772" s="3161" customFormat="1" ht="12.75"/>
    <row r="46773" s="3161" customFormat="1" ht="12.75"/>
    <row r="46774" s="3161" customFormat="1" ht="12.75"/>
    <row r="46775" s="3161" customFormat="1" ht="12.75"/>
    <row r="46776" s="3161" customFormat="1" ht="12.75"/>
    <row r="46777" s="3161" customFormat="1" ht="12.75"/>
    <row r="46778" s="3161" customFormat="1" ht="12.75"/>
    <row r="46779" s="3161" customFormat="1" ht="12.75"/>
    <row r="46780" s="3161" customFormat="1" ht="12.75"/>
    <row r="46781" s="3161" customFormat="1" ht="12.75"/>
    <row r="46782" s="3161" customFormat="1" ht="12.75"/>
    <row r="46783" s="3161" customFormat="1" ht="12.75"/>
    <row r="46784" s="3161" customFormat="1" ht="12.75"/>
    <row r="46785" s="3161" customFormat="1" ht="12.75"/>
    <row r="46786" s="3161" customFormat="1" ht="12.75"/>
    <row r="46787" s="3161" customFormat="1" ht="12.75"/>
    <row r="46788" s="3161" customFormat="1" ht="12.75"/>
    <row r="46789" s="3161" customFormat="1" ht="12.75"/>
    <row r="46790" s="3161" customFormat="1" ht="12.75"/>
    <row r="46791" s="3161" customFormat="1" ht="12.75"/>
    <row r="46792" s="3161" customFormat="1" ht="12.75"/>
    <row r="46793" s="3161" customFormat="1" ht="12.75"/>
    <row r="46794" s="3161" customFormat="1" ht="12.75"/>
    <row r="46795" s="3161" customFormat="1" ht="12.75"/>
    <row r="46796" s="3161" customFormat="1" ht="12.75"/>
    <row r="46797" s="3161" customFormat="1" ht="12.75"/>
    <row r="46798" s="3161" customFormat="1" ht="12.75"/>
    <row r="46799" s="3161" customFormat="1" ht="12.75"/>
    <row r="46800" s="3161" customFormat="1" ht="12.75"/>
    <row r="46801" s="3161" customFormat="1" ht="12.75"/>
    <row r="46802" s="3161" customFormat="1" ht="12.75"/>
    <row r="46803" s="3161" customFormat="1" ht="12.75"/>
    <row r="46804" s="3161" customFormat="1" ht="12.75"/>
    <row r="46805" s="3161" customFormat="1" ht="12.75"/>
    <row r="46806" s="3161" customFormat="1" ht="12.75"/>
    <row r="46807" s="3161" customFormat="1" ht="12.75"/>
    <row r="46808" s="3161" customFormat="1" ht="12.75"/>
    <row r="46809" s="3161" customFormat="1" ht="12.75"/>
    <row r="46810" s="3161" customFormat="1" ht="12.75"/>
    <row r="46811" s="3161" customFormat="1" ht="12.75"/>
    <row r="46812" s="3161" customFormat="1" ht="12.75"/>
    <row r="46813" s="3161" customFormat="1" ht="12.75"/>
    <row r="46814" s="3161" customFormat="1" ht="12.75"/>
    <row r="46815" s="3161" customFormat="1" ht="12.75"/>
    <row r="46816" s="3161" customFormat="1" ht="12.75"/>
    <row r="46817" s="3161" customFormat="1" ht="12.75"/>
    <row r="46818" s="3161" customFormat="1" ht="12.75"/>
    <row r="46819" s="3161" customFormat="1" ht="12.75"/>
    <row r="46820" s="3161" customFormat="1" ht="12.75"/>
    <row r="46821" s="3161" customFormat="1" ht="12.75"/>
    <row r="46822" s="3161" customFormat="1" ht="12.75"/>
    <row r="46823" s="3161" customFormat="1" ht="12.75"/>
    <row r="46824" s="3161" customFormat="1" ht="12.75"/>
    <row r="46825" s="3161" customFormat="1" ht="12.75"/>
    <row r="46826" s="3161" customFormat="1" ht="12.75"/>
    <row r="46827" s="3161" customFormat="1" ht="12.75"/>
    <row r="46828" s="3161" customFormat="1" ht="12.75"/>
    <row r="46829" s="3161" customFormat="1" ht="12.75"/>
    <row r="46830" s="3161" customFormat="1" ht="12.75"/>
    <row r="46831" s="3161" customFormat="1" ht="12.75"/>
    <row r="46832" s="3161" customFormat="1" ht="12.75"/>
    <row r="46833" s="3161" customFormat="1" ht="12.75"/>
    <row r="46834" s="3161" customFormat="1" ht="12.75"/>
    <row r="46835" s="3161" customFormat="1" ht="12.75"/>
    <row r="46836" s="3161" customFormat="1" ht="12.75"/>
    <row r="46837" s="3161" customFormat="1" ht="12.75"/>
    <row r="46838" s="3161" customFormat="1" ht="12.75"/>
    <row r="46839" s="3161" customFormat="1" ht="12.75"/>
    <row r="46840" s="3161" customFormat="1" ht="12.75"/>
    <row r="46841" s="3161" customFormat="1" ht="12.75"/>
    <row r="46842" s="3161" customFormat="1" ht="12.75"/>
    <row r="46843" s="3161" customFormat="1" ht="12.75"/>
    <row r="46844" s="3161" customFormat="1" ht="12.75"/>
    <row r="46845" s="3161" customFormat="1" ht="12.75"/>
    <row r="46846" s="3161" customFormat="1" ht="12.75"/>
    <row r="46847" s="3161" customFormat="1" ht="12.75"/>
    <row r="46848" s="3161" customFormat="1" ht="12.75"/>
    <row r="46849" s="3161" customFormat="1" ht="12.75"/>
    <row r="46850" s="3161" customFormat="1" ht="12.75"/>
    <row r="46851" s="3161" customFormat="1" ht="12.75"/>
    <row r="46852" s="3161" customFormat="1" ht="12.75"/>
    <row r="46853" s="3161" customFormat="1" ht="12.75"/>
    <row r="46854" s="3161" customFormat="1" ht="12.75"/>
    <row r="46855" s="3161" customFormat="1" ht="12.75"/>
    <row r="46856" s="3161" customFormat="1" ht="12.75"/>
    <row r="46857" s="3161" customFormat="1" ht="12.75"/>
    <row r="46858" s="3161" customFormat="1" ht="12.75"/>
    <row r="46859" s="3161" customFormat="1" ht="12.75"/>
    <row r="46860" s="3161" customFormat="1" ht="12.75"/>
    <row r="46861" s="3161" customFormat="1" ht="12.75"/>
    <row r="46862" s="3161" customFormat="1" ht="12.75"/>
    <row r="46863" s="3161" customFormat="1" ht="12.75"/>
    <row r="46864" s="3161" customFormat="1" ht="12.75"/>
    <row r="46865" s="3161" customFormat="1" ht="12.75"/>
    <row r="46866" s="3161" customFormat="1" ht="12.75"/>
    <row r="46867" s="3161" customFormat="1" ht="12.75"/>
    <row r="46868" s="3161" customFormat="1" ht="12.75"/>
    <row r="46869" s="3161" customFormat="1" ht="12.75"/>
    <row r="46870" s="3161" customFormat="1" ht="12.75"/>
    <row r="46871" s="3161" customFormat="1" ht="12.75"/>
    <row r="46872" s="3161" customFormat="1" ht="12.75"/>
    <row r="46873" s="3161" customFormat="1" ht="12.75"/>
    <row r="46874" s="3161" customFormat="1" ht="12.75"/>
    <row r="46875" s="3161" customFormat="1" ht="12.75"/>
    <row r="46876" s="3161" customFormat="1" ht="12.75"/>
    <row r="46877" s="3161" customFormat="1" ht="12.75"/>
    <row r="46878" s="3161" customFormat="1" ht="12.75"/>
    <row r="46879" s="3161" customFormat="1" ht="12.75"/>
    <row r="46880" s="3161" customFormat="1" ht="12.75"/>
    <row r="46881" s="3161" customFormat="1" ht="12.75"/>
    <row r="46882" s="3161" customFormat="1" ht="12.75"/>
    <row r="46883" s="3161" customFormat="1" ht="12.75"/>
    <row r="46884" s="3161" customFormat="1" ht="12.75"/>
    <row r="46885" s="3161" customFormat="1" ht="12.75"/>
    <row r="46886" s="3161" customFormat="1" ht="12.75"/>
    <row r="46887" s="3161" customFormat="1" ht="12.75"/>
    <row r="46888" s="3161" customFormat="1" ht="12.75"/>
    <row r="46889" s="3161" customFormat="1" ht="12.75"/>
    <row r="46890" s="3161" customFormat="1" ht="12.75"/>
    <row r="46891" s="3161" customFormat="1" ht="12.75"/>
    <row r="46892" s="3161" customFormat="1" ht="12.75"/>
    <row r="46893" s="3161" customFormat="1" ht="12.75"/>
    <row r="46894" s="3161" customFormat="1" ht="12.75"/>
    <row r="46895" s="3161" customFormat="1" ht="12.75"/>
    <row r="46896" s="3161" customFormat="1" ht="12.75"/>
    <row r="46897" s="3161" customFormat="1" ht="12.75"/>
    <row r="46898" s="3161" customFormat="1" ht="12.75"/>
    <row r="46899" s="3161" customFormat="1" ht="12.75"/>
    <row r="46900" s="3161" customFormat="1" ht="12.75"/>
    <row r="46901" s="3161" customFormat="1" ht="12.75"/>
    <row r="46902" s="3161" customFormat="1" ht="12.75"/>
    <row r="46903" s="3161" customFormat="1" ht="12.75"/>
    <row r="46904" s="3161" customFormat="1" ht="12.75"/>
    <row r="46905" s="3161" customFormat="1" ht="12.75"/>
    <row r="46906" s="3161" customFormat="1" ht="12.75"/>
    <row r="46907" s="3161" customFormat="1" ht="12.75"/>
    <row r="46908" s="3161" customFormat="1" ht="12.75"/>
    <row r="46909" s="3161" customFormat="1" ht="12.75"/>
    <row r="46910" s="3161" customFormat="1" ht="12.75"/>
    <row r="46911" s="3161" customFormat="1" ht="12.75"/>
    <row r="46912" s="3161" customFormat="1" ht="12.75"/>
    <row r="46913" s="3161" customFormat="1" ht="12.75"/>
    <row r="46914" s="3161" customFormat="1" ht="12.75"/>
    <row r="46915" s="3161" customFormat="1" ht="12.75"/>
    <row r="46916" s="3161" customFormat="1" ht="12.75"/>
    <row r="46917" s="3161" customFormat="1" ht="12.75"/>
    <row r="46918" s="3161" customFormat="1" ht="12.75"/>
    <row r="46919" s="3161" customFormat="1" ht="12.75"/>
    <row r="46920" s="3161" customFormat="1" ht="12.75"/>
    <row r="46921" s="3161" customFormat="1" ht="12.75"/>
    <row r="46922" s="3161" customFormat="1" ht="12.75"/>
    <row r="46923" s="3161" customFormat="1" ht="12.75"/>
    <row r="46924" s="3161" customFormat="1" ht="12.75"/>
    <row r="46925" s="3161" customFormat="1" ht="12.75"/>
    <row r="46926" s="3161" customFormat="1" ht="12.75"/>
    <row r="46927" s="3161" customFormat="1" ht="12.75"/>
    <row r="46928" s="3161" customFormat="1" ht="12.75"/>
    <row r="46929" s="3161" customFormat="1" ht="12.75"/>
    <row r="46930" s="3161" customFormat="1" ht="12.75"/>
    <row r="46931" s="3161" customFormat="1" ht="12.75"/>
    <row r="46932" s="3161" customFormat="1" ht="12.75"/>
    <row r="46933" s="3161" customFormat="1" ht="12.75"/>
    <row r="46934" s="3161" customFormat="1" ht="12.75"/>
    <row r="46935" s="3161" customFormat="1" ht="12.75"/>
    <row r="46936" s="3161" customFormat="1" ht="12.75"/>
    <row r="46937" s="3161" customFormat="1" ht="12.75"/>
    <row r="46938" s="3161" customFormat="1" ht="12.75"/>
    <row r="46939" s="3161" customFormat="1" ht="12.75"/>
    <row r="46940" s="3161" customFormat="1" ht="12.75"/>
    <row r="46941" s="3161" customFormat="1" ht="12.75"/>
    <row r="46942" s="3161" customFormat="1" ht="12.75"/>
    <row r="46943" s="3161" customFormat="1" ht="12.75"/>
    <row r="46944" s="3161" customFormat="1" ht="12.75"/>
    <row r="46945" s="3161" customFormat="1" ht="12.75"/>
    <row r="46946" s="3161" customFormat="1" ht="12.75"/>
    <row r="46947" s="3161" customFormat="1" ht="12.75"/>
    <row r="46948" s="3161" customFormat="1" ht="12.75"/>
    <row r="46949" s="3161" customFormat="1" ht="12.75"/>
    <row r="46950" s="3161" customFormat="1" ht="12.75"/>
    <row r="46951" s="3161" customFormat="1" ht="12.75"/>
    <row r="46952" s="3161" customFormat="1" ht="12.75"/>
    <row r="46953" s="3161" customFormat="1" ht="12.75"/>
    <row r="46954" s="3161" customFormat="1" ht="12.75"/>
    <row r="46955" s="3161" customFormat="1" ht="12.75"/>
    <row r="46956" s="3161" customFormat="1" ht="12.75"/>
    <row r="46957" s="3161" customFormat="1" ht="12.75"/>
    <row r="46958" s="3161" customFormat="1" ht="12.75"/>
    <row r="46959" s="3161" customFormat="1" ht="12.75"/>
    <row r="46960" s="3161" customFormat="1" ht="12.75"/>
    <row r="46961" s="3161" customFormat="1" ht="12.75"/>
    <row r="46962" s="3161" customFormat="1" ht="12.75"/>
    <row r="46963" s="3161" customFormat="1" ht="12.75"/>
    <row r="46964" s="3161" customFormat="1" ht="12.75"/>
    <row r="46965" s="3161" customFormat="1" ht="12.75"/>
    <row r="46966" s="3161" customFormat="1" ht="12.75"/>
    <row r="46967" s="3161" customFormat="1" ht="12.75"/>
    <row r="46968" s="3161" customFormat="1" ht="12.75"/>
    <row r="46969" s="3161" customFormat="1" ht="12.75"/>
    <row r="46970" s="3161" customFormat="1" ht="12.75"/>
    <row r="46971" s="3161" customFormat="1" ht="12.75"/>
    <row r="46972" s="3161" customFormat="1" ht="12.75"/>
    <row r="46973" s="3161" customFormat="1" ht="12.75"/>
    <row r="46974" s="3161" customFormat="1" ht="12.75"/>
    <row r="46975" s="3161" customFormat="1" ht="12.75"/>
    <row r="46976" s="3161" customFormat="1" ht="12.75"/>
    <row r="46977" s="3161" customFormat="1" ht="12.75"/>
    <row r="46978" s="3161" customFormat="1" ht="12.75"/>
    <row r="46979" s="3161" customFormat="1" ht="12.75"/>
    <row r="46980" s="3161" customFormat="1" ht="12.75"/>
    <row r="46981" s="3161" customFormat="1" ht="12.75"/>
    <row r="46982" s="3161" customFormat="1" ht="12.75"/>
    <row r="46983" s="3161" customFormat="1" ht="12.75"/>
    <row r="46984" s="3161" customFormat="1" ht="12.75"/>
    <row r="46985" s="3161" customFormat="1" ht="12.75"/>
    <row r="46986" s="3161" customFormat="1" ht="12.75"/>
    <row r="46987" s="3161" customFormat="1" ht="12.75"/>
    <row r="46988" s="3161" customFormat="1" ht="12.75"/>
    <row r="46989" s="3161" customFormat="1" ht="12.75"/>
    <row r="46990" s="3161" customFormat="1" ht="12.75"/>
    <row r="46991" s="3161" customFormat="1" ht="12.75"/>
    <row r="46992" s="3161" customFormat="1" ht="12.75"/>
    <row r="46993" s="3161" customFormat="1" ht="12.75"/>
    <row r="46994" s="3161" customFormat="1" ht="12.75"/>
    <row r="46995" s="3161" customFormat="1" ht="12.75"/>
    <row r="46996" s="3161" customFormat="1" ht="12.75"/>
    <row r="46997" s="3161" customFormat="1" ht="12.75"/>
    <row r="46998" s="3161" customFormat="1" ht="12.75"/>
    <row r="46999" s="3161" customFormat="1" ht="12.75"/>
    <row r="47000" s="3161" customFormat="1" ht="12.75"/>
    <row r="47001" s="3161" customFormat="1" ht="12.75"/>
    <row r="47002" s="3161" customFormat="1" ht="12.75"/>
    <row r="47003" s="3161" customFormat="1" ht="12.75"/>
    <row r="47004" s="3161" customFormat="1" ht="12.75"/>
    <row r="47005" s="3161" customFormat="1" ht="12.75"/>
    <row r="47006" s="3161" customFormat="1" ht="12.75"/>
    <row r="47007" s="3161" customFormat="1" ht="12.75"/>
    <row r="47008" s="3161" customFormat="1" ht="12.75"/>
    <row r="47009" s="3161" customFormat="1" ht="12.75"/>
    <row r="47010" s="3161" customFormat="1" ht="12.75"/>
    <row r="47011" s="3161" customFormat="1" ht="12.75"/>
    <row r="47012" s="3161" customFormat="1" ht="12.75"/>
    <row r="47013" s="3161" customFormat="1" ht="12.75"/>
    <row r="47014" s="3161" customFormat="1" ht="12.75"/>
    <row r="47015" s="3161" customFormat="1" ht="12.75"/>
    <row r="47016" s="3161" customFormat="1" ht="12.75"/>
    <row r="47017" s="3161" customFormat="1" ht="12.75"/>
    <row r="47018" s="3161" customFormat="1" ht="12.75"/>
    <row r="47019" s="3161" customFormat="1" ht="12.75"/>
    <row r="47020" s="3161" customFormat="1" ht="12.75"/>
    <row r="47021" s="3161" customFormat="1" ht="12.75"/>
    <row r="47022" s="3161" customFormat="1" ht="12.75"/>
    <row r="47023" s="3161" customFormat="1" ht="12.75"/>
    <row r="47024" s="3161" customFormat="1" ht="12.75"/>
    <row r="47025" s="3161" customFormat="1" ht="12.75"/>
    <row r="47026" s="3161" customFormat="1" ht="12.75"/>
    <row r="47027" s="3161" customFormat="1" ht="12.75"/>
    <row r="47028" s="3161" customFormat="1" ht="12.75"/>
    <row r="47029" s="3161" customFormat="1" ht="12.75"/>
    <row r="47030" s="3161" customFormat="1" ht="12.75"/>
    <row r="47031" s="3161" customFormat="1" ht="12.75"/>
    <row r="47032" s="3161" customFormat="1" ht="12.75"/>
    <row r="47033" s="3161" customFormat="1" ht="12.75"/>
    <row r="47034" s="3161" customFormat="1" ht="12.75"/>
    <row r="47035" s="3161" customFormat="1" ht="12.75"/>
    <row r="47036" s="3161" customFormat="1" ht="12.75"/>
    <row r="47037" s="3161" customFormat="1" ht="12.75"/>
    <row r="47038" s="3161" customFormat="1" ht="12.75"/>
    <row r="47039" s="3161" customFormat="1" ht="12.75"/>
    <row r="47040" s="3161" customFormat="1" ht="12.75"/>
    <row r="47041" s="3161" customFormat="1" ht="12.75"/>
    <row r="47042" s="3161" customFormat="1" ht="12.75"/>
    <row r="47043" s="3161" customFormat="1" ht="12.75"/>
    <row r="47044" s="3161" customFormat="1" ht="12.75"/>
    <row r="47045" s="3161" customFormat="1" ht="12.75"/>
    <row r="47046" s="3161" customFormat="1" ht="12.75"/>
    <row r="47047" s="3161" customFormat="1" ht="12.75"/>
    <row r="47048" s="3161" customFormat="1" ht="12.75"/>
    <row r="47049" s="3161" customFormat="1" ht="12.75"/>
    <row r="47050" s="3161" customFormat="1" ht="12.75"/>
    <row r="47051" s="3161" customFormat="1" ht="12.75"/>
    <row r="47052" s="3161" customFormat="1" ht="12.75"/>
    <row r="47053" s="3161" customFormat="1" ht="12.75"/>
    <row r="47054" s="3161" customFormat="1" ht="12.75"/>
    <row r="47055" s="3161" customFormat="1" ht="12.75"/>
    <row r="47056" s="3161" customFormat="1" ht="12.75"/>
    <row r="47057" s="3161" customFormat="1" ht="12.75"/>
    <row r="47058" s="3161" customFormat="1" ht="12.75"/>
    <row r="47059" s="3161" customFormat="1" ht="12.75"/>
    <row r="47060" s="3161" customFormat="1" ht="12.75"/>
    <row r="47061" s="3161" customFormat="1" ht="12.75"/>
    <row r="47062" s="3161" customFormat="1" ht="12.75"/>
    <row r="47063" s="3161" customFormat="1" ht="12.75"/>
    <row r="47064" s="3161" customFormat="1" ht="12.75"/>
    <row r="47065" s="3161" customFormat="1" ht="12.75"/>
    <row r="47066" s="3161" customFormat="1" ht="12.75"/>
    <row r="47067" s="3161" customFormat="1" ht="12.75"/>
    <row r="47068" s="3161" customFormat="1" ht="12.75"/>
    <row r="47069" s="3161" customFormat="1" ht="12.75"/>
    <row r="47070" s="3161" customFormat="1" ht="12.75"/>
    <row r="47071" s="3161" customFormat="1" ht="12.75"/>
    <row r="47072" s="3161" customFormat="1" ht="12.75"/>
    <row r="47073" s="3161" customFormat="1" ht="12.75"/>
    <row r="47074" s="3161" customFormat="1" ht="12.75"/>
    <row r="47075" s="3161" customFormat="1" ht="12.75"/>
    <row r="47076" s="3161" customFormat="1" ht="12.75"/>
    <row r="47077" s="3161" customFormat="1" ht="12.75"/>
    <row r="47078" s="3161" customFormat="1" ht="12.75"/>
    <row r="47079" s="3161" customFormat="1" ht="12.75"/>
    <row r="47080" s="3161" customFormat="1" ht="12.75"/>
    <row r="47081" s="3161" customFormat="1" ht="12.75"/>
    <row r="47082" s="3161" customFormat="1" ht="12.75"/>
    <row r="47083" s="3161" customFormat="1" ht="12.75"/>
    <row r="47084" s="3161" customFormat="1" ht="12.75"/>
    <row r="47085" s="3161" customFormat="1" ht="12.75"/>
    <row r="47086" s="3161" customFormat="1" ht="12.75"/>
    <row r="47087" s="3161" customFormat="1" ht="12.75"/>
    <row r="47088" s="3161" customFormat="1" ht="12.75"/>
    <row r="47089" s="3161" customFormat="1" ht="12.75"/>
    <row r="47090" s="3161" customFormat="1" ht="12.75"/>
    <row r="47091" s="3161" customFormat="1" ht="12.75"/>
    <row r="47092" s="3161" customFormat="1" ht="12.75"/>
    <row r="47093" s="3161" customFormat="1" ht="12.75"/>
    <row r="47094" s="3161" customFormat="1" ht="12.75"/>
    <row r="47095" s="3161" customFormat="1" ht="12.75"/>
    <row r="47096" s="3161" customFormat="1" ht="12.75"/>
    <row r="47097" s="3161" customFormat="1" ht="12.75"/>
    <row r="47098" s="3161" customFormat="1" ht="12.75"/>
    <row r="47099" s="3161" customFormat="1" ht="12.75"/>
    <row r="47100" s="3161" customFormat="1" ht="12.75"/>
    <row r="47101" s="3161" customFormat="1" ht="12.75"/>
    <row r="47102" s="3161" customFormat="1" ht="12.75"/>
    <row r="47103" s="3161" customFormat="1" ht="12.75"/>
    <row r="47104" s="3161" customFormat="1" ht="12.75"/>
    <row r="47105" s="3161" customFormat="1" ht="12.75"/>
    <row r="47106" s="3161" customFormat="1" ht="12.75"/>
    <row r="47107" s="3161" customFormat="1" ht="12.75"/>
    <row r="47108" s="3161" customFormat="1" ht="12.75"/>
    <row r="47109" s="3161" customFormat="1" ht="12.75"/>
    <row r="47110" s="3161" customFormat="1" ht="12.75"/>
    <row r="47111" s="3161" customFormat="1" ht="12.75"/>
    <row r="47112" s="3161" customFormat="1" ht="12.75"/>
    <row r="47113" s="3161" customFormat="1" ht="12.75"/>
    <row r="47114" s="3161" customFormat="1" ht="12.75"/>
    <row r="47115" s="3161" customFormat="1" ht="12.75"/>
    <row r="47116" s="3161" customFormat="1" ht="12.75"/>
    <row r="47117" s="3161" customFormat="1" ht="12.75"/>
    <row r="47118" s="3161" customFormat="1" ht="12.75"/>
    <row r="47119" s="3161" customFormat="1" ht="12.75"/>
    <row r="47120" s="3161" customFormat="1" ht="12.75"/>
    <row r="47121" s="3161" customFormat="1" ht="12.75"/>
    <row r="47122" s="3161" customFormat="1" ht="12.75"/>
    <row r="47123" s="3161" customFormat="1" ht="12.75"/>
    <row r="47124" s="3161" customFormat="1" ht="12.75"/>
    <row r="47125" s="3161" customFormat="1" ht="12.75"/>
    <row r="47126" s="3161" customFormat="1" ht="12.75"/>
    <row r="47127" s="3161" customFormat="1" ht="12.75"/>
    <row r="47128" s="3161" customFormat="1" ht="12.75"/>
    <row r="47129" s="3161" customFormat="1" ht="12.75"/>
    <row r="47130" s="3161" customFormat="1" ht="12.75"/>
    <row r="47131" s="3161" customFormat="1" ht="12.75"/>
    <row r="47132" s="3161" customFormat="1" ht="12.75"/>
    <row r="47133" s="3161" customFormat="1" ht="12.75"/>
    <row r="47134" s="3161" customFormat="1" ht="12.75"/>
    <row r="47135" s="3161" customFormat="1" ht="12.75"/>
    <row r="47136" s="3161" customFormat="1" ht="12.75"/>
    <row r="47137" s="3161" customFormat="1" ht="12.75"/>
    <row r="47138" s="3161" customFormat="1" ht="12.75"/>
    <row r="47139" s="3161" customFormat="1" ht="12.75"/>
    <row r="47140" s="3161" customFormat="1" ht="12.75"/>
    <row r="47141" s="3161" customFormat="1" ht="12.75"/>
    <row r="47142" s="3161" customFormat="1" ht="12.75"/>
    <row r="47143" s="3161" customFormat="1" ht="12.75"/>
    <row r="47144" s="3161" customFormat="1" ht="12.75"/>
    <row r="47145" s="3161" customFormat="1" ht="12.75"/>
    <row r="47146" s="3161" customFormat="1" ht="12.75"/>
    <row r="47147" s="3161" customFormat="1" ht="12.75"/>
    <row r="47148" s="3161" customFormat="1" ht="12.75"/>
    <row r="47149" s="3161" customFormat="1" ht="12.75"/>
    <row r="47150" s="3161" customFormat="1" ht="12.75"/>
    <row r="47151" s="3161" customFormat="1" ht="12.75"/>
    <row r="47152" s="3161" customFormat="1" ht="12.75"/>
    <row r="47153" s="3161" customFormat="1" ht="12.75"/>
    <row r="47154" s="3161" customFormat="1" ht="12.75"/>
    <row r="47155" s="3161" customFormat="1" ht="12.75"/>
    <row r="47156" s="3161" customFormat="1" ht="12.75"/>
    <row r="47157" s="3161" customFormat="1" ht="12.75"/>
    <row r="47158" s="3161" customFormat="1" ht="12.75"/>
    <row r="47159" s="3161" customFormat="1" ht="12.75"/>
    <row r="47160" s="3161" customFormat="1" ht="12.75"/>
    <row r="47161" s="3161" customFormat="1" ht="12.75"/>
    <row r="47162" s="3161" customFormat="1" ht="12.75"/>
    <row r="47163" s="3161" customFormat="1" ht="12.75"/>
    <row r="47164" s="3161" customFormat="1" ht="12.75"/>
    <row r="47165" s="3161" customFormat="1" ht="12.75"/>
    <row r="47166" s="3161" customFormat="1" ht="12.75"/>
    <row r="47167" s="3161" customFormat="1" ht="12.75"/>
    <row r="47168" s="3161" customFormat="1" ht="12.75"/>
    <row r="47169" s="3161" customFormat="1" ht="12.75"/>
    <row r="47170" s="3161" customFormat="1" ht="12.75"/>
    <row r="47171" s="3161" customFormat="1" ht="12.75"/>
    <row r="47172" s="3161" customFormat="1" ht="12.75"/>
    <row r="47173" s="3161" customFormat="1" ht="12.75"/>
    <row r="47174" s="3161" customFormat="1" ht="12.75"/>
    <row r="47175" s="3161" customFormat="1" ht="12.75"/>
    <row r="47176" s="3161" customFormat="1" ht="12.75"/>
    <row r="47177" s="3161" customFormat="1" ht="12.75"/>
    <row r="47178" s="3161" customFormat="1" ht="12.75"/>
    <row r="47179" s="3161" customFormat="1" ht="12.75"/>
    <row r="47180" s="3161" customFormat="1" ht="12.75"/>
    <row r="47181" s="3161" customFormat="1" ht="12.75"/>
    <row r="47182" s="3161" customFormat="1" ht="12.75"/>
    <row r="47183" s="3161" customFormat="1" ht="12.75"/>
    <row r="47184" s="3161" customFormat="1" ht="12.75"/>
    <row r="47185" s="3161" customFormat="1" ht="12.75"/>
    <row r="47186" s="3161" customFormat="1" ht="12.75"/>
    <row r="47187" s="3161" customFormat="1" ht="12.75"/>
    <row r="47188" s="3161" customFormat="1" ht="12.75"/>
    <row r="47189" s="3161" customFormat="1" ht="12.75"/>
    <row r="47190" s="3161" customFormat="1" ht="12.75"/>
    <row r="47191" s="3161" customFormat="1" ht="12.75"/>
    <row r="47192" s="3161" customFormat="1" ht="12.75"/>
    <row r="47193" s="3161" customFormat="1" ht="12.75"/>
    <row r="47194" s="3161" customFormat="1" ht="12.75"/>
    <row r="47195" s="3161" customFormat="1" ht="12.75"/>
    <row r="47196" s="3161" customFormat="1" ht="12.75"/>
    <row r="47197" s="3161" customFormat="1" ht="12.75"/>
    <row r="47198" s="3161" customFormat="1" ht="12.75"/>
    <row r="47199" s="3161" customFormat="1" ht="12.75"/>
    <row r="47200" s="3161" customFormat="1" ht="12.75"/>
    <row r="47201" s="3161" customFormat="1" ht="12.75"/>
    <row r="47202" s="3161" customFormat="1" ht="12.75"/>
    <row r="47203" s="3161" customFormat="1" ht="12.75"/>
    <row r="47204" s="3161" customFormat="1" ht="12.75"/>
    <row r="47205" s="3161" customFormat="1" ht="12.75"/>
    <row r="47206" s="3161" customFormat="1" ht="12.75"/>
    <row r="47207" s="3161" customFormat="1" ht="12.75"/>
    <row r="47208" s="3161" customFormat="1" ht="12.75"/>
    <row r="47209" s="3161" customFormat="1" ht="12.75"/>
    <row r="47210" s="3161" customFormat="1" ht="12.75"/>
    <row r="47211" s="3161" customFormat="1" ht="12.75"/>
    <row r="47212" s="3161" customFormat="1" ht="12.75"/>
    <row r="47213" s="3161" customFormat="1" ht="12.75"/>
    <row r="47214" s="3161" customFormat="1" ht="12.75"/>
    <row r="47215" s="3161" customFormat="1" ht="12.75"/>
    <row r="47216" s="3161" customFormat="1" ht="12.75"/>
    <row r="47217" s="3161" customFormat="1" ht="12.75"/>
    <row r="47218" s="3161" customFormat="1" ht="12.75"/>
    <row r="47219" s="3161" customFormat="1" ht="12.75"/>
    <row r="47220" s="3161" customFormat="1" ht="12.75"/>
    <row r="47221" s="3161" customFormat="1" ht="12.75"/>
    <row r="47222" s="3161" customFormat="1" ht="12.75"/>
    <row r="47223" s="3161" customFormat="1" ht="12.75"/>
    <row r="47224" s="3161" customFormat="1" ht="12.75"/>
    <row r="47225" s="3161" customFormat="1" ht="12.75"/>
    <row r="47226" s="3161" customFormat="1" ht="12.75"/>
    <row r="47227" s="3161" customFormat="1" ht="12.75"/>
    <row r="47228" s="3161" customFormat="1" ht="12.75"/>
    <row r="47229" s="3161" customFormat="1" ht="12.75"/>
    <row r="47230" s="3161" customFormat="1" ht="12.75"/>
    <row r="47231" s="3161" customFormat="1" ht="12.75"/>
    <row r="47232" s="3161" customFormat="1" ht="12.75"/>
    <row r="47233" s="3161" customFormat="1" ht="12.75"/>
    <row r="47234" s="3161" customFormat="1" ht="12.75"/>
    <row r="47235" s="3161" customFormat="1" ht="12.75"/>
    <row r="47236" s="3161" customFormat="1" ht="12.75"/>
    <row r="47237" s="3161" customFormat="1" ht="12.75"/>
    <row r="47238" s="3161" customFormat="1" ht="12.75"/>
    <row r="47239" s="3161" customFormat="1" ht="12.75"/>
    <row r="47240" s="3161" customFormat="1" ht="12.75"/>
    <row r="47241" s="3161" customFormat="1" ht="12.75"/>
    <row r="47242" s="3161" customFormat="1" ht="12.75"/>
    <row r="47243" s="3161" customFormat="1" ht="12.75"/>
    <row r="47244" s="3161" customFormat="1" ht="12.75"/>
    <row r="47245" s="3161" customFormat="1" ht="12.75"/>
    <row r="47246" s="3161" customFormat="1" ht="12.75"/>
    <row r="47247" s="3161" customFormat="1" ht="12.75"/>
    <row r="47248" s="3161" customFormat="1" ht="12.75"/>
    <row r="47249" s="3161" customFormat="1" ht="12.75"/>
    <row r="47250" s="3161" customFormat="1" ht="12.75"/>
    <row r="47251" s="3161" customFormat="1" ht="12.75"/>
    <row r="47252" s="3161" customFormat="1" ht="12.75"/>
    <row r="47253" s="3161" customFormat="1" ht="12.75"/>
    <row r="47254" s="3161" customFormat="1" ht="12.75"/>
    <row r="47255" s="3161" customFormat="1" ht="12.75"/>
    <row r="47256" s="3161" customFormat="1" ht="12.75"/>
    <row r="47257" s="3161" customFormat="1" ht="12.75"/>
    <row r="47258" s="3161" customFormat="1" ht="12.75"/>
    <row r="47259" s="3161" customFormat="1" ht="12.75"/>
    <row r="47260" s="3161" customFormat="1" ht="12.75"/>
    <row r="47261" s="3161" customFormat="1" ht="12.75"/>
    <row r="47262" s="3161" customFormat="1" ht="12.75"/>
    <row r="47263" s="3161" customFormat="1" ht="12.75"/>
    <row r="47264" s="3161" customFormat="1" ht="12.75"/>
    <row r="47265" s="3161" customFormat="1" ht="12.75"/>
    <row r="47266" s="3161" customFormat="1" ht="12.75"/>
    <row r="47267" s="3161" customFormat="1" ht="12.75"/>
    <row r="47268" s="3161" customFormat="1" ht="12.75"/>
    <row r="47269" s="3161" customFormat="1" ht="12.75"/>
    <row r="47270" s="3161" customFormat="1" ht="12.75"/>
    <row r="47271" s="3161" customFormat="1" ht="12.75"/>
    <row r="47272" s="3161" customFormat="1" ht="12.75"/>
    <row r="47273" s="3161" customFormat="1" ht="12.75"/>
    <row r="47274" s="3161" customFormat="1" ht="12.75"/>
    <row r="47275" s="3161" customFormat="1" ht="12.75"/>
    <row r="47276" s="3161" customFormat="1" ht="12.75"/>
    <row r="47277" s="3161" customFormat="1" ht="12.75"/>
    <row r="47278" s="3161" customFormat="1" ht="12.75"/>
    <row r="47279" s="3161" customFormat="1" ht="12.75"/>
    <row r="47280" s="3161" customFormat="1" ht="12.75"/>
    <row r="47281" s="3161" customFormat="1" ht="12.75"/>
    <row r="47282" s="3161" customFormat="1" ht="12.75"/>
    <row r="47283" s="3161" customFormat="1" ht="12.75"/>
    <row r="47284" s="3161" customFormat="1" ht="12.75"/>
    <row r="47285" s="3161" customFormat="1" ht="12.75"/>
    <row r="47286" s="3161" customFormat="1" ht="12.75"/>
    <row r="47287" s="3161" customFormat="1" ht="12.75"/>
    <row r="47288" s="3161" customFormat="1" ht="12.75"/>
    <row r="47289" s="3161" customFormat="1" ht="12.75"/>
    <row r="47290" s="3161" customFormat="1" ht="12.75"/>
    <row r="47291" s="3161" customFormat="1" ht="12.75"/>
    <row r="47292" s="3161" customFormat="1" ht="12.75"/>
    <row r="47293" s="3161" customFormat="1" ht="12.75"/>
    <row r="47294" s="3161" customFormat="1" ht="12.75"/>
    <row r="47295" s="3161" customFormat="1" ht="12.75"/>
    <row r="47296" s="3161" customFormat="1" ht="12.75"/>
    <row r="47297" s="3161" customFormat="1" ht="12.75"/>
    <row r="47298" s="3161" customFormat="1" ht="12.75"/>
    <row r="47299" s="3161" customFormat="1" ht="12.75"/>
    <row r="47300" s="3161" customFormat="1" ht="12.75"/>
    <row r="47301" s="3161" customFormat="1" ht="12.75"/>
    <row r="47302" s="3161" customFormat="1" ht="12.75"/>
    <row r="47303" s="3161" customFormat="1" ht="12.75"/>
    <row r="47304" s="3161" customFormat="1" ht="12.75"/>
    <row r="47305" s="3161" customFormat="1" ht="12.75"/>
    <row r="47306" s="3161" customFormat="1" ht="12.75"/>
    <row r="47307" s="3161" customFormat="1" ht="12.75"/>
    <row r="47308" s="3161" customFormat="1" ht="12.75"/>
    <row r="47309" s="3161" customFormat="1" ht="12.75"/>
    <row r="47310" s="3161" customFormat="1" ht="12.75"/>
    <row r="47311" s="3161" customFormat="1" ht="12.75"/>
    <row r="47312" s="3161" customFormat="1" ht="12.75"/>
    <row r="47313" s="3161" customFormat="1" ht="12.75"/>
    <row r="47314" s="3161" customFormat="1" ht="12.75"/>
    <row r="47315" s="3161" customFormat="1" ht="12.75"/>
    <row r="47316" s="3161" customFormat="1" ht="12.75"/>
    <row r="47317" s="3161" customFormat="1" ht="12.75"/>
    <row r="47318" s="3161" customFormat="1" ht="12.75"/>
    <row r="47319" s="3161" customFormat="1" ht="12.75"/>
    <row r="47320" s="3161" customFormat="1" ht="12.75"/>
    <row r="47321" s="3161" customFormat="1" ht="12.75"/>
    <row r="47322" s="3161" customFormat="1" ht="12.75"/>
    <row r="47323" s="3161" customFormat="1" ht="12.75"/>
    <row r="47324" s="3161" customFormat="1" ht="12.75"/>
    <row r="47325" s="3161" customFormat="1" ht="12.75"/>
    <row r="47326" s="3161" customFormat="1" ht="12.75"/>
    <row r="47327" s="3161" customFormat="1" ht="12.75"/>
    <row r="47328" s="3161" customFormat="1" ht="12.75"/>
    <row r="47329" s="3161" customFormat="1" ht="12.75"/>
    <row r="47330" s="3161" customFormat="1" ht="12.75"/>
    <row r="47331" s="3161" customFormat="1" ht="12.75"/>
    <row r="47332" s="3161" customFormat="1" ht="12.75"/>
    <row r="47333" s="3161" customFormat="1" ht="12.75"/>
    <row r="47334" s="3161" customFormat="1" ht="12.75"/>
    <row r="47335" s="3161" customFormat="1" ht="12.75"/>
    <row r="47336" s="3161" customFormat="1" ht="12.75"/>
    <row r="47337" s="3161" customFormat="1" ht="12.75"/>
    <row r="47338" s="3161" customFormat="1" ht="12.75"/>
    <row r="47339" s="3161" customFormat="1" ht="12.75"/>
    <row r="47340" s="3161" customFormat="1" ht="12.75"/>
    <row r="47341" s="3161" customFormat="1" ht="12.75"/>
    <row r="47342" s="3161" customFormat="1" ht="12.75"/>
    <row r="47343" s="3161" customFormat="1" ht="12.75"/>
    <row r="47344" s="3161" customFormat="1" ht="12.75"/>
    <row r="47345" s="3161" customFormat="1" ht="12.75"/>
    <row r="47346" s="3161" customFormat="1" ht="12.75"/>
    <row r="47347" s="3161" customFormat="1" ht="12.75"/>
    <row r="47348" s="3161" customFormat="1" ht="12.75"/>
    <row r="47349" s="3161" customFormat="1" ht="12.75"/>
    <row r="47350" s="3161" customFormat="1" ht="12.75"/>
    <row r="47351" s="3161" customFormat="1" ht="12.75"/>
    <row r="47352" s="3161" customFormat="1" ht="12.75"/>
    <row r="47353" s="3161" customFormat="1" ht="12.75"/>
    <row r="47354" s="3161" customFormat="1" ht="12.75"/>
    <row r="47355" s="3161" customFormat="1" ht="12.75"/>
    <row r="47356" s="3161" customFormat="1" ht="12.75"/>
    <row r="47357" s="3161" customFormat="1" ht="12.75"/>
    <row r="47358" s="3161" customFormat="1" ht="12.75"/>
    <row r="47359" s="3161" customFormat="1" ht="12.75"/>
    <row r="47360" s="3161" customFormat="1" ht="12.75"/>
    <row r="47361" s="3161" customFormat="1" ht="12.75"/>
    <row r="47362" s="3161" customFormat="1" ht="12.75"/>
    <row r="47363" s="3161" customFormat="1" ht="12.75"/>
    <row r="47364" s="3161" customFormat="1" ht="12.75"/>
    <row r="47365" s="3161" customFormat="1" ht="12.75"/>
    <row r="47366" s="3161" customFormat="1" ht="12.75"/>
    <row r="47367" s="3161" customFormat="1" ht="12.75"/>
    <row r="47368" s="3161" customFormat="1" ht="12.75"/>
    <row r="47369" s="3161" customFormat="1" ht="12.75"/>
    <row r="47370" s="3161" customFormat="1" ht="12.75"/>
    <row r="47371" s="3161" customFormat="1" ht="12.75"/>
    <row r="47372" s="3161" customFormat="1" ht="12.75"/>
    <row r="47373" s="3161" customFormat="1" ht="12.75"/>
    <row r="47374" s="3161" customFormat="1" ht="12.75"/>
    <row r="47375" s="3161" customFormat="1" ht="12.75"/>
    <row r="47376" s="3161" customFormat="1" ht="12.75"/>
    <row r="47377" s="3161" customFormat="1" ht="12.75"/>
    <row r="47378" s="3161" customFormat="1" ht="12.75"/>
    <row r="47379" s="3161" customFormat="1" ht="12.75"/>
    <row r="47380" s="3161" customFormat="1" ht="12.75"/>
    <row r="47381" s="3161" customFormat="1" ht="12.75"/>
    <row r="47382" s="3161" customFormat="1" ht="12.75"/>
    <row r="47383" s="3161" customFormat="1" ht="12.75"/>
    <row r="47384" s="3161" customFormat="1" ht="12.75"/>
    <row r="47385" s="3161" customFormat="1" ht="12.75"/>
    <row r="47386" s="3161" customFormat="1" ht="12.75"/>
    <row r="47387" s="3161" customFormat="1" ht="12.75"/>
    <row r="47388" s="3161" customFormat="1" ht="12.75"/>
    <row r="47389" s="3161" customFormat="1" ht="12.75"/>
    <row r="47390" s="3161" customFormat="1" ht="12.75"/>
    <row r="47391" s="3161" customFormat="1" ht="12.75"/>
    <row r="47392" s="3161" customFormat="1" ht="12.75"/>
    <row r="47393" s="3161" customFormat="1" ht="12.75"/>
    <row r="47394" s="3161" customFormat="1" ht="12.75"/>
    <row r="47395" s="3161" customFormat="1" ht="12.75"/>
    <row r="47396" s="3161" customFormat="1" ht="12.75"/>
    <row r="47397" s="3161" customFormat="1" ht="12.75"/>
    <row r="47398" s="3161" customFormat="1" ht="12.75"/>
    <row r="47399" s="3161" customFormat="1" ht="12.75"/>
    <row r="47400" s="3161" customFormat="1" ht="12.75"/>
    <row r="47401" s="3161" customFormat="1" ht="12.75"/>
    <row r="47402" s="3161" customFormat="1" ht="12.75"/>
    <row r="47403" s="3161" customFormat="1" ht="12.75"/>
    <row r="47404" s="3161" customFormat="1" ht="12.75"/>
    <row r="47405" s="3161" customFormat="1" ht="12.75"/>
    <row r="47406" s="3161" customFormat="1" ht="12.75"/>
    <row r="47407" s="3161" customFormat="1" ht="12.75"/>
    <row r="47408" s="3161" customFormat="1" ht="12.75"/>
    <row r="47409" s="3161" customFormat="1" ht="12.75"/>
    <row r="47410" s="3161" customFormat="1" ht="12.75"/>
    <row r="47411" s="3161" customFormat="1" ht="12.75"/>
    <row r="47412" s="3161" customFormat="1" ht="12.75"/>
    <row r="47413" s="3161" customFormat="1" ht="12.75"/>
    <row r="47414" s="3161" customFormat="1" ht="12.75"/>
    <row r="47415" s="3161" customFormat="1" ht="12.75"/>
    <row r="47416" s="3161" customFormat="1" ht="12.75"/>
    <row r="47417" s="3161" customFormat="1" ht="12.75"/>
    <row r="47418" s="3161" customFormat="1" ht="12.75"/>
    <row r="47419" s="3161" customFormat="1" ht="12.75"/>
    <row r="47420" s="3161" customFormat="1" ht="12.75"/>
    <row r="47421" s="3161" customFormat="1" ht="12.75"/>
    <row r="47422" s="3161" customFormat="1" ht="12.75"/>
    <row r="47423" s="3161" customFormat="1" ht="12.75"/>
    <row r="47424" s="3161" customFormat="1" ht="12.75"/>
    <row r="47425" s="3161" customFormat="1" ht="12.75"/>
    <row r="47426" s="3161" customFormat="1" ht="12.75"/>
    <row r="47427" s="3161" customFormat="1" ht="12.75"/>
    <row r="47428" s="3161" customFormat="1" ht="12.75"/>
    <row r="47429" s="3161" customFormat="1" ht="12.75"/>
    <row r="47430" s="3161" customFormat="1" ht="12.75"/>
    <row r="47431" s="3161" customFormat="1" ht="12.75"/>
    <row r="47432" s="3161" customFormat="1" ht="12.75"/>
    <row r="47433" s="3161" customFormat="1" ht="12.75"/>
    <row r="47434" s="3161" customFormat="1" ht="12.75"/>
    <row r="47435" s="3161" customFormat="1" ht="12.75"/>
    <row r="47436" s="3161" customFormat="1" ht="12.75"/>
    <row r="47437" s="3161" customFormat="1" ht="12.75"/>
    <row r="47438" s="3161" customFormat="1" ht="12.75"/>
    <row r="47439" s="3161" customFormat="1" ht="12.75"/>
    <row r="47440" s="3161" customFormat="1" ht="12.75"/>
    <row r="47441" s="3161" customFormat="1" ht="12.75"/>
    <row r="47442" s="3161" customFormat="1" ht="12.75"/>
    <row r="47443" s="3161" customFormat="1" ht="12.75"/>
    <row r="47444" s="3161" customFormat="1" ht="12.75"/>
    <row r="47445" s="3161" customFormat="1" ht="12.75"/>
    <row r="47446" s="3161" customFormat="1" ht="12.75"/>
    <row r="47447" s="3161" customFormat="1" ht="12.75"/>
    <row r="47448" s="3161" customFormat="1" ht="12.75"/>
    <row r="47449" s="3161" customFormat="1" ht="12.75"/>
    <row r="47450" s="3161" customFormat="1" ht="12.75"/>
    <row r="47451" s="3161" customFormat="1" ht="12.75"/>
    <row r="47452" s="3161" customFormat="1" ht="12.75"/>
    <row r="47453" s="3161" customFormat="1" ht="12.75"/>
    <row r="47454" s="3161" customFormat="1" ht="12.75"/>
    <row r="47455" s="3161" customFormat="1" ht="12.75"/>
    <row r="47456" s="3161" customFormat="1" ht="12.75"/>
    <row r="47457" s="3161" customFormat="1" ht="12.75"/>
    <row r="47458" s="3161" customFormat="1" ht="12.75"/>
    <row r="47459" s="3161" customFormat="1" ht="12.75"/>
    <row r="47460" s="3161" customFormat="1" ht="12.75"/>
    <row r="47461" s="3161" customFormat="1" ht="12.75"/>
    <row r="47462" s="3161" customFormat="1" ht="12.75"/>
    <row r="47463" s="3161" customFormat="1" ht="12.75"/>
    <row r="47464" s="3161" customFormat="1" ht="12.75"/>
    <row r="47465" s="3161" customFormat="1" ht="12.75"/>
    <row r="47466" s="3161" customFormat="1" ht="12.75"/>
    <row r="47467" s="3161" customFormat="1" ht="12.75"/>
    <row r="47468" s="3161" customFormat="1" ht="12.75"/>
    <row r="47469" s="3161" customFormat="1" ht="12.75"/>
    <row r="47470" s="3161" customFormat="1" ht="12.75"/>
    <row r="47471" s="3161" customFormat="1" ht="12.75"/>
    <row r="47472" s="3161" customFormat="1" ht="12.75"/>
    <row r="47473" s="3161" customFormat="1" ht="12.75"/>
    <row r="47474" s="3161" customFormat="1" ht="12.75"/>
    <row r="47475" s="3161" customFormat="1" ht="12.75"/>
    <row r="47476" s="3161" customFormat="1" ht="12.75"/>
    <row r="47477" s="3161" customFormat="1" ht="12.75"/>
    <row r="47478" s="3161" customFormat="1" ht="12.75"/>
    <row r="47479" s="3161" customFormat="1" ht="12.75"/>
    <row r="47480" s="3161" customFormat="1" ht="12.75"/>
    <row r="47481" s="3161" customFormat="1" ht="12.75"/>
    <row r="47482" s="3161" customFormat="1" ht="12.75"/>
    <row r="47483" s="3161" customFormat="1" ht="12.75"/>
    <row r="47484" s="3161" customFormat="1" ht="12.75"/>
    <row r="47485" s="3161" customFormat="1" ht="12.75"/>
    <row r="47486" s="3161" customFormat="1" ht="12.75"/>
    <row r="47487" s="3161" customFormat="1" ht="12.75"/>
    <row r="47488" s="3161" customFormat="1" ht="12.75"/>
    <row r="47489" s="3161" customFormat="1" ht="12.75"/>
    <row r="47490" s="3161" customFormat="1" ht="12.75"/>
    <row r="47491" s="3161" customFormat="1" ht="12.75"/>
    <row r="47492" s="3161" customFormat="1" ht="12.75"/>
    <row r="47493" s="3161" customFormat="1" ht="12.75"/>
    <row r="47494" s="3161" customFormat="1" ht="12.75"/>
    <row r="47495" s="3161" customFormat="1" ht="12.75"/>
    <row r="47496" s="3161" customFormat="1" ht="12.75"/>
    <row r="47497" s="3161" customFormat="1" ht="12.75"/>
    <row r="47498" s="3161" customFormat="1" ht="12.75"/>
    <row r="47499" s="3161" customFormat="1" ht="12.75"/>
    <row r="47500" s="3161" customFormat="1" ht="12.75"/>
    <row r="47501" s="3161" customFormat="1" ht="12.75"/>
    <row r="47502" s="3161" customFormat="1" ht="12.75"/>
    <row r="47503" s="3161" customFormat="1" ht="12.75"/>
    <row r="47504" s="3161" customFormat="1" ht="12.75"/>
    <row r="47505" s="3161" customFormat="1" ht="12.75"/>
    <row r="47506" s="3161" customFormat="1" ht="12.75"/>
    <row r="47507" s="3161" customFormat="1" ht="12.75"/>
    <row r="47508" s="3161" customFormat="1" ht="12.75"/>
    <row r="47509" s="3161" customFormat="1" ht="12.75"/>
    <row r="47510" s="3161" customFormat="1" ht="12.75"/>
    <row r="47511" s="3161" customFormat="1" ht="12.75"/>
    <row r="47512" s="3161" customFormat="1" ht="12.75"/>
    <row r="47513" s="3161" customFormat="1" ht="12.75"/>
    <row r="47514" s="3161" customFormat="1" ht="12.75"/>
    <row r="47515" s="3161" customFormat="1" ht="12.75"/>
    <row r="47516" s="3161" customFormat="1" ht="12.75"/>
    <row r="47517" s="3161" customFormat="1" ht="12.75"/>
    <row r="47518" s="3161" customFormat="1" ht="12.75"/>
    <row r="47519" s="3161" customFormat="1" ht="12.75"/>
    <row r="47520" s="3161" customFormat="1" ht="12.75"/>
    <row r="47521" s="3161" customFormat="1" ht="12.75"/>
    <row r="47522" s="3161" customFormat="1" ht="12.75"/>
    <row r="47523" s="3161" customFormat="1" ht="12.75"/>
    <row r="47524" s="3161" customFormat="1" ht="12.75"/>
    <row r="47525" s="3161" customFormat="1" ht="12.75"/>
    <row r="47526" s="3161" customFormat="1" ht="12.75"/>
    <row r="47527" s="3161" customFormat="1" ht="12.75"/>
    <row r="47528" s="3161" customFormat="1" ht="12.75"/>
    <row r="47529" s="3161" customFormat="1" ht="12.75"/>
    <row r="47530" s="3161" customFormat="1" ht="12.75"/>
    <row r="47531" s="3161" customFormat="1" ht="12.75"/>
    <row r="47532" s="3161" customFormat="1" ht="12.75"/>
    <row r="47533" s="3161" customFormat="1" ht="12.75"/>
    <row r="47534" s="3161" customFormat="1" ht="12.75"/>
    <row r="47535" s="3161" customFormat="1" ht="12.75"/>
    <row r="47536" s="3161" customFormat="1" ht="12.75"/>
    <row r="47537" s="3161" customFormat="1" ht="12.75"/>
    <row r="47538" s="3161" customFormat="1" ht="12.75"/>
    <row r="47539" s="3161" customFormat="1" ht="12.75"/>
    <row r="47540" s="3161" customFormat="1" ht="12.75"/>
    <row r="47541" s="3161" customFormat="1" ht="12.75"/>
    <row r="47542" s="3161" customFormat="1" ht="12.75"/>
    <row r="47543" s="3161" customFormat="1" ht="12.75"/>
    <row r="47544" s="3161" customFormat="1" ht="12.75"/>
    <row r="47545" s="3161" customFormat="1" ht="12.75"/>
    <row r="47546" s="3161" customFormat="1" ht="12.75"/>
    <row r="47547" s="3161" customFormat="1" ht="12.75"/>
    <row r="47548" s="3161" customFormat="1" ht="12.75"/>
    <row r="47549" s="3161" customFormat="1" ht="12.75"/>
    <row r="47550" s="3161" customFormat="1" ht="12.75"/>
    <row r="47551" s="3161" customFormat="1" ht="12.75"/>
    <row r="47552" s="3161" customFormat="1" ht="12.75"/>
    <row r="47553" s="3161" customFormat="1" ht="12.75"/>
    <row r="47554" s="3161" customFormat="1" ht="12.75"/>
    <row r="47555" s="3161" customFormat="1" ht="12.75"/>
    <row r="47556" s="3161" customFormat="1" ht="12.75"/>
    <row r="47557" s="3161" customFormat="1" ht="12.75"/>
    <row r="47558" s="3161" customFormat="1" ht="12.75"/>
    <row r="47559" s="3161" customFormat="1" ht="12.75"/>
    <row r="47560" s="3161" customFormat="1" ht="12.75"/>
    <row r="47561" s="3161" customFormat="1" ht="12.75"/>
    <row r="47562" s="3161" customFormat="1" ht="12.75"/>
    <row r="47563" s="3161" customFormat="1" ht="12.75"/>
    <row r="47564" s="3161" customFormat="1" ht="12.75"/>
    <row r="47565" s="3161" customFormat="1" ht="12.75"/>
    <row r="47566" s="3161" customFormat="1" ht="12.75"/>
    <row r="47567" s="3161" customFormat="1" ht="12.75"/>
    <row r="47568" s="3161" customFormat="1" ht="12.75"/>
    <row r="47569" s="3161" customFormat="1" ht="12.75"/>
    <row r="47570" s="3161" customFormat="1" ht="12.75"/>
    <row r="47571" s="3161" customFormat="1" ht="12.75"/>
    <row r="47572" s="3161" customFormat="1" ht="12.75"/>
    <row r="47573" s="3161" customFormat="1" ht="12.75"/>
    <row r="47574" s="3161" customFormat="1" ht="12.75"/>
    <row r="47575" s="3161" customFormat="1" ht="12.75"/>
    <row r="47576" s="3161" customFormat="1" ht="12.75"/>
    <row r="47577" s="3161" customFormat="1" ht="12.75"/>
    <row r="47578" s="3161" customFormat="1" ht="12.75"/>
    <row r="47579" s="3161" customFormat="1" ht="12.75"/>
    <row r="47580" s="3161" customFormat="1" ht="12.75"/>
    <row r="47581" s="3161" customFormat="1" ht="12.75"/>
    <row r="47582" s="3161" customFormat="1" ht="12.75"/>
    <row r="47583" s="3161" customFormat="1" ht="12.75"/>
    <row r="47584" s="3161" customFormat="1" ht="12.75"/>
    <row r="47585" s="3161" customFormat="1" ht="12.75"/>
    <row r="47586" s="3161" customFormat="1" ht="12.75"/>
    <row r="47587" s="3161" customFormat="1" ht="12.75"/>
    <row r="47588" s="3161" customFormat="1" ht="12.75"/>
    <row r="47589" s="3161" customFormat="1" ht="12.75"/>
    <row r="47590" s="3161" customFormat="1" ht="12.75"/>
    <row r="47591" s="3161" customFormat="1" ht="12.75"/>
    <row r="47592" s="3161" customFormat="1" ht="12.75"/>
    <row r="47593" s="3161" customFormat="1" ht="12.75"/>
    <row r="47594" s="3161" customFormat="1" ht="12.75"/>
    <row r="47595" s="3161" customFormat="1" ht="12.75"/>
    <row r="47596" s="3161" customFormat="1" ht="12.75"/>
    <row r="47597" s="3161" customFormat="1" ht="12.75"/>
    <row r="47598" s="3161" customFormat="1" ht="12.75"/>
    <row r="47599" s="3161" customFormat="1" ht="12.75"/>
    <row r="47600" s="3161" customFormat="1" ht="12.75"/>
    <row r="47601" s="3161" customFormat="1" ht="12.75"/>
    <row r="47602" s="3161" customFormat="1" ht="12.75"/>
    <row r="47603" s="3161" customFormat="1" ht="12.75"/>
    <row r="47604" s="3161" customFormat="1" ht="12.75"/>
    <row r="47605" s="3161" customFormat="1" ht="12.75"/>
    <row r="47606" s="3161" customFormat="1" ht="12.75"/>
    <row r="47607" s="3161" customFormat="1" ht="12.75"/>
    <row r="47608" s="3161" customFormat="1" ht="12.75"/>
    <row r="47609" s="3161" customFormat="1" ht="12.75"/>
    <row r="47610" s="3161" customFormat="1" ht="12.75"/>
    <row r="47611" s="3161" customFormat="1" ht="12.75"/>
    <row r="47612" s="3161" customFormat="1" ht="12.75"/>
    <row r="47613" s="3161" customFormat="1" ht="12.75"/>
    <row r="47614" s="3161" customFormat="1" ht="12.75"/>
    <row r="47615" s="3161" customFormat="1" ht="12.75"/>
    <row r="47616" s="3161" customFormat="1" ht="12.75"/>
    <row r="47617" s="3161" customFormat="1" ht="12.75"/>
    <row r="47618" s="3161" customFormat="1" ht="12.75"/>
    <row r="47619" s="3161" customFormat="1" ht="12.75"/>
    <row r="47620" s="3161" customFormat="1" ht="12.75"/>
    <row r="47621" s="3161" customFormat="1" ht="12.75"/>
    <row r="47622" s="3161" customFormat="1" ht="12.75"/>
    <row r="47623" s="3161" customFormat="1" ht="12.75"/>
    <row r="47624" s="3161" customFormat="1" ht="12.75"/>
    <row r="47625" s="3161" customFormat="1" ht="12.75"/>
    <row r="47626" s="3161" customFormat="1" ht="12.75"/>
    <row r="47627" s="3161" customFormat="1" ht="12.75"/>
    <row r="47628" s="3161" customFormat="1" ht="12.75"/>
    <row r="47629" s="3161" customFormat="1" ht="12.75"/>
    <row r="47630" s="3161" customFormat="1" ht="12.75"/>
    <row r="47631" s="3161" customFormat="1" ht="12.75"/>
    <row r="47632" s="3161" customFormat="1" ht="12.75"/>
    <row r="47633" s="3161" customFormat="1" ht="12.75"/>
    <row r="47634" s="3161" customFormat="1" ht="12.75"/>
    <row r="47635" s="3161" customFormat="1" ht="12.75"/>
    <row r="47636" s="3161" customFormat="1" ht="12.75"/>
    <row r="47637" s="3161" customFormat="1" ht="12.75"/>
    <row r="47638" s="3161" customFormat="1" ht="12.75"/>
    <row r="47639" s="3161" customFormat="1" ht="12.75"/>
    <row r="47640" s="3161" customFormat="1" ht="12.75"/>
    <row r="47641" s="3161" customFormat="1" ht="12.75"/>
    <row r="47642" s="3161" customFormat="1" ht="12.75"/>
    <row r="47643" s="3161" customFormat="1" ht="12.75"/>
    <row r="47644" s="3161" customFormat="1" ht="12.75"/>
    <row r="47645" s="3161" customFormat="1" ht="12.75"/>
    <row r="47646" s="3161" customFormat="1" ht="12.75"/>
    <row r="47647" s="3161" customFormat="1" ht="12.75"/>
    <row r="47648" s="3161" customFormat="1" ht="12.75"/>
    <row r="47649" s="3161" customFormat="1" ht="12.75"/>
    <row r="47650" s="3161" customFormat="1" ht="12.75"/>
    <row r="47651" s="3161" customFormat="1" ht="12.75"/>
    <row r="47652" s="3161" customFormat="1" ht="12.75"/>
    <row r="47653" s="3161" customFormat="1" ht="12.75"/>
    <row r="47654" s="3161" customFormat="1" ht="12.75"/>
    <row r="47655" s="3161" customFormat="1" ht="12.75"/>
    <row r="47656" s="3161" customFormat="1" ht="12.75"/>
    <row r="47657" s="3161" customFormat="1" ht="12.75"/>
    <row r="47658" s="3161" customFormat="1" ht="12.75"/>
    <row r="47659" s="3161" customFormat="1" ht="12.75"/>
    <row r="47660" s="3161" customFormat="1" ht="12.75"/>
    <row r="47661" s="3161" customFormat="1" ht="12.75"/>
    <row r="47662" s="3161" customFormat="1" ht="12.75"/>
    <row r="47663" s="3161" customFormat="1" ht="12.75"/>
    <row r="47664" s="3161" customFormat="1" ht="12.75"/>
    <row r="47665" s="3161" customFormat="1" ht="12.75"/>
    <row r="47666" s="3161" customFormat="1" ht="12.75"/>
    <row r="47667" s="3161" customFormat="1" ht="12.75"/>
    <row r="47668" s="3161" customFormat="1" ht="12.75"/>
    <row r="47669" s="3161" customFormat="1" ht="12.75"/>
    <row r="47670" s="3161" customFormat="1" ht="12.75"/>
    <row r="47671" s="3161" customFormat="1" ht="12.75"/>
    <row r="47672" s="3161" customFormat="1" ht="12.75"/>
    <row r="47673" s="3161" customFormat="1" ht="12.75"/>
    <row r="47674" s="3161" customFormat="1" ht="12.75"/>
    <row r="47675" s="3161" customFormat="1" ht="12.75"/>
    <row r="47676" s="3161" customFormat="1" ht="12.75"/>
    <row r="47677" s="3161" customFormat="1" ht="12.75"/>
    <row r="47678" s="3161" customFormat="1" ht="12.75"/>
    <row r="47679" s="3161" customFormat="1" ht="12.75"/>
    <row r="47680" s="3161" customFormat="1" ht="12.75"/>
    <row r="47681" s="3161" customFormat="1" ht="12.75"/>
    <row r="47682" s="3161" customFormat="1" ht="12.75"/>
    <row r="47683" s="3161" customFormat="1" ht="12.75"/>
    <row r="47684" s="3161" customFormat="1" ht="12.75"/>
    <row r="47685" s="3161" customFormat="1" ht="12.75"/>
    <row r="47686" s="3161" customFormat="1" ht="12.75"/>
    <row r="47687" s="3161" customFormat="1" ht="12.75"/>
    <row r="47688" s="3161" customFormat="1" ht="12.75"/>
    <row r="47689" s="3161" customFormat="1" ht="12.75"/>
    <row r="47690" s="3161" customFormat="1" ht="12.75"/>
    <row r="47691" s="3161" customFormat="1" ht="12.75"/>
    <row r="47692" s="3161" customFormat="1" ht="12.75"/>
    <row r="47693" s="3161" customFormat="1" ht="12.75"/>
    <row r="47694" s="3161" customFormat="1" ht="12.75"/>
    <row r="47695" s="3161" customFormat="1" ht="12.75"/>
    <row r="47696" s="3161" customFormat="1" ht="12.75"/>
    <row r="47697" s="3161" customFormat="1" ht="12.75"/>
    <row r="47698" s="3161" customFormat="1" ht="12.75"/>
    <row r="47699" s="3161" customFormat="1" ht="12.75"/>
    <row r="47700" s="3161" customFormat="1" ht="12.75"/>
    <row r="47701" s="3161" customFormat="1" ht="12.75"/>
    <row r="47702" s="3161" customFormat="1" ht="12.75"/>
    <row r="47703" s="3161" customFormat="1" ht="12.75"/>
    <row r="47704" s="3161" customFormat="1" ht="12.75"/>
    <row r="47705" s="3161" customFormat="1" ht="12.75"/>
    <row r="47706" s="3161" customFormat="1" ht="12.75"/>
    <row r="47707" s="3161" customFormat="1" ht="12.75"/>
    <row r="47708" s="3161" customFormat="1" ht="12.75"/>
    <row r="47709" s="3161" customFormat="1" ht="12.75"/>
    <row r="47710" s="3161" customFormat="1" ht="12.75"/>
    <row r="47711" s="3161" customFormat="1" ht="12.75"/>
    <row r="47712" s="3161" customFormat="1" ht="12.75"/>
    <row r="47713" s="3161" customFormat="1" ht="12.75"/>
    <row r="47714" s="3161" customFormat="1" ht="12.75"/>
    <row r="47715" s="3161" customFormat="1" ht="12.75"/>
    <row r="47716" s="3161" customFormat="1" ht="12.75"/>
    <row r="47717" s="3161" customFormat="1" ht="12.75"/>
    <row r="47718" s="3161" customFormat="1" ht="12.75"/>
    <row r="47719" s="3161" customFormat="1" ht="12.75"/>
    <row r="47720" s="3161" customFormat="1" ht="12.75"/>
    <row r="47721" s="3161" customFormat="1" ht="12.75"/>
    <row r="47722" s="3161" customFormat="1" ht="12.75"/>
    <row r="47723" s="3161" customFormat="1" ht="12.75"/>
    <row r="47724" s="3161" customFormat="1" ht="12.75"/>
    <row r="47725" s="3161" customFormat="1" ht="12.75"/>
    <row r="47726" s="3161" customFormat="1" ht="12.75"/>
    <row r="47727" s="3161" customFormat="1" ht="12.75"/>
    <row r="47728" s="3161" customFormat="1" ht="12.75"/>
    <row r="47729" s="3161" customFormat="1" ht="12.75"/>
    <row r="47730" s="3161" customFormat="1" ht="12.75"/>
    <row r="47731" s="3161" customFormat="1" ht="12.75"/>
    <row r="47732" s="3161" customFormat="1" ht="12.75"/>
    <row r="47733" s="3161" customFormat="1" ht="12.75"/>
    <row r="47734" s="3161" customFormat="1" ht="12.75"/>
    <row r="47735" s="3161" customFormat="1" ht="12.75"/>
    <row r="47736" s="3161" customFormat="1" ht="12.75"/>
    <row r="47737" s="3161" customFormat="1" ht="12.75"/>
    <row r="47738" s="3161" customFormat="1" ht="12.75"/>
    <row r="47739" s="3161" customFormat="1" ht="12.75"/>
    <row r="47740" s="3161" customFormat="1" ht="12.75"/>
    <row r="47741" s="3161" customFormat="1" ht="12.75"/>
    <row r="47742" s="3161" customFormat="1" ht="12.75"/>
    <row r="47743" s="3161" customFormat="1" ht="12.75"/>
    <row r="47744" s="3161" customFormat="1" ht="12.75"/>
    <row r="47745" s="3161" customFormat="1" ht="12.75"/>
    <row r="47746" s="3161" customFormat="1" ht="12.75"/>
    <row r="47747" s="3161" customFormat="1" ht="12.75"/>
    <row r="47748" s="3161" customFormat="1" ht="12.75"/>
    <row r="47749" s="3161" customFormat="1" ht="12.75"/>
    <row r="47750" s="3161" customFormat="1" ht="12.75"/>
    <row r="47751" s="3161" customFormat="1" ht="12.75"/>
    <row r="47752" s="3161" customFormat="1" ht="12.75"/>
    <row r="47753" s="3161" customFormat="1" ht="12.75"/>
    <row r="47754" s="3161" customFormat="1" ht="12.75"/>
    <row r="47755" s="3161" customFormat="1" ht="12.75"/>
    <row r="47756" s="3161" customFormat="1" ht="12.75"/>
    <row r="47757" s="3161" customFormat="1" ht="12.75"/>
    <row r="47758" s="3161" customFormat="1" ht="12.75"/>
    <row r="47759" s="3161" customFormat="1" ht="12.75"/>
    <row r="47760" s="3161" customFormat="1" ht="12.75"/>
    <row r="47761" s="3161" customFormat="1" ht="12.75"/>
    <row r="47762" s="3161" customFormat="1" ht="12.75"/>
    <row r="47763" s="3161" customFormat="1" ht="12.75"/>
    <row r="47764" s="3161" customFormat="1" ht="12.75"/>
    <row r="47765" s="3161" customFormat="1" ht="12.75"/>
    <row r="47766" s="3161" customFormat="1" ht="12.75"/>
    <row r="47767" s="3161" customFormat="1" ht="12.75"/>
    <row r="47768" s="3161" customFormat="1" ht="12.75"/>
    <row r="47769" s="3161" customFormat="1" ht="12.75"/>
    <row r="47770" s="3161" customFormat="1" ht="12.75"/>
    <row r="47771" s="3161" customFormat="1" ht="12.75"/>
    <row r="47772" s="3161" customFormat="1" ht="12.75"/>
    <row r="47773" s="3161" customFormat="1" ht="12.75"/>
    <row r="47774" s="3161" customFormat="1" ht="12.75"/>
    <row r="47775" s="3161" customFormat="1" ht="12.75"/>
    <row r="47776" s="3161" customFormat="1" ht="12.75"/>
    <row r="47777" s="3161" customFormat="1" ht="12.75"/>
    <row r="47778" s="3161" customFormat="1" ht="12.75"/>
    <row r="47779" s="3161" customFormat="1" ht="12.75"/>
    <row r="47780" s="3161" customFormat="1" ht="12.75"/>
    <row r="47781" s="3161" customFormat="1" ht="12.75"/>
    <row r="47782" s="3161" customFormat="1" ht="12.75"/>
    <row r="47783" s="3161" customFormat="1" ht="12.75"/>
    <row r="47784" s="3161" customFormat="1" ht="12.75"/>
    <row r="47785" s="3161" customFormat="1" ht="12.75"/>
    <row r="47786" s="3161" customFormat="1" ht="12.75"/>
    <row r="47787" s="3161" customFormat="1" ht="12.75"/>
    <row r="47788" s="3161" customFormat="1" ht="12.75"/>
    <row r="47789" s="3161" customFormat="1" ht="12.75"/>
    <row r="47790" s="3161" customFormat="1" ht="12.75"/>
    <row r="47791" s="3161" customFormat="1" ht="12.75"/>
    <row r="47792" s="3161" customFormat="1" ht="12.75"/>
    <row r="47793" s="3161" customFormat="1" ht="12.75"/>
    <row r="47794" s="3161" customFormat="1" ht="12.75"/>
    <row r="47795" s="3161" customFormat="1" ht="12.75"/>
    <row r="47796" s="3161" customFormat="1" ht="12.75"/>
    <row r="47797" s="3161" customFormat="1" ht="12.75"/>
    <row r="47798" s="3161" customFormat="1" ht="12.75"/>
    <row r="47799" s="3161" customFormat="1" ht="12.75"/>
    <row r="47800" s="3161" customFormat="1" ht="12.75"/>
    <row r="47801" s="3161" customFormat="1" ht="12.75"/>
    <row r="47802" s="3161" customFormat="1" ht="12.75"/>
    <row r="47803" s="3161" customFormat="1" ht="12.75"/>
    <row r="47804" s="3161" customFormat="1" ht="12.75"/>
    <row r="47805" s="3161" customFormat="1" ht="12.75"/>
    <row r="47806" s="3161" customFormat="1" ht="12.75"/>
    <row r="47807" s="3161" customFormat="1" ht="12.75"/>
    <row r="47808" s="3161" customFormat="1" ht="12.75"/>
    <row r="47809" s="3161" customFormat="1" ht="12.75"/>
    <row r="47810" s="3161" customFormat="1" ht="12.75"/>
    <row r="47811" s="3161" customFormat="1" ht="12.75"/>
    <row r="47812" s="3161" customFormat="1" ht="12.75"/>
    <row r="47813" s="3161" customFormat="1" ht="12.75"/>
    <row r="47814" s="3161" customFormat="1" ht="12.75"/>
    <row r="47815" s="3161" customFormat="1" ht="12.75"/>
    <row r="47816" s="3161" customFormat="1" ht="12.75"/>
    <row r="47817" s="3161" customFormat="1" ht="12.75"/>
    <row r="47818" s="3161" customFormat="1" ht="12.75"/>
    <row r="47819" s="3161" customFormat="1" ht="12.75"/>
    <row r="47820" s="3161" customFormat="1" ht="12.75"/>
    <row r="47821" s="3161" customFormat="1" ht="12.75"/>
    <row r="47822" s="3161" customFormat="1" ht="12.75"/>
    <row r="47823" s="3161" customFormat="1" ht="12.75"/>
    <row r="47824" s="3161" customFormat="1" ht="12.75"/>
    <row r="47825" s="3161" customFormat="1" ht="12.75"/>
    <row r="47826" s="3161" customFormat="1" ht="12.75"/>
    <row r="47827" s="3161" customFormat="1" ht="12.75"/>
    <row r="47828" s="3161" customFormat="1" ht="12.75"/>
    <row r="47829" s="3161" customFormat="1" ht="12.75"/>
    <row r="47830" s="3161" customFormat="1" ht="12.75"/>
    <row r="47831" s="3161" customFormat="1" ht="12.75"/>
    <row r="47832" s="3161" customFormat="1" ht="12.75"/>
    <row r="47833" s="3161" customFormat="1" ht="12.75"/>
    <row r="47834" s="3161" customFormat="1" ht="12.75"/>
    <row r="47835" s="3161" customFormat="1" ht="12.75"/>
    <row r="47836" s="3161" customFormat="1" ht="12.75"/>
    <row r="47837" s="3161" customFormat="1" ht="12.75"/>
    <row r="47838" s="3161" customFormat="1" ht="12.75"/>
    <row r="47839" s="3161" customFormat="1" ht="12.75"/>
    <row r="47840" s="3161" customFormat="1" ht="12.75"/>
    <row r="47841" s="3161" customFormat="1" ht="12.75"/>
    <row r="47842" s="3161" customFormat="1" ht="12.75"/>
    <row r="47843" s="3161" customFormat="1" ht="12.75"/>
    <row r="47844" s="3161" customFormat="1" ht="12.75"/>
    <row r="47845" s="3161" customFormat="1" ht="12.75"/>
    <row r="47846" s="3161" customFormat="1" ht="12.75"/>
    <row r="47847" s="3161" customFormat="1" ht="12.75"/>
    <row r="47848" s="3161" customFormat="1" ht="12.75"/>
    <row r="47849" s="3161" customFormat="1" ht="12.75"/>
    <row r="47850" s="3161" customFormat="1" ht="12.75"/>
    <row r="47851" s="3161" customFormat="1" ht="12.75"/>
    <row r="47852" s="3161" customFormat="1" ht="12.75"/>
    <row r="47853" s="3161" customFormat="1" ht="12.75"/>
    <row r="47854" s="3161" customFormat="1" ht="12.75"/>
    <row r="47855" s="3161" customFormat="1" ht="12.75"/>
    <row r="47856" s="3161" customFormat="1" ht="12.75"/>
    <row r="47857" s="3161" customFormat="1" ht="12.75"/>
    <row r="47858" s="3161" customFormat="1" ht="12.75"/>
    <row r="47859" s="3161" customFormat="1" ht="12.75"/>
    <row r="47860" s="3161" customFormat="1" ht="12.75"/>
    <row r="47861" s="3161" customFormat="1" ht="12.75"/>
    <row r="47862" s="3161" customFormat="1" ht="12.75"/>
    <row r="47863" s="3161" customFormat="1" ht="12.75"/>
    <row r="47864" s="3161" customFormat="1" ht="12.75"/>
    <row r="47865" s="3161" customFormat="1" ht="12.75"/>
    <row r="47866" s="3161" customFormat="1" ht="12.75"/>
    <row r="47867" s="3161" customFormat="1" ht="12.75"/>
    <row r="47868" s="3161" customFormat="1" ht="12.75"/>
    <row r="47869" s="3161" customFormat="1" ht="12.75"/>
    <row r="47870" s="3161" customFormat="1" ht="12.75"/>
    <row r="47871" s="3161" customFormat="1" ht="12.75"/>
    <row r="47872" s="3161" customFormat="1" ht="12.75"/>
    <row r="47873" s="3161" customFormat="1" ht="12.75"/>
    <row r="47874" s="3161" customFormat="1" ht="12.75"/>
    <row r="47875" s="3161" customFormat="1" ht="12.75"/>
    <row r="47876" s="3161" customFormat="1" ht="12.75"/>
    <row r="47877" s="3161" customFormat="1" ht="12.75"/>
    <row r="47878" s="3161" customFormat="1" ht="12.75"/>
    <row r="47879" s="3161" customFormat="1" ht="12.75"/>
    <row r="47880" s="3161" customFormat="1" ht="12.75"/>
    <row r="47881" s="3161" customFormat="1" ht="12.75"/>
    <row r="47882" s="3161" customFormat="1" ht="12.75"/>
    <row r="47883" s="3161" customFormat="1" ht="12.75"/>
    <row r="47884" s="3161" customFormat="1" ht="12.75"/>
    <row r="47885" s="3161" customFormat="1" ht="12.75"/>
    <row r="47886" s="3161" customFormat="1" ht="12.75"/>
    <row r="47887" s="3161" customFormat="1" ht="12.75"/>
    <row r="47888" s="3161" customFormat="1" ht="12.75"/>
    <row r="47889" s="3161" customFormat="1" ht="12.75"/>
    <row r="47890" s="3161" customFormat="1" ht="12.75"/>
    <row r="47891" s="3161" customFormat="1" ht="12.75"/>
    <row r="47892" s="3161" customFormat="1" ht="12.75"/>
    <row r="47893" s="3161" customFormat="1" ht="12.75"/>
    <row r="47894" s="3161" customFormat="1" ht="12.75"/>
    <row r="47895" s="3161" customFormat="1" ht="12.75"/>
    <row r="47896" s="3161" customFormat="1" ht="12.75"/>
    <row r="47897" s="3161" customFormat="1" ht="12.75"/>
    <row r="47898" s="3161" customFormat="1" ht="12.75"/>
    <row r="47899" s="3161" customFormat="1" ht="12.75"/>
    <row r="47900" s="3161" customFormat="1" ht="12.75"/>
    <row r="47901" s="3161" customFormat="1" ht="12.75"/>
    <row r="47902" s="3161" customFormat="1" ht="12.75"/>
    <row r="47903" s="3161" customFormat="1" ht="12.75"/>
    <row r="47904" s="3161" customFormat="1" ht="12.75"/>
    <row r="47905" s="3161" customFormat="1" ht="12.75"/>
    <row r="47906" s="3161" customFormat="1" ht="12.75"/>
    <row r="47907" s="3161" customFormat="1" ht="12.75"/>
    <row r="47908" s="3161" customFormat="1" ht="12.75"/>
    <row r="47909" s="3161" customFormat="1" ht="12.75"/>
    <row r="47910" s="3161" customFormat="1" ht="12.75"/>
    <row r="47911" s="3161" customFormat="1" ht="12.75"/>
    <row r="47912" s="3161" customFormat="1" ht="12.75"/>
    <row r="47913" s="3161" customFormat="1" ht="12.75"/>
    <row r="47914" s="3161" customFormat="1" ht="12.75"/>
    <row r="47915" s="3161" customFormat="1" ht="12.75"/>
    <row r="47916" s="3161" customFormat="1" ht="12.75"/>
    <row r="47917" s="3161" customFormat="1" ht="12.75"/>
    <row r="47918" s="3161" customFormat="1" ht="12.75"/>
    <row r="47919" s="3161" customFormat="1" ht="12.75"/>
    <row r="47920" s="3161" customFormat="1" ht="12.75"/>
    <row r="47921" s="3161" customFormat="1" ht="12.75"/>
    <row r="47922" s="3161" customFormat="1" ht="12.75"/>
    <row r="47923" s="3161" customFormat="1" ht="12.75"/>
    <row r="47924" s="3161" customFormat="1" ht="12.75"/>
    <row r="47925" s="3161" customFormat="1" ht="12.75"/>
    <row r="47926" s="3161" customFormat="1" ht="12.75"/>
    <row r="47927" s="3161" customFormat="1" ht="12.75"/>
    <row r="47928" s="3161" customFormat="1" ht="12.75"/>
    <row r="47929" s="3161" customFormat="1" ht="12.75"/>
    <row r="47930" s="3161" customFormat="1" ht="12.75"/>
    <row r="47931" s="3161" customFormat="1" ht="12.75"/>
    <row r="47932" s="3161" customFormat="1" ht="12.75"/>
    <row r="47933" s="3161" customFormat="1" ht="12.75"/>
    <row r="47934" s="3161" customFormat="1" ht="12.75"/>
    <row r="47935" s="3161" customFormat="1" ht="12.75"/>
    <row r="47936" s="3161" customFormat="1" ht="12.75"/>
    <row r="47937" s="3161" customFormat="1" ht="12.75"/>
    <row r="47938" s="3161" customFormat="1" ht="12.75"/>
    <row r="47939" s="3161" customFormat="1" ht="12.75"/>
    <row r="47940" s="3161" customFormat="1" ht="12.75"/>
    <row r="47941" s="3161" customFormat="1" ht="12.75"/>
    <row r="47942" s="3161" customFormat="1" ht="12.75"/>
    <row r="47943" s="3161" customFormat="1" ht="12.75"/>
    <row r="47944" s="3161" customFormat="1" ht="12.75"/>
    <row r="47945" s="3161" customFormat="1" ht="12.75"/>
    <row r="47946" s="3161" customFormat="1" ht="12.75"/>
    <row r="47947" s="3161" customFormat="1" ht="12.75"/>
    <row r="47948" s="3161" customFormat="1" ht="12.75"/>
    <row r="47949" s="3161" customFormat="1" ht="12.75"/>
    <row r="47950" s="3161" customFormat="1" ht="12.75"/>
    <row r="47951" s="3161" customFormat="1" ht="12.75"/>
    <row r="47952" s="3161" customFormat="1" ht="12.75"/>
    <row r="47953" s="3161" customFormat="1" ht="12.75"/>
    <row r="47954" s="3161" customFormat="1" ht="12.75"/>
    <row r="47955" s="3161" customFormat="1" ht="12.75"/>
    <row r="47956" s="3161" customFormat="1" ht="12.75"/>
    <row r="47957" s="3161" customFormat="1" ht="12.75"/>
    <row r="47958" s="3161" customFormat="1" ht="12.75"/>
    <row r="47959" s="3161" customFormat="1" ht="12.75"/>
    <row r="47960" s="3161" customFormat="1" ht="12.75"/>
    <row r="47961" s="3161" customFormat="1" ht="12.75"/>
    <row r="47962" s="3161" customFormat="1" ht="12.75"/>
    <row r="47963" s="3161" customFormat="1" ht="12.75"/>
    <row r="47964" s="3161" customFormat="1" ht="12.75"/>
    <row r="47965" s="3161" customFormat="1" ht="12.75"/>
    <row r="47966" s="3161" customFormat="1" ht="12.75"/>
    <row r="47967" s="3161" customFormat="1" ht="12.75"/>
    <row r="47968" s="3161" customFormat="1" ht="12.75"/>
    <row r="47969" s="3161" customFormat="1" ht="12.75"/>
    <row r="47970" s="3161" customFormat="1" ht="12.75"/>
    <row r="47971" s="3161" customFormat="1" ht="12.75"/>
    <row r="47972" s="3161" customFormat="1" ht="12.75"/>
    <row r="47973" s="3161" customFormat="1" ht="12.75"/>
    <row r="47974" s="3161" customFormat="1" ht="12.75"/>
    <row r="47975" s="3161" customFormat="1" ht="12.75"/>
    <row r="47976" s="3161" customFormat="1" ht="12.75"/>
    <row r="47977" s="3161" customFormat="1" ht="12.75"/>
    <row r="47978" s="3161" customFormat="1" ht="12.75"/>
    <row r="47979" s="3161" customFormat="1" ht="12.75"/>
    <row r="47980" s="3161" customFormat="1" ht="12.75"/>
    <row r="47981" s="3161" customFormat="1" ht="12.75"/>
    <row r="47982" s="3161" customFormat="1" ht="12.75"/>
    <row r="47983" s="3161" customFormat="1" ht="12.75"/>
    <row r="47984" s="3161" customFormat="1" ht="12.75"/>
    <row r="47985" s="3161" customFormat="1" ht="12.75"/>
    <row r="47986" s="3161" customFormat="1" ht="12.75"/>
    <row r="47987" s="3161" customFormat="1" ht="12.75"/>
    <row r="47988" s="3161" customFormat="1" ht="12.75"/>
    <row r="47989" s="3161" customFormat="1" ht="12.75"/>
    <row r="47990" s="3161" customFormat="1" ht="12.75"/>
    <row r="47991" s="3161" customFormat="1" ht="12.75"/>
    <row r="47992" s="3161" customFormat="1" ht="12.75"/>
    <row r="47993" s="3161" customFormat="1" ht="12.75"/>
    <row r="47994" s="3161" customFormat="1" ht="12.75"/>
    <row r="47995" s="3161" customFormat="1" ht="12.75"/>
    <row r="47996" s="3161" customFormat="1" ht="12.75"/>
    <row r="47997" s="3161" customFormat="1" ht="12.75"/>
    <row r="47998" s="3161" customFormat="1" ht="12.75"/>
    <row r="47999" s="3161" customFormat="1" ht="12.75"/>
    <row r="48000" s="3161" customFormat="1" ht="12.75"/>
    <row r="48001" s="3161" customFormat="1" ht="12.75"/>
    <row r="48002" s="3161" customFormat="1" ht="12.75"/>
    <row r="48003" s="3161" customFormat="1" ht="12.75"/>
    <row r="48004" s="3161" customFormat="1" ht="12.75"/>
    <row r="48005" s="3161" customFormat="1" ht="12.75"/>
    <row r="48006" s="3161" customFormat="1" ht="12.75"/>
    <row r="48007" s="3161" customFormat="1" ht="12.75"/>
    <row r="48008" s="3161" customFormat="1" ht="12.75"/>
    <row r="48009" s="3161" customFormat="1" ht="12.75"/>
    <row r="48010" s="3161" customFormat="1" ht="12.75"/>
    <row r="48011" s="3161" customFormat="1" ht="12.75"/>
    <row r="48012" s="3161" customFormat="1" ht="12.75"/>
    <row r="48013" s="3161" customFormat="1" ht="12.75"/>
    <row r="48014" s="3161" customFormat="1" ht="12.75"/>
    <row r="48015" s="3161" customFormat="1" ht="12.75"/>
    <row r="48016" s="3161" customFormat="1" ht="12.75"/>
    <row r="48017" s="3161" customFormat="1" ht="12.75"/>
    <row r="48018" s="3161" customFormat="1" ht="12.75"/>
    <row r="48019" s="3161" customFormat="1" ht="12.75"/>
    <row r="48020" s="3161" customFormat="1" ht="12.75"/>
    <row r="48021" s="3161" customFormat="1" ht="12.75"/>
    <row r="48022" s="3161" customFormat="1" ht="12.75"/>
    <row r="48023" s="3161" customFormat="1" ht="12.75"/>
    <row r="48024" s="3161" customFormat="1" ht="12.75"/>
    <row r="48025" s="3161" customFormat="1" ht="12.75"/>
    <row r="48026" s="3161" customFormat="1" ht="12.75"/>
    <row r="48027" s="3161" customFormat="1" ht="12.75"/>
    <row r="48028" s="3161" customFormat="1" ht="12.75"/>
    <row r="48029" s="3161" customFormat="1" ht="12.75"/>
    <row r="48030" s="3161" customFormat="1" ht="12.75"/>
    <row r="48031" s="3161" customFormat="1" ht="12.75"/>
    <row r="48032" s="3161" customFormat="1" ht="12.75"/>
    <row r="48033" s="3161" customFormat="1" ht="12.75"/>
    <row r="48034" s="3161" customFormat="1" ht="12.75"/>
    <row r="48035" s="3161" customFormat="1" ht="12.75"/>
    <row r="48036" s="3161" customFormat="1" ht="12.75"/>
    <row r="48037" s="3161" customFormat="1" ht="12.75"/>
    <row r="48038" s="3161" customFormat="1" ht="12.75"/>
    <row r="48039" s="3161" customFormat="1" ht="12.75"/>
    <row r="48040" s="3161" customFormat="1" ht="12.75"/>
    <row r="48041" s="3161" customFormat="1" ht="12.75"/>
    <row r="48042" s="3161" customFormat="1" ht="12.75"/>
    <row r="48043" s="3161" customFormat="1" ht="12.75"/>
    <row r="48044" s="3161" customFormat="1" ht="12.75"/>
    <row r="48045" s="3161" customFormat="1" ht="12.75"/>
    <row r="48046" s="3161" customFormat="1" ht="12.75"/>
    <row r="48047" s="3161" customFormat="1" ht="12.75"/>
    <row r="48048" s="3161" customFormat="1" ht="12.75"/>
    <row r="48049" s="3161" customFormat="1" ht="12.75"/>
    <row r="48050" s="3161" customFormat="1" ht="12.75"/>
    <row r="48051" s="3161" customFormat="1" ht="12.75"/>
    <row r="48052" s="3161" customFormat="1" ht="12.75"/>
    <row r="48053" s="3161" customFormat="1" ht="12.75"/>
    <row r="48054" s="3161" customFormat="1" ht="12.75"/>
    <row r="48055" s="3161" customFormat="1" ht="12.75"/>
    <row r="48056" s="3161" customFormat="1" ht="12.75"/>
    <row r="48057" s="3161" customFormat="1" ht="12.75"/>
    <row r="48058" s="3161" customFormat="1" ht="12.75"/>
    <row r="48059" s="3161" customFormat="1" ht="12.75"/>
    <row r="48060" s="3161" customFormat="1" ht="12.75"/>
    <row r="48061" s="3161" customFormat="1" ht="12.75"/>
    <row r="48062" s="3161" customFormat="1" ht="12.75"/>
    <row r="48063" s="3161" customFormat="1" ht="12.75"/>
    <row r="48064" s="3161" customFormat="1" ht="12.75"/>
    <row r="48065" s="3161" customFormat="1" ht="12.75"/>
    <row r="48066" s="3161" customFormat="1" ht="12.75"/>
    <row r="48067" s="3161" customFormat="1" ht="12.75"/>
    <row r="48068" s="3161" customFormat="1" ht="12.75"/>
    <row r="48069" s="3161" customFormat="1" ht="12.75"/>
    <row r="48070" s="3161" customFormat="1" ht="12.75"/>
    <row r="48071" s="3161" customFormat="1" ht="12.75"/>
    <row r="48072" s="3161" customFormat="1" ht="12.75"/>
    <row r="48073" s="3161" customFormat="1" ht="12.75"/>
    <row r="48074" s="3161" customFormat="1" ht="12.75"/>
    <row r="48075" s="3161" customFormat="1" ht="12.75"/>
    <row r="48076" s="3161" customFormat="1" ht="12.75"/>
    <row r="48077" s="3161" customFormat="1" ht="12.75"/>
    <row r="48078" s="3161" customFormat="1" ht="12.75"/>
    <row r="48079" s="3161" customFormat="1" ht="12.75"/>
    <row r="48080" s="3161" customFormat="1" ht="12.75"/>
    <row r="48081" s="3161" customFormat="1" ht="12.75"/>
    <row r="48082" s="3161" customFormat="1" ht="12.75"/>
    <row r="48083" s="3161" customFormat="1" ht="12.75"/>
    <row r="48084" s="3161" customFormat="1" ht="12.75"/>
    <row r="48085" s="3161" customFormat="1" ht="12.75"/>
    <row r="48086" s="3161" customFormat="1" ht="12.75"/>
    <row r="48087" s="3161" customFormat="1" ht="12.75"/>
    <row r="48088" s="3161" customFormat="1" ht="12.75"/>
    <row r="48089" s="3161" customFormat="1" ht="12.75"/>
    <row r="48090" s="3161" customFormat="1" ht="12.75"/>
    <row r="48091" s="3161" customFormat="1" ht="12.75"/>
    <row r="48092" s="3161" customFormat="1" ht="12.75"/>
    <row r="48093" s="3161" customFormat="1" ht="12.75"/>
    <row r="48094" s="3161" customFormat="1" ht="12.75"/>
    <row r="48095" s="3161" customFormat="1" ht="12.75"/>
    <row r="48096" s="3161" customFormat="1" ht="12.75"/>
    <row r="48097" s="3161" customFormat="1" ht="12.75"/>
    <row r="48098" s="3161" customFormat="1" ht="12.75"/>
    <row r="48099" s="3161" customFormat="1" ht="12.75"/>
    <row r="48100" s="3161" customFormat="1" ht="12.75"/>
    <row r="48101" s="3161" customFormat="1" ht="12.75"/>
    <row r="48102" s="3161" customFormat="1" ht="12.75"/>
    <row r="48103" s="3161" customFormat="1" ht="12.75"/>
    <row r="48104" s="3161" customFormat="1" ht="12.75"/>
    <row r="48105" s="3161" customFormat="1" ht="12.75"/>
    <row r="48106" s="3161" customFormat="1" ht="12.75"/>
    <row r="48107" s="3161" customFormat="1" ht="12.75"/>
    <row r="48108" s="3161" customFormat="1" ht="12.75"/>
    <row r="48109" s="3161" customFormat="1" ht="12.75"/>
    <row r="48110" s="3161" customFormat="1" ht="12.75"/>
    <row r="48111" s="3161" customFormat="1" ht="12.75"/>
    <row r="48112" s="3161" customFormat="1" ht="12.75"/>
    <row r="48113" s="3161" customFormat="1" ht="12.75"/>
    <row r="48114" s="3161" customFormat="1" ht="12.75"/>
    <row r="48115" s="3161" customFormat="1" ht="12.75"/>
    <row r="48116" s="3161" customFormat="1" ht="12.75"/>
    <row r="48117" s="3161" customFormat="1" ht="12.75"/>
    <row r="48118" s="3161" customFormat="1" ht="12.75"/>
    <row r="48119" s="3161" customFormat="1" ht="12.75"/>
    <row r="48120" s="3161" customFormat="1" ht="12.75"/>
    <row r="48121" s="3161" customFormat="1" ht="12.75"/>
    <row r="48122" s="3161" customFormat="1" ht="12.75"/>
    <row r="48123" s="3161" customFormat="1" ht="12.75"/>
    <row r="48124" s="3161" customFormat="1" ht="12.75"/>
    <row r="48125" s="3161" customFormat="1" ht="12.75"/>
    <row r="48126" s="3161" customFormat="1" ht="12.75"/>
    <row r="48127" s="3161" customFormat="1" ht="12.75"/>
    <row r="48128" s="3161" customFormat="1" ht="12.75"/>
    <row r="48129" s="3161" customFormat="1" ht="12.75"/>
    <row r="48130" s="3161" customFormat="1" ht="12.75"/>
    <row r="48131" s="3161" customFormat="1" ht="12.75"/>
    <row r="48132" s="3161" customFormat="1" ht="12.75"/>
    <row r="48133" s="3161" customFormat="1" ht="12.75"/>
    <row r="48134" s="3161" customFormat="1" ht="12.75"/>
    <row r="48135" s="3161" customFormat="1" ht="12.75"/>
    <row r="48136" s="3161" customFormat="1" ht="12.75"/>
    <row r="48137" s="3161" customFormat="1" ht="12.75"/>
    <row r="48138" s="3161" customFormat="1" ht="12.75"/>
    <row r="48139" s="3161" customFormat="1" ht="12.75"/>
    <row r="48140" s="3161" customFormat="1" ht="12.75"/>
    <row r="48141" s="3161" customFormat="1" ht="12.75"/>
    <row r="48142" s="3161" customFormat="1" ht="12.75"/>
    <row r="48143" s="3161" customFormat="1" ht="12.75"/>
    <row r="48144" s="3161" customFormat="1" ht="12.75"/>
    <row r="48145" s="3161" customFormat="1" ht="12.75"/>
    <row r="48146" s="3161" customFormat="1" ht="12.75"/>
    <row r="48147" s="3161" customFormat="1" ht="12.75"/>
    <row r="48148" s="3161" customFormat="1" ht="12.75"/>
    <row r="48149" s="3161" customFormat="1" ht="12.75"/>
    <row r="48150" s="3161" customFormat="1" ht="12.75"/>
    <row r="48151" s="3161" customFormat="1" ht="12.75"/>
    <row r="48152" s="3161" customFormat="1" ht="12.75"/>
    <row r="48153" s="3161" customFormat="1" ht="12.75"/>
    <row r="48154" s="3161" customFormat="1" ht="12.75"/>
    <row r="48155" s="3161" customFormat="1" ht="12.75"/>
    <row r="48156" s="3161" customFormat="1" ht="12.75"/>
    <row r="48157" s="3161" customFormat="1" ht="12.75"/>
    <row r="48158" s="3161" customFormat="1" ht="12.75"/>
    <row r="48159" s="3161" customFormat="1" ht="12.75"/>
    <row r="48160" s="3161" customFormat="1" ht="12.75"/>
    <row r="48161" s="3161" customFormat="1" ht="12.75"/>
    <row r="48162" s="3161" customFormat="1" ht="12.75"/>
    <row r="48163" s="3161" customFormat="1" ht="12.75"/>
    <row r="48164" s="3161" customFormat="1" ht="12.75"/>
    <row r="48165" s="3161" customFormat="1" ht="12.75"/>
    <row r="48166" s="3161" customFormat="1" ht="12.75"/>
    <row r="48167" s="3161" customFormat="1" ht="12.75"/>
    <row r="48168" s="3161" customFormat="1" ht="12.75"/>
    <row r="48169" s="3161" customFormat="1" ht="12.75"/>
    <row r="48170" s="3161" customFormat="1" ht="12.75"/>
    <row r="48171" s="3161" customFormat="1" ht="12.75"/>
    <row r="48172" s="3161" customFormat="1" ht="12.75"/>
    <row r="48173" s="3161" customFormat="1" ht="12.75"/>
    <row r="48174" s="3161" customFormat="1" ht="12.75"/>
    <row r="48175" s="3161" customFormat="1" ht="12.75"/>
    <row r="48176" s="3161" customFormat="1" ht="12.75"/>
    <row r="48177" s="3161" customFormat="1" ht="12.75"/>
    <row r="48178" s="3161" customFormat="1" ht="12.75"/>
    <row r="48179" s="3161" customFormat="1" ht="12.75"/>
    <row r="48180" s="3161" customFormat="1" ht="12.75"/>
    <row r="48181" s="3161" customFormat="1" ht="12.75"/>
    <row r="48182" s="3161" customFormat="1" ht="12.75"/>
    <row r="48183" s="3161" customFormat="1" ht="12.75"/>
    <row r="48184" s="3161" customFormat="1" ht="12.75"/>
    <row r="48185" s="3161" customFormat="1" ht="12.75"/>
    <row r="48186" s="3161" customFormat="1" ht="12.75"/>
    <row r="48187" s="3161" customFormat="1" ht="12.75"/>
    <row r="48188" s="3161" customFormat="1" ht="12.75"/>
    <row r="48189" s="3161" customFormat="1" ht="12.75"/>
    <row r="48190" s="3161" customFormat="1" ht="12.75"/>
    <row r="48191" s="3161" customFormat="1" ht="12.75"/>
    <row r="48192" s="3161" customFormat="1" ht="12.75"/>
    <row r="48193" s="3161" customFormat="1" ht="12.75"/>
    <row r="48194" s="3161" customFormat="1" ht="12.75"/>
    <row r="48195" s="3161" customFormat="1" ht="12.75"/>
    <row r="48196" s="3161" customFormat="1" ht="12.75"/>
    <row r="48197" s="3161" customFormat="1" ht="12.75"/>
    <row r="48198" s="3161" customFormat="1" ht="12.75"/>
    <row r="48199" s="3161" customFormat="1" ht="12.75"/>
    <row r="48200" s="3161" customFormat="1" ht="12.75"/>
    <row r="48201" s="3161" customFormat="1" ht="12.75"/>
    <row r="48202" s="3161" customFormat="1" ht="12.75"/>
    <row r="48203" s="3161" customFormat="1" ht="12.75"/>
    <row r="48204" s="3161" customFormat="1" ht="12.75"/>
    <row r="48205" s="3161" customFormat="1" ht="12.75"/>
    <row r="48206" s="3161" customFormat="1" ht="12.75"/>
    <row r="48207" s="3161" customFormat="1" ht="12.75"/>
    <row r="48208" s="3161" customFormat="1" ht="12.75"/>
    <row r="48209" s="3161" customFormat="1" ht="12.75"/>
    <row r="48210" s="3161" customFormat="1" ht="12.75"/>
    <row r="48211" s="3161" customFormat="1" ht="12.75"/>
    <row r="48212" s="3161" customFormat="1" ht="12.75"/>
    <row r="48213" s="3161" customFormat="1" ht="12.75"/>
    <row r="48214" s="3161" customFormat="1" ht="12.75"/>
    <row r="48215" s="3161" customFormat="1" ht="12.75"/>
    <row r="48216" s="3161" customFormat="1" ht="12.75"/>
    <row r="48217" s="3161" customFormat="1" ht="12.75"/>
    <row r="48218" s="3161" customFormat="1" ht="12.75"/>
    <row r="48219" s="3161" customFormat="1" ht="12.75"/>
    <row r="48220" s="3161" customFormat="1" ht="12.75"/>
    <row r="48221" s="3161" customFormat="1" ht="12.75"/>
    <row r="48222" s="3161" customFormat="1" ht="12.75"/>
    <row r="48223" s="3161" customFormat="1" ht="12.75"/>
    <row r="48224" s="3161" customFormat="1" ht="12.75"/>
    <row r="48225" s="3161" customFormat="1" ht="12.75"/>
    <row r="48226" s="3161" customFormat="1" ht="12.75"/>
    <row r="48227" s="3161" customFormat="1" ht="12.75"/>
    <row r="48228" s="3161" customFormat="1" ht="12.75"/>
    <row r="48229" s="3161" customFormat="1" ht="12.75"/>
    <row r="48230" s="3161" customFormat="1" ht="12.75"/>
    <row r="48231" s="3161" customFormat="1" ht="12.75"/>
    <row r="48232" s="3161" customFormat="1" ht="12.75"/>
    <row r="48233" s="3161" customFormat="1" ht="12.75"/>
    <row r="48234" s="3161" customFormat="1" ht="12.75"/>
    <row r="48235" s="3161" customFormat="1" ht="12.75"/>
    <row r="48236" s="3161" customFormat="1" ht="12.75"/>
    <row r="48237" s="3161" customFormat="1" ht="12.75"/>
    <row r="48238" s="3161" customFormat="1" ht="12.75"/>
    <row r="48239" s="3161" customFormat="1" ht="12.75"/>
    <row r="48240" s="3161" customFormat="1" ht="12.75"/>
    <row r="48241" s="3161" customFormat="1" ht="12.75"/>
    <row r="48242" s="3161" customFormat="1" ht="12.75"/>
    <row r="48243" s="3161" customFormat="1" ht="12.75"/>
    <row r="48244" s="3161" customFormat="1" ht="12.75"/>
    <row r="48245" s="3161" customFormat="1" ht="12.75"/>
    <row r="48246" s="3161" customFormat="1" ht="12.75"/>
    <row r="48247" s="3161" customFormat="1" ht="12.75"/>
    <row r="48248" s="3161" customFormat="1" ht="12.75"/>
    <row r="48249" s="3161" customFormat="1" ht="12.75"/>
    <row r="48250" s="3161" customFormat="1" ht="12.75"/>
    <row r="48251" s="3161" customFormat="1" ht="12.75"/>
    <row r="48252" s="3161" customFormat="1" ht="12.75"/>
    <row r="48253" s="3161" customFormat="1" ht="12.75"/>
    <row r="48254" s="3161" customFormat="1" ht="12.75"/>
    <row r="48255" s="3161" customFormat="1" ht="12.75"/>
    <row r="48256" s="3161" customFormat="1" ht="12.75"/>
    <row r="48257" s="3161" customFormat="1" ht="12.75"/>
    <row r="48258" s="3161" customFormat="1" ht="12.75"/>
    <row r="48259" s="3161" customFormat="1" ht="12.75"/>
    <row r="48260" s="3161" customFormat="1" ht="12.75"/>
    <row r="48261" s="3161" customFormat="1" ht="12.75"/>
    <row r="48262" s="3161" customFormat="1" ht="12.75"/>
    <row r="48263" s="3161" customFormat="1" ht="12.75"/>
    <row r="48264" s="3161" customFormat="1" ht="12.75"/>
    <row r="48265" s="3161" customFormat="1" ht="12.75"/>
    <row r="48266" s="3161" customFormat="1" ht="12.75"/>
    <row r="48267" s="3161" customFormat="1" ht="12.75"/>
    <row r="48268" s="3161" customFormat="1" ht="12.75"/>
    <row r="48269" s="3161" customFormat="1" ht="12.75"/>
    <row r="48270" s="3161" customFormat="1" ht="12.75"/>
    <row r="48271" s="3161" customFormat="1" ht="12.75"/>
    <row r="48272" s="3161" customFormat="1" ht="12.75"/>
    <row r="48273" s="3161" customFormat="1" ht="12.75"/>
    <row r="48274" s="3161" customFormat="1" ht="12.75"/>
    <row r="48275" s="3161" customFormat="1" ht="12.75"/>
    <row r="48276" s="3161" customFormat="1" ht="12.75"/>
    <row r="48277" s="3161" customFormat="1" ht="12.75"/>
    <row r="48278" s="3161" customFormat="1" ht="12.75"/>
    <row r="48279" s="3161" customFormat="1" ht="12.75"/>
    <row r="48280" s="3161" customFormat="1" ht="12.75"/>
    <row r="48281" s="3161" customFormat="1" ht="12.75"/>
    <row r="48282" s="3161" customFormat="1" ht="12.75"/>
    <row r="48283" s="3161" customFormat="1" ht="12.75"/>
    <row r="48284" s="3161" customFormat="1" ht="12.75"/>
    <row r="48285" s="3161" customFormat="1" ht="12.75"/>
    <row r="48286" s="3161" customFormat="1" ht="12.75"/>
    <row r="48287" s="3161" customFormat="1" ht="12.75"/>
    <row r="48288" s="3161" customFormat="1" ht="12.75"/>
    <row r="48289" s="3161" customFormat="1" ht="12.75"/>
    <row r="48290" s="3161" customFormat="1" ht="12.75"/>
    <row r="48291" s="3161" customFormat="1" ht="12.75"/>
    <row r="48292" s="3161" customFormat="1" ht="12.75"/>
    <row r="48293" s="3161" customFormat="1" ht="12.75"/>
    <row r="48294" s="3161" customFormat="1" ht="12.75"/>
    <row r="48295" s="3161" customFormat="1" ht="12.75"/>
    <row r="48296" s="3161" customFormat="1" ht="12.75"/>
    <row r="48297" s="3161" customFormat="1" ht="12.75"/>
    <row r="48298" s="3161" customFormat="1" ht="12.75"/>
    <row r="48299" s="3161" customFormat="1" ht="12.75"/>
    <row r="48300" s="3161" customFormat="1" ht="12.75"/>
    <row r="48301" s="3161" customFormat="1" ht="12.75"/>
    <row r="48302" s="3161" customFormat="1" ht="12.75"/>
    <row r="48303" s="3161" customFormat="1" ht="12.75"/>
    <row r="48304" s="3161" customFormat="1" ht="12.75"/>
    <row r="48305" s="3161" customFormat="1" ht="12.75"/>
    <row r="48306" s="3161" customFormat="1" ht="12.75"/>
    <row r="48307" s="3161" customFormat="1" ht="12.75"/>
    <row r="48308" s="3161" customFormat="1" ht="12.75"/>
    <row r="48309" s="3161" customFormat="1" ht="12.75"/>
    <row r="48310" s="3161" customFormat="1" ht="12.75"/>
    <row r="48311" s="3161" customFormat="1" ht="12.75"/>
    <row r="48312" s="3161" customFormat="1" ht="12.75"/>
    <row r="48313" s="3161" customFormat="1" ht="12.75"/>
    <row r="48314" s="3161" customFormat="1" ht="12.75"/>
    <row r="48315" s="3161" customFormat="1" ht="12.75"/>
    <row r="48316" s="3161" customFormat="1" ht="12.75"/>
    <row r="48317" s="3161" customFormat="1" ht="12.75"/>
    <row r="48318" s="3161" customFormat="1" ht="12.75"/>
    <row r="48319" s="3161" customFormat="1" ht="12.75"/>
    <row r="48320" s="3161" customFormat="1" ht="12.75"/>
    <row r="48321" s="3161" customFormat="1" ht="12.75"/>
    <row r="48322" s="3161" customFormat="1" ht="12.75"/>
    <row r="48323" s="3161" customFormat="1" ht="12.75"/>
    <row r="48324" s="3161" customFormat="1" ht="12.75"/>
    <row r="48325" s="3161" customFormat="1" ht="12.75"/>
    <row r="48326" s="3161" customFormat="1" ht="12.75"/>
    <row r="48327" s="3161" customFormat="1" ht="12.75"/>
    <row r="48328" s="3161" customFormat="1" ht="12.75"/>
    <row r="48329" s="3161" customFormat="1" ht="12.75"/>
    <row r="48330" s="3161" customFormat="1" ht="12.75"/>
    <row r="48331" s="3161" customFormat="1" ht="12.75"/>
    <row r="48332" s="3161" customFormat="1" ht="12.75"/>
    <row r="48333" s="3161" customFormat="1" ht="12.75"/>
    <row r="48334" s="3161" customFormat="1" ht="12.75"/>
    <row r="48335" s="3161" customFormat="1" ht="12.75"/>
    <row r="48336" s="3161" customFormat="1" ht="12.75"/>
    <row r="48337" s="3161" customFormat="1" ht="12.75"/>
    <row r="48338" s="3161" customFormat="1" ht="12.75"/>
    <row r="48339" s="3161" customFormat="1" ht="12.75"/>
    <row r="48340" s="3161" customFormat="1" ht="12.75"/>
    <row r="48341" s="3161" customFormat="1" ht="12.75"/>
    <row r="48342" s="3161" customFormat="1" ht="12.75"/>
    <row r="48343" s="3161" customFormat="1" ht="12.75"/>
    <row r="48344" s="3161" customFormat="1" ht="12.75"/>
    <row r="48345" s="3161" customFormat="1" ht="12.75"/>
    <row r="48346" s="3161" customFormat="1" ht="12.75"/>
    <row r="48347" s="3161" customFormat="1" ht="12.75"/>
    <row r="48348" s="3161" customFormat="1" ht="12.75"/>
    <row r="48349" s="3161" customFormat="1" ht="12.75"/>
    <row r="48350" s="3161" customFormat="1" ht="12.75"/>
    <row r="48351" s="3161" customFormat="1" ht="12.75"/>
    <row r="48352" s="3161" customFormat="1" ht="12.75"/>
    <row r="48353" s="3161" customFormat="1" ht="12.75"/>
    <row r="48354" s="3161" customFormat="1" ht="12.75"/>
    <row r="48355" s="3161" customFormat="1" ht="12.75"/>
    <row r="48356" s="3161" customFormat="1" ht="12.75"/>
    <row r="48357" s="3161" customFormat="1" ht="12.75"/>
    <row r="48358" s="3161" customFormat="1" ht="12.75"/>
    <row r="48359" s="3161" customFormat="1" ht="12.75"/>
    <row r="48360" s="3161" customFormat="1" ht="12.75"/>
    <row r="48361" s="3161" customFormat="1" ht="12.75"/>
    <row r="48362" s="3161" customFormat="1" ht="12.75"/>
    <row r="48363" s="3161" customFormat="1" ht="12.75"/>
    <row r="48364" s="3161" customFormat="1" ht="12.75"/>
    <row r="48365" s="3161" customFormat="1" ht="12.75"/>
    <row r="48366" s="3161" customFormat="1" ht="12.75"/>
    <row r="48367" s="3161" customFormat="1" ht="12.75"/>
    <row r="48368" s="3161" customFormat="1" ht="12.75"/>
    <row r="48369" s="3161" customFormat="1" ht="12.75"/>
    <row r="48370" s="3161" customFormat="1" ht="12.75"/>
    <row r="48371" s="3161" customFormat="1" ht="12.75"/>
    <row r="48372" s="3161" customFormat="1" ht="12.75"/>
    <row r="48373" s="3161" customFormat="1" ht="12.75"/>
    <row r="48374" s="3161" customFormat="1" ht="12.75"/>
    <row r="48375" s="3161" customFormat="1" ht="12.75"/>
    <row r="48376" s="3161" customFormat="1" ht="12.75"/>
    <row r="48377" s="3161" customFormat="1" ht="12.75"/>
    <row r="48378" s="3161" customFormat="1" ht="12.75"/>
    <row r="48379" s="3161" customFormat="1" ht="12.75"/>
    <row r="48380" s="3161" customFormat="1" ht="12.75"/>
    <row r="48381" s="3161" customFormat="1" ht="12.75"/>
    <row r="48382" s="3161" customFormat="1" ht="12.75"/>
    <row r="48383" s="3161" customFormat="1" ht="12.75"/>
    <row r="48384" s="3161" customFormat="1" ht="12.75"/>
    <row r="48385" s="3161" customFormat="1" ht="12.75"/>
    <row r="48386" s="3161" customFormat="1" ht="12.75"/>
    <row r="48387" s="3161" customFormat="1" ht="12.75"/>
    <row r="48388" s="3161" customFormat="1" ht="12.75"/>
    <row r="48389" s="3161" customFormat="1" ht="12.75"/>
    <row r="48390" s="3161" customFormat="1" ht="12.75"/>
    <row r="48391" s="3161" customFormat="1" ht="12.75"/>
    <row r="48392" s="3161" customFormat="1" ht="12.75"/>
    <row r="48393" s="3161" customFormat="1" ht="12.75"/>
    <row r="48394" s="3161" customFormat="1" ht="12.75"/>
    <row r="48395" s="3161" customFormat="1" ht="12.75"/>
    <row r="48396" s="3161" customFormat="1" ht="12.75"/>
    <row r="48397" s="3161" customFormat="1" ht="12.75"/>
    <row r="48398" s="3161" customFormat="1" ht="12.75"/>
    <row r="48399" s="3161" customFormat="1" ht="12.75"/>
    <row r="48400" s="3161" customFormat="1" ht="12.75"/>
    <row r="48401" s="3161" customFormat="1" ht="12.75"/>
    <row r="48402" s="3161" customFormat="1" ht="12.75"/>
    <row r="48403" s="3161" customFormat="1" ht="12.75"/>
    <row r="48404" s="3161" customFormat="1" ht="12.75"/>
    <row r="48405" s="3161" customFormat="1" ht="12.75"/>
    <row r="48406" s="3161" customFormat="1" ht="12.75"/>
    <row r="48407" s="3161" customFormat="1" ht="12.75"/>
    <row r="48408" s="3161" customFormat="1" ht="12.75"/>
    <row r="48409" s="3161" customFormat="1" ht="12.75"/>
    <row r="48410" s="3161" customFormat="1" ht="12.75"/>
    <row r="48411" s="3161" customFormat="1" ht="12.75"/>
    <row r="48412" s="3161" customFormat="1" ht="12.75"/>
    <row r="48413" s="3161" customFormat="1" ht="12.75"/>
    <row r="48414" s="3161" customFormat="1" ht="12.75"/>
    <row r="48415" s="3161" customFormat="1" ht="12.75"/>
    <row r="48416" s="3161" customFormat="1" ht="12.75"/>
    <row r="48417" s="3161" customFormat="1" ht="12.75"/>
    <row r="48418" s="3161" customFormat="1" ht="12.75"/>
    <row r="48419" s="3161" customFormat="1" ht="12.75"/>
    <row r="48420" s="3161" customFormat="1" ht="12.75"/>
    <row r="48421" s="3161" customFormat="1" ht="12.75"/>
    <row r="48422" s="3161" customFormat="1" ht="12.75"/>
    <row r="48423" s="3161" customFormat="1" ht="12.75"/>
    <row r="48424" s="3161" customFormat="1" ht="12.75"/>
    <row r="48425" s="3161" customFormat="1" ht="12.75"/>
    <row r="48426" s="3161" customFormat="1" ht="12.75"/>
    <row r="48427" s="3161" customFormat="1" ht="12.75"/>
    <row r="48428" s="3161" customFormat="1" ht="12.75"/>
    <row r="48429" s="3161" customFormat="1" ht="12.75"/>
    <row r="48430" s="3161" customFormat="1" ht="12.75"/>
    <row r="48431" s="3161" customFormat="1" ht="12.75"/>
    <row r="48432" s="3161" customFormat="1" ht="12.75"/>
    <row r="48433" s="3161" customFormat="1" ht="12.75"/>
    <row r="48434" s="3161" customFormat="1" ht="12.75"/>
    <row r="48435" s="3161" customFormat="1" ht="12.75"/>
    <row r="48436" s="3161" customFormat="1" ht="12.75"/>
    <row r="48437" s="3161" customFormat="1" ht="12.75"/>
    <row r="48438" s="3161" customFormat="1" ht="12.75"/>
    <row r="48439" s="3161" customFormat="1" ht="12.75"/>
    <row r="48440" s="3161" customFormat="1" ht="12.75"/>
    <row r="48441" s="3161" customFormat="1" ht="12.75"/>
    <row r="48442" s="3161" customFormat="1" ht="12.75"/>
    <row r="48443" s="3161" customFormat="1" ht="12.75"/>
    <row r="48444" s="3161" customFormat="1" ht="12.75"/>
    <row r="48445" s="3161" customFormat="1" ht="12.75"/>
    <row r="48446" s="3161" customFormat="1" ht="12.75"/>
    <row r="48447" s="3161" customFormat="1" ht="12.75"/>
    <row r="48448" s="3161" customFormat="1" ht="12.75"/>
    <row r="48449" s="3161" customFormat="1" ht="12.75"/>
    <row r="48450" s="3161" customFormat="1" ht="12.75"/>
    <row r="48451" s="3161" customFormat="1" ht="12.75"/>
    <row r="48452" s="3161" customFormat="1" ht="12.75"/>
    <row r="48453" s="3161" customFormat="1" ht="12.75"/>
    <row r="48454" s="3161" customFormat="1" ht="12.75"/>
    <row r="48455" s="3161" customFormat="1" ht="12.75"/>
    <row r="48456" s="3161" customFormat="1" ht="12.75"/>
    <row r="48457" s="3161" customFormat="1" ht="12.75"/>
    <row r="48458" s="3161" customFormat="1" ht="12.75"/>
    <row r="48459" s="3161" customFormat="1" ht="12.75"/>
    <row r="48460" s="3161" customFormat="1" ht="12.75"/>
    <row r="48461" s="3161" customFormat="1" ht="12.75"/>
    <row r="48462" s="3161" customFormat="1" ht="12.75"/>
    <row r="48463" s="3161" customFormat="1" ht="12.75"/>
    <row r="48464" s="3161" customFormat="1" ht="12.75"/>
    <row r="48465" s="3161" customFormat="1" ht="12.75"/>
    <row r="48466" s="3161" customFormat="1" ht="12.75"/>
    <row r="48467" s="3161" customFormat="1" ht="12.75"/>
    <row r="48468" s="3161" customFormat="1" ht="12.75"/>
    <row r="48469" s="3161" customFormat="1" ht="12.75"/>
    <row r="48470" s="3161" customFormat="1" ht="12.75"/>
    <row r="48471" s="3161" customFormat="1" ht="12.75"/>
    <row r="48472" s="3161" customFormat="1" ht="12.75"/>
    <row r="48473" s="3161" customFormat="1" ht="12.75"/>
    <row r="48474" s="3161" customFormat="1" ht="12.75"/>
    <row r="48475" s="3161" customFormat="1" ht="12.75"/>
    <row r="48476" s="3161" customFormat="1" ht="12.75"/>
    <row r="48477" s="3161" customFormat="1" ht="12.75"/>
    <row r="48478" s="3161" customFormat="1" ht="12.75"/>
    <row r="48479" s="3161" customFormat="1" ht="12.75"/>
    <row r="48480" s="3161" customFormat="1" ht="12.75"/>
    <row r="48481" s="3161" customFormat="1" ht="12.75"/>
    <row r="48482" s="3161" customFormat="1" ht="12.75"/>
    <row r="48483" s="3161" customFormat="1" ht="12.75"/>
    <row r="48484" s="3161" customFormat="1" ht="12.75"/>
    <row r="48485" s="3161" customFormat="1" ht="12.75"/>
    <row r="48486" s="3161" customFormat="1" ht="12.75"/>
    <row r="48487" s="3161" customFormat="1" ht="12.75"/>
    <row r="48488" s="3161" customFormat="1" ht="12.75"/>
    <row r="48489" s="3161" customFormat="1" ht="12.75"/>
    <row r="48490" s="3161" customFormat="1" ht="12.75"/>
    <row r="48491" s="3161" customFormat="1" ht="12.75"/>
    <row r="48492" s="3161" customFormat="1" ht="12.75"/>
    <row r="48493" s="3161" customFormat="1" ht="12.75"/>
    <row r="48494" s="3161" customFormat="1" ht="12.75"/>
    <row r="48495" s="3161" customFormat="1" ht="12.75"/>
    <row r="48496" s="3161" customFormat="1" ht="12.75"/>
    <row r="48497" s="3161" customFormat="1" ht="12.75"/>
    <row r="48498" s="3161" customFormat="1" ht="12.75"/>
    <row r="48499" s="3161" customFormat="1" ht="12.75"/>
    <row r="48500" s="3161" customFormat="1" ht="12.75"/>
    <row r="48501" s="3161" customFormat="1" ht="12.75"/>
    <row r="48502" s="3161" customFormat="1" ht="12.75"/>
    <row r="48503" s="3161" customFormat="1" ht="12.75"/>
    <row r="48504" s="3161" customFormat="1" ht="12.75"/>
    <row r="48505" s="3161" customFormat="1" ht="12.75"/>
    <row r="48506" s="3161" customFormat="1" ht="12.75"/>
    <row r="48507" s="3161" customFormat="1" ht="12.75"/>
    <row r="48508" s="3161" customFormat="1" ht="12.75"/>
    <row r="48509" s="3161" customFormat="1" ht="12.75"/>
    <row r="48510" s="3161" customFormat="1" ht="12.75"/>
    <row r="48511" s="3161" customFormat="1" ht="12.75"/>
    <row r="48512" s="3161" customFormat="1" ht="12.75"/>
    <row r="48513" s="3161" customFormat="1" ht="12.75"/>
    <row r="48514" s="3161" customFormat="1" ht="12.75"/>
    <row r="48515" s="3161" customFormat="1" ht="12.75"/>
    <row r="48516" s="3161" customFormat="1" ht="12.75"/>
    <row r="48517" s="3161" customFormat="1" ht="12.75"/>
    <row r="48518" s="3161" customFormat="1" ht="12.75"/>
    <row r="48519" s="3161" customFormat="1" ht="12.75"/>
    <row r="48520" s="3161" customFormat="1" ht="12.75"/>
    <row r="48521" s="3161" customFormat="1" ht="12.75"/>
    <row r="48522" s="3161" customFormat="1" ht="12.75"/>
    <row r="48523" s="3161" customFormat="1" ht="12.75"/>
    <row r="48524" s="3161" customFormat="1" ht="12.75"/>
    <row r="48525" s="3161" customFormat="1" ht="12.75"/>
    <row r="48526" s="3161" customFormat="1" ht="12.75"/>
    <row r="48527" s="3161" customFormat="1" ht="12.75"/>
    <row r="48528" s="3161" customFormat="1" ht="12.75"/>
    <row r="48529" s="3161" customFormat="1" ht="12.75"/>
    <row r="48530" s="3161" customFormat="1" ht="12.75"/>
    <row r="48531" s="3161" customFormat="1" ht="12.75"/>
    <row r="48532" s="3161" customFormat="1" ht="12.75"/>
    <row r="48533" s="3161" customFormat="1" ht="12.75"/>
    <row r="48534" s="3161" customFormat="1" ht="12.75"/>
    <row r="48535" s="3161" customFormat="1" ht="12.75"/>
    <row r="48536" s="3161" customFormat="1" ht="12.75"/>
    <row r="48537" s="3161" customFormat="1" ht="12.75"/>
    <row r="48538" s="3161" customFormat="1" ht="12.75"/>
    <row r="48539" s="3161" customFormat="1" ht="12.75"/>
    <row r="48540" s="3161" customFormat="1" ht="12.75"/>
    <row r="48541" s="3161" customFormat="1" ht="12.75"/>
    <row r="48542" s="3161" customFormat="1" ht="12.75"/>
    <row r="48543" s="3161" customFormat="1" ht="12.75"/>
    <row r="48544" s="3161" customFormat="1" ht="12.75"/>
    <row r="48545" s="3161" customFormat="1" ht="12.75"/>
    <row r="48546" s="3161" customFormat="1" ht="12.75"/>
    <row r="48547" s="3161" customFormat="1" ht="12.75"/>
    <row r="48548" s="3161" customFormat="1" ht="12.75"/>
    <row r="48549" s="3161" customFormat="1" ht="12.75"/>
    <row r="48550" s="3161" customFormat="1" ht="12.75"/>
    <row r="48551" s="3161" customFormat="1" ht="12.75"/>
    <row r="48552" s="3161" customFormat="1" ht="12.75"/>
    <row r="48553" s="3161" customFormat="1" ht="12.75"/>
    <row r="48554" s="3161" customFormat="1" ht="12.75"/>
    <row r="48555" s="3161" customFormat="1" ht="12.75"/>
    <row r="48556" s="3161" customFormat="1" ht="12.75"/>
    <row r="48557" s="3161" customFormat="1" ht="12.75"/>
    <row r="48558" s="3161" customFormat="1" ht="12.75"/>
    <row r="48559" s="3161" customFormat="1" ht="12.75"/>
    <row r="48560" s="3161" customFormat="1" ht="12.75"/>
    <row r="48561" s="3161" customFormat="1" ht="12.75"/>
    <row r="48562" s="3161" customFormat="1" ht="12.75"/>
    <row r="48563" s="3161" customFormat="1" ht="12.75"/>
    <row r="48564" s="3161" customFormat="1" ht="12.75"/>
    <row r="48565" s="3161" customFormat="1" ht="12.75"/>
    <row r="48566" s="3161" customFormat="1" ht="12.75"/>
    <row r="48567" s="3161" customFormat="1" ht="12.75"/>
    <row r="48568" s="3161" customFormat="1" ht="12.75"/>
    <row r="48569" s="3161" customFormat="1" ht="12.75"/>
    <row r="48570" s="3161" customFormat="1" ht="12.75"/>
    <row r="48571" s="3161" customFormat="1" ht="12.75"/>
    <row r="48572" s="3161" customFormat="1" ht="12.75"/>
    <row r="48573" s="3161" customFormat="1" ht="12.75"/>
    <row r="48574" s="3161" customFormat="1" ht="12.75"/>
    <row r="48575" s="3161" customFormat="1" ht="12.75"/>
    <row r="48576" s="3161" customFormat="1" ht="12.75"/>
    <row r="48577" s="3161" customFormat="1" ht="12.75"/>
    <row r="48578" s="3161" customFormat="1" ht="12.75"/>
    <row r="48579" s="3161" customFormat="1" ht="12.75"/>
    <row r="48580" s="3161" customFormat="1" ht="12.75"/>
    <row r="48581" s="3161" customFormat="1" ht="12.75"/>
    <row r="48582" s="3161" customFormat="1" ht="12.75"/>
    <row r="48583" s="3161" customFormat="1" ht="12.75"/>
    <row r="48584" s="3161" customFormat="1" ht="12.75"/>
    <row r="48585" s="3161" customFormat="1" ht="12.75"/>
    <row r="48586" s="3161" customFormat="1" ht="12.75"/>
    <row r="48587" s="3161" customFormat="1" ht="12.75"/>
    <row r="48588" s="3161" customFormat="1" ht="12.75"/>
    <row r="48589" s="3161" customFormat="1" ht="12.75"/>
    <row r="48590" s="3161" customFormat="1" ht="12.75"/>
    <row r="48591" s="3161" customFormat="1" ht="12.75"/>
    <row r="48592" s="3161" customFormat="1" ht="12.75"/>
    <row r="48593" s="3161" customFormat="1" ht="12.75"/>
    <row r="48594" s="3161" customFormat="1" ht="12.75"/>
    <row r="48595" s="3161" customFormat="1" ht="12.75"/>
    <row r="48596" s="3161" customFormat="1" ht="12.75"/>
    <row r="48597" s="3161" customFormat="1" ht="12.75"/>
    <row r="48598" s="3161" customFormat="1" ht="12.75"/>
    <row r="48599" s="3161" customFormat="1" ht="12.75"/>
    <row r="48600" s="3161" customFormat="1" ht="12.75"/>
    <row r="48601" s="3161" customFormat="1" ht="12.75"/>
    <row r="48602" s="3161" customFormat="1" ht="12.75"/>
    <row r="48603" s="3161" customFormat="1" ht="12.75"/>
    <row r="48604" s="3161" customFormat="1" ht="12.75"/>
    <row r="48605" s="3161" customFormat="1" ht="12.75"/>
    <row r="48606" s="3161" customFormat="1" ht="12.75"/>
    <row r="48607" s="3161" customFormat="1" ht="12.75"/>
    <row r="48608" s="3161" customFormat="1" ht="12.75"/>
    <row r="48609" s="3161" customFormat="1" ht="12.75"/>
    <row r="48610" s="3161" customFormat="1" ht="12.75"/>
    <row r="48611" s="3161" customFormat="1" ht="12.75"/>
    <row r="48612" s="3161" customFormat="1" ht="12.75"/>
    <row r="48613" s="3161" customFormat="1" ht="12.75"/>
    <row r="48614" s="3161" customFormat="1" ht="12.75"/>
    <row r="48615" s="3161" customFormat="1" ht="12.75"/>
    <row r="48616" s="3161" customFormat="1" ht="12.75"/>
    <row r="48617" s="3161" customFormat="1" ht="12.75"/>
    <row r="48618" s="3161" customFormat="1" ht="12.75"/>
    <row r="48619" s="3161" customFormat="1" ht="12.75"/>
    <row r="48620" s="3161" customFormat="1" ht="12.75"/>
    <row r="48621" s="3161" customFormat="1" ht="12.75"/>
    <row r="48622" s="3161" customFormat="1" ht="12.75"/>
    <row r="48623" s="3161" customFormat="1" ht="12.75"/>
    <row r="48624" s="3161" customFormat="1" ht="12.75"/>
    <row r="48625" s="3161" customFormat="1" ht="12.75"/>
    <row r="48626" s="3161" customFormat="1" ht="12.75"/>
    <row r="48627" s="3161" customFormat="1" ht="12.75"/>
    <row r="48628" s="3161" customFormat="1" ht="12.75"/>
    <row r="48629" s="3161" customFormat="1" ht="12.75"/>
    <row r="48630" s="3161" customFormat="1" ht="12.75"/>
    <row r="48631" s="3161" customFormat="1" ht="12.75"/>
    <row r="48632" s="3161" customFormat="1" ht="12.75"/>
    <row r="48633" s="3161" customFormat="1" ht="12.75"/>
    <row r="48634" s="3161" customFormat="1" ht="12.75"/>
    <row r="48635" s="3161" customFormat="1" ht="12.75"/>
    <row r="48636" s="3161" customFormat="1" ht="12.75"/>
    <row r="48637" s="3161" customFormat="1" ht="12.75"/>
    <row r="48638" s="3161" customFormat="1" ht="12.75"/>
    <row r="48639" s="3161" customFormat="1" ht="12.75"/>
    <row r="48640" s="3161" customFormat="1" ht="12.75"/>
    <row r="48641" s="3161" customFormat="1" ht="12.75"/>
    <row r="48642" s="3161" customFormat="1" ht="12.75"/>
    <row r="48643" s="3161" customFormat="1" ht="12.75"/>
    <row r="48644" s="3161" customFormat="1" ht="12.75"/>
    <row r="48645" s="3161" customFormat="1" ht="12.75"/>
    <row r="48646" s="3161" customFormat="1" ht="12.75"/>
    <row r="48647" s="3161" customFormat="1" ht="12.75"/>
    <row r="48648" s="3161" customFormat="1" ht="12.75"/>
    <row r="48649" s="3161" customFormat="1" ht="12.75"/>
    <row r="48650" s="3161" customFormat="1" ht="12.75"/>
    <row r="48651" s="3161" customFormat="1" ht="12.75"/>
    <row r="48652" s="3161" customFormat="1" ht="12.75"/>
    <row r="48653" s="3161" customFormat="1" ht="12.75"/>
    <row r="48654" s="3161" customFormat="1" ht="12.75"/>
    <row r="48655" s="3161" customFormat="1" ht="12.75"/>
    <row r="48656" s="3161" customFormat="1" ht="12.75"/>
    <row r="48657" s="3161" customFormat="1" ht="12.75"/>
    <row r="48658" s="3161" customFormat="1" ht="12.75"/>
    <row r="48659" s="3161" customFormat="1" ht="12.75"/>
    <row r="48660" s="3161" customFormat="1" ht="12.75"/>
    <row r="48661" s="3161" customFormat="1" ht="12.75"/>
    <row r="48662" s="3161" customFormat="1" ht="12.75"/>
    <row r="48663" s="3161" customFormat="1" ht="12.75"/>
    <row r="48664" s="3161" customFormat="1" ht="12.75"/>
    <row r="48665" s="3161" customFormat="1" ht="12.75"/>
    <row r="48666" s="3161" customFormat="1" ht="12.75"/>
    <row r="48667" s="3161" customFormat="1" ht="12.75"/>
    <row r="48668" s="3161" customFormat="1" ht="12.75"/>
    <row r="48669" s="3161" customFormat="1" ht="12.75"/>
    <row r="48670" s="3161" customFormat="1" ht="12.75"/>
    <row r="48671" s="3161" customFormat="1" ht="12.75"/>
    <row r="48672" s="3161" customFormat="1" ht="12.75"/>
    <row r="48673" s="3161" customFormat="1" ht="12.75"/>
    <row r="48674" s="3161" customFormat="1" ht="12.75"/>
    <row r="48675" s="3161" customFormat="1" ht="12.75"/>
    <row r="48676" s="3161" customFormat="1" ht="12.75"/>
    <row r="48677" s="3161" customFormat="1" ht="12.75"/>
    <row r="48678" s="3161" customFormat="1" ht="12.75"/>
    <row r="48679" s="3161" customFormat="1" ht="12.75"/>
    <row r="48680" s="3161" customFormat="1" ht="12.75"/>
    <row r="48681" s="3161" customFormat="1" ht="12.75"/>
    <row r="48682" s="3161" customFormat="1" ht="12.75"/>
    <row r="48683" s="3161" customFormat="1" ht="12.75"/>
    <row r="48684" s="3161" customFormat="1" ht="12.75"/>
    <row r="48685" s="3161" customFormat="1" ht="12.75"/>
    <row r="48686" s="3161" customFormat="1" ht="12.75"/>
    <row r="48687" s="3161" customFormat="1" ht="12.75"/>
    <row r="48688" s="3161" customFormat="1" ht="12.75"/>
    <row r="48689" s="3161" customFormat="1" ht="12.75"/>
    <row r="48690" s="3161" customFormat="1" ht="12.75"/>
    <row r="48691" s="3161" customFormat="1" ht="12.75"/>
    <row r="48692" s="3161" customFormat="1" ht="12.75"/>
    <row r="48693" s="3161" customFormat="1" ht="12.75"/>
    <row r="48694" s="3161" customFormat="1" ht="12.75"/>
    <row r="48695" s="3161" customFormat="1" ht="12.75"/>
    <row r="48696" s="3161" customFormat="1" ht="12.75"/>
    <row r="48697" s="3161" customFormat="1" ht="12.75"/>
    <row r="48698" s="3161" customFormat="1" ht="12.75"/>
    <row r="48699" s="3161" customFormat="1" ht="12.75"/>
    <row r="48700" s="3161" customFormat="1" ht="12.75"/>
    <row r="48701" s="3161" customFormat="1" ht="12.75"/>
    <row r="48702" s="3161" customFormat="1" ht="12.75"/>
    <row r="48703" s="3161" customFormat="1" ht="12.75"/>
    <row r="48704" s="3161" customFormat="1" ht="12.75"/>
    <row r="48705" s="3161" customFormat="1" ht="12.75"/>
    <row r="48706" s="3161" customFormat="1" ht="12.75"/>
    <row r="48707" s="3161" customFormat="1" ht="12.75"/>
    <row r="48708" s="3161" customFormat="1" ht="12.75"/>
    <row r="48709" s="3161" customFormat="1" ht="12.75"/>
    <row r="48710" s="3161" customFormat="1" ht="12.75"/>
    <row r="48711" s="3161" customFormat="1" ht="12.75"/>
    <row r="48712" s="3161" customFormat="1" ht="12.75"/>
    <row r="48713" s="3161" customFormat="1" ht="12.75"/>
    <row r="48714" s="3161" customFormat="1" ht="12.75"/>
    <row r="48715" s="3161" customFormat="1" ht="12.75"/>
    <row r="48716" s="3161" customFormat="1" ht="12.75"/>
    <row r="48717" s="3161" customFormat="1" ht="12.75"/>
    <row r="48718" s="3161" customFormat="1" ht="12.75"/>
    <row r="48719" s="3161" customFormat="1" ht="12.75"/>
    <row r="48720" s="3161" customFormat="1" ht="12.75"/>
    <row r="48721" s="3161" customFormat="1" ht="12.75"/>
    <row r="48722" s="3161" customFormat="1" ht="12.75"/>
    <row r="48723" s="3161" customFormat="1" ht="12.75"/>
    <row r="48724" s="3161" customFormat="1" ht="12.75"/>
    <row r="48725" s="3161" customFormat="1" ht="12.75"/>
    <row r="48726" s="3161" customFormat="1" ht="12.75"/>
    <row r="48727" s="3161" customFormat="1" ht="12.75"/>
    <row r="48728" s="3161" customFormat="1" ht="12.75"/>
    <row r="48729" s="3161" customFormat="1" ht="12.75"/>
    <row r="48730" s="3161" customFormat="1" ht="12.75"/>
    <row r="48731" s="3161" customFormat="1" ht="12.75"/>
    <row r="48732" s="3161" customFormat="1" ht="12.75"/>
    <row r="48733" s="3161" customFormat="1" ht="12.75"/>
    <row r="48734" s="3161" customFormat="1" ht="12.75"/>
    <row r="48735" s="3161" customFormat="1" ht="12.75"/>
    <row r="48736" s="3161" customFormat="1" ht="12.75"/>
    <row r="48737" s="3161" customFormat="1" ht="12.75"/>
    <row r="48738" s="3161" customFormat="1" ht="12.75"/>
    <row r="48739" s="3161" customFormat="1" ht="12.75"/>
    <row r="48740" s="3161" customFormat="1" ht="12.75"/>
    <row r="48741" s="3161" customFormat="1" ht="12.75"/>
    <row r="48742" s="3161" customFormat="1" ht="12.75"/>
    <row r="48743" s="3161" customFormat="1" ht="12.75"/>
    <row r="48744" s="3161" customFormat="1" ht="12.75"/>
    <row r="48745" s="3161" customFormat="1" ht="12.75"/>
    <row r="48746" s="3161" customFormat="1" ht="12.75"/>
    <row r="48747" s="3161" customFormat="1" ht="12.75"/>
    <row r="48748" s="3161" customFormat="1" ht="12.75"/>
    <row r="48749" s="3161" customFormat="1" ht="12.75"/>
    <row r="48750" s="3161" customFormat="1" ht="12.75"/>
    <row r="48751" s="3161" customFormat="1" ht="12.75"/>
    <row r="48752" s="3161" customFormat="1" ht="12.75"/>
    <row r="48753" s="3161" customFormat="1" ht="12.75"/>
    <row r="48754" s="3161" customFormat="1" ht="12.75"/>
    <row r="48755" s="3161" customFormat="1" ht="12.75"/>
    <row r="48756" s="3161" customFormat="1" ht="12.75"/>
    <row r="48757" s="3161" customFormat="1" ht="12.75"/>
    <row r="48758" s="3161" customFormat="1" ht="12.75"/>
    <row r="48759" s="3161" customFormat="1" ht="12.75"/>
    <row r="48760" s="3161" customFormat="1" ht="12.75"/>
    <row r="48761" s="3161" customFormat="1" ht="12.75"/>
    <row r="48762" s="3161" customFormat="1" ht="12.75"/>
    <row r="48763" s="3161" customFormat="1" ht="12.75"/>
    <row r="48764" s="3161" customFormat="1" ht="12.75"/>
    <row r="48765" s="3161" customFormat="1" ht="12.75"/>
    <row r="48766" s="3161" customFormat="1" ht="12.75"/>
    <row r="48767" s="3161" customFormat="1" ht="12.75"/>
    <row r="48768" s="3161" customFormat="1" ht="12.75"/>
    <row r="48769" s="3161" customFormat="1" ht="12.75"/>
    <row r="48770" s="3161" customFormat="1" ht="12.75"/>
    <row r="48771" s="3161" customFormat="1" ht="12.75"/>
    <row r="48772" s="3161" customFormat="1" ht="12.75"/>
    <row r="48773" s="3161" customFormat="1" ht="12.75"/>
    <row r="48774" s="3161" customFormat="1" ht="12.75"/>
    <row r="48775" s="3161" customFormat="1" ht="12.75"/>
    <row r="48776" s="3161" customFormat="1" ht="12.75"/>
    <row r="48777" s="3161" customFormat="1" ht="12.75"/>
    <row r="48778" s="3161" customFormat="1" ht="12.75"/>
    <row r="48779" s="3161" customFormat="1" ht="12.75"/>
    <row r="48780" s="3161" customFormat="1" ht="12.75"/>
    <row r="48781" s="3161" customFormat="1" ht="12.75"/>
    <row r="48782" s="3161" customFormat="1" ht="12.75"/>
    <row r="48783" s="3161" customFormat="1" ht="12.75"/>
    <row r="48784" s="3161" customFormat="1" ht="12.75"/>
    <row r="48785" s="3161" customFormat="1" ht="12.75"/>
    <row r="48786" s="3161" customFormat="1" ht="12.75"/>
    <row r="48787" s="3161" customFormat="1" ht="12.75"/>
    <row r="48788" s="3161" customFormat="1" ht="12.75"/>
    <row r="48789" s="3161" customFormat="1" ht="12.75"/>
    <row r="48790" s="3161" customFormat="1" ht="12.75"/>
    <row r="48791" s="3161" customFormat="1" ht="12.75"/>
    <row r="48792" s="3161" customFormat="1" ht="12.75"/>
    <row r="48793" s="3161" customFormat="1" ht="12.75"/>
    <row r="48794" s="3161" customFormat="1" ht="12.75"/>
    <row r="48795" s="3161" customFormat="1" ht="12.75"/>
    <row r="48796" s="3161" customFormat="1" ht="12.75"/>
    <row r="48797" s="3161" customFormat="1" ht="12.75"/>
    <row r="48798" s="3161" customFormat="1" ht="12.75"/>
    <row r="48799" s="3161" customFormat="1" ht="12.75"/>
    <row r="48800" s="3161" customFormat="1" ht="12.75"/>
    <row r="48801" s="3161" customFormat="1" ht="12.75"/>
    <row r="48802" s="3161" customFormat="1" ht="12.75"/>
    <row r="48803" s="3161" customFormat="1" ht="12.75"/>
    <row r="48804" s="3161" customFormat="1" ht="12.75"/>
    <row r="48805" s="3161" customFormat="1" ht="12.75"/>
    <row r="48806" s="3161" customFormat="1" ht="12.75"/>
    <row r="48807" s="3161" customFormat="1" ht="12.75"/>
    <row r="48808" s="3161" customFormat="1" ht="12.75"/>
    <row r="48809" s="3161" customFormat="1" ht="12.75"/>
    <row r="48810" s="3161" customFormat="1" ht="12.75"/>
    <row r="48811" s="3161" customFormat="1" ht="12.75"/>
    <row r="48812" s="3161" customFormat="1" ht="12.75"/>
    <row r="48813" s="3161" customFormat="1" ht="12.75"/>
    <row r="48814" s="3161" customFormat="1" ht="12.75"/>
    <row r="48815" s="3161" customFormat="1" ht="12.75"/>
    <row r="48816" s="3161" customFormat="1" ht="12.75"/>
    <row r="48817" s="3161" customFormat="1" ht="12.75"/>
    <row r="48818" s="3161" customFormat="1" ht="12.75"/>
    <row r="48819" s="3161" customFormat="1" ht="12.75"/>
    <row r="48820" s="3161" customFormat="1" ht="12.75"/>
    <row r="48821" s="3161" customFormat="1" ht="12.75"/>
    <row r="48822" s="3161" customFormat="1" ht="12.75"/>
    <row r="48823" s="3161" customFormat="1" ht="12.75"/>
    <row r="48824" s="3161" customFormat="1" ht="12.75"/>
    <row r="48825" s="3161" customFormat="1" ht="12.75"/>
    <row r="48826" s="3161" customFormat="1" ht="12.75"/>
    <row r="48827" s="3161" customFormat="1" ht="12.75"/>
    <row r="48828" s="3161" customFormat="1" ht="12.75"/>
    <row r="48829" s="3161" customFormat="1" ht="12.75"/>
    <row r="48830" s="3161" customFormat="1" ht="12.75"/>
    <row r="48831" s="3161" customFormat="1" ht="12.75"/>
    <row r="48832" s="3161" customFormat="1" ht="12.75"/>
    <row r="48833" s="3161" customFormat="1" ht="12.75"/>
    <row r="48834" s="3161" customFormat="1" ht="12.75"/>
    <row r="48835" s="3161" customFormat="1" ht="12.75"/>
    <row r="48836" s="3161" customFormat="1" ht="12.75"/>
    <row r="48837" s="3161" customFormat="1" ht="12.75"/>
    <row r="48838" s="3161" customFormat="1" ht="12.75"/>
    <row r="48839" s="3161" customFormat="1" ht="12.75"/>
    <row r="48840" s="3161" customFormat="1" ht="12.75"/>
    <row r="48841" s="3161" customFormat="1" ht="12.75"/>
    <row r="48842" s="3161" customFormat="1" ht="12.75"/>
    <row r="48843" s="3161" customFormat="1" ht="12.75"/>
    <row r="48844" s="3161" customFormat="1" ht="12.75"/>
    <row r="48845" s="3161" customFormat="1" ht="12.75"/>
    <row r="48846" s="3161" customFormat="1" ht="12.75"/>
    <row r="48847" s="3161" customFormat="1" ht="12.75"/>
    <row r="48848" s="3161" customFormat="1" ht="12.75"/>
    <row r="48849" s="3161" customFormat="1" ht="12.75"/>
    <row r="48850" s="3161" customFormat="1" ht="12.75"/>
    <row r="48851" s="3161" customFormat="1" ht="12.75"/>
    <row r="48852" s="3161" customFormat="1" ht="12.75"/>
    <row r="48853" s="3161" customFormat="1" ht="12.75"/>
    <row r="48854" s="3161" customFormat="1" ht="12.75"/>
    <row r="48855" s="3161" customFormat="1" ht="12.75"/>
    <row r="48856" s="3161" customFormat="1" ht="12.75"/>
    <row r="48857" s="3161" customFormat="1" ht="12.75"/>
    <row r="48858" s="3161" customFormat="1" ht="12.75"/>
    <row r="48859" s="3161" customFormat="1" ht="12.75"/>
    <row r="48860" s="3161" customFormat="1" ht="12.75"/>
    <row r="48861" s="3161" customFormat="1" ht="12.75"/>
    <row r="48862" s="3161" customFormat="1" ht="12.75"/>
    <row r="48863" s="3161" customFormat="1" ht="12.75"/>
    <row r="48864" s="3161" customFormat="1" ht="12.75"/>
    <row r="48865" s="3161" customFormat="1" ht="12.75"/>
    <row r="48866" s="3161" customFormat="1" ht="12.75"/>
    <row r="48867" s="3161" customFormat="1" ht="12.75"/>
    <row r="48868" s="3161" customFormat="1" ht="12.75"/>
    <row r="48869" s="3161" customFormat="1" ht="12.75"/>
    <row r="48870" s="3161" customFormat="1" ht="12.75"/>
    <row r="48871" s="3161" customFormat="1" ht="12.75"/>
    <row r="48872" s="3161" customFormat="1" ht="12.75"/>
    <row r="48873" s="3161" customFormat="1" ht="12.75"/>
    <row r="48874" s="3161" customFormat="1" ht="12.75"/>
    <row r="48875" s="3161" customFormat="1" ht="12.75"/>
    <row r="48876" s="3161" customFormat="1" ht="12.75"/>
    <row r="48877" s="3161" customFormat="1" ht="12.75"/>
    <row r="48878" s="3161" customFormat="1" ht="12.75"/>
    <row r="48879" s="3161" customFormat="1" ht="12.75"/>
    <row r="48880" s="3161" customFormat="1" ht="12.75"/>
    <row r="48881" s="3161" customFormat="1" ht="12.75"/>
    <row r="48882" s="3161" customFormat="1" ht="12.75"/>
    <row r="48883" s="3161" customFormat="1" ht="12.75"/>
    <row r="48884" s="3161" customFormat="1" ht="12.75"/>
    <row r="48885" s="3161" customFormat="1" ht="12.75"/>
    <row r="48886" s="3161" customFormat="1" ht="12.75"/>
    <row r="48887" s="3161" customFormat="1" ht="12.75"/>
    <row r="48888" s="3161" customFormat="1" ht="12.75"/>
    <row r="48889" s="3161" customFormat="1" ht="12.75"/>
    <row r="48890" s="3161" customFormat="1" ht="12.75"/>
    <row r="48891" s="3161" customFormat="1" ht="12.75"/>
    <row r="48892" s="3161" customFormat="1" ht="12.75"/>
    <row r="48893" s="3161" customFormat="1" ht="12.75"/>
    <row r="48894" s="3161" customFormat="1" ht="12.75"/>
    <row r="48895" s="3161" customFormat="1" ht="12.75"/>
    <row r="48896" s="3161" customFormat="1" ht="12.75"/>
    <row r="48897" s="3161" customFormat="1" ht="12.75"/>
    <row r="48898" s="3161" customFormat="1" ht="12.75"/>
    <row r="48899" s="3161" customFormat="1" ht="12.75"/>
    <row r="48900" s="3161" customFormat="1" ht="12.75"/>
    <row r="48901" s="3161" customFormat="1" ht="12.75"/>
    <row r="48902" s="3161" customFormat="1" ht="12.75"/>
    <row r="48903" s="3161" customFormat="1" ht="12.75"/>
    <row r="48904" s="3161" customFormat="1" ht="12.75"/>
    <row r="48905" s="3161" customFormat="1" ht="12.75"/>
    <row r="48906" s="3161" customFormat="1" ht="12.75"/>
    <row r="48907" s="3161" customFormat="1" ht="12.75"/>
    <row r="48908" s="3161" customFormat="1" ht="12.75"/>
    <row r="48909" s="3161" customFormat="1" ht="12.75"/>
    <row r="48910" s="3161" customFormat="1" ht="12.75"/>
    <row r="48911" s="3161" customFormat="1" ht="12.75"/>
    <row r="48912" s="3161" customFormat="1" ht="12.75"/>
    <row r="48913" s="3161" customFormat="1" ht="12.75"/>
    <row r="48914" s="3161" customFormat="1" ht="12.75"/>
    <row r="48915" s="3161" customFormat="1" ht="12.75"/>
    <row r="48916" s="3161" customFormat="1" ht="12.75"/>
    <row r="48917" s="3161" customFormat="1" ht="12.75"/>
    <row r="48918" s="3161" customFormat="1" ht="12.75"/>
    <row r="48919" s="3161" customFormat="1" ht="12.75"/>
    <row r="48920" s="3161" customFormat="1" ht="12.75"/>
    <row r="48921" s="3161" customFormat="1" ht="12.75"/>
    <row r="48922" s="3161" customFormat="1" ht="12.75"/>
    <row r="48923" s="3161" customFormat="1" ht="12.75"/>
    <row r="48924" s="3161" customFormat="1" ht="12.75"/>
    <row r="48925" s="3161" customFormat="1" ht="12.75"/>
    <row r="48926" s="3161" customFormat="1" ht="12.75"/>
    <row r="48927" s="3161" customFormat="1" ht="12.75"/>
    <row r="48928" s="3161" customFormat="1" ht="12.75"/>
    <row r="48929" s="3161" customFormat="1" ht="12.75"/>
    <row r="48930" s="3161" customFormat="1" ht="12.75"/>
    <row r="48931" s="3161" customFormat="1" ht="12.75"/>
    <row r="48932" s="3161" customFormat="1" ht="12.75"/>
    <row r="48933" s="3161" customFormat="1" ht="12.75"/>
    <row r="48934" s="3161" customFormat="1" ht="12.75"/>
    <row r="48935" s="3161" customFormat="1" ht="12.75"/>
    <row r="48936" s="3161" customFormat="1" ht="12.75"/>
    <row r="48937" s="3161" customFormat="1" ht="12.75"/>
    <row r="48938" s="3161" customFormat="1" ht="12.75"/>
    <row r="48939" s="3161" customFormat="1" ht="12.75"/>
    <row r="48940" s="3161" customFormat="1" ht="12.75"/>
    <row r="48941" s="3161" customFormat="1" ht="12.75"/>
    <row r="48942" s="3161" customFormat="1" ht="12.75"/>
    <row r="48943" s="3161" customFormat="1" ht="12.75"/>
    <row r="48944" s="3161" customFormat="1" ht="12.75"/>
    <row r="48945" s="3161" customFormat="1" ht="12.75"/>
    <row r="48946" s="3161" customFormat="1" ht="12.75"/>
    <row r="48947" s="3161" customFormat="1" ht="12.75"/>
    <row r="48948" s="3161" customFormat="1" ht="12.75"/>
    <row r="48949" s="3161" customFormat="1" ht="12.75"/>
    <row r="48950" s="3161" customFormat="1" ht="12.75"/>
    <row r="48951" s="3161" customFormat="1" ht="12.75"/>
    <row r="48952" s="3161" customFormat="1" ht="12.75"/>
    <row r="48953" s="3161" customFormat="1" ht="12.75"/>
    <row r="48954" s="3161" customFormat="1" ht="12.75"/>
    <row r="48955" s="3161" customFormat="1" ht="12.75"/>
    <row r="48956" s="3161" customFormat="1" ht="12.75"/>
    <row r="48957" s="3161" customFormat="1" ht="12.75"/>
    <row r="48958" s="3161" customFormat="1" ht="12.75"/>
    <row r="48959" s="3161" customFormat="1" ht="12.75"/>
    <row r="48960" s="3161" customFormat="1" ht="12.75"/>
    <row r="48961" s="3161" customFormat="1" ht="12.75"/>
    <row r="48962" s="3161" customFormat="1" ht="12.75"/>
    <row r="48963" s="3161" customFormat="1" ht="12.75"/>
    <row r="48964" s="3161" customFormat="1" ht="12.75"/>
    <row r="48965" s="3161" customFormat="1" ht="12.75"/>
    <row r="48966" s="3161" customFormat="1" ht="12.75"/>
    <row r="48967" s="3161" customFormat="1" ht="12.75"/>
    <row r="48968" s="3161" customFormat="1" ht="12.75"/>
    <row r="48969" s="3161" customFormat="1" ht="12.75"/>
    <row r="48970" s="3161" customFormat="1" ht="12.75"/>
    <row r="48971" s="3161" customFormat="1" ht="12.75"/>
    <row r="48972" s="3161" customFormat="1" ht="12.75"/>
    <row r="48973" s="3161" customFormat="1" ht="12.75"/>
    <row r="48974" s="3161" customFormat="1" ht="12.75"/>
    <row r="48975" s="3161" customFormat="1" ht="12.75"/>
    <row r="48976" s="3161" customFormat="1" ht="12.75"/>
    <row r="48977" s="3161" customFormat="1" ht="12.75"/>
    <row r="48978" s="3161" customFormat="1" ht="12.75"/>
    <row r="48979" s="3161" customFormat="1" ht="12.75"/>
    <row r="48980" s="3161" customFormat="1" ht="12.75"/>
    <row r="48981" s="3161" customFormat="1" ht="12.75"/>
    <row r="48982" s="3161" customFormat="1" ht="12.75"/>
    <row r="48983" s="3161" customFormat="1" ht="12.75"/>
    <row r="48984" s="3161" customFormat="1" ht="12.75"/>
    <row r="48985" s="3161" customFormat="1" ht="12.75"/>
    <row r="48986" s="3161" customFormat="1" ht="12.75"/>
    <row r="48987" s="3161" customFormat="1" ht="12.75"/>
    <row r="48988" s="3161" customFormat="1" ht="12.75"/>
    <row r="48989" s="3161" customFormat="1" ht="12.75"/>
    <row r="48990" s="3161" customFormat="1" ht="12.75"/>
    <row r="48991" s="3161" customFormat="1" ht="12.75"/>
    <row r="48992" s="3161" customFormat="1" ht="12.75"/>
    <row r="48993" s="3161" customFormat="1" ht="12.75"/>
    <row r="48994" s="3161" customFormat="1" ht="12.75"/>
    <row r="48995" s="3161" customFormat="1" ht="12.75"/>
    <row r="48996" s="3161" customFormat="1" ht="12.75"/>
    <row r="48997" s="3161" customFormat="1" ht="12.75"/>
    <row r="48998" s="3161" customFormat="1" ht="12.75"/>
    <row r="48999" s="3161" customFormat="1" ht="12.75"/>
    <row r="49000" s="3161" customFormat="1" ht="12.75"/>
    <row r="49001" s="3161" customFormat="1" ht="12.75"/>
    <row r="49002" s="3161" customFormat="1" ht="12.75"/>
    <row r="49003" s="3161" customFormat="1" ht="12.75"/>
    <row r="49004" s="3161" customFormat="1" ht="12.75"/>
    <row r="49005" s="3161" customFormat="1" ht="12.75"/>
    <row r="49006" s="3161" customFormat="1" ht="12.75"/>
    <row r="49007" s="3161" customFormat="1" ht="12.75"/>
    <row r="49008" s="3161" customFormat="1" ht="12.75"/>
    <row r="49009" s="3161" customFormat="1" ht="12.75"/>
    <row r="49010" s="3161" customFormat="1" ht="12.75"/>
    <row r="49011" s="3161" customFormat="1" ht="12.75"/>
    <row r="49012" s="3161" customFormat="1" ht="12.75"/>
    <row r="49013" s="3161" customFormat="1" ht="12.75"/>
    <row r="49014" s="3161" customFormat="1" ht="12.75"/>
    <row r="49015" s="3161" customFormat="1" ht="12.75"/>
    <row r="49016" s="3161" customFormat="1" ht="12.75"/>
    <row r="49017" s="3161" customFormat="1" ht="12.75"/>
    <row r="49018" s="3161" customFormat="1" ht="12.75"/>
    <row r="49019" s="3161" customFormat="1" ht="12.75"/>
    <row r="49020" s="3161" customFormat="1" ht="12.75"/>
    <row r="49021" s="3161" customFormat="1" ht="12.75"/>
    <row r="49022" s="3161" customFormat="1" ht="12.75"/>
    <row r="49023" s="3161" customFormat="1" ht="12.75"/>
    <row r="49024" s="3161" customFormat="1" ht="12.75"/>
    <row r="49025" s="3161" customFormat="1" ht="12.75"/>
    <row r="49026" s="3161" customFormat="1" ht="12.75"/>
    <row r="49027" s="3161" customFormat="1" ht="12.75"/>
    <row r="49028" s="3161" customFormat="1" ht="12.75"/>
    <row r="49029" s="3161" customFormat="1" ht="12.75"/>
    <row r="49030" s="3161" customFormat="1" ht="12.75"/>
    <row r="49031" s="3161" customFormat="1" ht="12.75"/>
    <row r="49032" s="3161" customFormat="1" ht="12.75"/>
    <row r="49033" s="3161" customFormat="1" ht="12.75"/>
    <row r="49034" s="3161" customFormat="1" ht="12.75"/>
    <row r="49035" s="3161" customFormat="1" ht="12.75"/>
    <row r="49036" s="3161" customFormat="1" ht="12.75"/>
    <row r="49037" s="3161" customFormat="1" ht="12.75"/>
    <row r="49038" s="3161" customFormat="1" ht="12.75"/>
    <row r="49039" s="3161" customFormat="1" ht="12.75"/>
    <row r="49040" s="3161" customFormat="1" ht="12.75"/>
    <row r="49041" s="3161" customFormat="1" ht="12.75"/>
    <row r="49042" s="3161" customFormat="1" ht="12.75"/>
    <row r="49043" s="3161" customFormat="1" ht="12.75"/>
    <row r="49044" s="3161" customFormat="1" ht="12.75"/>
    <row r="49045" s="3161" customFormat="1" ht="12.75"/>
    <row r="49046" s="3161" customFormat="1" ht="12.75"/>
    <row r="49047" s="3161" customFormat="1" ht="12.75"/>
    <row r="49048" s="3161" customFormat="1" ht="12.75"/>
    <row r="49049" s="3161" customFormat="1" ht="12.75"/>
    <row r="49050" s="3161" customFormat="1" ht="12.75"/>
    <row r="49051" s="3161" customFormat="1" ht="12.75"/>
    <row r="49052" s="3161" customFormat="1" ht="12.75"/>
    <row r="49053" s="3161" customFormat="1" ht="12.75"/>
    <row r="49054" s="3161" customFormat="1" ht="12.75"/>
    <row r="49055" s="3161" customFormat="1" ht="12.75"/>
    <row r="49056" s="3161" customFormat="1" ht="12.75"/>
    <row r="49057" s="3161" customFormat="1" ht="12.75"/>
    <row r="49058" s="3161" customFormat="1" ht="12.75"/>
    <row r="49059" s="3161" customFormat="1" ht="12.75"/>
    <row r="49060" s="3161" customFormat="1" ht="12.75"/>
    <row r="49061" s="3161" customFormat="1" ht="12.75"/>
    <row r="49062" s="3161" customFormat="1" ht="12.75"/>
    <row r="49063" s="3161" customFormat="1" ht="12.75"/>
    <row r="49064" s="3161" customFormat="1" ht="12.75"/>
    <row r="49065" s="3161" customFormat="1" ht="12.75"/>
    <row r="49066" s="3161" customFormat="1" ht="12.75"/>
    <row r="49067" s="3161" customFormat="1" ht="12.75"/>
    <row r="49068" s="3161" customFormat="1" ht="12.75"/>
    <row r="49069" s="3161" customFormat="1" ht="12.75"/>
    <row r="49070" s="3161" customFormat="1" ht="12.75"/>
    <row r="49071" s="3161" customFormat="1" ht="12.75"/>
    <row r="49072" s="3161" customFormat="1" ht="12.75"/>
    <row r="49073" s="3161" customFormat="1" ht="12.75"/>
    <row r="49074" s="3161" customFormat="1" ht="12.75"/>
    <row r="49075" s="3161" customFormat="1" ht="12.75"/>
    <row r="49076" s="3161" customFormat="1" ht="12.75"/>
    <row r="49077" s="3161" customFormat="1" ht="12.75"/>
    <row r="49078" s="3161" customFormat="1" ht="12.75"/>
    <row r="49079" s="3161" customFormat="1" ht="12.75"/>
    <row r="49080" s="3161" customFormat="1" ht="12.75"/>
    <row r="49081" s="3161" customFormat="1" ht="12.75"/>
    <row r="49082" s="3161" customFormat="1" ht="12.75"/>
    <row r="49083" s="3161" customFormat="1" ht="12.75"/>
    <row r="49084" s="3161" customFormat="1" ht="12.75"/>
    <row r="49085" s="3161" customFormat="1" ht="12.75"/>
    <row r="49086" s="3161" customFormat="1" ht="12.75"/>
    <row r="49087" s="3161" customFormat="1" ht="12.75"/>
    <row r="49088" s="3161" customFormat="1" ht="12.75"/>
    <row r="49089" s="3161" customFormat="1" ht="12.75"/>
    <row r="49090" s="3161" customFormat="1" ht="12.75"/>
    <row r="49091" s="3161" customFormat="1" ht="12.75"/>
    <row r="49092" s="3161" customFormat="1" ht="12.75"/>
    <row r="49093" s="3161" customFormat="1" ht="12.75"/>
    <row r="49094" s="3161" customFormat="1" ht="12.75"/>
    <row r="49095" s="3161" customFormat="1" ht="12.75"/>
    <row r="49096" s="3161" customFormat="1" ht="12.75"/>
    <row r="49097" s="3161" customFormat="1" ht="12.75"/>
    <row r="49098" s="3161" customFormat="1" ht="12.75"/>
    <row r="49099" s="3161" customFormat="1" ht="12.75"/>
    <row r="49100" s="3161" customFormat="1" ht="12.75"/>
    <row r="49101" s="3161" customFormat="1" ht="12.75"/>
    <row r="49102" s="3161" customFormat="1" ht="12.75"/>
    <row r="49103" s="3161" customFormat="1" ht="12.75"/>
    <row r="49104" s="3161" customFormat="1" ht="12.75"/>
    <row r="49105" s="3161" customFormat="1" ht="12.75"/>
    <row r="49106" s="3161" customFormat="1" ht="12.75"/>
    <row r="49107" s="3161" customFormat="1" ht="12.75"/>
    <row r="49108" s="3161" customFormat="1" ht="12.75"/>
    <row r="49109" s="3161" customFormat="1" ht="12.75"/>
    <row r="49110" s="3161" customFormat="1" ht="12.75"/>
    <row r="49111" s="3161" customFormat="1" ht="12.75"/>
    <row r="49112" s="3161" customFormat="1" ht="12.75"/>
    <row r="49113" s="3161" customFormat="1" ht="12.75"/>
    <row r="49114" s="3161" customFormat="1" ht="12.75"/>
    <row r="49115" s="3161" customFormat="1" ht="12.75"/>
    <row r="49116" s="3161" customFormat="1" ht="12.75"/>
    <row r="49117" s="3161" customFormat="1" ht="12.75"/>
    <row r="49118" s="3161" customFormat="1" ht="12.75"/>
    <row r="49119" s="3161" customFormat="1" ht="12.75"/>
    <row r="49120" s="3161" customFormat="1" ht="12.75"/>
    <row r="49121" s="3161" customFormat="1" ht="12.75"/>
    <row r="49122" s="3161" customFormat="1" ht="12.75"/>
    <row r="49123" s="3161" customFormat="1" ht="12.75"/>
    <row r="49124" s="3161" customFormat="1" ht="12.75"/>
    <row r="49125" s="3161" customFormat="1" ht="12.75"/>
    <row r="49126" s="3161" customFormat="1" ht="12.75"/>
    <row r="49127" s="3161" customFormat="1" ht="12.75"/>
    <row r="49128" s="3161" customFormat="1" ht="12.75"/>
    <row r="49129" s="3161" customFormat="1" ht="12.75"/>
    <row r="49130" s="3161" customFormat="1" ht="12.75"/>
    <row r="49131" s="3161" customFormat="1" ht="12.75"/>
    <row r="49132" s="3161" customFormat="1" ht="12.75"/>
    <row r="49133" s="3161" customFormat="1" ht="12.75"/>
    <row r="49134" s="3161" customFormat="1" ht="12.75"/>
    <row r="49135" s="3161" customFormat="1" ht="12.75"/>
    <row r="49136" s="3161" customFormat="1" ht="12.75"/>
    <row r="49137" s="3161" customFormat="1" ht="12.75"/>
    <row r="49138" s="3161" customFormat="1" ht="12.75"/>
    <row r="49139" s="3161" customFormat="1" ht="12.75"/>
    <row r="49140" s="3161" customFormat="1" ht="12.75"/>
    <row r="49141" s="3161" customFormat="1" ht="12.75"/>
    <row r="49142" s="3161" customFormat="1" ht="12.75"/>
    <row r="49143" s="3161" customFormat="1" ht="12.75"/>
    <row r="49144" s="3161" customFormat="1" ht="12.75"/>
    <row r="49145" s="3161" customFormat="1" ht="12.75"/>
    <row r="49146" s="3161" customFormat="1" ht="12.75"/>
    <row r="49147" s="3161" customFormat="1" ht="12.75"/>
    <row r="49148" s="3161" customFormat="1" ht="12.75"/>
    <row r="49149" s="3161" customFormat="1" ht="12.75"/>
    <row r="49150" s="3161" customFormat="1" ht="12.75"/>
    <row r="49151" s="3161" customFormat="1" ht="12.75"/>
    <row r="49152" s="3161" customFormat="1" ht="12.75"/>
    <row r="49153" s="3161" customFormat="1" ht="12.75"/>
    <row r="49154" s="3161" customFormat="1" ht="12.75"/>
    <row r="49155" s="3161" customFormat="1" ht="12.75"/>
    <row r="49156" s="3161" customFormat="1" ht="12.75"/>
    <row r="49157" s="3161" customFormat="1" ht="12.75"/>
    <row r="49158" s="3161" customFormat="1" ht="12.75"/>
    <row r="49159" s="3161" customFormat="1" ht="12.75"/>
    <row r="49160" s="3161" customFormat="1" ht="12.75"/>
    <row r="49161" s="3161" customFormat="1" ht="12.75"/>
    <row r="49162" s="3161" customFormat="1" ht="12.75"/>
    <row r="49163" s="3161" customFormat="1" ht="12.75"/>
    <row r="49164" s="3161" customFormat="1" ht="12.75"/>
    <row r="49165" s="3161" customFormat="1" ht="12.75"/>
    <row r="49166" s="3161" customFormat="1" ht="12.75"/>
    <row r="49167" s="3161" customFormat="1" ht="12.75"/>
    <row r="49168" s="3161" customFormat="1" ht="12.75"/>
    <row r="49169" s="3161" customFormat="1" ht="12.75"/>
    <row r="49170" s="3161" customFormat="1" ht="12.75"/>
    <row r="49171" s="3161" customFormat="1" ht="12.75"/>
    <row r="49172" s="3161" customFormat="1" ht="12.75"/>
    <row r="49173" s="3161" customFormat="1" ht="12.75"/>
    <row r="49174" s="3161" customFormat="1" ht="12.75"/>
    <row r="49175" s="3161" customFormat="1" ht="12.75"/>
    <row r="49176" s="3161" customFormat="1" ht="12.75"/>
    <row r="49177" s="3161" customFormat="1" ht="12.75"/>
    <row r="49178" s="3161" customFormat="1" ht="12.75"/>
    <row r="49179" s="3161" customFormat="1" ht="12.75"/>
    <row r="49180" s="3161" customFormat="1" ht="12.75"/>
    <row r="49181" s="3161" customFormat="1" ht="12.75"/>
    <row r="49182" s="3161" customFormat="1" ht="12.75"/>
    <row r="49183" s="3161" customFormat="1" ht="12.75"/>
    <row r="49184" s="3161" customFormat="1" ht="12.75"/>
    <row r="49185" s="3161" customFormat="1" ht="12.75"/>
    <row r="49186" s="3161" customFormat="1" ht="12.75"/>
    <row r="49187" s="3161" customFormat="1" ht="12.75"/>
    <row r="49188" s="3161" customFormat="1" ht="12.75"/>
    <row r="49189" s="3161" customFormat="1" ht="12.75"/>
    <row r="49190" s="3161" customFormat="1" ht="12.75"/>
    <row r="49191" s="3161" customFormat="1" ht="12.75"/>
    <row r="49192" s="3161" customFormat="1" ht="12.75"/>
    <row r="49193" s="3161" customFormat="1" ht="12.75"/>
    <row r="49194" s="3161" customFormat="1" ht="12.75"/>
    <row r="49195" s="3161" customFormat="1" ht="12.75"/>
    <row r="49196" s="3161" customFormat="1" ht="12.75"/>
    <row r="49197" s="3161" customFormat="1" ht="12.75"/>
    <row r="49198" s="3161" customFormat="1" ht="12.75"/>
    <row r="49199" s="3161" customFormat="1" ht="12.75"/>
    <row r="49200" s="3161" customFormat="1" ht="12.75"/>
    <row r="49201" s="3161" customFormat="1" ht="12.75"/>
    <row r="49202" s="3161" customFormat="1" ht="12.75"/>
    <row r="49203" s="3161" customFormat="1" ht="12.75"/>
    <row r="49204" s="3161" customFormat="1" ht="12.75"/>
    <row r="49205" s="3161" customFormat="1" ht="12.75"/>
    <row r="49206" s="3161" customFormat="1" ht="12.75"/>
    <row r="49207" s="3161" customFormat="1" ht="12.75"/>
    <row r="49208" s="3161" customFormat="1" ht="12.75"/>
    <row r="49209" s="3161" customFormat="1" ht="12.75"/>
    <row r="49210" s="3161" customFormat="1" ht="12.75"/>
    <row r="49211" s="3161" customFormat="1" ht="12.75"/>
    <row r="49212" s="3161" customFormat="1" ht="12.75"/>
    <row r="49213" s="3161" customFormat="1" ht="12.75"/>
    <row r="49214" s="3161" customFormat="1" ht="12.75"/>
    <row r="49215" s="3161" customFormat="1" ht="12.75"/>
    <row r="49216" s="3161" customFormat="1" ht="12.75"/>
    <row r="49217" s="3161" customFormat="1" ht="12.75"/>
    <row r="49218" s="3161" customFormat="1" ht="12.75"/>
    <row r="49219" s="3161" customFormat="1" ht="12.75"/>
    <row r="49220" s="3161" customFormat="1" ht="12.75"/>
    <row r="49221" s="3161" customFormat="1" ht="12.75"/>
    <row r="49222" s="3161" customFormat="1" ht="12.75"/>
    <row r="49223" s="3161" customFormat="1" ht="12.75"/>
    <row r="49224" s="3161" customFormat="1" ht="12.75"/>
    <row r="49225" s="3161" customFormat="1" ht="12.75"/>
    <row r="49226" s="3161" customFormat="1" ht="12.75"/>
    <row r="49227" s="3161" customFormat="1" ht="12.75"/>
    <row r="49228" s="3161" customFormat="1" ht="12.75"/>
    <row r="49229" s="3161" customFormat="1" ht="12.75"/>
    <row r="49230" s="3161" customFormat="1" ht="12.75"/>
    <row r="49231" s="3161" customFormat="1" ht="12.75"/>
    <row r="49232" s="3161" customFormat="1" ht="12.75"/>
    <row r="49233" s="3161" customFormat="1" ht="12.75"/>
    <row r="49234" s="3161" customFormat="1" ht="12.75"/>
    <row r="49235" s="3161" customFormat="1" ht="12.75"/>
    <row r="49236" s="3161" customFormat="1" ht="12.75"/>
    <row r="49237" s="3161" customFormat="1" ht="12.75"/>
    <row r="49238" s="3161" customFormat="1" ht="12.75"/>
    <row r="49239" s="3161" customFormat="1" ht="12.75"/>
    <row r="49240" s="3161" customFormat="1" ht="12.75"/>
    <row r="49241" s="3161" customFormat="1" ht="12.75"/>
    <row r="49242" s="3161" customFormat="1" ht="12.75"/>
    <row r="49243" s="3161" customFormat="1" ht="12.75"/>
    <row r="49244" s="3161" customFormat="1" ht="12.75"/>
    <row r="49245" s="3161" customFormat="1" ht="12.75"/>
    <row r="49246" s="3161" customFormat="1" ht="12.75"/>
    <row r="49247" s="3161" customFormat="1" ht="12.75"/>
    <row r="49248" s="3161" customFormat="1" ht="12.75"/>
    <row r="49249" s="3161" customFormat="1" ht="12.75"/>
    <row r="49250" s="3161" customFormat="1" ht="12.75"/>
    <row r="49251" s="3161" customFormat="1" ht="12.75"/>
    <row r="49252" s="3161" customFormat="1" ht="12.75"/>
    <row r="49253" s="3161" customFormat="1" ht="12.75"/>
    <row r="49254" s="3161" customFormat="1" ht="12.75"/>
    <row r="49255" s="3161" customFormat="1" ht="12.75"/>
    <row r="49256" s="3161" customFormat="1" ht="12.75"/>
    <row r="49257" s="3161" customFormat="1" ht="12.75"/>
    <row r="49258" s="3161" customFormat="1" ht="12.75"/>
    <row r="49259" s="3161" customFormat="1" ht="12.75"/>
    <row r="49260" s="3161" customFormat="1" ht="12.75"/>
    <row r="49261" s="3161" customFormat="1" ht="12.75"/>
    <row r="49262" s="3161" customFormat="1" ht="12.75"/>
    <row r="49263" s="3161" customFormat="1" ht="12.75"/>
    <row r="49264" s="3161" customFormat="1" ht="12.75"/>
    <row r="49265" s="3161" customFormat="1" ht="12.75"/>
    <row r="49266" s="3161" customFormat="1" ht="12.75"/>
    <row r="49267" s="3161" customFormat="1" ht="12.75"/>
    <row r="49268" s="3161" customFormat="1" ht="12.75"/>
    <row r="49269" s="3161" customFormat="1" ht="12.75"/>
    <row r="49270" s="3161" customFormat="1" ht="12.75"/>
    <row r="49271" s="3161" customFormat="1" ht="12.75"/>
    <row r="49272" s="3161" customFormat="1" ht="12.75"/>
    <row r="49273" s="3161" customFormat="1" ht="12.75"/>
    <row r="49274" s="3161" customFormat="1" ht="12.75"/>
    <row r="49275" s="3161" customFormat="1" ht="12.75"/>
    <row r="49276" s="3161" customFormat="1" ht="12.75"/>
    <row r="49277" s="3161" customFormat="1" ht="12.75"/>
    <row r="49278" s="3161" customFormat="1" ht="12.75"/>
    <row r="49279" s="3161" customFormat="1" ht="12.75"/>
    <row r="49280" s="3161" customFormat="1" ht="12.75"/>
    <row r="49281" s="3161" customFormat="1" ht="12.75"/>
    <row r="49282" s="3161" customFormat="1" ht="12.75"/>
    <row r="49283" s="3161" customFormat="1" ht="12.75"/>
    <row r="49284" s="3161" customFormat="1" ht="12.75"/>
    <row r="49285" s="3161" customFormat="1" ht="12.75"/>
    <row r="49286" s="3161" customFormat="1" ht="12.75"/>
    <row r="49287" s="3161" customFormat="1" ht="12.75"/>
    <row r="49288" s="3161" customFormat="1" ht="12.75"/>
    <row r="49289" s="3161" customFormat="1" ht="12.75"/>
    <row r="49290" s="3161" customFormat="1" ht="12.75"/>
    <row r="49291" s="3161" customFormat="1" ht="12.75"/>
    <row r="49292" s="3161" customFormat="1" ht="12.75"/>
    <row r="49293" s="3161" customFormat="1" ht="12.75"/>
    <row r="49294" s="3161" customFormat="1" ht="12.75"/>
    <row r="49295" s="3161" customFormat="1" ht="12.75"/>
    <row r="49296" s="3161" customFormat="1" ht="12.75"/>
    <row r="49297" s="3161" customFormat="1" ht="12.75"/>
    <row r="49298" s="3161" customFormat="1" ht="12.75"/>
    <row r="49299" s="3161" customFormat="1" ht="12.75"/>
    <row r="49300" s="3161" customFormat="1" ht="12.75"/>
    <row r="49301" s="3161" customFormat="1" ht="12.75"/>
    <row r="49302" s="3161" customFormat="1" ht="12.75"/>
    <row r="49303" s="3161" customFormat="1" ht="12.75"/>
    <row r="49304" s="3161" customFormat="1" ht="12.75"/>
    <row r="49305" s="3161" customFormat="1" ht="12.75"/>
    <row r="49306" s="3161" customFormat="1" ht="12.75"/>
    <row r="49307" s="3161" customFormat="1" ht="12.75"/>
    <row r="49308" s="3161" customFormat="1" ht="12.75"/>
    <row r="49309" s="3161" customFormat="1" ht="12.75"/>
    <row r="49310" s="3161" customFormat="1" ht="12.75"/>
    <row r="49311" s="3161" customFormat="1" ht="12.75"/>
    <row r="49312" s="3161" customFormat="1" ht="12.75"/>
    <row r="49313" s="3161" customFormat="1" ht="12.75"/>
    <row r="49314" s="3161" customFormat="1" ht="12.75"/>
    <row r="49315" s="3161" customFormat="1" ht="12.75"/>
    <row r="49316" s="3161" customFormat="1" ht="12.75"/>
    <row r="49317" s="3161" customFormat="1" ht="12.75"/>
    <row r="49318" s="3161" customFormat="1" ht="12.75"/>
    <row r="49319" s="3161" customFormat="1" ht="12.75"/>
    <row r="49320" s="3161" customFormat="1" ht="12.75"/>
    <row r="49321" s="3161" customFormat="1" ht="12.75"/>
    <row r="49322" s="3161" customFormat="1" ht="12.75"/>
    <row r="49323" s="3161" customFormat="1" ht="12.75"/>
    <row r="49324" s="3161" customFormat="1" ht="12.75"/>
    <row r="49325" s="3161" customFormat="1" ht="12.75"/>
    <row r="49326" s="3161" customFormat="1" ht="12.75"/>
    <row r="49327" s="3161" customFormat="1" ht="12.75"/>
    <row r="49328" s="3161" customFormat="1" ht="12.75"/>
    <row r="49329" s="3161" customFormat="1" ht="12.75"/>
    <row r="49330" s="3161" customFormat="1" ht="12.75"/>
    <row r="49331" s="3161" customFormat="1" ht="12.75"/>
    <row r="49332" s="3161" customFormat="1" ht="12.75"/>
    <row r="49333" s="3161" customFormat="1" ht="12.75"/>
    <row r="49334" s="3161" customFormat="1" ht="12.75"/>
    <row r="49335" s="3161" customFormat="1" ht="12.75"/>
    <row r="49336" s="3161" customFormat="1" ht="12.75"/>
    <row r="49337" s="3161" customFormat="1" ht="12.75"/>
    <row r="49338" s="3161" customFormat="1" ht="12.75"/>
    <row r="49339" s="3161" customFormat="1" ht="12.75"/>
    <row r="49340" s="3161" customFormat="1" ht="12.75"/>
    <row r="49341" s="3161" customFormat="1" ht="12.75"/>
    <row r="49342" s="3161" customFormat="1" ht="12.75"/>
    <row r="49343" s="3161" customFormat="1" ht="12.75"/>
    <row r="49344" s="3161" customFormat="1" ht="12.75"/>
    <row r="49345" s="3161" customFormat="1" ht="12.75"/>
    <row r="49346" s="3161" customFormat="1" ht="12.75"/>
    <row r="49347" s="3161" customFormat="1" ht="12.75"/>
    <row r="49348" s="3161" customFormat="1" ht="12.75"/>
    <row r="49349" s="3161" customFormat="1" ht="12.75"/>
    <row r="49350" s="3161" customFormat="1" ht="12.75"/>
    <row r="49351" s="3161" customFormat="1" ht="12.75"/>
    <row r="49352" s="3161" customFormat="1" ht="12.75"/>
    <row r="49353" s="3161" customFormat="1" ht="12.75"/>
    <row r="49354" s="3161" customFormat="1" ht="12.75"/>
    <row r="49355" s="3161" customFormat="1" ht="12.75"/>
    <row r="49356" s="3161" customFormat="1" ht="12.75"/>
    <row r="49357" s="3161" customFormat="1" ht="12.75"/>
    <row r="49358" s="3161" customFormat="1" ht="12.75"/>
    <row r="49359" s="3161" customFormat="1" ht="12.75"/>
    <row r="49360" s="3161" customFormat="1" ht="12.75"/>
    <row r="49361" s="3161" customFormat="1" ht="12.75"/>
    <row r="49362" s="3161" customFormat="1" ht="12.75"/>
    <row r="49363" s="3161" customFormat="1" ht="12.75"/>
    <row r="49364" s="3161" customFormat="1" ht="12.75"/>
    <row r="49365" s="3161" customFormat="1" ht="12.75"/>
    <row r="49366" s="3161" customFormat="1" ht="12.75"/>
    <row r="49367" s="3161" customFormat="1" ht="12.75"/>
    <row r="49368" s="3161" customFormat="1" ht="12.75"/>
    <row r="49369" s="3161" customFormat="1" ht="12.75"/>
    <row r="49370" s="3161" customFormat="1" ht="12.75"/>
    <row r="49371" s="3161" customFormat="1" ht="12.75"/>
    <row r="49372" s="3161" customFormat="1" ht="12.75"/>
    <row r="49373" s="3161" customFormat="1" ht="12.75"/>
    <row r="49374" s="3161" customFormat="1" ht="12.75"/>
    <row r="49375" s="3161" customFormat="1" ht="12.75"/>
    <row r="49376" s="3161" customFormat="1" ht="12.75"/>
    <row r="49377" s="3161" customFormat="1" ht="12.75"/>
    <row r="49378" s="3161" customFormat="1" ht="12.75"/>
    <row r="49379" s="3161" customFormat="1" ht="12.75"/>
    <row r="49380" s="3161" customFormat="1" ht="12.75"/>
    <row r="49381" s="3161" customFormat="1" ht="12.75"/>
    <row r="49382" s="3161" customFormat="1" ht="12.75"/>
    <row r="49383" s="3161" customFormat="1" ht="12.75"/>
    <row r="49384" s="3161" customFormat="1" ht="12.75"/>
    <row r="49385" s="3161" customFormat="1" ht="12.75"/>
    <row r="49386" s="3161" customFormat="1" ht="12.75"/>
    <row r="49387" s="3161" customFormat="1" ht="12.75"/>
    <row r="49388" s="3161" customFormat="1" ht="12.75"/>
    <row r="49389" s="3161" customFormat="1" ht="12.75"/>
    <row r="49390" s="3161" customFormat="1" ht="12.75"/>
    <row r="49391" s="3161" customFormat="1" ht="12.75"/>
    <row r="49392" s="3161" customFormat="1" ht="12.75"/>
    <row r="49393" s="3161" customFormat="1" ht="12.75"/>
    <row r="49394" s="3161" customFormat="1" ht="12.75"/>
    <row r="49395" s="3161" customFormat="1" ht="12.75"/>
    <row r="49396" s="3161" customFormat="1" ht="12.75"/>
    <row r="49397" s="3161" customFormat="1" ht="12.75"/>
    <row r="49398" s="3161" customFormat="1" ht="12.75"/>
    <row r="49399" s="3161" customFormat="1" ht="12.75"/>
    <row r="49400" s="3161" customFormat="1" ht="12.75"/>
    <row r="49401" s="3161" customFormat="1" ht="12.75"/>
    <row r="49402" s="3161" customFormat="1" ht="12.75"/>
    <row r="49403" s="3161" customFormat="1" ht="12.75"/>
    <row r="49404" s="3161" customFormat="1" ht="12.75"/>
    <row r="49405" s="3161" customFormat="1" ht="12.75"/>
    <row r="49406" s="3161" customFormat="1" ht="12.75"/>
    <row r="49407" s="3161" customFormat="1" ht="12.75"/>
    <row r="49408" s="3161" customFormat="1" ht="12.75"/>
    <row r="49409" s="3161" customFormat="1" ht="12.75"/>
    <row r="49410" s="3161" customFormat="1" ht="12.75"/>
    <row r="49411" s="3161" customFormat="1" ht="12.75"/>
    <row r="49412" s="3161" customFormat="1" ht="12.75"/>
    <row r="49413" s="3161" customFormat="1" ht="12.75"/>
    <row r="49414" s="3161" customFormat="1" ht="12.75"/>
    <row r="49415" s="3161" customFormat="1" ht="12.75"/>
    <row r="49416" s="3161" customFormat="1" ht="12.75"/>
    <row r="49417" s="3161" customFormat="1" ht="12.75"/>
    <row r="49418" s="3161" customFormat="1" ht="12.75"/>
    <row r="49419" s="3161" customFormat="1" ht="12.75"/>
    <row r="49420" s="3161" customFormat="1" ht="12.75"/>
    <row r="49421" s="3161" customFormat="1" ht="12.75"/>
    <row r="49422" s="3161" customFormat="1" ht="12.75"/>
    <row r="49423" s="3161" customFormat="1" ht="12.75"/>
    <row r="49424" s="3161" customFormat="1" ht="12.75"/>
    <row r="49425" s="3161" customFormat="1" ht="12.75"/>
    <row r="49426" s="3161" customFormat="1" ht="12.75"/>
    <row r="49427" s="3161" customFormat="1" ht="12.75"/>
    <row r="49428" s="3161" customFormat="1" ht="12.75"/>
    <row r="49429" s="3161" customFormat="1" ht="12.75"/>
    <row r="49430" s="3161" customFormat="1" ht="12.75"/>
    <row r="49431" s="3161" customFormat="1" ht="12.75"/>
    <row r="49432" s="3161" customFormat="1" ht="12.75"/>
    <row r="49433" s="3161" customFormat="1" ht="12.75"/>
    <row r="49434" s="3161" customFormat="1" ht="12.75"/>
    <row r="49435" s="3161" customFormat="1" ht="12.75"/>
    <row r="49436" s="3161" customFormat="1" ht="12.75"/>
    <row r="49437" s="3161" customFormat="1" ht="12.75"/>
    <row r="49438" s="3161" customFormat="1" ht="12.75"/>
    <row r="49439" s="3161" customFormat="1" ht="12.75"/>
    <row r="49440" s="3161" customFormat="1" ht="12.75"/>
    <row r="49441" s="3161" customFormat="1" ht="12.75"/>
    <row r="49442" s="3161" customFormat="1" ht="12.75"/>
    <row r="49443" s="3161" customFormat="1" ht="12.75"/>
    <row r="49444" s="3161" customFormat="1" ht="12.75"/>
    <row r="49445" s="3161" customFormat="1" ht="12.75"/>
    <row r="49446" s="3161" customFormat="1" ht="12.75"/>
    <row r="49447" s="3161" customFormat="1" ht="12.75"/>
    <row r="49448" s="3161" customFormat="1" ht="12.75"/>
    <row r="49449" s="3161" customFormat="1" ht="12.75"/>
    <row r="49450" s="3161" customFormat="1" ht="12.75"/>
    <row r="49451" s="3161" customFormat="1" ht="12.75"/>
    <row r="49452" s="3161" customFormat="1" ht="12.75"/>
    <row r="49453" s="3161" customFormat="1" ht="12.75"/>
    <row r="49454" s="3161" customFormat="1" ht="12.75"/>
    <row r="49455" s="3161" customFormat="1" ht="12.75"/>
    <row r="49456" s="3161" customFormat="1" ht="12.75"/>
    <row r="49457" s="3161" customFormat="1" ht="12.75"/>
    <row r="49458" s="3161" customFormat="1" ht="12.75"/>
    <row r="49459" s="3161" customFormat="1" ht="12.75"/>
    <row r="49460" s="3161" customFormat="1" ht="12.75"/>
    <row r="49461" s="3161" customFormat="1" ht="12.75"/>
    <row r="49462" s="3161" customFormat="1" ht="12.75"/>
    <row r="49463" s="3161" customFormat="1" ht="12.75"/>
    <row r="49464" s="3161" customFormat="1" ht="12.75"/>
    <row r="49465" s="3161" customFormat="1" ht="12.75"/>
    <row r="49466" s="3161" customFormat="1" ht="12.75"/>
    <row r="49467" s="3161" customFormat="1" ht="12.75"/>
    <row r="49468" s="3161" customFormat="1" ht="12.75"/>
    <row r="49469" s="3161" customFormat="1" ht="12.75"/>
    <row r="49470" s="3161" customFormat="1" ht="12.75"/>
    <row r="49471" s="3161" customFormat="1" ht="12.75"/>
    <row r="49472" s="3161" customFormat="1" ht="12.75"/>
    <row r="49473" s="3161" customFormat="1" ht="12.75"/>
    <row r="49474" s="3161" customFormat="1" ht="12.75"/>
    <row r="49475" s="3161" customFormat="1" ht="12.75"/>
    <row r="49476" s="3161" customFormat="1" ht="12.75"/>
    <row r="49477" s="3161" customFormat="1" ht="12.75"/>
    <row r="49478" s="3161" customFormat="1" ht="12.75"/>
    <row r="49479" s="3161" customFormat="1" ht="12.75"/>
    <row r="49480" s="3161" customFormat="1" ht="12.75"/>
    <row r="49481" s="3161" customFormat="1" ht="12.75"/>
    <row r="49482" s="3161" customFormat="1" ht="12.75"/>
    <row r="49483" s="3161" customFormat="1" ht="12.75"/>
    <row r="49484" s="3161" customFormat="1" ht="12.75"/>
    <row r="49485" s="3161" customFormat="1" ht="12.75"/>
    <row r="49486" s="3161" customFormat="1" ht="12.75"/>
    <row r="49487" s="3161" customFormat="1" ht="12.75"/>
    <row r="49488" s="3161" customFormat="1" ht="12.75"/>
    <row r="49489" s="3161" customFormat="1" ht="12.75"/>
    <row r="49490" s="3161" customFormat="1" ht="12.75"/>
    <row r="49491" s="3161" customFormat="1" ht="12.75"/>
    <row r="49492" s="3161" customFormat="1" ht="12.75"/>
    <row r="49493" s="3161" customFormat="1" ht="12.75"/>
    <row r="49494" s="3161" customFormat="1" ht="12.75"/>
    <row r="49495" s="3161" customFormat="1" ht="12.75"/>
    <row r="49496" s="3161" customFormat="1" ht="12.75"/>
    <row r="49497" s="3161" customFormat="1" ht="12.75"/>
    <row r="49498" s="3161" customFormat="1" ht="12.75"/>
    <row r="49499" s="3161" customFormat="1" ht="12.75"/>
    <row r="49500" s="3161" customFormat="1" ht="12.75"/>
    <row r="49501" s="3161" customFormat="1" ht="12.75"/>
    <row r="49502" s="3161" customFormat="1" ht="12.75"/>
    <row r="49503" s="3161" customFormat="1" ht="12.75"/>
    <row r="49504" s="3161" customFormat="1" ht="12.75"/>
    <row r="49505" s="3161" customFormat="1" ht="12.75"/>
    <row r="49506" s="3161" customFormat="1" ht="12.75"/>
    <row r="49507" s="3161" customFormat="1" ht="12.75"/>
    <row r="49508" s="3161" customFormat="1" ht="12.75"/>
    <row r="49509" s="3161" customFormat="1" ht="12.75"/>
    <row r="49510" s="3161" customFormat="1" ht="12.75"/>
    <row r="49511" s="3161" customFormat="1" ht="12.75"/>
    <row r="49512" s="3161" customFormat="1" ht="12.75"/>
    <row r="49513" s="3161" customFormat="1" ht="12.75"/>
    <row r="49514" s="3161" customFormat="1" ht="12.75"/>
    <row r="49515" s="3161" customFormat="1" ht="12.75"/>
    <row r="49516" s="3161" customFormat="1" ht="12.75"/>
    <row r="49517" s="3161" customFormat="1" ht="12.75"/>
    <row r="49518" s="3161" customFormat="1" ht="12.75"/>
    <row r="49519" s="3161" customFormat="1" ht="12.75"/>
    <row r="49520" s="3161" customFormat="1" ht="12.75"/>
    <row r="49521" s="3161" customFormat="1" ht="12.75"/>
    <row r="49522" s="3161" customFormat="1" ht="12.75"/>
    <row r="49523" s="3161" customFormat="1" ht="12.75"/>
    <row r="49524" s="3161" customFormat="1" ht="12.75"/>
    <row r="49525" s="3161" customFormat="1" ht="12.75"/>
    <row r="49526" s="3161" customFormat="1" ht="12.75"/>
    <row r="49527" s="3161" customFormat="1" ht="12.75"/>
    <row r="49528" s="3161" customFormat="1" ht="12.75"/>
    <row r="49529" s="3161" customFormat="1" ht="12.75"/>
    <row r="49530" s="3161" customFormat="1" ht="12.75"/>
    <row r="49531" s="3161" customFormat="1" ht="12.75"/>
    <row r="49532" s="3161" customFormat="1" ht="12.75"/>
    <row r="49533" s="3161" customFormat="1" ht="12.75"/>
    <row r="49534" s="3161" customFormat="1" ht="12.75"/>
    <row r="49535" s="3161" customFormat="1" ht="12.75"/>
    <row r="49536" s="3161" customFormat="1" ht="12.75"/>
    <row r="49537" s="3161" customFormat="1" ht="12.75"/>
    <row r="49538" s="3161" customFormat="1" ht="12.75"/>
    <row r="49539" s="3161" customFormat="1" ht="12.75"/>
    <row r="49540" s="3161" customFormat="1" ht="12.75"/>
    <row r="49541" s="3161" customFormat="1" ht="12.75"/>
    <row r="49542" s="3161" customFormat="1" ht="12.75"/>
    <row r="49543" s="3161" customFormat="1" ht="12.75"/>
    <row r="49544" s="3161" customFormat="1" ht="12.75"/>
    <row r="49545" s="3161" customFormat="1" ht="12.75"/>
    <row r="49546" s="3161" customFormat="1" ht="12.75"/>
    <row r="49547" s="3161" customFormat="1" ht="12.75"/>
    <row r="49548" s="3161" customFormat="1" ht="12.75"/>
    <row r="49549" s="3161" customFormat="1" ht="12.75"/>
    <row r="49550" s="3161" customFormat="1" ht="12.75"/>
    <row r="49551" s="3161" customFormat="1" ht="12.75"/>
    <row r="49552" s="3161" customFormat="1" ht="12.75"/>
    <row r="49553" s="3161" customFormat="1" ht="12.75"/>
    <row r="49554" s="3161" customFormat="1" ht="12.75"/>
    <row r="49555" s="3161" customFormat="1" ht="12.75"/>
    <row r="49556" s="3161" customFormat="1" ht="12.75"/>
    <row r="49557" s="3161" customFormat="1" ht="12.75"/>
    <row r="49558" s="3161" customFormat="1" ht="12.75"/>
    <row r="49559" s="3161" customFormat="1" ht="12.75"/>
    <row r="49560" s="3161" customFormat="1" ht="12.75"/>
    <row r="49561" s="3161" customFormat="1" ht="12.75"/>
    <row r="49562" s="3161" customFormat="1" ht="12.75"/>
    <row r="49563" s="3161" customFormat="1" ht="12.75"/>
    <row r="49564" s="3161" customFormat="1" ht="12.75"/>
    <row r="49565" s="3161" customFormat="1" ht="12.75"/>
    <row r="49566" s="3161" customFormat="1" ht="12.75"/>
    <row r="49567" s="3161" customFormat="1" ht="12.75"/>
    <row r="49568" s="3161" customFormat="1" ht="12.75"/>
    <row r="49569" s="3161" customFormat="1" ht="12.75"/>
    <row r="49570" s="3161" customFormat="1" ht="12.75"/>
    <row r="49571" s="3161" customFormat="1" ht="12.75"/>
    <row r="49572" s="3161" customFormat="1" ht="12.75"/>
    <row r="49573" s="3161" customFormat="1" ht="12.75"/>
    <row r="49574" s="3161" customFormat="1" ht="12.75"/>
    <row r="49575" s="3161" customFormat="1" ht="12.75"/>
    <row r="49576" s="3161" customFormat="1" ht="12.75"/>
    <row r="49577" s="3161" customFormat="1" ht="12.75"/>
    <row r="49578" s="3161" customFormat="1" ht="12.75"/>
    <row r="49579" s="3161" customFormat="1" ht="12.75"/>
    <row r="49580" s="3161" customFormat="1" ht="12.75"/>
    <row r="49581" s="3161" customFormat="1" ht="12.75"/>
    <row r="49582" s="3161" customFormat="1" ht="12.75"/>
    <row r="49583" s="3161" customFormat="1" ht="12.75"/>
    <row r="49584" s="3161" customFormat="1" ht="12.75"/>
    <row r="49585" s="3161" customFormat="1" ht="12.75"/>
    <row r="49586" s="3161" customFormat="1" ht="12.75"/>
    <row r="49587" s="3161" customFormat="1" ht="12.75"/>
    <row r="49588" s="3161" customFormat="1" ht="12.75"/>
    <row r="49589" s="3161" customFormat="1" ht="12.75"/>
    <row r="49590" s="3161" customFormat="1" ht="12.75"/>
    <row r="49591" s="3161" customFormat="1" ht="12.75"/>
    <row r="49592" s="3161" customFormat="1" ht="12.75"/>
    <row r="49593" s="3161" customFormat="1" ht="12.75"/>
    <row r="49594" s="3161" customFormat="1" ht="12.75"/>
    <row r="49595" s="3161" customFormat="1" ht="12.75"/>
    <row r="49596" s="3161" customFormat="1" ht="12.75"/>
    <row r="49597" s="3161" customFormat="1" ht="12.75"/>
    <row r="49598" s="3161" customFormat="1" ht="12.75"/>
    <row r="49599" s="3161" customFormat="1" ht="12.75"/>
    <row r="49600" s="3161" customFormat="1" ht="12.75"/>
    <row r="49601" s="3161" customFormat="1" ht="12.75"/>
    <row r="49602" s="3161" customFormat="1" ht="12.75"/>
    <row r="49603" s="3161" customFormat="1" ht="12.75"/>
    <row r="49604" s="3161" customFormat="1" ht="12.75"/>
    <row r="49605" s="3161" customFormat="1" ht="12.75"/>
    <row r="49606" s="3161" customFormat="1" ht="12.75"/>
    <row r="49607" s="3161" customFormat="1" ht="12.75"/>
    <row r="49608" s="3161" customFormat="1" ht="12.75"/>
    <row r="49609" s="3161" customFormat="1" ht="12.75"/>
    <row r="49610" s="3161" customFormat="1" ht="12.75"/>
    <row r="49611" s="3161" customFormat="1" ht="12.75"/>
    <row r="49612" s="3161" customFormat="1" ht="12.75"/>
    <row r="49613" s="3161" customFormat="1" ht="12.75"/>
    <row r="49614" s="3161" customFormat="1" ht="12.75"/>
    <row r="49615" s="3161" customFormat="1" ht="12.75"/>
    <row r="49616" s="3161" customFormat="1" ht="12.75"/>
    <row r="49617" s="3161" customFormat="1" ht="12.75"/>
    <row r="49618" s="3161" customFormat="1" ht="12.75"/>
    <row r="49619" s="3161" customFormat="1" ht="12.75"/>
    <row r="49620" s="3161" customFormat="1" ht="12.75"/>
    <row r="49621" s="3161" customFormat="1" ht="12.75"/>
    <row r="49622" s="3161" customFormat="1" ht="12.75"/>
    <row r="49623" s="3161" customFormat="1" ht="12.75"/>
    <row r="49624" s="3161" customFormat="1" ht="12.75"/>
    <row r="49625" s="3161" customFormat="1" ht="12.75"/>
    <row r="49626" s="3161" customFormat="1" ht="12.75"/>
    <row r="49627" s="3161" customFormat="1" ht="12.75"/>
    <row r="49628" s="3161" customFormat="1" ht="12.75"/>
    <row r="49629" s="3161" customFormat="1" ht="12.75"/>
    <row r="49630" s="3161" customFormat="1" ht="12.75"/>
    <row r="49631" s="3161" customFormat="1" ht="12.75"/>
    <row r="49632" s="3161" customFormat="1" ht="12.75"/>
    <row r="49633" s="3161" customFormat="1" ht="12.75"/>
    <row r="49634" s="3161" customFormat="1" ht="12.75"/>
    <row r="49635" s="3161" customFormat="1" ht="12.75"/>
    <row r="49636" s="3161" customFormat="1" ht="12.75"/>
    <row r="49637" s="3161" customFormat="1" ht="12.75"/>
    <row r="49638" s="3161" customFormat="1" ht="12.75"/>
    <row r="49639" s="3161" customFormat="1" ht="12.75"/>
    <row r="49640" s="3161" customFormat="1" ht="12.75"/>
    <row r="49641" s="3161" customFormat="1" ht="12.75"/>
    <row r="49642" s="3161" customFormat="1" ht="12.75"/>
    <row r="49643" s="3161" customFormat="1" ht="12.75"/>
    <row r="49644" s="3161" customFormat="1" ht="12.75"/>
    <row r="49645" s="3161" customFormat="1" ht="12.75"/>
    <row r="49646" s="3161" customFormat="1" ht="12.75"/>
    <row r="49647" s="3161" customFormat="1" ht="12.75"/>
    <row r="49648" s="3161" customFormat="1" ht="12.75"/>
    <row r="49649" s="3161" customFormat="1" ht="12.75"/>
    <row r="49650" s="3161" customFormat="1" ht="12.75"/>
    <row r="49651" s="3161" customFormat="1" ht="12.75"/>
    <row r="49652" s="3161" customFormat="1" ht="12.75"/>
    <row r="49653" s="3161" customFormat="1" ht="12.75"/>
    <row r="49654" s="3161" customFormat="1" ht="12.75"/>
    <row r="49655" s="3161" customFormat="1" ht="12.75"/>
    <row r="49656" s="3161" customFormat="1" ht="12.75"/>
    <row r="49657" s="3161" customFormat="1" ht="12.75"/>
    <row r="49658" s="3161" customFormat="1" ht="12.75"/>
    <row r="49659" s="3161" customFormat="1" ht="12.75"/>
    <row r="49660" s="3161" customFormat="1" ht="12.75"/>
    <row r="49661" s="3161" customFormat="1" ht="12.75"/>
    <row r="49662" s="3161" customFormat="1" ht="12.75"/>
    <row r="49663" s="3161" customFormat="1" ht="12.75"/>
    <row r="49664" s="3161" customFormat="1" ht="12.75"/>
    <row r="49665" s="3161" customFormat="1" ht="12.75"/>
    <row r="49666" s="3161" customFormat="1" ht="12.75"/>
    <row r="49667" s="3161" customFormat="1" ht="12.75"/>
    <row r="49668" s="3161" customFormat="1" ht="12.75"/>
    <row r="49669" s="3161" customFormat="1" ht="12.75"/>
    <row r="49670" s="3161" customFormat="1" ht="12.75"/>
    <row r="49671" s="3161" customFormat="1" ht="12.75"/>
    <row r="49672" s="3161" customFormat="1" ht="12.75"/>
    <row r="49673" s="3161" customFormat="1" ht="12.75"/>
    <row r="49674" s="3161" customFormat="1" ht="12.75"/>
    <row r="49675" s="3161" customFormat="1" ht="12.75"/>
    <row r="49676" s="3161" customFormat="1" ht="12.75"/>
    <row r="49677" s="3161" customFormat="1" ht="12.75"/>
    <row r="49678" s="3161" customFormat="1" ht="12.75"/>
    <row r="49679" s="3161" customFormat="1" ht="12.75"/>
    <row r="49680" s="3161" customFormat="1" ht="12.75"/>
    <row r="49681" s="3161" customFormat="1" ht="12.75"/>
    <row r="49682" s="3161" customFormat="1" ht="12.75"/>
    <row r="49683" s="3161" customFormat="1" ht="12.75"/>
    <row r="49684" s="3161" customFormat="1" ht="12.75"/>
    <row r="49685" s="3161" customFormat="1" ht="12.75"/>
    <row r="49686" s="3161" customFormat="1" ht="12.75"/>
    <row r="49687" s="3161" customFormat="1" ht="12.75"/>
    <row r="49688" s="3161" customFormat="1" ht="12.75"/>
    <row r="49689" s="3161" customFormat="1" ht="12.75"/>
    <row r="49690" s="3161" customFormat="1" ht="12.75"/>
    <row r="49691" s="3161" customFormat="1" ht="12.75"/>
    <row r="49692" s="3161" customFormat="1" ht="12.75"/>
    <row r="49693" s="3161" customFormat="1" ht="12.75"/>
    <row r="49694" s="3161" customFormat="1" ht="12.75"/>
    <row r="49695" s="3161" customFormat="1" ht="12.75"/>
    <row r="49696" s="3161" customFormat="1" ht="12.75"/>
    <row r="49697" s="3161" customFormat="1" ht="12.75"/>
    <row r="49698" s="3161" customFormat="1" ht="12.75"/>
    <row r="49699" s="3161" customFormat="1" ht="12.75"/>
    <row r="49700" s="3161" customFormat="1" ht="12.75"/>
    <row r="49701" s="3161" customFormat="1" ht="12.75"/>
    <row r="49702" s="3161" customFormat="1" ht="12.75"/>
    <row r="49703" s="3161" customFormat="1" ht="12.75"/>
    <row r="49704" s="3161" customFormat="1" ht="12.75"/>
    <row r="49705" s="3161" customFormat="1" ht="12.75"/>
    <row r="49706" s="3161" customFormat="1" ht="12.75"/>
    <row r="49707" s="3161" customFormat="1" ht="12.75"/>
    <row r="49708" s="3161" customFormat="1" ht="12.75"/>
    <row r="49709" s="3161" customFormat="1" ht="12.75"/>
    <row r="49710" s="3161" customFormat="1" ht="12.75"/>
    <row r="49711" s="3161" customFormat="1" ht="12.75"/>
    <row r="49712" s="3161" customFormat="1" ht="12.75"/>
    <row r="49713" s="3161" customFormat="1" ht="12.75"/>
    <row r="49714" s="3161" customFormat="1" ht="12.75"/>
    <row r="49715" s="3161" customFormat="1" ht="12.75"/>
    <row r="49716" s="3161" customFormat="1" ht="12.75"/>
    <row r="49717" s="3161" customFormat="1" ht="12.75"/>
    <row r="49718" s="3161" customFormat="1" ht="12.75"/>
    <row r="49719" s="3161" customFormat="1" ht="12.75"/>
    <row r="49720" s="3161" customFormat="1" ht="12.75"/>
    <row r="49721" s="3161" customFormat="1" ht="12.75"/>
    <row r="49722" s="3161" customFormat="1" ht="12.75"/>
    <row r="49723" s="3161" customFormat="1" ht="12.75"/>
    <row r="49724" s="3161" customFormat="1" ht="12.75"/>
    <row r="49725" s="3161" customFormat="1" ht="12.75"/>
    <row r="49726" s="3161" customFormat="1" ht="12.75"/>
    <row r="49727" s="3161" customFormat="1" ht="12.75"/>
    <row r="49728" s="3161" customFormat="1" ht="12.75"/>
    <row r="49729" s="3161" customFormat="1" ht="12.75"/>
    <row r="49730" s="3161" customFormat="1" ht="12.75"/>
    <row r="49731" s="3161" customFormat="1" ht="12.75"/>
    <row r="49732" s="3161" customFormat="1" ht="12.75"/>
    <row r="49733" s="3161" customFormat="1" ht="12.75"/>
    <row r="49734" s="3161" customFormat="1" ht="12.75"/>
    <row r="49735" s="3161" customFormat="1" ht="12.75"/>
    <row r="49736" s="3161" customFormat="1" ht="12.75"/>
    <row r="49737" s="3161" customFormat="1" ht="12.75"/>
    <row r="49738" s="3161" customFormat="1" ht="12.75"/>
    <row r="49739" s="3161" customFormat="1" ht="12.75"/>
    <row r="49740" s="3161" customFormat="1" ht="12.75"/>
    <row r="49741" s="3161" customFormat="1" ht="12.75"/>
    <row r="49742" s="3161" customFormat="1" ht="12.75"/>
    <row r="49743" s="3161" customFormat="1" ht="12.75"/>
    <row r="49744" s="3161" customFormat="1" ht="12.75"/>
    <row r="49745" s="3161" customFormat="1" ht="12.75"/>
    <row r="49746" s="3161" customFormat="1" ht="12.75"/>
    <row r="49747" s="3161" customFormat="1" ht="12.75"/>
    <row r="49748" s="3161" customFormat="1" ht="12.75"/>
    <row r="49749" s="3161" customFormat="1" ht="12.75"/>
    <row r="49750" s="3161" customFormat="1" ht="12.75"/>
    <row r="49751" s="3161" customFormat="1" ht="12.75"/>
    <row r="49752" s="3161" customFormat="1" ht="12.75"/>
    <row r="49753" s="3161" customFormat="1" ht="12.75"/>
    <row r="49754" s="3161" customFormat="1" ht="12.75"/>
    <row r="49755" s="3161" customFormat="1" ht="12.75"/>
    <row r="49756" s="3161" customFormat="1" ht="12.75"/>
    <row r="49757" s="3161" customFormat="1" ht="12.75"/>
    <row r="49758" s="3161" customFormat="1" ht="12.75"/>
    <row r="49759" s="3161" customFormat="1" ht="12.75"/>
    <row r="49760" s="3161" customFormat="1" ht="12.75"/>
    <row r="49761" s="3161" customFormat="1" ht="12.75"/>
    <row r="49762" s="3161" customFormat="1" ht="12.75"/>
    <row r="49763" s="3161" customFormat="1" ht="12.75"/>
    <row r="49764" s="3161" customFormat="1" ht="12.75"/>
    <row r="49765" s="3161" customFormat="1" ht="12.75"/>
    <row r="49766" s="3161" customFormat="1" ht="12.75"/>
    <row r="49767" s="3161" customFormat="1" ht="12.75"/>
    <row r="49768" s="3161" customFormat="1" ht="12.75"/>
    <row r="49769" s="3161" customFormat="1" ht="12.75"/>
    <row r="49770" s="3161" customFormat="1" ht="12.75"/>
    <row r="49771" s="3161" customFormat="1" ht="12.75"/>
    <row r="49772" s="3161" customFormat="1" ht="12.75"/>
    <row r="49773" s="3161" customFormat="1" ht="12.75"/>
    <row r="49774" s="3161" customFormat="1" ht="12.75"/>
    <row r="49775" s="3161" customFormat="1" ht="12.75"/>
    <row r="49776" s="3161" customFormat="1" ht="12.75"/>
    <row r="49777" s="3161" customFormat="1" ht="12.75"/>
    <row r="49778" s="3161" customFormat="1" ht="12.75"/>
    <row r="49779" s="3161" customFormat="1" ht="12.75"/>
    <row r="49780" s="3161" customFormat="1" ht="12.75"/>
    <row r="49781" s="3161" customFormat="1" ht="12.75"/>
    <row r="49782" s="3161" customFormat="1" ht="12.75"/>
    <row r="49783" s="3161" customFormat="1" ht="12.75"/>
    <row r="49784" s="3161" customFormat="1" ht="12.75"/>
    <row r="49785" s="3161" customFormat="1" ht="12.75"/>
    <row r="49786" s="3161" customFormat="1" ht="12.75"/>
    <row r="49787" s="3161" customFormat="1" ht="12.75"/>
    <row r="49788" s="3161" customFormat="1" ht="12.75"/>
    <row r="49789" s="3161" customFormat="1" ht="12.75"/>
    <row r="49790" s="3161" customFormat="1" ht="12.75"/>
    <row r="49791" s="3161" customFormat="1" ht="12.75"/>
    <row r="49792" s="3161" customFormat="1" ht="12.75"/>
    <row r="49793" s="3161" customFormat="1" ht="12.75"/>
    <row r="49794" s="3161" customFormat="1" ht="12.75"/>
    <row r="49795" s="3161" customFormat="1" ht="12.75"/>
    <row r="49796" s="3161" customFormat="1" ht="12.75"/>
    <row r="49797" s="3161" customFormat="1" ht="12.75"/>
    <row r="49798" s="3161" customFormat="1" ht="12.75"/>
    <row r="49799" s="3161" customFormat="1" ht="12.75"/>
    <row r="49800" s="3161" customFormat="1" ht="12.75"/>
    <row r="49801" s="3161" customFormat="1" ht="12.75"/>
    <row r="49802" s="3161" customFormat="1" ht="12.75"/>
    <row r="49803" s="3161" customFormat="1" ht="12.75"/>
    <row r="49804" s="3161" customFormat="1" ht="12.75"/>
    <row r="49805" s="3161" customFormat="1" ht="12.75"/>
    <row r="49806" s="3161" customFormat="1" ht="12.75"/>
    <row r="49807" s="3161" customFormat="1" ht="12.75"/>
    <row r="49808" s="3161" customFormat="1" ht="12.75"/>
    <row r="49809" s="3161" customFormat="1" ht="12.75"/>
    <row r="49810" s="3161" customFormat="1" ht="12.75"/>
    <row r="49811" s="3161" customFormat="1" ht="12.75"/>
    <row r="49812" s="3161" customFormat="1" ht="12.75"/>
    <row r="49813" s="3161" customFormat="1" ht="12.75"/>
    <row r="49814" s="3161" customFormat="1" ht="12.75"/>
    <row r="49815" s="3161" customFormat="1" ht="12.75"/>
    <row r="49816" s="3161" customFormat="1" ht="12.75"/>
    <row r="49817" s="3161" customFormat="1" ht="12.75"/>
    <row r="49818" s="3161" customFormat="1" ht="12.75"/>
    <row r="49819" s="3161" customFormat="1" ht="12.75"/>
    <row r="49820" s="3161" customFormat="1" ht="12.75"/>
    <row r="49821" s="3161" customFormat="1" ht="12.75"/>
    <row r="49822" s="3161" customFormat="1" ht="12.75"/>
    <row r="49823" s="3161" customFormat="1" ht="12.75"/>
    <row r="49824" s="3161" customFormat="1" ht="12.75"/>
    <row r="49825" s="3161" customFormat="1" ht="12.75"/>
    <row r="49826" s="3161" customFormat="1" ht="12.75"/>
    <row r="49827" s="3161" customFormat="1" ht="12.75"/>
    <row r="49828" s="3161" customFormat="1" ht="12.75"/>
    <row r="49829" s="3161" customFormat="1" ht="12.75"/>
    <row r="49830" s="3161" customFormat="1" ht="12.75"/>
    <row r="49831" s="3161" customFormat="1" ht="12.75"/>
    <row r="49832" s="3161" customFormat="1" ht="12.75"/>
    <row r="49833" s="3161" customFormat="1" ht="12.75"/>
    <row r="49834" s="3161" customFormat="1" ht="12.75"/>
    <row r="49835" s="3161" customFormat="1" ht="12.75"/>
    <row r="49836" s="3161" customFormat="1" ht="12.75"/>
    <row r="49837" s="3161" customFormat="1" ht="12.75"/>
    <row r="49838" s="3161" customFormat="1" ht="12.75"/>
    <row r="49839" s="3161" customFormat="1" ht="12.75"/>
    <row r="49840" s="3161" customFormat="1" ht="12.75"/>
    <row r="49841" s="3161" customFormat="1" ht="12.75"/>
    <row r="49842" s="3161" customFormat="1" ht="12.75"/>
    <row r="49843" s="3161" customFormat="1" ht="12.75"/>
    <row r="49844" s="3161" customFormat="1" ht="12.75"/>
    <row r="49845" s="3161" customFormat="1" ht="12.75"/>
    <row r="49846" s="3161" customFormat="1" ht="12.75"/>
    <row r="49847" s="3161" customFormat="1" ht="12.75"/>
    <row r="49848" s="3161" customFormat="1" ht="12.75"/>
    <row r="49849" s="3161" customFormat="1" ht="12.75"/>
    <row r="49850" s="3161" customFormat="1" ht="12.75"/>
    <row r="49851" s="3161" customFormat="1" ht="12.75"/>
    <row r="49852" s="3161" customFormat="1" ht="12.75"/>
    <row r="49853" s="3161" customFormat="1" ht="12.75"/>
    <row r="49854" s="3161" customFormat="1" ht="12.75"/>
    <row r="49855" s="3161" customFormat="1" ht="12.75"/>
    <row r="49856" s="3161" customFormat="1" ht="12.75"/>
    <row r="49857" s="3161" customFormat="1" ht="12.75"/>
    <row r="49858" s="3161" customFormat="1" ht="12.75"/>
    <row r="49859" s="3161" customFormat="1" ht="12.75"/>
    <row r="49860" s="3161" customFormat="1" ht="12.75"/>
    <row r="49861" s="3161" customFormat="1" ht="12.75"/>
    <row r="49862" s="3161" customFormat="1" ht="12.75"/>
    <row r="49863" s="3161" customFormat="1" ht="12.75"/>
    <row r="49864" s="3161" customFormat="1" ht="12.75"/>
    <row r="49865" s="3161" customFormat="1" ht="12.75"/>
    <row r="49866" s="3161" customFormat="1" ht="12.75"/>
    <row r="49867" s="3161" customFormat="1" ht="12.75"/>
    <row r="49868" s="3161" customFormat="1" ht="12.75"/>
    <row r="49869" s="3161" customFormat="1" ht="12.75"/>
    <row r="49870" s="3161" customFormat="1" ht="12.75"/>
    <row r="49871" s="3161" customFormat="1" ht="12.75"/>
    <row r="49872" s="3161" customFormat="1" ht="12.75"/>
    <row r="49873" s="3161" customFormat="1" ht="12.75"/>
    <row r="49874" s="3161" customFormat="1" ht="12.75"/>
    <row r="49875" s="3161" customFormat="1" ht="12.75"/>
    <row r="49876" s="3161" customFormat="1" ht="12.75"/>
    <row r="49877" s="3161" customFormat="1" ht="12.75"/>
    <row r="49878" s="3161" customFormat="1" ht="12.75"/>
    <row r="49879" s="3161" customFormat="1" ht="12.75"/>
    <row r="49880" s="3161" customFormat="1" ht="12.75"/>
    <row r="49881" s="3161" customFormat="1" ht="12.75"/>
    <row r="49882" s="3161" customFormat="1" ht="12.75"/>
    <row r="49883" s="3161" customFormat="1" ht="12.75"/>
    <row r="49884" s="3161" customFormat="1" ht="12.75"/>
    <row r="49885" s="3161" customFormat="1" ht="12.75"/>
    <row r="49886" s="3161" customFormat="1" ht="12.75"/>
    <row r="49887" s="3161" customFormat="1" ht="12.75"/>
    <row r="49888" s="3161" customFormat="1" ht="12.75"/>
    <row r="49889" s="3161" customFormat="1" ht="12.75"/>
    <row r="49890" s="3161" customFormat="1" ht="12.75"/>
    <row r="49891" s="3161" customFormat="1" ht="12.75"/>
    <row r="49892" s="3161" customFormat="1" ht="12.75"/>
    <row r="49893" s="3161" customFormat="1" ht="12.75"/>
    <row r="49894" s="3161" customFormat="1" ht="12.75"/>
    <row r="49895" s="3161" customFormat="1" ht="12.75"/>
    <row r="49896" s="3161" customFormat="1" ht="12.75"/>
    <row r="49897" s="3161" customFormat="1" ht="12.75"/>
    <row r="49898" s="3161" customFormat="1" ht="12.75"/>
    <row r="49899" s="3161" customFormat="1" ht="12.75"/>
    <row r="49900" s="3161" customFormat="1" ht="12.75"/>
    <row r="49901" s="3161" customFormat="1" ht="12.75"/>
    <row r="49902" s="3161" customFormat="1" ht="12.75"/>
    <row r="49903" s="3161" customFormat="1" ht="12.75"/>
    <row r="49904" s="3161" customFormat="1" ht="12.75"/>
    <row r="49905" s="3161" customFormat="1" ht="12.75"/>
    <row r="49906" s="3161" customFormat="1" ht="12.75"/>
    <row r="49907" s="3161" customFormat="1" ht="12.75"/>
    <row r="49908" s="3161" customFormat="1" ht="12.75"/>
    <row r="49909" s="3161" customFormat="1" ht="12.75"/>
    <row r="49910" s="3161" customFormat="1" ht="12.75"/>
    <row r="49911" s="3161" customFormat="1" ht="12.75"/>
    <row r="49912" s="3161" customFormat="1" ht="12.75"/>
    <row r="49913" s="3161" customFormat="1" ht="12.75"/>
    <row r="49914" s="3161" customFormat="1" ht="12.75"/>
    <row r="49915" s="3161" customFormat="1" ht="12.75"/>
    <row r="49916" s="3161" customFormat="1" ht="12.75"/>
    <row r="49917" s="3161" customFormat="1" ht="12.75"/>
    <row r="49918" s="3161" customFormat="1" ht="12.75"/>
    <row r="49919" s="3161" customFormat="1" ht="12.75"/>
    <row r="49920" s="3161" customFormat="1" ht="12.75"/>
    <row r="49921" s="3161" customFormat="1" ht="12.75"/>
    <row r="49922" s="3161" customFormat="1" ht="12.75"/>
    <row r="49923" s="3161" customFormat="1" ht="12.75"/>
    <row r="49924" s="3161" customFormat="1" ht="12.75"/>
    <row r="49925" s="3161" customFormat="1" ht="12.75"/>
    <row r="49926" s="3161" customFormat="1" ht="12.75"/>
    <row r="49927" s="3161" customFormat="1" ht="12.75"/>
    <row r="49928" s="3161" customFormat="1" ht="12.75"/>
    <row r="49929" s="3161" customFormat="1" ht="12.75"/>
    <row r="49930" s="3161" customFormat="1" ht="12.75"/>
    <row r="49931" s="3161" customFormat="1" ht="12.75"/>
    <row r="49932" s="3161" customFormat="1" ht="12.75"/>
    <row r="49933" s="3161" customFormat="1" ht="12.75"/>
    <row r="49934" s="3161" customFormat="1" ht="12.75"/>
    <row r="49935" s="3161" customFormat="1" ht="12.75"/>
    <row r="49936" s="3161" customFormat="1" ht="12.75"/>
    <row r="49937" s="3161" customFormat="1" ht="12.75"/>
    <row r="49938" s="3161" customFormat="1" ht="12.75"/>
    <row r="49939" s="3161" customFormat="1" ht="12.75"/>
    <row r="49940" s="3161" customFormat="1" ht="12.75"/>
    <row r="49941" s="3161" customFormat="1" ht="12.75"/>
    <row r="49942" s="3161" customFormat="1" ht="12.75"/>
    <row r="49943" s="3161" customFormat="1" ht="12.75"/>
    <row r="49944" s="3161" customFormat="1" ht="12.75"/>
    <row r="49945" s="3161" customFormat="1" ht="12.75"/>
    <row r="49946" s="3161" customFormat="1" ht="12.75"/>
    <row r="49947" s="3161" customFormat="1" ht="12.75"/>
    <row r="49948" s="3161" customFormat="1" ht="12.75"/>
    <row r="49949" s="3161" customFormat="1" ht="12.75"/>
    <row r="49950" s="3161" customFormat="1" ht="12.75"/>
    <row r="49951" s="3161" customFormat="1" ht="12.75"/>
    <row r="49952" s="3161" customFormat="1" ht="12.75"/>
    <row r="49953" s="3161" customFormat="1" ht="12.75"/>
    <row r="49954" s="3161" customFormat="1" ht="12.75"/>
    <row r="49955" s="3161" customFormat="1" ht="12.75"/>
    <row r="49956" s="3161" customFormat="1" ht="12.75"/>
    <row r="49957" s="3161" customFormat="1" ht="12.75"/>
    <row r="49958" s="3161" customFormat="1" ht="12.75"/>
    <row r="49959" s="3161" customFormat="1" ht="12.75"/>
    <row r="49960" s="3161" customFormat="1" ht="12.75"/>
    <row r="49961" s="3161" customFormat="1" ht="12.75"/>
    <row r="49962" s="3161" customFormat="1" ht="12.75"/>
    <row r="49963" s="3161" customFormat="1" ht="12.75"/>
    <row r="49964" s="3161" customFormat="1" ht="12.75"/>
    <row r="49965" s="3161" customFormat="1" ht="12.75"/>
    <row r="49966" s="3161" customFormat="1" ht="12.75"/>
    <row r="49967" s="3161" customFormat="1" ht="12.75"/>
    <row r="49968" s="3161" customFormat="1" ht="12.75"/>
    <row r="49969" s="3161" customFormat="1" ht="12.75"/>
    <row r="49970" s="3161" customFormat="1" ht="12.75"/>
    <row r="49971" s="3161" customFormat="1" ht="12.75"/>
    <row r="49972" s="3161" customFormat="1" ht="12.75"/>
    <row r="49973" s="3161" customFormat="1" ht="12.75"/>
    <row r="49974" s="3161" customFormat="1" ht="12.75"/>
    <row r="49975" s="3161" customFormat="1" ht="12.75"/>
    <row r="49976" s="3161" customFormat="1" ht="12.75"/>
    <row r="49977" s="3161" customFormat="1" ht="12.75"/>
    <row r="49978" s="3161" customFormat="1" ht="12.75"/>
    <row r="49979" s="3161" customFormat="1" ht="12.75"/>
    <row r="49980" s="3161" customFormat="1" ht="12.75"/>
    <row r="49981" s="3161" customFormat="1" ht="12.75"/>
    <row r="49982" s="3161" customFormat="1" ht="12.75"/>
    <row r="49983" s="3161" customFormat="1" ht="12.75"/>
    <row r="49984" s="3161" customFormat="1" ht="12.75"/>
    <row r="49985" s="3161" customFormat="1" ht="12.75"/>
    <row r="49986" s="3161" customFormat="1" ht="12.75"/>
    <row r="49987" s="3161" customFormat="1" ht="12.75"/>
    <row r="49988" s="3161" customFormat="1" ht="12.75"/>
    <row r="49989" s="3161" customFormat="1" ht="12.75"/>
    <row r="49990" s="3161" customFormat="1" ht="12.75"/>
    <row r="49991" s="3161" customFormat="1" ht="12.75"/>
    <row r="49992" s="3161" customFormat="1" ht="12.75"/>
    <row r="49993" s="3161" customFormat="1" ht="12.75"/>
    <row r="49994" s="3161" customFormat="1" ht="12.75"/>
    <row r="49995" s="3161" customFormat="1" ht="12.75"/>
    <row r="49996" s="3161" customFormat="1" ht="12.75"/>
    <row r="49997" s="3161" customFormat="1" ht="12.75"/>
    <row r="49998" s="3161" customFormat="1" ht="12.75"/>
    <row r="49999" s="3161" customFormat="1" ht="12.75"/>
    <row r="50000" s="3161" customFormat="1" ht="12.75"/>
    <row r="50001" s="3161" customFormat="1" ht="12.75"/>
    <row r="50002" s="3161" customFormat="1" ht="12.75"/>
    <row r="50003" s="3161" customFormat="1" ht="12.75"/>
    <row r="50004" s="3161" customFormat="1" ht="12.75"/>
    <row r="50005" s="3161" customFormat="1" ht="12.75"/>
    <row r="50006" s="3161" customFormat="1" ht="12.75"/>
    <row r="50007" s="3161" customFormat="1" ht="12.75"/>
    <row r="50008" s="3161" customFormat="1" ht="12.75"/>
    <row r="50009" s="3161" customFormat="1" ht="12.75"/>
    <row r="50010" s="3161" customFormat="1" ht="12.75"/>
    <row r="50011" s="3161" customFormat="1" ht="12.75"/>
    <row r="50012" s="3161" customFormat="1" ht="12.75"/>
    <row r="50013" s="3161" customFormat="1" ht="12.75"/>
    <row r="50014" s="3161" customFormat="1" ht="12.75"/>
    <row r="50015" s="3161" customFormat="1" ht="12.75"/>
    <row r="50016" s="3161" customFormat="1" ht="12.75"/>
    <row r="50017" s="3161" customFormat="1" ht="12.75"/>
    <row r="50018" s="3161" customFormat="1" ht="12.75"/>
    <row r="50019" s="3161" customFormat="1" ht="12.75"/>
    <row r="50020" s="3161" customFormat="1" ht="12.75"/>
    <row r="50021" s="3161" customFormat="1" ht="12.75"/>
    <row r="50022" s="3161" customFormat="1" ht="12.75"/>
    <row r="50023" s="3161" customFormat="1" ht="12.75"/>
    <row r="50024" s="3161" customFormat="1" ht="12.75"/>
    <row r="50025" s="3161" customFormat="1" ht="12.75"/>
    <row r="50026" s="3161" customFormat="1" ht="12.75"/>
    <row r="50027" s="3161" customFormat="1" ht="12.75"/>
    <row r="50028" s="3161" customFormat="1" ht="12.75"/>
    <row r="50029" s="3161" customFormat="1" ht="12.75"/>
    <row r="50030" s="3161" customFormat="1" ht="12.75"/>
    <row r="50031" s="3161" customFormat="1" ht="12.75"/>
    <row r="50032" s="3161" customFormat="1" ht="12.75"/>
    <row r="50033" s="3161" customFormat="1" ht="12.75"/>
    <row r="50034" s="3161" customFormat="1" ht="12.75"/>
    <row r="50035" s="3161" customFormat="1" ht="12.75"/>
    <row r="50036" s="3161" customFormat="1" ht="12.75"/>
    <row r="50037" s="3161" customFormat="1" ht="12.75"/>
    <row r="50038" s="3161" customFormat="1" ht="12.75"/>
    <row r="50039" s="3161" customFormat="1" ht="12.75"/>
    <row r="50040" s="3161" customFormat="1" ht="12.75"/>
    <row r="50041" s="3161" customFormat="1" ht="12.75"/>
    <row r="50042" s="3161" customFormat="1" ht="12.75"/>
    <row r="50043" s="3161" customFormat="1" ht="12.75"/>
    <row r="50044" s="3161" customFormat="1" ht="12.75"/>
    <row r="50045" s="3161" customFormat="1" ht="12.75"/>
    <row r="50046" s="3161" customFormat="1" ht="12.75"/>
    <row r="50047" s="3161" customFormat="1" ht="12.75"/>
    <row r="50048" s="3161" customFormat="1" ht="12.75"/>
    <row r="50049" s="3161" customFormat="1" ht="12.75"/>
    <row r="50050" s="3161" customFormat="1" ht="12.75"/>
    <row r="50051" s="3161" customFormat="1" ht="12.75"/>
    <row r="50052" s="3161" customFormat="1" ht="12.75"/>
    <row r="50053" s="3161" customFormat="1" ht="12.75"/>
    <row r="50054" s="3161" customFormat="1" ht="12.75"/>
    <row r="50055" s="3161" customFormat="1" ht="12.75"/>
    <row r="50056" s="3161" customFormat="1" ht="12.75"/>
    <row r="50057" s="3161" customFormat="1" ht="12.75"/>
    <row r="50058" s="3161" customFormat="1" ht="12.75"/>
    <row r="50059" s="3161" customFormat="1" ht="12.75"/>
    <row r="50060" s="3161" customFormat="1" ht="12.75"/>
    <row r="50061" s="3161" customFormat="1" ht="12.75"/>
    <row r="50062" s="3161" customFormat="1" ht="12.75"/>
    <row r="50063" s="3161" customFormat="1" ht="12.75"/>
    <row r="50064" s="3161" customFormat="1" ht="12.75"/>
    <row r="50065" s="3161" customFormat="1" ht="12.75"/>
    <row r="50066" s="3161" customFormat="1" ht="12.75"/>
    <row r="50067" s="3161" customFormat="1" ht="12.75"/>
    <row r="50068" s="3161" customFormat="1" ht="12.75"/>
    <row r="50069" s="3161" customFormat="1" ht="12.75"/>
    <row r="50070" s="3161" customFormat="1" ht="12.75"/>
    <row r="50071" s="3161" customFormat="1" ht="12.75"/>
    <row r="50072" s="3161" customFormat="1" ht="12.75"/>
    <row r="50073" s="3161" customFormat="1" ht="12.75"/>
    <row r="50074" s="3161" customFormat="1" ht="12.75"/>
    <row r="50075" s="3161" customFormat="1" ht="12.75"/>
    <row r="50076" s="3161" customFormat="1" ht="12.75"/>
    <row r="50077" s="3161" customFormat="1" ht="12.75"/>
    <row r="50078" s="3161" customFormat="1" ht="12.75"/>
    <row r="50079" s="3161" customFormat="1" ht="12.75"/>
    <row r="50080" s="3161" customFormat="1" ht="12.75"/>
    <row r="50081" s="3161" customFormat="1" ht="12.75"/>
    <row r="50082" s="3161" customFormat="1" ht="12.75"/>
    <row r="50083" s="3161" customFormat="1" ht="12.75"/>
    <row r="50084" s="3161" customFormat="1" ht="12.75"/>
    <row r="50085" s="3161" customFormat="1" ht="12.75"/>
    <row r="50086" s="3161" customFormat="1" ht="12.75"/>
    <row r="50087" s="3161" customFormat="1" ht="12.75"/>
    <row r="50088" s="3161" customFormat="1" ht="12.75"/>
    <row r="50089" s="3161" customFormat="1" ht="12.75"/>
    <row r="50090" s="3161" customFormat="1" ht="12.75"/>
    <row r="50091" s="3161" customFormat="1" ht="12.75"/>
    <row r="50092" s="3161" customFormat="1" ht="12.75"/>
    <row r="50093" s="3161" customFormat="1" ht="12.75"/>
    <row r="50094" s="3161" customFormat="1" ht="12.75"/>
    <row r="50095" s="3161" customFormat="1" ht="12.75"/>
    <row r="50096" s="3161" customFormat="1" ht="12.75"/>
    <row r="50097" s="3161" customFormat="1" ht="12.75"/>
    <row r="50098" s="3161" customFormat="1" ht="12.75"/>
    <row r="50099" s="3161" customFormat="1" ht="12.75"/>
    <row r="50100" s="3161" customFormat="1" ht="12.75"/>
    <row r="50101" s="3161" customFormat="1" ht="12.75"/>
    <row r="50102" s="3161" customFormat="1" ht="12.75"/>
    <row r="50103" s="3161" customFormat="1" ht="12.75"/>
    <row r="50104" s="3161" customFormat="1" ht="12.75"/>
    <row r="50105" s="3161" customFormat="1" ht="12.75"/>
    <row r="50106" s="3161" customFormat="1" ht="12.75"/>
    <row r="50107" s="3161" customFormat="1" ht="12.75"/>
    <row r="50108" s="3161" customFormat="1" ht="12.75"/>
    <row r="50109" s="3161" customFormat="1" ht="12.75"/>
    <row r="50110" s="3161" customFormat="1" ht="12.75"/>
    <row r="50111" s="3161" customFormat="1" ht="12.75"/>
    <row r="50112" s="3161" customFormat="1" ht="12.75"/>
    <row r="50113" s="3161" customFormat="1" ht="12.75"/>
    <row r="50114" s="3161" customFormat="1" ht="12.75"/>
    <row r="50115" s="3161" customFormat="1" ht="12.75"/>
    <row r="50116" s="3161" customFormat="1" ht="12.75"/>
    <row r="50117" s="3161" customFormat="1" ht="12.75"/>
    <row r="50118" s="3161" customFormat="1" ht="12.75"/>
    <row r="50119" s="3161" customFormat="1" ht="12.75"/>
    <row r="50120" s="3161" customFormat="1" ht="12.75"/>
    <row r="50121" s="3161" customFormat="1" ht="12.75"/>
    <row r="50122" s="3161" customFormat="1" ht="12.75"/>
    <row r="50123" s="3161" customFormat="1" ht="12.75"/>
    <row r="50124" s="3161" customFormat="1" ht="12.75"/>
    <row r="50125" s="3161" customFormat="1" ht="12.75"/>
    <row r="50126" s="3161" customFormat="1" ht="12.75"/>
    <row r="50127" s="3161" customFormat="1" ht="12.75"/>
    <row r="50128" s="3161" customFormat="1" ht="12.75"/>
    <row r="50129" s="3161" customFormat="1" ht="12.75"/>
    <row r="50130" s="3161" customFormat="1" ht="12.75"/>
    <row r="50131" s="3161" customFormat="1" ht="12.75"/>
    <row r="50132" s="3161" customFormat="1" ht="12.75"/>
    <row r="50133" s="3161" customFormat="1" ht="12.75"/>
    <row r="50134" s="3161" customFormat="1" ht="12.75"/>
    <row r="50135" s="3161" customFormat="1" ht="12.75"/>
    <row r="50136" s="3161" customFormat="1" ht="12.75"/>
    <row r="50137" s="3161" customFormat="1" ht="12.75"/>
    <row r="50138" s="3161" customFormat="1" ht="12.75"/>
    <row r="50139" s="3161" customFormat="1" ht="12.75"/>
    <row r="50140" s="3161" customFormat="1" ht="12.75"/>
    <row r="50141" s="3161" customFormat="1" ht="12.75"/>
    <row r="50142" s="3161" customFormat="1" ht="12.75"/>
    <row r="50143" s="3161" customFormat="1" ht="12.75"/>
    <row r="50144" s="3161" customFormat="1" ht="12.75"/>
    <row r="50145" s="3161" customFormat="1" ht="12.75"/>
    <row r="50146" s="3161" customFormat="1" ht="12.75"/>
    <row r="50147" s="3161" customFormat="1" ht="12.75"/>
    <row r="50148" s="3161" customFormat="1" ht="12.75"/>
    <row r="50149" s="3161" customFormat="1" ht="12.75"/>
    <row r="50150" s="3161" customFormat="1" ht="12.75"/>
    <row r="50151" s="3161" customFormat="1" ht="12.75"/>
    <row r="50152" s="3161" customFormat="1" ht="12.75"/>
    <row r="50153" s="3161" customFormat="1" ht="12.75"/>
    <row r="50154" s="3161" customFormat="1" ht="12.75"/>
    <row r="50155" s="3161" customFormat="1" ht="12.75"/>
    <row r="50156" s="3161" customFormat="1" ht="12.75"/>
    <row r="50157" s="3161" customFormat="1" ht="12.75"/>
    <row r="50158" s="3161" customFormat="1" ht="12.75"/>
    <row r="50159" s="3161" customFormat="1" ht="12.75"/>
    <row r="50160" s="3161" customFormat="1" ht="12.75"/>
    <row r="50161" s="3161" customFormat="1" ht="12.75"/>
    <row r="50162" s="3161" customFormat="1" ht="12.75"/>
    <row r="50163" s="3161" customFormat="1" ht="12.75"/>
    <row r="50164" s="3161" customFormat="1" ht="12.75"/>
    <row r="50165" s="3161" customFormat="1" ht="12.75"/>
    <row r="50166" s="3161" customFormat="1" ht="12.75"/>
    <row r="50167" s="3161" customFormat="1" ht="12.75"/>
    <row r="50168" s="3161" customFormat="1" ht="12.75"/>
    <row r="50169" s="3161" customFormat="1" ht="12.75"/>
    <row r="50170" s="3161" customFormat="1" ht="12.75"/>
    <row r="50171" s="3161" customFormat="1" ht="12.75"/>
    <row r="50172" s="3161" customFormat="1" ht="12.75"/>
    <row r="50173" s="3161" customFormat="1" ht="12.75"/>
    <row r="50174" s="3161" customFormat="1" ht="12.75"/>
    <row r="50175" s="3161" customFormat="1" ht="12.75"/>
    <row r="50176" s="3161" customFormat="1" ht="12.75"/>
    <row r="50177" s="3161" customFormat="1" ht="12.75"/>
    <row r="50178" s="3161" customFormat="1" ht="12.75"/>
    <row r="50179" s="3161" customFormat="1" ht="12.75"/>
    <row r="50180" s="3161" customFormat="1" ht="12.75"/>
    <row r="50181" s="3161" customFormat="1" ht="12.75"/>
    <row r="50182" s="3161" customFormat="1" ht="12.75"/>
    <row r="50183" s="3161" customFormat="1" ht="12.75"/>
    <row r="50184" s="3161" customFormat="1" ht="12.75"/>
    <row r="50185" s="3161" customFormat="1" ht="12.75"/>
    <row r="50186" s="3161" customFormat="1" ht="12.75"/>
    <row r="50187" s="3161" customFormat="1" ht="12.75"/>
    <row r="50188" s="3161" customFormat="1" ht="12.75"/>
    <row r="50189" s="3161" customFormat="1" ht="12.75"/>
    <row r="50190" s="3161" customFormat="1" ht="12.75"/>
    <row r="50191" s="3161" customFormat="1" ht="12.75"/>
    <row r="50192" s="3161" customFormat="1" ht="12.75"/>
    <row r="50193" s="3161" customFormat="1" ht="12.75"/>
    <row r="50194" s="3161" customFormat="1" ht="12.75"/>
    <row r="50195" s="3161" customFormat="1" ht="12.75"/>
    <row r="50196" s="3161" customFormat="1" ht="12.75"/>
    <row r="50197" s="3161" customFormat="1" ht="12.75"/>
    <row r="50198" s="3161" customFormat="1" ht="12.75"/>
    <row r="50199" s="3161" customFormat="1" ht="12.75"/>
    <row r="50200" s="3161" customFormat="1" ht="12.75"/>
    <row r="50201" s="3161" customFormat="1" ht="12.75"/>
    <row r="50202" s="3161" customFormat="1" ht="12.75"/>
    <row r="50203" s="3161" customFormat="1" ht="12.75"/>
    <row r="50204" s="3161" customFormat="1" ht="12.75"/>
    <row r="50205" s="3161" customFormat="1" ht="12.75"/>
    <row r="50206" s="3161" customFormat="1" ht="12.75"/>
    <row r="50207" s="3161" customFormat="1" ht="12.75"/>
    <row r="50208" s="3161" customFormat="1" ht="12.75"/>
    <row r="50209" s="3161" customFormat="1" ht="12.75"/>
    <row r="50210" s="3161" customFormat="1" ht="12.75"/>
    <row r="50211" s="3161" customFormat="1" ht="12.75"/>
    <row r="50212" s="3161" customFormat="1" ht="12.75"/>
    <row r="50213" s="3161" customFormat="1" ht="12.75"/>
    <row r="50214" s="3161" customFormat="1" ht="12.75"/>
    <row r="50215" s="3161" customFormat="1" ht="12.75"/>
    <row r="50216" s="3161" customFormat="1" ht="12.75"/>
    <row r="50217" s="3161" customFormat="1" ht="12.75"/>
    <row r="50218" s="3161" customFormat="1" ht="12.75"/>
    <row r="50219" s="3161" customFormat="1" ht="12.75"/>
    <row r="50220" s="3161" customFormat="1" ht="12.75"/>
    <row r="50221" s="3161" customFormat="1" ht="12.75"/>
    <row r="50222" s="3161" customFormat="1" ht="12.75"/>
    <row r="50223" s="3161" customFormat="1" ht="12.75"/>
    <row r="50224" s="3161" customFormat="1" ht="12.75"/>
    <row r="50225" s="3161" customFormat="1" ht="12.75"/>
    <row r="50226" s="3161" customFormat="1" ht="12.75"/>
    <row r="50227" s="3161" customFormat="1" ht="12.75"/>
    <row r="50228" s="3161" customFormat="1" ht="12.75"/>
    <row r="50229" s="3161" customFormat="1" ht="12.75"/>
    <row r="50230" s="3161" customFormat="1" ht="12.75"/>
    <row r="50231" s="3161" customFormat="1" ht="12.75"/>
    <row r="50232" s="3161" customFormat="1" ht="12.75"/>
    <row r="50233" s="3161" customFormat="1" ht="12.75"/>
    <row r="50234" s="3161" customFormat="1" ht="12.75"/>
    <row r="50235" s="3161" customFormat="1" ht="12.75"/>
    <row r="50236" s="3161" customFormat="1" ht="12.75"/>
    <row r="50237" s="3161" customFormat="1" ht="12.75"/>
    <row r="50238" s="3161" customFormat="1" ht="12.75"/>
    <row r="50239" s="3161" customFormat="1" ht="12.75"/>
    <row r="50240" s="3161" customFormat="1" ht="12.75"/>
    <row r="50241" s="3161" customFormat="1" ht="12.75"/>
    <row r="50242" s="3161" customFormat="1" ht="12.75"/>
    <row r="50243" s="3161" customFormat="1" ht="12.75"/>
    <row r="50244" s="3161" customFormat="1" ht="12.75"/>
    <row r="50245" s="3161" customFormat="1" ht="12.75"/>
    <row r="50246" s="3161" customFormat="1" ht="12.75"/>
    <row r="50247" s="3161" customFormat="1" ht="12.75"/>
    <row r="50248" s="3161" customFormat="1" ht="12.75"/>
    <row r="50249" s="3161" customFormat="1" ht="12.75"/>
    <row r="50250" s="3161" customFormat="1" ht="12.75"/>
    <row r="50251" s="3161" customFormat="1" ht="12.75"/>
    <row r="50252" s="3161" customFormat="1" ht="12.75"/>
    <row r="50253" s="3161" customFormat="1" ht="12.75"/>
    <row r="50254" s="3161" customFormat="1" ht="12.75"/>
    <row r="50255" s="3161" customFormat="1" ht="12.75"/>
    <row r="50256" s="3161" customFormat="1" ht="12.75"/>
    <row r="50257" s="3161" customFormat="1" ht="12.75"/>
    <row r="50258" s="3161" customFormat="1" ht="12.75"/>
    <row r="50259" s="3161" customFormat="1" ht="12.75"/>
    <row r="50260" s="3161" customFormat="1" ht="12.75"/>
    <row r="50261" s="3161" customFormat="1" ht="12.75"/>
    <row r="50262" s="3161" customFormat="1" ht="12.75"/>
    <row r="50263" s="3161" customFormat="1" ht="12.75"/>
    <row r="50264" s="3161" customFormat="1" ht="12.75"/>
    <row r="50265" s="3161" customFormat="1" ht="12.75"/>
    <row r="50266" s="3161" customFormat="1" ht="12.75"/>
    <row r="50267" s="3161" customFormat="1" ht="12.75"/>
    <row r="50268" s="3161" customFormat="1" ht="12.75"/>
    <row r="50269" s="3161" customFormat="1" ht="12.75"/>
    <row r="50270" s="3161" customFormat="1" ht="12.75"/>
    <row r="50271" s="3161" customFormat="1" ht="12.75"/>
    <row r="50272" s="3161" customFormat="1" ht="12.75"/>
    <row r="50273" s="3161" customFormat="1" ht="12.75"/>
    <row r="50274" s="3161" customFormat="1" ht="12.75"/>
    <row r="50275" s="3161" customFormat="1" ht="12.75"/>
    <row r="50276" s="3161" customFormat="1" ht="12.75"/>
    <row r="50277" s="3161" customFormat="1" ht="12.75"/>
    <row r="50278" s="3161" customFormat="1" ht="12.75"/>
    <row r="50279" s="3161" customFormat="1" ht="12.75"/>
    <row r="50280" s="3161" customFormat="1" ht="12.75"/>
    <row r="50281" s="3161" customFormat="1" ht="12.75"/>
    <row r="50282" s="3161" customFormat="1" ht="12.75"/>
    <row r="50283" s="3161" customFormat="1" ht="12.75"/>
    <row r="50284" s="3161" customFormat="1" ht="12.75"/>
    <row r="50285" s="3161" customFormat="1" ht="12.75"/>
    <row r="50286" s="3161" customFormat="1" ht="12.75"/>
    <row r="50287" s="3161" customFormat="1" ht="12.75"/>
    <row r="50288" s="3161" customFormat="1" ht="12.75"/>
    <row r="50289" s="3161" customFormat="1" ht="12.75"/>
    <row r="50290" s="3161" customFormat="1" ht="12.75"/>
    <row r="50291" s="3161" customFormat="1" ht="12.75"/>
    <row r="50292" s="3161" customFormat="1" ht="12.75"/>
    <row r="50293" s="3161" customFormat="1" ht="12.75"/>
    <row r="50294" s="3161" customFormat="1" ht="12.75"/>
    <row r="50295" s="3161" customFormat="1" ht="12.75"/>
    <row r="50296" s="3161" customFormat="1" ht="12.75"/>
    <row r="50297" s="3161" customFormat="1" ht="12.75"/>
    <row r="50298" s="3161" customFormat="1" ht="12.75"/>
    <row r="50299" s="3161" customFormat="1" ht="12.75"/>
    <row r="50300" s="3161" customFormat="1" ht="12.75"/>
    <row r="50301" s="3161" customFormat="1" ht="12.75"/>
    <row r="50302" s="3161" customFormat="1" ht="12.75"/>
    <row r="50303" s="3161" customFormat="1" ht="12.75"/>
    <row r="50304" s="3161" customFormat="1" ht="12.75"/>
    <row r="50305" s="3161" customFormat="1" ht="12.75"/>
    <row r="50306" s="3161" customFormat="1" ht="12.75"/>
    <row r="50307" s="3161" customFormat="1" ht="12.75"/>
    <row r="50308" s="3161" customFormat="1" ht="12.75"/>
    <row r="50309" s="3161" customFormat="1" ht="12.75"/>
    <row r="50310" s="3161" customFormat="1" ht="12.75"/>
    <row r="50311" s="3161" customFormat="1" ht="12.75"/>
    <row r="50312" s="3161" customFormat="1" ht="12.75"/>
    <row r="50313" s="3161" customFormat="1" ht="12.75"/>
    <row r="50314" s="3161" customFormat="1" ht="12.75"/>
    <row r="50315" s="3161" customFormat="1" ht="12.75"/>
    <row r="50316" s="3161" customFormat="1" ht="12.75"/>
    <row r="50317" s="3161" customFormat="1" ht="12.75"/>
    <row r="50318" s="3161" customFormat="1" ht="12.75"/>
    <row r="50319" s="3161" customFormat="1" ht="12.75"/>
    <row r="50320" s="3161" customFormat="1" ht="12.75"/>
    <row r="50321" s="3161" customFormat="1" ht="12.75"/>
    <row r="50322" s="3161" customFormat="1" ht="12.75"/>
    <row r="50323" s="3161" customFormat="1" ht="12.75"/>
    <row r="50324" s="3161" customFormat="1" ht="12.75"/>
    <row r="50325" s="3161" customFormat="1" ht="12.75"/>
    <row r="50326" s="3161" customFormat="1" ht="12.75"/>
    <row r="50327" s="3161" customFormat="1" ht="12.75"/>
    <row r="50328" s="3161" customFormat="1" ht="12.75"/>
    <row r="50329" s="3161" customFormat="1" ht="12.75"/>
    <row r="50330" s="3161" customFormat="1" ht="12.75"/>
    <row r="50331" s="3161" customFormat="1" ht="12.75"/>
    <row r="50332" s="3161" customFormat="1" ht="12.75"/>
    <row r="50333" s="3161" customFormat="1" ht="12.75"/>
    <row r="50334" s="3161" customFormat="1" ht="12.75"/>
    <row r="50335" s="3161" customFormat="1" ht="12.75"/>
    <row r="50336" s="3161" customFormat="1" ht="12.75"/>
    <row r="50337" s="3161" customFormat="1" ht="12.75"/>
    <row r="50338" s="3161" customFormat="1" ht="12.75"/>
    <row r="50339" s="3161" customFormat="1" ht="12.75"/>
    <row r="50340" s="3161" customFormat="1" ht="12.75"/>
    <row r="50341" s="3161" customFormat="1" ht="12.75"/>
    <row r="50342" s="3161" customFormat="1" ht="12.75"/>
    <row r="50343" s="3161" customFormat="1" ht="12.75"/>
    <row r="50344" s="3161" customFormat="1" ht="12.75"/>
    <row r="50345" s="3161" customFormat="1" ht="12.75"/>
    <row r="50346" s="3161" customFormat="1" ht="12.75"/>
    <row r="50347" s="3161" customFormat="1" ht="12.75"/>
    <row r="50348" s="3161" customFormat="1" ht="12.75"/>
    <row r="50349" s="3161" customFormat="1" ht="12.75"/>
    <row r="50350" s="3161" customFormat="1" ht="12.75"/>
    <row r="50351" s="3161" customFormat="1" ht="12.75"/>
    <row r="50352" s="3161" customFormat="1" ht="12.75"/>
    <row r="50353" s="3161" customFormat="1" ht="12.75"/>
    <row r="50354" s="3161" customFormat="1" ht="12.75"/>
    <row r="50355" s="3161" customFormat="1" ht="12.75"/>
    <row r="50356" s="3161" customFormat="1" ht="12.75"/>
    <row r="50357" s="3161" customFormat="1" ht="12.75"/>
    <row r="50358" s="3161" customFormat="1" ht="12.75"/>
    <row r="50359" s="3161" customFormat="1" ht="12.75"/>
    <row r="50360" s="3161" customFormat="1" ht="12.75"/>
    <row r="50361" s="3161" customFormat="1" ht="12.75"/>
    <row r="50362" s="3161" customFormat="1" ht="12.75"/>
    <row r="50363" s="3161" customFormat="1" ht="12.75"/>
    <row r="50364" s="3161" customFormat="1" ht="12.75"/>
    <row r="50365" s="3161" customFormat="1" ht="12.75"/>
    <row r="50366" s="3161" customFormat="1" ht="12.75"/>
    <row r="50367" s="3161" customFormat="1" ht="12.75"/>
    <row r="50368" s="3161" customFormat="1" ht="12.75"/>
    <row r="50369" s="3161" customFormat="1" ht="12.75"/>
    <row r="50370" s="3161" customFormat="1" ht="12.75"/>
    <row r="50371" s="3161" customFormat="1" ht="12.75"/>
    <row r="50372" s="3161" customFormat="1" ht="12.75"/>
    <row r="50373" s="3161" customFormat="1" ht="12.75"/>
    <row r="50374" s="3161" customFormat="1" ht="12.75"/>
    <row r="50375" s="3161" customFormat="1" ht="12.75"/>
    <row r="50376" s="3161" customFormat="1" ht="12.75"/>
    <row r="50377" s="3161" customFormat="1" ht="12.75"/>
    <row r="50378" s="3161" customFormat="1" ht="12.75"/>
    <row r="50379" s="3161" customFormat="1" ht="12.75"/>
    <row r="50380" s="3161" customFormat="1" ht="12.75"/>
    <row r="50381" s="3161" customFormat="1" ht="12.75"/>
    <row r="50382" s="3161" customFormat="1" ht="12.75"/>
    <row r="50383" s="3161" customFormat="1" ht="12.75"/>
    <row r="50384" s="3161" customFormat="1" ht="12.75"/>
    <row r="50385" s="3161" customFormat="1" ht="12.75"/>
    <row r="50386" s="3161" customFormat="1" ht="12.75"/>
    <row r="50387" s="3161" customFormat="1" ht="12.75"/>
    <row r="50388" s="3161" customFormat="1" ht="12.75"/>
    <row r="50389" s="3161" customFormat="1" ht="12.75"/>
    <row r="50390" s="3161" customFormat="1" ht="12.75"/>
    <row r="50391" s="3161" customFormat="1" ht="12.75"/>
    <row r="50392" s="3161" customFormat="1" ht="12.75"/>
    <row r="50393" s="3161" customFormat="1" ht="12.75"/>
    <row r="50394" s="3161" customFormat="1" ht="12.75"/>
    <row r="50395" s="3161" customFormat="1" ht="12.75"/>
    <row r="50396" s="3161" customFormat="1" ht="12.75"/>
    <row r="50397" s="3161" customFormat="1" ht="12.75"/>
    <row r="50398" s="3161" customFormat="1" ht="12.75"/>
    <row r="50399" s="3161" customFormat="1" ht="12.75"/>
    <row r="50400" s="3161" customFormat="1" ht="12.75"/>
    <row r="50401" s="3161" customFormat="1" ht="12.75"/>
    <row r="50402" s="3161" customFormat="1" ht="12.75"/>
    <row r="50403" s="3161" customFormat="1" ht="12.75"/>
    <row r="50404" s="3161" customFormat="1" ht="12.75"/>
    <row r="50405" s="3161" customFormat="1" ht="12.75"/>
    <row r="50406" s="3161" customFormat="1" ht="12.75"/>
    <row r="50407" s="3161" customFormat="1" ht="12.75"/>
    <row r="50408" s="3161" customFormat="1" ht="12.75"/>
    <row r="50409" s="3161" customFormat="1" ht="12.75"/>
    <row r="50410" s="3161" customFormat="1" ht="12.75"/>
    <row r="50411" s="3161" customFormat="1" ht="12.75"/>
    <row r="50412" s="3161" customFormat="1" ht="12.75"/>
    <row r="50413" s="3161" customFormat="1" ht="12.75"/>
    <row r="50414" s="3161" customFormat="1" ht="12.75"/>
    <row r="50415" s="3161" customFormat="1" ht="12.75"/>
    <row r="50416" s="3161" customFormat="1" ht="12.75"/>
    <row r="50417" s="3161" customFormat="1" ht="12.75"/>
    <row r="50418" s="3161" customFormat="1" ht="12.75"/>
    <row r="50419" s="3161" customFormat="1" ht="12.75"/>
    <row r="50420" s="3161" customFormat="1" ht="12.75"/>
    <row r="50421" s="3161" customFormat="1" ht="12.75"/>
    <row r="50422" s="3161" customFormat="1" ht="12.75"/>
    <row r="50423" s="3161" customFormat="1" ht="12.75"/>
    <row r="50424" s="3161" customFormat="1" ht="12.75"/>
    <row r="50425" s="3161" customFormat="1" ht="12.75"/>
    <row r="50426" s="3161" customFormat="1" ht="12.75"/>
    <row r="50427" s="3161" customFormat="1" ht="12.75"/>
    <row r="50428" s="3161" customFormat="1" ht="12.75"/>
    <row r="50429" s="3161" customFormat="1" ht="12.75"/>
    <row r="50430" s="3161" customFormat="1" ht="12.75"/>
    <row r="50431" s="3161" customFormat="1" ht="12.75"/>
    <row r="50432" s="3161" customFormat="1" ht="12.75"/>
    <row r="50433" s="3161" customFormat="1" ht="12.75"/>
    <row r="50434" s="3161" customFormat="1" ht="12.75"/>
    <row r="50435" s="3161" customFormat="1" ht="12.75"/>
    <row r="50436" s="3161" customFormat="1" ht="12.75"/>
    <row r="50437" s="3161" customFormat="1" ht="12.75"/>
    <row r="50438" s="3161" customFormat="1" ht="12.75"/>
    <row r="50439" s="3161" customFormat="1" ht="12.75"/>
    <row r="50440" s="3161" customFormat="1" ht="12.75"/>
    <row r="50441" s="3161" customFormat="1" ht="12.75"/>
    <row r="50442" s="3161" customFormat="1" ht="12.75"/>
    <row r="50443" s="3161" customFormat="1" ht="12.75"/>
    <row r="50444" s="3161" customFormat="1" ht="12.75"/>
    <row r="50445" s="3161" customFormat="1" ht="12.75"/>
    <row r="50446" s="3161" customFormat="1" ht="12.75"/>
    <row r="50447" s="3161" customFormat="1" ht="12.75"/>
    <row r="50448" s="3161" customFormat="1" ht="12.75"/>
    <row r="50449" s="3161" customFormat="1" ht="12.75"/>
    <row r="50450" s="3161" customFormat="1" ht="12.75"/>
    <row r="50451" s="3161" customFormat="1" ht="12.75"/>
    <row r="50452" s="3161" customFormat="1" ht="12.75"/>
    <row r="50453" s="3161" customFormat="1" ht="12.75"/>
    <row r="50454" s="3161" customFormat="1" ht="12.75"/>
    <row r="50455" s="3161" customFormat="1" ht="12.75"/>
    <row r="50456" s="3161" customFormat="1" ht="12.75"/>
    <row r="50457" s="3161" customFormat="1" ht="12.75"/>
    <row r="50458" s="3161" customFormat="1" ht="12.75"/>
    <row r="50459" s="3161" customFormat="1" ht="12.75"/>
    <row r="50460" s="3161" customFormat="1" ht="12.75"/>
    <row r="50461" s="3161" customFormat="1" ht="12.75"/>
    <row r="50462" s="3161" customFormat="1" ht="12.75"/>
    <row r="50463" s="3161" customFormat="1" ht="12.75"/>
    <row r="50464" s="3161" customFormat="1" ht="12.75"/>
    <row r="50465" s="3161" customFormat="1" ht="12.75"/>
    <row r="50466" s="3161" customFormat="1" ht="12.75"/>
    <row r="50467" s="3161" customFormat="1" ht="12.75"/>
    <row r="50468" s="3161" customFormat="1" ht="12.75"/>
    <row r="50469" s="3161" customFormat="1" ht="12.75"/>
    <row r="50470" s="3161" customFormat="1" ht="12.75"/>
    <row r="50471" s="3161" customFormat="1" ht="12.75"/>
    <row r="50472" s="3161" customFormat="1" ht="12.75"/>
    <row r="50473" s="3161" customFormat="1" ht="12.75"/>
    <row r="50474" s="3161" customFormat="1" ht="12.75"/>
    <row r="50475" s="3161" customFormat="1" ht="12.75"/>
    <row r="50476" s="3161" customFormat="1" ht="12.75"/>
    <row r="50477" s="3161" customFormat="1" ht="12.75"/>
    <row r="50478" s="3161" customFormat="1" ht="12.75"/>
    <row r="50479" s="3161" customFormat="1" ht="12.75"/>
    <row r="50480" s="3161" customFormat="1" ht="12.75"/>
    <row r="50481" s="3161" customFormat="1" ht="12.75"/>
    <row r="50482" s="3161" customFormat="1" ht="12.75"/>
    <row r="50483" s="3161" customFormat="1" ht="12.75"/>
    <row r="50484" s="3161" customFormat="1" ht="12.75"/>
    <row r="50485" s="3161" customFormat="1" ht="12.75"/>
    <row r="50486" s="3161" customFormat="1" ht="12.75"/>
    <row r="50487" s="3161" customFormat="1" ht="12.75"/>
    <row r="50488" s="3161" customFormat="1" ht="12.75"/>
    <row r="50489" s="3161" customFormat="1" ht="12.75"/>
    <row r="50490" s="3161" customFormat="1" ht="12.75"/>
    <row r="50491" s="3161" customFormat="1" ht="12.75"/>
    <row r="50492" s="3161" customFormat="1" ht="12.75"/>
    <row r="50493" s="3161" customFormat="1" ht="12.75"/>
    <row r="50494" s="3161" customFormat="1" ht="12.75"/>
    <row r="50495" s="3161" customFormat="1" ht="12.75"/>
    <row r="50496" s="3161" customFormat="1" ht="12.75"/>
    <row r="50497" s="3161" customFormat="1" ht="12.75"/>
    <row r="50498" s="3161" customFormat="1" ht="12.75"/>
    <row r="50499" s="3161" customFormat="1" ht="12.75"/>
    <row r="50500" s="3161" customFormat="1" ht="12.75"/>
    <row r="50501" s="3161" customFormat="1" ht="12.75"/>
    <row r="50502" s="3161" customFormat="1" ht="12.75"/>
    <row r="50503" s="3161" customFormat="1" ht="12.75"/>
    <row r="50504" s="3161" customFormat="1" ht="12.75"/>
    <row r="50505" s="3161" customFormat="1" ht="12.75"/>
    <row r="50506" s="3161" customFormat="1" ht="12.75"/>
    <row r="50507" s="3161" customFormat="1" ht="12.75"/>
    <row r="50508" s="3161" customFormat="1" ht="12.75"/>
    <row r="50509" s="3161" customFormat="1" ht="12.75"/>
    <row r="50510" s="3161" customFormat="1" ht="12.75"/>
    <row r="50511" s="3161" customFormat="1" ht="12.75"/>
    <row r="50512" s="3161" customFormat="1" ht="12.75"/>
    <row r="50513" s="3161" customFormat="1" ht="12.75"/>
    <row r="50514" s="3161" customFormat="1" ht="12.75"/>
    <row r="50515" s="3161" customFormat="1" ht="12.75"/>
    <row r="50516" s="3161" customFormat="1" ht="12.75"/>
    <row r="50517" s="3161" customFormat="1" ht="12.75"/>
    <row r="50518" s="3161" customFormat="1" ht="12.75"/>
    <row r="50519" s="3161" customFormat="1" ht="12.75"/>
    <row r="50520" s="3161" customFormat="1" ht="12.75"/>
    <row r="50521" s="3161" customFormat="1" ht="12.75"/>
    <row r="50522" s="3161" customFormat="1" ht="12.75"/>
    <row r="50523" s="3161" customFormat="1" ht="12.75"/>
    <row r="50524" s="3161" customFormat="1" ht="12.75"/>
    <row r="50525" s="3161" customFormat="1" ht="12.75"/>
    <row r="50526" s="3161" customFormat="1" ht="12.75"/>
    <row r="50527" s="3161" customFormat="1" ht="12.75"/>
    <row r="50528" s="3161" customFormat="1" ht="12.75"/>
    <row r="50529" s="3161" customFormat="1" ht="12.75"/>
    <row r="50530" s="3161" customFormat="1" ht="12.75"/>
    <row r="50531" s="3161" customFormat="1" ht="12.75"/>
    <row r="50532" s="3161" customFormat="1" ht="12.75"/>
    <row r="50533" s="3161" customFormat="1" ht="12.75"/>
    <row r="50534" s="3161" customFormat="1" ht="12.75"/>
    <row r="50535" s="3161" customFormat="1" ht="12.75"/>
    <row r="50536" s="3161" customFormat="1" ht="12.75"/>
    <row r="50537" s="3161" customFormat="1" ht="12.75"/>
    <row r="50538" s="3161" customFormat="1" ht="12.75"/>
    <row r="50539" s="3161" customFormat="1" ht="12.75"/>
    <row r="50540" s="3161" customFormat="1" ht="12.75"/>
    <row r="50541" s="3161" customFormat="1" ht="12.75"/>
    <row r="50542" s="3161" customFormat="1" ht="12.75"/>
    <row r="50543" s="3161" customFormat="1" ht="12.75"/>
    <row r="50544" s="3161" customFormat="1" ht="12.75"/>
    <row r="50545" s="3161" customFormat="1" ht="12.75"/>
    <row r="50546" s="3161" customFormat="1" ht="12.75"/>
    <row r="50547" s="3161" customFormat="1" ht="12.75"/>
    <row r="50548" s="3161" customFormat="1" ht="12.75"/>
    <row r="50549" s="3161" customFormat="1" ht="12.75"/>
    <row r="50550" s="3161" customFormat="1" ht="12.75"/>
    <row r="50551" s="3161" customFormat="1" ht="12.75"/>
    <row r="50552" s="3161" customFormat="1" ht="12.75"/>
    <row r="50553" s="3161" customFormat="1" ht="12.75"/>
    <row r="50554" s="3161" customFormat="1" ht="12.75"/>
    <row r="50555" s="3161" customFormat="1" ht="12.75"/>
    <row r="50556" s="3161" customFormat="1" ht="12.75"/>
    <row r="50557" s="3161" customFormat="1" ht="12.75"/>
    <row r="50558" s="3161" customFormat="1" ht="12.75"/>
    <row r="50559" s="3161" customFormat="1" ht="12.75"/>
    <row r="50560" s="3161" customFormat="1" ht="12.75"/>
    <row r="50561" s="3161" customFormat="1" ht="12.75"/>
    <row r="50562" s="3161" customFormat="1" ht="12.75"/>
    <row r="50563" s="3161" customFormat="1" ht="12.75"/>
    <row r="50564" s="3161" customFormat="1" ht="12.75"/>
    <row r="50565" s="3161" customFormat="1" ht="12.75"/>
    <row r="50566" s="3161" customFormat="1" ht="12.75"/>
    <row r="50567" s="3161" customFormat="1" ht="12.75"/>
    <row r="50568" s="3161" customFormat="1" ht="12.75"/>
    <row r="50569" s="3161" customFormat="1" ht="12.75"/>
    <row r="50570" s="3161" customFormat="1" ht="12.75"/>
    <row r="50571" s="3161" customFormat="1" ht="12.75"/>
    <row r="50572" s="3161" customFormat="1" ht="12.75"/>
    <row r="50573" s="3161" customFormat="1" ht="12.75"/>
    <row r="50574" s="3161" customFormat="1" ht="12.75"/>
    <row r="50575" s="3161" customFormat="1" ht="12.75"/>
    <row r="50576" s="3161" customFormat="1" ht="12.75"/>
    <row r="50577" s="3161" customFormat="1" ht="12.75"/>
    <row r="50578" s="3161" customFormat="1" ht="12.75"/>
    <row r="50579" s="3161" customFormat="1" ht="12.75"/>
    <row r="50580" s="3161" customFormat="1" ht="12.75"/>
    <row r="50581" s="3161" customFormat="1" ht="12.75"/>
    <row r="50582" s="3161" customFormat="1" ht="12.75"/>
    <row r="50583" s="3161" customFormat="1" ht="12.75"/>
    <row r="50584" s="3161" customFormat="1" ht="12.75"/>
    <row r="50585" s="3161" customFormat="1" ht="12.75"/>
    <row r="50586" s="3161" customFormat="1" ht="12.75"/>
    <row r="50587" s="3161" customFormat="1" ht="12.75"/>
    <row r="50588" s="3161" customFormat="1" ht="12.75"/>
    <row r="50589" s="3161" customFormat="1" ht="12.75"/>
    <row r="50590" s="3161" customFormat="1" ht="12.75"/>
    <row r="50591" s="3161" customFormat="1" ht="12.75"/>
    <row r="50592" s="3161" customFormat="1" ht="12.75"/>
    <row r="50593" s="3161" customFormat="1" ht="12.75"/>
    <row r="50594" s="3161" customFormat="1" ht="12.75"/>
    <row r="50595" s="3161" customFormat="1" ht="12.75"/>
    <row r="50596" s="3161" customFormat="1" ht="12.75"/>
    <row r="50597" s="3161" customFormat="1" ht="12.75"/>
    <row r="50598" s="3161" customFormat="1" ht="12.75"/>
    <row r="50599" s="3161" customFormat="1" ht="12.75"/>
    <row r="50600" s="3161" customFormat="1" ht="12.75"/>
    <row r="50601" s="3161" customFormat="1" ht="12.75"/>
    <row r="50602" s="3161" customFormat="1" ht="12.75"/>
    <row r="50603" s="3161" customFormat="1" ht="12.75"/>
    <row r="50604" s="3161" customFormat="1" ht="12.75"/>
    <row r="50605" s="3161" customFormat="1" ht="12.75"/>
    <row r="50606" s="3161" customFormat="1" ht="12.75"/>
    <row r="50607" s="3161" customFormat="1" ht="12.75"/>
    <row r="50608" s="3161" customFormat="1" ht="12.75"/>
    <row r="50609" s="3161" customFormat="1" ht="12.75"/>
    <row r="50610" s="3161" customFormat="1" ht="12.75"/>
    <row r="50611" s="3161" customFormat="1" ht="12.75"/>
    <row r="50612" s="3161" customFormat="1" ht="12.75"/>
    <row r="50613" s="3161" customFormat="1" ht="12.75"/>
    <row r="50614" s="3161" customFormat="1" ht="12.75"/>
    <row r="50615" s="3161" customFormat="1" ht="12.75"/>
    <row r="50616" s="3161" customFormat="1" ht="12.75"/>
    <row r="50617" s="3161" customFormat="1" ht="12.75"/>
    <row r="50618" s="3161" customFormat="1" ht="12.75"/>
    <row r="50619" s="3161" customFormat="1" ht="12.75"/>
    <row r="50620" s="3161" customFormat="1" ht="12.75"/>
    <row r="50621" s="3161" customFormat="1" ht="12.75"/>
    <row r="50622" s="3161" customFormat="1" ht="12.75"/>
    <row r="50623" s="3161" customFormat="1" ht="12.75"/>
    <row r="50624" s="3161" customFormat="1" ht="12.75"/>
    <row r="50625" s="3161" customFormat="1" ht="12.75"/>
    <row r="50626" s="3161" customFormat="1" ht="12.75"/>
    <row r="50627" s="3161" customFormat="1" ht="12.75"/>
    <row r="50628" s="3161" customFormat="1" ht="12.75"/>
    <row r="50629" s="3161" customFormat="1" ht="12.75"/>
    <row r="50630" s="3161" customFormat="1" ht="12.75"/>
    <row r="50631" s="3161" customFormat="1" ht="12.75"/>
    <row r="50632" s="3161" customFormat="1" ht="12.75"/>
    <row r="50633" s="3161" customFormat="1" ht="12.75"/>
    <row r="50634" s="3161" customFormat="1" ht="12.75"/>
    <row r="50635" s="3161" customFormat="1" ht="12.75"/>
    <row r="50636" s="3161" customFormat="1" ht="12.75"/>
    <row r="50637" s="3161" customFormat="1" ht="12.75"/>
    <row r="50638" s="3161" customFormat="1" ht="12.75"/>
    <row r="50639" s="3161" customFormat="1" ht="12.75"/>
    <row r="50640" s="3161" customFormat="1" ht="12.75"/>
    <row r="50641" s="3161" customFormat="1" ht="12.75"/>
    <row r="50642" s="3161" customFormat="1" ht="12.75"/>
    <row r="50643" s="3161" customFormat="1" ht="12.75"/>
    <row r="50644" s="3161" customFormat="1" ht="12.75"/>
    <row r="50645" s="3161" customFormat="1" ht="12.75"/>
    <row r="50646" s="3161" customFormat="1" ht="12.75"/>
    <row r="50647" s="3161" customFormat="1" ht="12.75"/>
    <row r="50648" s="3161" customFormat="1" ht="12.75"/>
    <row r="50649" s="3161" customFormat="1" ht="12.75"/>
    <row r="50650" s="3161" customFormat="1" ht="12.75"/>
    <row r="50651" s="3161" customFormat="1" ht="12.75"/>
    <row r="50652" s="3161" customFormat="1" ht="12.75"/>
    <row r="50653" s="3161" customFormat="1" ht="12.75"/>
    <row r="50654" s="3161" customFormat="1" ht="12.75"/>
    <row r="50655" s="3161" customFormat="1" ht="12.75"/>
    <row r="50656" s="3161" customFormat="1" ht="12.75"/>
    <row r="50657" s="3161" customFormat="1" ht="12.75"/>
    <row r="50658" s="3161" customFormat="1" ht="12.75"/>
    <row r="50659" s="3161" customFormat="1" ht="12.75"/>
    <row r="50660" s="3161" customFormat="1" ht="12.75"/>
    <row r="50661" s="3161" customFormat="1" ht="12.75"/>
    <row r="50662" s="3161" customFormat="1" ht="12.75"/>
    <row r="50663" s="3161" customFormat="1" ht="12.75"/>
    <row r="50664" s="3161" customFormat="1" ht="12.75"/>
    <row r="50665" s="3161" customFormat="1" ht="12.75"/>
    <row r="50666" s="3161" customFormat="1" ht="12.75"/>
    <row r="50667" s="3161" customFormat="1" ht="12.75"/>
    <row r="50668" s="3161" customFormat="1" ht="12.75"/>
    <row r="50669" s="3161" customFormat="1" ht="12.75"/>
    <row r="50670" s="3161" customFormat="1" ht="12.75"/>
    <row r="50671" s="3161" customFormat="1" ht="12.75"/>
    <row r="50672" s="3161" customFormat="1" ht="12.75"/>
    <row r="50673" s="3161" customFormat="1" ht="12.75"/>
    <row r="50674" s="3161" customFormat="1" ht="12.75"/>
    <row r="50675" s="3161" customFormat="1" ht="12.75"/>
    <row r="50676" s="3161" customFormat="1" ht="12.75"/>
    <row r="50677" s="3161" customFormat="1" ht="12.75"/>
    <row r="50678" s="3161" customFormat="1" ht="12.75"/>
    <row r="50679" s="3161" customFormat="1" ht="12.75"/>
    <row r="50680" s="3161" customFormat="1" ht="12.75"/>
    <row r="50681" s="3161" customFormat="1" ht="12.75"/>
    <row r="50682" s="3161" customFormat="1" ht="12.75"/>
    <row r="50683" s="3161" customFormat="1" ht="12.75"/>
    <row r="50684" s="3161" customFormat="1" ht="12.75"/>
    <row r="50685" s="3161" customFormat="1" ht="12.75"/>
    <row r="50686" s="3161" customFormat="1" ht="12.75"/>
    <row r="50687" s="3161" customFormat="1" ht="12.75"/>
    <row r="50688" s="3161" customFormat="1" ht="12.75"/>
    <row r="50689" s="3161" customFormat="1" ht="12.75"/>
    <row r="50690" s="3161" customFormat="1" ht="12.75"/>
    <row r="50691" s="3161" customFormat="1" ht="12.75"/>
    <row r="50692" s="3161" customFormat="1" ht="12.75"/>
    <row r="50693" s="3161" customFormat="1" ht="12.75"/>
    <row r="50694" s="3161" customFormat="1" ht="12.75"/>
    <row r="50695" s="3161" customFormat="1" ht="12.75"/>
    <row r="50696" s="3161" customFormat="1" ht="12.75"/>
    <row r="50697" s="3161" customFormat="1" ht="12.75"/>
    <row r="50698" s="3161" customFormat="1" ht="12.75"/>
    <row r="50699" s="3161" customFormat="1" ht="12.75"/>
    <row r="50700" s="3161" customFormat="1" ht="12.75"/>
    <row r="50701" s="3161" customFormat="1" ht="12.75"/>
    <row r="50702" s="3161" customFormat="1" ht="12.75"/>
    <row r="50703" s="3161" customFormat="1" ht="12.75"/>
    <row r="50704" s="3161" customFormat="1" ht="12.75"/>
    <row r="50705" s="3161" customFormat="1" ht="12.75"/>
    <row r="50706" s="3161" customFormat="1" ht="12.75"/>
    <row r="50707" s="3161" customFormat="1" ht="12.75"/>
    <row r="50708" s="3161" customFormat="1" ht="12.75"/>
    <row r="50709" s="3161" customFormat="1" ht="12.75"/>
    <row r="50710" s="3161" customFormat="1" ht="12.75"/>
    <row r="50711" s="3161" customFormat="1" ht="12.75"/>
    <row r="50712" s="3161" customFormat="1" ht="12.75"/>
    <row r="50713" s="3161" customFormat="1" ht="12.75"/>
    <row r="50714" s="3161" customFormat="1" ht="12.75"/>
    <row r="50715" s="3161" customFormat="1" ht="12.75"/>
    <row r="50716" s="3161" customFormat="1" ht="12.75"/>
    <row r="50717" s="3161" customFormat="1" ht="12.75"/>
    <row r="50718" s="3161" customFormat="1" ht="12.75"/>
    <row r="50719" s="3161" customFormat="1" ht="12.75"/>
    <row r="50720" s="3161" customFormat="1" ht="12.75"/>
    <row r="50721" s="3161" customFormat="1" ht="12.75"/>
    <row r="50722" s="3161" customFormat="1" ht="12.75"/>
    <row r="50723" s="3161" customFormat="1" ht="12.75"/>
    <row r="50724" s="3161" customFormat="1" ht="12.75"/>
    <row r="50725" s="3161" customFormat="1" ht="12.75"/>
    <row r="50726" s="3161" customFormat="1" ht="12.75"/>
    <row r="50727" s="3161" customFormat="1" ht="12.75"/>
    <row r="50728" s="3161" customFormat="1" ht="12.75"/>
    <row r="50729" s="3161" customFormat="1" ht="12.75"/>
    <row r="50730" s="3161" customFormat="1" ht="12.75"/>
    <row r="50731" s="3161" customFormat="1" ht="12.75"/>
    <row r="50732" s="3161" customFormat="1" ht="12.75"/>
    <row r="50733" s="3161" customFormat="1" ht="12.75"/>
    <row r="50734" s="3161" customFormat="1" ht="12.75"/>
    <row r="50735" s="3161" customFormat="1" ht="12.75"/>
    <row r="50736" s="3161" customFormat="1" ht="12.75"/>
    <row r="50737" s="3161" customFormat="1" ht="12.75"/>
    <row r="50738" s="3161" customFormat="1" ht="12.75"/>
    <row r="50739" s="3161" customFormat="1" ht="12.75"/>
    <row r="50740" s="3161" customFormat="1" ht="12.75"/>
    <row r="50741" s="3161" customFormat="1" ht="12.75"/>
    <row r="50742" s="3161" customFormat="1" ht="12.75"/>
    <row r="50743" s="3161" customFormat="1" ht="12.75"/>
    <row r="50744" s="3161" customFormat="1" ht="12.75"/>
    <row r="50745" s="3161" customFormat="1" ht="12.75"/>
    <row r="50746" s="3161" customFormat="1" ht="12.75"/>
    <row r="50747" s="3161" customFormat="1" ht="12.75"/>
    <row r="50748" s="3161" customFormat="1" ht="12.75"/>
    <row r="50749" s="3161" customFormat="1" ht="12.75"/>
    <row r="50750" s="3161" customFormat="1" ht="12.75"/>
    <row r="50751" s="3161" customFormat="1" ht="12.75"/>
    <row r="50752" s="3161" customFormat="1" ht="12.75"/>
    <row r="50753" s="3161" customFormat="1" ht="12.75"/>
    <row r="50754" s="3161" customFormat="1" ht="12.75"/>
    <row r="50755" s="3161" customFormat="1" ht="12.75"/>
    <row r="50756" s="3161" customFormat="1" ht="12.75"/>
    <row r="50757" s="3161" customFormat="1" ht="12.75"/>
    <row r="50758" s="3161" customFormat="1" ht="12.75"/>
    <row r="50759" s="3161" customFormat="1" ht="12.75"/>
    <row r="50760" s="3161" customFormat="1" ht="12.75"/>
    <row r="50761" s="3161" customFormat="1" ht="12.75"/>
    <row r="50762" s="3161" customFormat="1" ht="12.75"/>
    <row r="50763" s="3161" customFormat="1" ht="12.75"/>
    <row r="50764" s="3161" customFormat="1" ht="12.75"/>
    <row r="50765" s="3161" customFormat="1" ht="12.75"/>
    <row r="50766" s="3161" customFormat="1" ht="12.75"/>
    <row r="50767" s="3161" customFormat="1" ht="12.75"/>
    <row r="50768" s="3161" customFormat="1" ht="12.75"/>
    <row r="50769" s="3161" customFormat="1" ht="12.75"/>
    <row r="50770" s="3161" customFormat="1" ht="12.75"/>
    <row r="50771" s="3161" customFormat="1" ht="12.75"/>
    <row r="50772" s="3161" customFormat="1" ht="12.75"/>
    <row r="50773" s="3161" customFormat="1" ht="12.75"/>
    <row r="50774" s="3161" customFormat="1" ht="12.75"/>
    <row r="50775" s="3161" customFormat="1" ht="12.75"/>
    <row r="50776" s="3161" customFormat="1" ht="12.75"/>
    <row r="50777" s="3161" customFormat="1" ht="12.75"/>
    <row r="50778" s="3161" customFormat="1" ht="12.75"/>
    <row r="50779" s="3161" customFormat="1" ht="12.75"/>
    <row r="50780" s="3161" customFormat="1" ht="12.75"/>
    <row r="50781" s="3161" customFormat="1" ht="12.75"/>
    <row r="50782" s="3161" customFormat="1" ht="12.75"/>
    <row r="50783" s="3161" customFormat="1" ht="12.75"/>
    <row r="50784" s="3161" customFormat="1" ht="12.75"/>
    <row r="50785" s="3161" customFormat="1" ht="12.75"/>
    <row r="50786" s="3161" customFormat="1" ht="12.75"/>
    <row r="50787" s="3161" customFormat="1" ht="12.75"/>
    <row r="50788" s="3161" customFormat="1" ht="12.75"/>
    <row r="50789" s="3161" customFormat="1" ht="12.75"/>
    <row r="50790" s="3161" customFormat="1" ht="12.75"/>
    <row r="50791" s="3161" customFormat="1" ht="12.75"/>
    <row r="50792" s="3161" customFormat="1" ht="12.75"/>
    <row r="50793" s="3161" customFormat="1" ht="12.75"/>
    <row r="50794" s="3161" customFormat="1" ht="12.75"/>
    <row r="50795" s="3161" customFormat="1" ht="12.75"/>
    <row r="50796" s="3161" customFormat="1" ht="12.75"/>
    <row r="50797" s="3161" customFormat="1" ht="12.75"/>
    <row r="50798" s="3161" customFormat="1" ht="12.75"/>
    <row r="50799" s="3161" customFormat="1" ht="12.75"/>
    <row r="50800" s="3161" customFormat="1" ht="12.75"/>
    <row r="50801" s="3161" customFormat="1" ht="12.75"/>
    <row r="50802" s="3161" customFormat="1" ht="12.75"/>
    <row r="50803" s="3161" customFormat="1" ht="12.75"/>
    <row r="50804" s="3161" customFormat="1" ht="12.75"/>
    <row r="50805" s="3161" customFormat="1" ht="12.75"/>
    <row r="50806" s="3161" customFormat="1" ht="12.75"/>
    <row r="50807" s="3161" customFormat="1" ht="12.75"/>
    <row r="50808" s="3161" customFormat="1" ht="12.75"/>
    <row r="50809" s="3161" customFormat="1" ht="12.75"/>
    <row r="50810" s="3161" customFormat="1" ht="12.75"/>
    <row r="50811" s="3161" customFormat="1" ht="12.75"/>
    <row r="50812" s="3161" customFormat="1" ht="12.75"/>
    <row r="50813" s="3161" customFormat="1" ht="12.75"/>
    <row r="50814" s="3161" customFormat="1" ht="12.75"/>
    <row r="50815" s="3161" customFormat="1" ht="12.75"/>
    <row r="50816" s="3161" customFormat="1" ht="12.75"/>
    <row r="50817" s="3161" customFormat="1" ht="12.75"/>
    <row r="50818" s="3161" customFormat="1" ht="12.75"/>
    <row r="50819" s="3161" customFormat="1" ht="12.75"/>
    <row r="50820" s="3161" customFormat="1" ht="12.75"/>
    <row r="50821" s="3161" customFormat="1" ht="12.75"/>
    <row r="50822" s="3161" customFormat="1" ht="12.75"/>
    <row r="50823" s="3161" customFormat="1" ht="12.75"/>
    <row r="50824" s="3161" customFormat="1" ht="12.75"/>
    <row r="50825" s="3161" customFormat="1" ht="12.75"/>
    <row r="50826" s="3161" customFormat="1" ht="12.75"/>
    <row r="50827" s="3161" customFormat="1" ht="12.75"/>
    <row r="50828" s="3161" customFormat="1" ht="12.75"/>
    <row r="50829" s="3161" customFormat="1" ht="12.75"/>
    <row r="50830" s="3161" customFormat="1" ht="12.75"/>
    <row r="50831" s="3161" customFormat="1" ht="12.75"/>
    <row r="50832" s="3161" customFormat="1" ht="12.75"/>
    <row r="50833" s="3161" customFormat="1" ht="12.75"/>
    <row r="50834" s="3161" customFormat="1" ht="12.75"/>
    <row r="50835" s="3161" customFormat="1" ht="12.75"/>
    <row r="50836" s="3161" customFormat="1" ht="12.75"/>
    <row r="50837" s="3161" customFormat="1" ht="12.75"/>
    <row r="50838" s="3161" customFormat="1" ht="12.75"/>
    <row r="50839" s="3161" customFormat="1" ht="12.75"/>
    <row r="50840" s="3161" customFormat="1" ht="12.75"/>
    <row r="50841" s="3161" customFormat="1" ht="12.75"/>
    <row r="50842" s="3161" customFormat="1" ht="12.75"/>
    <row r="50843" s="3161" customFormat="1" ht="12.75"/>
    <row r="50844" s="3161" customFormat="1" ht="12.75"/>
    <row r="50845" s="3161" customFormat="1" ht="12.75"/>
    <row r="50846" s="3161" customFormat="1" ht="12.75"/>
    <row r="50847" s="3161" customFormat="1" ht="12.75"/>
    <row r="50848" s="3161" customFormat="1" ht="12.75"/>
    <row r="50849" s="3161" customFormat="1" ht="12.75"/>
    <row r="50850" s="3161" customFormat="1" ht="12.75"/>
    <row r="50851" s="3161" customFormat="1" ht="12.75"/>
    <row r="50852" s="3161" customFormat="1" ht="12.75"/>
    <row r="50853" s="3161" customFormat="1" ht="12.75"/>
    <row r="50854" s="3161" customFormat="1" ht="12.75"/>
    <row r="50855" s="3161" customFormat="1" ht="12.75"/>
    <row r="50856" s="3161" customFormat="1" ht="12.75"/>
    <row r="50857" s="3161" customFormat="1" ht="12.75"/>
    <row r="50858" s="3161" customFormat="1" ht="12.75"/>
    <row r="50859" s="3161" customFormat="1" ht="12.75"/>
    <row r="50860" s="3161" customFormat="1" ht="12.75"/>
    <row r="50861" s="3161" customFormat="1" ht="12.75"/>
    <row r="50862" s="3161" customFormat="1" ht="12.75"/>
    <row r="50863" s="3161" customFormat="1" ht="12.75"/>
    <row r="50864" s="3161" customFormat="1" ht="12.75"/>
    <row r="50865" s="3161" customFormat="1" ht="12.75"/>
    <row r="50866" s="3161" customFormat="1" ht="12.75"/>
    <row r="50867" s="3161" customFormat="1" ht="12.75"/>
    <row r="50868" s="3161" customFormat="1" ht="12.75"/>
    <row r="50869" s="3161" customFormat="1" ht="12.75"/>
    <row r="50870" s="3161" customFormat="1" ht="12.75"/>
    <row r="50871" s="3161" customFormat="1" ht="12.75"/>
    <row r="50872" s="3161" customFormat="1" ht="12.75"/>
    <row r="50873" s="3161" customFormat="1" ht="12.75"/>
    <row r="50874" s="3161" customFormat="1" ht="12.75"/>
    <row r="50875" s="3161" customFormat="1" ht="12.75"/>
    <row r="50876" s="3161" customFormat="1" ht="12.75"/>
    <row r="50877" s="3161" customFormat="1" ht="12.75"/>
    <row r="50878" s="3161" customFormat="1" ht="12.75"/>
    <row r="50879" s="3161" customFormat="1" ht="12.75"/>
    <row r="50880" s="3161" customFormat="1" ht="12.75"/>
    <row r="50881" s="3161" customFormat="1" ht="12.75"/>
    <row r="50882" s="3161" customFormat="1" ht="12.75"/>
    <row r="50883" s="3161" customFormat="1" ht="12.75"/>
    <row r="50884" s="3161" customFormat="1" ht="12.75"/>
    <row r="50885" s="3161" customFormat="1" ht="12.75"/>
    <row r="50886" s="3161" customFormat="1" ht="12.75"/>
    <row r="50887" s="3161" customFormat="1" ht="12.75"/>
    <row r="50888" s="3161" customFormat="1" ht="12.75"/>
    <row r="50889" s="3161" customFormat="1" ht="12.75"/>
    <row r="50890" s="3161" customFormat="1" ht="12.75"/>
    <row r="50891" s="3161" customFormat="1" ht="12.75"/>
    <row r="50892" s="3161" customFormat="1" ht="12.75"/>
    <row r="50893" s="3161" customFormat="1" ht="12.75"/>
    <row r="50894" s="3161" customFormat="1" ht="12.75"/>
    <row r="50895" s="3161" customFormat="1" ht="12.75"/>
    <row r="50896" s="3161" customFormat="1" ht="12.75"/>
    <row r="50897" s="3161" customFormat="1" ht="12.75"/>
    <row r="50898" s="3161" customFormat="1" ht="12.75"/>
    <row r="50899" s="3161" customFormat="1" ht="12.75"/>
    <row r="50900" s="3161" customFormat="1" ht="12.75"/>
    <row r="50901" s="3161" customFormat="1" ht="12.75"/>
    <row r="50902" s="3161" customFormat="1" ht="12.75"/>
    <row r="50903" s="3161" customFormat="1" ht="12.75"/>
    <row r="50904" s="3161" customFormat="1" ht="12.75"/>
    <row r="50905" s="3161" customFormat="1" ht="12.75"/>
    <row r="50906" s="3161" customFormat="1" ht="12.75"/>
    <row r="50907" s="3161" customFormat="1" ht="12.75"/>
    <row r="50908" s="3161" customFormat="1" ht="12.75"/>
    <row r="50909" s="3161" customFormat="1" ht="12.75"/>
    <row r="50910" s="3161" customFormat="1" ht="12.75"/>
    <row r="50911" s="3161" customFormat="1" ht="12.75"/>
    <row r="50912" s="3161" customFormat="1" ht="12.75"/>
    <row r="50913" s="3161" customFormat="1" ht="12.75"/>
    <row r="50914" s="3161" customFormat="1" ht="12.75"/>
    <row r="50915" s="3161" customFormat="1" ht="12.75"/>
    <row r="50916" s="3161" customFormat="1" ht="12.75"/>
    <row r="50917" s="3161" customFormat="1" ht="12.75"/>
    <row r="50918" s="3161" customFormat="1" ht="12.75"/>
    <row r="50919" s="3161" customFormat="1" ht="12.75"/>
    <row r="50920" s="3161" customFormat="1" ht="12.75"/>
    <row r="50921" s="3161" customFormat="1" ht="12.75"/>
    <row r="50922" s="3161" customFormat="1" ht="12.75"/>
    <row r="50923" s="3161" customFormat="1" ht="12.75"/>
    <row r="50924" s="3161" customFormat="1" ht="12.75"/>
    <row r="50925" s="3161" customFormat="1" ht="12.75"/>
    <row r="50926" s="3161" customFormat="1" ht="12.75"/>
    <row r="50927" s="3161" customFormat="1" ht="12.75"/>
    <row r="50928" s="3161" customFormat="1" ht="12.75"/>
    <row r="50929" s="3161" customFormat="1" ht="12.75"/>
    <row r="50930" s="3161" customFormat="1" ht="12.75"/>
    <row r="50931" s="3161" customFormat="1" ht="12.75"/>
    <row r="50932" s="3161" customFormat="1" ht="12.75"/>
    <row r="50933" s="3161" customFormat="1" ht="12.75"/>
    <row r="50934" s="3161" customFormat="1" ht="12.75"/>
    <row r="50935" s="3161" customFormat="1" ht="12.75"/>
    <row r="50936" s="3161" customFormat="1" ht="12.75"/>
    <row r="50937" s="3161" customFormat="1" ht="12.75"/>
    <row r="50938" s="3161" customFormat="1" ht="12.75"/>
    <row r="50939" s="3161" customFormat="1" ht="12.75"/>
    <row r="50940" s="3161" customFormat="1" ht="12.75"/>
    <row r="50941" s="3161" customFormat="1" ht="12.75"/>
    <row r="50942" s="3161" customFormat="1" ht="12.75"/>
    <row r="50943" s="3161" customFormat="1" ht="12.75"/>
    <row r="50944" s="3161" customFormat="1" ht="12.75"/>
    <row r="50945" s="3161" customFormat="1" ht="12.75"/>
    <row r="50946" s="3161" customFormat="1" ht="12.75"/>
    <row r="50947" s="3161" customFormat="1" ht="12.75"/>
    <row r="50948" s="3161" customFormat="1" ht="12.75"/>
    <row r="50949" s="3161" customFormat="1" ht="12.75"/>
    <row r="50950" s="3161" customFormat="1" ht="12.75"/>
    <row r="50951" s="3161" customFormat="1" ht="12.75"/>
    <row r="50952" s="3161" customFormat="1" ht="12.75"/>
    <row r="50953" s="3161" customFormat="1" ht="12.75"/>
    <row r="50954" s="3161" customFormat="1" ht="12.75"/>
    <row r="50955" s="3161" customFormat="1" ht="12.75"/>
    <row r="50956" s="3161" customFormat="1" ht="12.75"/>
    <row r="50957" s="3161" customFormat="1" ht="12.75"/>
    <row r="50958" s="3161" customFormat="1" ht="12.75"/>
    <row r="50959" s="3161" customFormat="1" ht="12.75"/>
    <row r="50960" s="3161" customFormat="1" ht="12.75"/>
    <row r="50961" s="3161" customFormat="1" ht="12.75"/>
    <row r="50962" s="3161" customFormat="1" ht="12.75"/>
    <row r="50963" s="3161" customFormat="1" ht="12.75"/>
    <row r="50964" s="3161" customFormat="1" ht="12.75"/>
    <row r="50965" s="3161" customFormat="1" ht="12.75"/>
    <row r="50966" s="3161" customFormat="1" ht="12.75"/>
    <row r="50967" s="3161" customFormat="1" ht="12.75"/>
    <row r="50968" s="3161" customFormat="1" ht="12.75"/>
    <row r="50969" s="3161" customFormat="1" ht="12.75"/>
    <row r="50970" s="3161" customFormat="1" ht="12.75"/>
    <row r="50971" s="3161" customFormat="1" ht="12.75"/>
    <row r="50972" s="3161" customFormat="1" ht="12.75"/>
    <row r="50973" s="3161" customFormat="1" ht="12.75"/>
    <row r="50974" s="3161" customFormat="1" ht="12.75"/>
    <row r="50975" s="3161" customFormat="1" ht="12.75"/>
    <row r="50976" s="3161" customFormat="1" ht="12.75"/>
    <row r="50977" s="3161" customFormat="1" ht="12.75"/>
    <row r="50978" s="3161" customFormat="1" ht="12.75"/>
    <row r="50979" s="3161" customFormat="1" ht="12.75"/>
    <row r="50980" s="3161" customFormat="1" ht="12.75"/>
    <row r="50981" s="3161" customFormat="1" ht="12.75"/>
    <row r="50982" s="3161" customFormat="1" ht="12.75"/>
    <row r="50983" s="3161" customFormat="1" ht="12.75"/>
    <row r="50984" s="3161" customFormat="1" ht="12.75"/>
    <row r="50985" s="3161" customFormat="1" ht="12.75"/>
    <row r="50986" s="3161" customFormat="1" ht="12.75"/>
    <row r="50987" s="3161" customFormat="1" ht="12.75"/>
    <row r="50988" s="3161" customFormat="1" ht="12.75"/>
    <row r="50989" s="3161" customFormat="1" ht="12.75"/>
    <row r="50990" s="3161" customFormat="1" ht="12.75"/>
    <row r="50991" s="3161" customFormat="1" ht="12.75"/>
    <row r="50992" s="3161" customFormat="1" ht="12.75"/>
    <row r="50993" s="3161" customFormat="1" ht="12.75"/>
    <row r="50994" s="3161" customFormat="1" ht="12.75"/>
    <row r="50995" s="3161" customFormat="1" ht="12.75"/>
    <row r="50996" s="3161" customFormat="1" ht="12.75"/>
    <row r="50997" s="3161" customFormat="1" ht="12.75"/>
    <row r="50998" s="3161" customFormat="1" ht="12.75"/>
    <row r="50999" s="3161" customFormat="1" ht="12.75"/>
    <row r="51000" s="3161" customFormat="1" ht="12.75"/>
    <row r="51001" s="3161" customFormat="1" ht="12.75"/>
    <row r="51002" s="3161" customFormat="1" ht="12.75"/>
    <row r="51003" s="3161" customFormat="1" ht="12.75"/>
    <row r="51004" s="3161" customFormat="1" ht="12.75"/>
    <row r="51005" s="3161" customFormat="1" ht="12.75"/>
    <row r="51006" s="3161" customFormat="1" ht="12.75"/>
    <row r="51007" s="3161" customFormat="1" ht="12.75"/>
    <row r="51008" s="3161" customFormat="1" ht="12.75"/>
    <row r="51009" s="3161" customFormat="1" ht="12.75"/>
    <row r="51010" s="3161" customFormat="1" ht="12.75"/>
    <row r="51011" s="3161" customFormat="1" ht="12.75"/>
    <row r="51012" s="3161" customFormat="1" ht="12.75"/>
    <row r="51013" s="3161" customFormat="1" ht="12.75"/>
    <row r="51014" s="3161" customFormat="1" ht="12.75"/>
    <row r="51015" s="3161" customFormat="1" ht="12.75"/>
    <row r="51016" s="3161" customFormat="1" ht="12.75"/>
    <row r="51017" s="3161" customFormat="1" ht="12.75"/>
    <row r="51018" s="3161" customFormat="1" ht="12.75"/>
    <row r="51019" s="3161" customFormat="1" ht="12.75"/>
    <row r="51020" s="3161" customFormat="1" ht="12.75"/>
    <row r="51021" s="3161" customFormat="1" ht="12.75"/>
    <row r="51022" s="3161" customFormat="1" ht="12.75"/>
    <row r="51023" s="3161" customFormat="1" ht="12.75"/>
    <row r="51024" s="3161" customFormat="1" ht="12.75"/>
    <row r="51025" s="3161" customFormat="1" ht="12.75"/>
    <row r="51026" s="3161" customFormat="1" ht="12.75"/>
    <row r="51027" s="3161" customFormat="1" ht="12.75"/>
    <row r="51028" s="3161" customFormat="1" ht="12.75"/>
    <row r="51029" s="3161" customFormat="1" ht="12.75"/>
    <row r="51030" s="3161" customFormat="1" ht="12.75"/>
    <row r="51031" s="3161" customFormat="1" ht="12.75"/>
    <row r="51032" s="3161" customFormat="1" ht="12.75"/>
    <row r="51033" s="3161" customFormat="1" ht="12.75"/>
    <row r="51034" s="3161" customFormat="1" ht="12.75"/>
    <row r="51035" s="3161" customFormat="1" ht="12.75"/>
    <row r="51036" s="3161" customFormat="1" ht="12.75"/>
    <row r="51037" s="3161" customFormat="1" ht="12.75"/>
    <row r="51038" s="3161" customFormat="1" ht="12.75"/>
    <row r="51039" s="3161" customFormat="1" ht="12.75"/>
    <row r="51040" s="3161" customFormat="1" ht="12.75"/>
    <row r="51041" s="3161" customFormat="1" ht="12.75"/>
    <row r="51042" s="3161" customFormat="1" ht="12.75"/>
    <row r="51043" s="3161" customFormat="1" ht="12.75"/>
    <row r="51044" s="3161" customFormat="1" ht="12.75"/>
    <row r="51045" s="3161" customFormat="1" ht="12.75"/>
    <row r="51046" s="3161" customFormat="1" ht="12.75"/>
    <row r="51047" s="3161" customFormat="1" ht="12.75"/>
    <row r="51048" s="3161" customFormat="1" ht="12.75"/>
    <row r="51049" s="3161" customFormat="1" ht="12.75"/>
    <row r="51050" s="3161" customFormat="1" ht="12.75"/>
    <row r="51051" s="3161" customFormat="1" ht="12.75"/>
    <row r="51052" s="3161" customFormat="1" ht="12.75"/>
    <row r="51053" s="3161" customFormat="1" ht="12.75"/>
    <row r="51054" s="3161" customFormat="1" ht="12.75"/>
    <row r="51055" s="3161" customFormat="1" ht="12.75"/>
    <row r="51056" s="3161" customFormat="1" ht="12.75"/>
    <row r="51057" s="3161" customFormat="1" ht="12.75"/>
    <row r="51058" s="3161" customFormat="1" ht="12.75"/>
    <row r="51059" s="3161" customFormat="1" ht="12.75"/>
    <row r="51060" s="3161" customFormat="1" ht="12.75"/>
    <row r="51061" s="3161" customFormat="1" ht="12.75"/>
    <row r="51062" s="3161" customFormat="1" ht="12.75"/>
    <row r="51063" s="3161" customFormat="1" ht="12.75"/>
    <row r="51064" s="3161" customFormat="1" ht="12.75"/>
    <row r="51065" s="3161" customFormat="1" ht="12.75"/>
    <row r="51066" s="3161" customFormat="1" ht="12.75"/>
    <row r="51067" s="3161" customFormat="1" ht="12.75"/>
    <row r="51068" s="3161" customFormat="1" ht="12.75"/>
    <row r="51069" s="3161" customFormat="1" ht="12.75"/>
    <row r="51070" s="3161" customFormat="1" ht="12.75"/>
    <row r="51071" s="3161" customFormat="1" ht="12.75"/>
    <row r="51072" s="3161" customFormat="1" ht="12.75"/>
    <row r="51073" s="3161" customFormat="1" ht="12.75"/>
    <row r="51074" s="3161" customFormat="1" ht="12.75"/>
    <row r="51075" s="3161" customFormat="1" ht="12.75"/>
    <row r="51076" s="3161" customFormat="1" ht="12.75"/>
    <row r="51077" s="3161" customFormat="1" ht="12.75"/>
    <row r="51078" s="3161" customFormat="1" ht="12.75"/>
    <row r="51079" s="3161" customFormat="1" ht="12.75"/>
    <row r="51080" s="3161" customFormat="1" ht="12.75"/>
    <row r="51081" s="3161" customFormat="1" ht="12.75"/>
    <row r="51082" s="3161" customFormat="1" ht="12.75"/>
    <row r="51083" s="3161" customFormat="1" ht="12.75"/>
    <row r="51084" s="3161" customFormat="1" ht="12.75"/>
    <row r="51085" s="3161" customFormat="1" ht="12.75"/>
    <row r="51086" s="3161" customFormat="1" ht="12.75"/>
    <row r="51087" s="3161" customFormat="1" ht="12.75"/>
    <row r="51088" s="3161" customFormat="1" ht="12.75"/>
    <row r="51089" s="3161" customFormat="1" ht="12.75"/>
    <row r="51090" s="3161" customFormat="1" ht="12.75"/>
    <row r="51091" s="3161" customFormat="1" ht="12.75"/>
    <row r="51092" s="3161" customFormat="1" ht="12.75"/>
    <row r="51093" s="3161" customFormat="1" ht="12.75"/>
    <row r="51094" s="3161" customFormat="1" ht="12.75"/>
    <row r="51095" s="3161" customFormat="1" ht="12.75"/>
    <row r="51096" s="3161" customFormat="1" ht="12.75"/>
    <row r="51097" s="3161" customFormat="1" ht="12.75"/>
    <row r="51098" s="3161" customFormat="1" ht="12.75"/>
    <row r="51099" s="3161" customFormat="1" ht="12.75"/>
    <row r="51100" s="3161" customFormat="1" ht="12.75"/>
    <row r="51101" s="3161" customFormat="1" ht="12.75"/>
    <row r="51102" s="3161" customFormat="1" ht="12.75"/>
    <row r="51103" s="3161" customFormat="1" ht="12.75"/>
    <row r="51104" s="3161" customFormat="1" ht="12.75"/>
    <row r="51105" s="3161" customFormat="1" ht="12.75"/>
    <row r="51106" s="3161" customFormat="1" ht="12.75"/>
    <row r="51107" s="3161" customFormat="1" ht="12.75"/>
    <row r="51108" s="3161" customFormat="1" ht="12.75"/>
    <row r="51109" s="3161" customFormat="1" ht="12.75"/>
    <row r="51110" s="3161" customFormat="1" ht="12.75"/>
    <row r="51111" s="3161" customFormat="1" ht="12.75"/>
    <row r="51112" s="3161" customFormat="1" ht="12.75"/>
    <row r="51113" s="3161" customFormat="1" ht="12.75"/>
    <row r="51114" s="3161" customFormat="1" ht="12.75"/>
    <row r="51115" s="3161" customFormat="1" ht="12.75"/>
    <row r="51116" s="3161" customFormat="1" ht="12.75"/>
    <row r="51117" s="3161" customFormat="1" ht="12.75"/>
    <row r="51118" s="3161" customFormat="1" ht="12.75"/>
    <row r="51119" s="3161" customFormat="1" ht="12.75"/>
    <row r="51120" s="3161" customFormat="1" ht="12.75"/>
    <row r="51121" s="3161" customFormat="1" ht="12.75"/>
    <row r="51122" s="3161" customFormat="1" ht="12.75"/>
    <row r="51123" s="3161" customFormat="1" ht="12.75"/>
    <row r="51124" s="3161" customFormat="1" ht="12.75"/>
    <row r="51125" s="3161" customFormat="1" ht="12.75"/>
    <row r="51126" s="3161" customFormat="1" ht="12.75"/>
    <row r="51127" s="3161" customFormat="1" ht="12.75"/>
    <row r="51128" s="3161" customFormat="1" ht="12.75"/>
    <row r="51129" s="3161" customFormat="1" ht="12.75"/>
    <row r="51130" s="3161" customFormat="1" ht="12.75"/>
    <row r="51131" s="3161" customFormat="1" ht="12.75"/>
    <row r="51132" s="3161" customFormat="1" ht="12.75"/>
    <row r="51133" s="3161" customFormat="1" ht="12.75"/>
    <row r="51134" s="3161" customFormat="1" ht="12.75"/>
    <row r="51135" s="3161" customFormat="1" ht="12.75"/>
    <row r="51136" s="3161" customFormat="1" ht="12.75"/>
    <row r="51137" s="3161" customFormat="1" ht="12.75"/>
    <row r="51138" s="3161" customFormat="1" ht="12.75"/>
    <row r="51139" s="3161" customFormat="1" ht="12.75"/>
    <row r="51140" s="3161" customFormat="1" ht="12.75"/>
    <row r="51141" s="3161" customFormat="1" ht="12.75"/>
    <row r="51142" s="3161" customFormat="1" ht="12.75"/>
    <row r="51143" s="3161" customFormat="1" ht="12.75"/>
    <row r="51144" s="3161" customFormat="1" ht="12.75"/>
    <row r="51145" s="3161" customFormat="1" ht="12.75"/>
    <row r="51146" s="3161" customFormat="1" ht="12.75"/>
    <row r="51147" s="3161" customFormat="1" ht="12.75"/>
    <row r="51148" s="3161" customFormat="1" ht="12.75"/>
    <row r="51149" s="3161" customFormat="1" ht="12.75"/>
    <row r="51150" s="3161" customFormat="1" ht="12.75"/>
    <row r="51151" s="3161" customFormat="1" ht="12.75"/>
    <row r="51152" s="3161" customFormat="1" ht="12.75"/>
    <row r="51153" s="3161" customFormat="1" ht="12.75"/>
    <row r="51154" s="3161" customFormat="1" ht="12.75"/>
    <row r="51155" s="3161" customFormat="1" ht="12.75"/>
    <row r="51156" s="3161" customFormat="1" ht="12.75"/>
    <row r="51157" s="3161" customFormat="1" ht="12.75"/>
    <row r="51158" s="3161" customFormat="1" ht="12.75"/>
    <row r="51159" s="3161" customFormat="1" ht="12.75"/>
    <row r="51160" s="3161" customFormat="1" ht="12.75"/>
    <row r="51161" s="3161" customFormat="1" ht="12.75"/>
    <row r="51162" s="3161" customFormat="1" ht="12.75"/>
    <row r="51163" s="3161" customFormat="1" ht="12.75"/>
    <row r="51164" s="3161" customFormat="1" ht="12.75"/>
    <row r="51165" s="3161" customFormat="1" ht="12.75"/>
    <row r="51166" s="3161" customFormat="1" ht="12.75"/>
    <row r="51167" s="3161" customFormat="1" ht="12.75"/>
    <row r="51168" s="3161" customFormat="1" ht="12.75"/>
    <row r="51169" s="3161" customFormat="1" ht="12.75"/>
    <row r="51170" s="3161" customFormat="1" ht="12.75"/>
    <row r="51171" s="3161" customFormat="1" ht="12.75"/>
    <row r="51172" s="3161" customFormat="1" ht="12.75"/>
    <row r="51173" s="3161" customFormat="1" ht="12.75"/>
    <row r="51174" s="3161" customFormat="1" ht="12.75"/>
    <row r="51175" s="3161" customFormat="1" ht="12.75"/>
    <row r="51176" s="3161" customFormat="1" ht="12.75"/>
    <row r="51177" s="3161" customFormat="1" ht="12.75"/>
    <row r="51178" s="3161" customFormat="1" ht="12.75"/>
    <row r="51179" s="3161" customFormat="1" ht="12.75"/>
    <row r="51180" s="3161" customFormat="1" ht="12.75"/>
    <row r="51181" s="3161" customFormat="1" ht="12.75"/>
    <row r="51182" s="3161" customFormat="1" ht="12.75"/>
    <row r="51183" s="3161" customFormat="1" ht="12.75"/>
    <row r="51184" s="3161" customFormat="1" ht="12.75"/>
    <row r="51185" s="3161" customFormat="1" ht="12.75"/>
    <row r="51186" s="3161" customFormat="1" ht="12.75"/>
    <row r="51187" s="3161" customFormat="1" ht="12.75"/>
    <row r="51188" s="3161" customFormat="1" ht="12.75"/>
    <row r="51189" s="3161" customFormat="1" ht="12.75"/>
    <row r="51190" s="3161" customFormat="1" ht="12.75"/>
    <row r="51191" s="3161" customFormat="1" ht="12.75"/>
    <row r="51192" s="3161" customFormat="1" ht="12.75"/>
    <row r="51193" s="3161" customFormat="1" ht="12.75"/>
    <row r="51194" s="3161" customFormat="1" ht="12.75"/>
    <row r="51195" s="3161" customFormat="1" ht="12.75"/>
    <row r="51196" s="3161" customFormat="1" ht="12.75"/>
    <row r="51197" s="3161" customFormat="1" ht="12.75"/>
    <row r="51198" s="3161" customFormat="1" ht="12.75"/>
    <row r="51199" s="3161" customFormat="1" ht="12.75"/>
    <row r="51200" s="3161" customFormat="1" ht="12.75"/>
    <row r="51201" s="3161" customFormat="1" ht="12.75"/>
    <row r="51202" s="3161" customFormat="1" ht="12.75"/>
    <row r="51203" s="3161" customFormat="1" ht="12.75"/>
    <row r="51204" s="3161" customFormat="1" ht="12.75"/>
    <row r="51205" s="3161" customFormat="1" ht="12.75"/>
    <row r="51206" s="3161" customFormat="1" ht="12.75"/>
    <row r="51207" s="3161" customFormat="1" ht="12.75"/>
    <row r="51208" s="3161" customFormat="1" ht="12.75"/>
    <row r="51209" s="3161" customFormat="1" ht="12.75"/>
    <row r="51210" s="3161" customFormat="1" ht="12.75"/>
    <row r="51211" s="3161" customFormat="1" ht="12.75"/>
    <row r="51212" s="3161" customFormat="1" ht="12.75"/>
    <row r="51213" s="3161" customFormat="1" ht="12.75"/>
    <row r="51214" s="3161" customFormat="1" ht="12.75"/>
    <row r="51215" s="3161" customFormat="1" ht="12.75"/>
    <row r="51216" s="3161" customFormat="1" ht="12.75"/>
    <row r="51217" s="3161" customFormat="1" ht="12.75"/>
    <row r="51218" s="3161" customFormat="1" ht="12.75"/>
    <row r="51219" s="3161" customFormat="1" ht="12.75"/>
    <row r="51220" s="3161" customFormat="1" ht="12.75"/>
    <row r="51221" s="3161" customFormat="1" ht="12.75"/>
    <row r="51222" s="3161" customFormat="1" ht="12.75"/>
    <row r="51223" s="3161" customFormat="1" ht="12.75"/>
    <row r="51224" s="3161" customFormat="1" ht="12.75"/>
    <row r="51225" s="3161" customFormat="1" ht="12.75"/>
    <row r="51226" s="3161" customFormat="1" ht="12.75"/>
    <row r="51227" s="3161" customFormat="1" ht="12.75"/>
    <row r="51228" s="3161" customFormat="1" ht="12.75"/>
    <row r="51229" s="3161" customFormat="1" ht="12.75"/>
    <row r="51230" s="3161" customFormat="1" ht="12.75"/>
    <row r="51231" s="3161" customFormat="1" ht="12.75"/>
    <row r="51232" s="3161" customFormat="1" ht="12.75"/>
    <row r="51233" s="3161" customFormat="1" ht="12.75"/>
    <row r="51234" s="3161" customFormat="1" ht="12.75"/>
    <row r="51235" s="3161" customFormat="1" ht="12.75"/>
    <row r="51236" s="3161" customFormat="1" ht="12.75"/>
    <row r="51237" s="3161" customFormat="1" ht="12.75"/>
    <row r="51238" s="3161" customFormat="1" ht="12.75"/>
    <row r="51239" s="3161" customFormat="1" ht="12.75"/>
    <row r="51240" s="3161" customFormat="1" ht="12.75"/>
    <row r="51241" s="3161" customFormat="1" ht="12.75"/>
    <row r="51242" s="3161" customFormat="1" ht="12.75"/>
    <row r="51243" s="3161" customFormat="1" ht="12.75"/>
    <row r="51244" s="3161" customFormat="1" ht="12.75"/>
    <row r="51245" s="3161" customFormat="1" ht="12.75"/>
    <row r="51246" s="3161" customFormat="1" ht="12.75"/>
    <row r="51247" s="3161" customFormat="1" ht="12.75"/>
    <row r="51248" s="3161" customFormat="1" ht="12.75"/>
    <row r="51249" s="3161" customFormat="1" ht="12.75"/>
    <row r="51250" s="3161" customFormat="1" ht="12.75"/>
    <row r="51251" s="3161" customFormat="1" ht="12.75"/>
    <row r="51252" s="3161" customFormat="1" ht="12.75"/>
    <row r="51253" s="3161" customFormat="1" ht="12.75"/>
    <row r="51254" s="3161" customFormat="1" ht="12.75"/>
    <row r="51255" s="3161" customFormat="1" ht="12.75"/>
    <row r="51256" s="3161" customFormat="1" ht="12.75"/>
    <row r="51257" s="3161" customFormat="1" ht="12.75"/>
    <row r="51258" s="3161" customFormat="1" ht="12.75"/>
    <row r="51259" s="3161" customFormat="1" ht="12.75"/>
    <row r="51260" s="3161" customFormat="1" ht="12.75"/>
    <row r="51261" s="3161" customFormat="1" ht="12.75"/>
    <row r="51262" s="3161" customFormat="1" ht="12.75"/>
    <row r="51263" s="3161" customFormat="1" ht="12.75"/>
    <row r="51264" s="3161" customFormat="1" ht="12.75"/>
    <row r="51265" s="3161" customFormat="1" ht="12.75"/>
    <row r="51266" s="3161" customFormat="1" ht="12.75"/>
    <row r="51267" s="3161" customFormat="1" ht="12.75"/>
    <row r="51268" s="3161" customFormat="1" ht="12.75"/>
    <row r="51269" s="3161" customFormat="1" ht="12.75"/>
    <row r="51270" s="3161" customFormat="1" ht="12.75"/>
    <row r="51271" s="3161" customFormat="1" ht="12.75"/>
    <row r="51272" s="3161" customFormat="1" ht="12.75"/>
    <row r="51273" s="3161" customFormat="1" ht="12.75"/>
    <row r="51274" s="3161" customFormat="1" ht="12.75"/>
    <row r="51275" s="3161" customFormat="1" ht="12.75"/>
    <row r="51276" s="3161" customFormat="1" ht="12.75"/>
    <row r="51277" s="3161" customFormat="1" ht="12.75"/>
    <row r="51278" s="3161" customFormat="1" ht="12.75"/>
    <row r="51279" s="3161" customFormat="1" ht="12.75"/>
    <row r="51280" s="3161" customFormat="1" ht="12.75"/>
    <row r="51281" s="3161" customFormat="1" ht="12.75"/>
    <row r="51282" s="3161" customFormat="1" ht="12.75"/>
    <row r="51283" s="3161" customFormat="1" ht="12.75"/>
    <row r="51284" s="3161" customFormat="1" ht="12.75"/>
    <row r="51285" s="3161" customFormat="1" ht="12.75"/>
    <row r="51286" s="3161" customFormat="1" ht="12.75"/>
    <row r="51287" s="3161" customFormat="1" ht="12.75"/>
    <row r="51288" s="3161" customFormat="1" ht="12.75"/>
    <row r="51289" s="3161" customFormat="1" ht="12.75"/>
    <row r="51290" s="3161" customFormat="1" ht="12.75"/>
    <row r="51291" s="3161" customFormat="1" ht="12.75"/>
    <row r="51292" s="3161" customFormat="1" ht="12.75"/>
    <row r="51293" s="3161" customFormat="1" ht="12.75"/>
    <row r="51294" s="3161" customFormat="1" ht="12.75"/>
    <row r="51295" s="3161" customFormat="1" ht="12.75"/>
    <row r="51296" s="3161" customFormat="1" ht="12.75"/>
    <row r="51297" s="3161" customFormat="1" ht="12.75"/>
    <row r="51298" s="3161" customFormat="1" ht="12.75"/>
    <row r="51299" s="3161" customFormat="1" ht="12.75"/>
    <row r="51300" s="3161" customFormat="1" ht="12.75"/>
    <row r="51301" s="3161" customFormat="1" ht="12.75"/>
    <row r="51302" s="3161" customFormat="1" ht="12.75"/>
    <row r="51303" s="3161" customFormat="1" ht="12.75"/>
    <row r="51304" s="3161" customFormat="1" ht="12.75"/>
    <row r="51305" s="3161" customFormat="1" ht="12.75"/>
    <row r="51306" s="3161" customFormat="1" ht="12.75"/>
    <row r="51307" s="3161" customFormat="1" ht="12.75"/>
    <row r="51308" s="3161" customFormat="1" ht="12.75"/>
    <row r="51309" s="3161" customFormat="1" ht="12.75"/>
    <row r="51310" s="3161" customFormat="1" ht="12.75"/>
    <row r="51311" s="3161" customFormat="1" ht="12.75"/>
    <row r="51312" s="3161" customFormat="1" ht="12.75"/>
    <row r="51313" s="3161" customFormat="1" ht="12.75"/>
    <row r="51314" s="3161" customFormat="1" ht="12.75"/>
    <row r="51315" s="3161" customFormat="1" ht="12.75"/>
    <row r="51316" s="3161" customFormat="1" ht="12.75"/>
    <row r="51317" s="3161" customFormat="1" ht="12.75"/>
    <row r="51318" s="3161" customFormat="1" ht="12.75"/>
    <row r="51319" s="3161" customFormat="1" ht="12.75"/>
    <row r="51320" s="3161" customFormat="1" ht="12.75"/>
    <row r="51321" s="3161" customFormat="1" ht="12.75"/>
    <row r="51322" s="3161" customFormat="1" ht="12.75"/>
    <row r="51323" s="3161" customFormat="1" ht="12.75"/>
    <row r="51324" s="3161" customFormat="1" ht="12.75"/>
    <row r="51325" s="3161" customFormat="1" ht="12.75"/>
    <row r="51326" s="3161" customFormat="1" ht="12.75"/>
    <row r="51327" s="3161" customFormat="1" ht="12.75"/>
    <row r="51328" s="3161" customFormat="1" ht="12.75"/>
    <row r="51329" s="3161" customFormat="1" ht="12.75"/>
    <row r="51330" s="3161" customFormat="1" ht="12.75"/>
    <row r="51331" s="3161" customFormat="1" ht="12.75"/>
    <row r="51332" s="3161" customFormat="1" ht="12.75"/>
    <row r="51333" s="3161" customFormat="1" ht="12.75"/>
    <row r="51334" s="3161" customFormat="1" ht="12.75"/>
    <row r="51335" s="3161" customFormat="1" ht="12.75"/>
    <row r="51336" s="3161" customFormat="1" ht="12.75"/>
    <row r="51337" s="3161" customFormat="1" ht="12.75"/>
    <row r="51338" s="3161" customFormat="1" ht="12.75"/>
    <row r="51339" s="3161" customFormat="1" ht="12.75"/>
    <row r="51340" s="3161" customFormat="1" ht="12.75"/>
    <row r="51341" s="3161" customFormat="1" ht="12.75"/>
    <row r="51342" s="3161" customFormat="1" ht="12.75"/>
    <row r="51343" s="3161" customFormat="1" ht="12.75"/>
    <row r="51344" s="3161" customFormat="1" ht="12.75"/>
    <row r="51345" s="3161" customFormat="1" ht="12.75"/>
    <row r="51346" s="3161" customFormat="1" ht="12.75"/>
    <row r="51347" s="3161" customFormat="1" ht="12.75"/>
    <row r="51348" s="3161" customFormat="1" ht="12.75"/>
    <row r="51349" s="3161" customFormat="1" ht="12.75"/>
    <row r="51350" s="3161" customFormat="1" ht="12.75"/>
    <row r="51351" s="3161" customFormat="1" ht="12.75"/>
    <row r="51352" s="3161" customFormat="1" ht="12.75"/>
    <row r="51353" s="3161" customFormat="1" ht="12.75"/>
    <row r="51354" s="3161" customFormat="1" ht="12.75"/>
    <row r="51355" s="3161" customFormat="1" ht="12.75"/>
    <row r="51356" s="3161" customFormat="1" ht="12.75"/>
    <row r="51357" s="3161" customFormat="1" ht="12.75"/>
    <row r="51358" s="3161" customFormat="1" ht="12.75"/>
    <row r="51359" s="3161" customFormat="1" ht="12.75"/>
    <row r="51360" s="3161" customFormat="1" ht="12.75"/>
    <row r="51361" s="3161" customFormat="1" ht="12.75"/>
    <row r="51362" s="3161" customFormat="1" ht="12.75"/>
    <row r="51363" s="3161" customFormat="1" ht="12.75"/>
    <row r="51364" s="3161" customFormat="1" ht="12.75"/>
    <row r="51365" s="3161" customFormat="1" ht="12.75"/>
    <row r="51366" s="3161" customFormat="1" ht="12.75"/>
    <row r="51367" s="3161" customFormat="1" ht="12.75"/>
    <row r="51368" s="3161" customFormat="1" ht="12.75"/>
    <row r="51369" s="3161" customFormat="1" ht="12.75"/>
    <row r="51370" s="3161" customFormat="1" ht="12.75"/>
    <row r="51371" s="3161" customFormat="1" ht="12.75"/>
    <row r="51372" s="3161" customFormat="1" ht="12.75"/>
    <row r="51373" s="3161" customFormat="1" ht="12.75"/>
    <row r="51374" s="3161" customFormat="1" ht="12.75"/>
    <row r="51375" s="3161" customFormat="1" ht="12.75"/>
    <row r="51376" s="3161" customFormat="1" ht="12.75"/>
    <row r="51377" s="3161" customFormat="1" ht="12.75"/>
    <row r="51378" s="3161" customFormat="1" ht="12.75"/>
    <row r="51379" s="3161" customFormat="1" ht="12.75"/>
    <row r="51380" s="3161" customFormat="1" ht="12.75"/>
    <row r="51381" s="3161" customFormat="1" ht="12.75"/>
    <row r="51382" s="3161" customFormat="1" ht="12.75"/>
    <row r="51383" s="3161" customFormat="1" ht="12.75"/>
    <row r="51384" s="3161" customFormat="1" ht="12.75"/>
    <row r="51385" s="3161" customFormat="1" ht="12.75"/>
    <row r="51386" s="3161" customFormat="1" ht="12.75"/>
    <row r="51387" s="3161" customFormat="1" ht="12.75"/>
    <row r="51388" s="3161" customFormat="1" ht="12.75"/>
    <row r="51389" s="3161" customFormat="1" ht="12.75"/>
    <row r="51390" s="3161" customFormat="1" ht="12.75"/>
    <row r="51391" s="3161" customFormat="1" ht="12.75"/>
    <row r="51392" s="3161" customFormat="1" ht="12.75"/>
    <row r="51393" s="3161" customFormat="1" ht="12.75"/>
    <row r="51394" s="3161" customFormat="1" ht="12.75"/>
    <row r="51395" s="3161" customFormat="1" ht="12.75"/>
    <row r="51396" s="3161" customFormat="1" ht="12.75"/>
    <row r="51397" s="3161" customFormat="1" ht="12.75"/>
    <row r="51398" s="3161" customFormat="1" ht="12.75"/>
    <row r="51399" s="3161" customFormat="1" ht="12.75"/>
    <row r="51400" s="3161" customFormat="1" ht="12.75"/>
    <row r="51401" s="3161" customFormat="1" ht="12.75"/>
    <row r="51402" s="3161" customFormat="1" ht="12.75"/>
    <row r="51403" s="3161" customFormat="1" ht="12.75"/>
    <row r="51404" s="3161" customFormat="1" ht="12.75"/>
    <row r="51405" s="3161" customFormat="1" ht="12.75"/>
    <row r="51406" s="3161" customFormat="1" ht="12.75"/>
    <row r="51407" s="3161" customFormat="1" ht="12.75"/>
    <row r="51408" s="3161" customFormat="1" ht="12.75"/>
    <row r="51409" s="3161" customFormat="1" ht="12.75"/>
    <row r="51410" s="3161" customFormat="1" ht="12.75"/>
    <row r="51411" s="3161" customFormat="1" ht="12.75"/>
    <row r="51412" s="3161" customFormat="1" ht="12.75"/>
    <row r="51413" s="3161" customFormat="1" ht="12.75"/>
    <row r="51414" s="3161" customFormat="1" ht="12.75"/>
    <row r="51415" s="3161" customFormat="1" ht="12.75"/>
    <row r="51416" s="3161" customFormat="1" ht="12.75"/>
    <row r="51417" s="3161" customFormat="1" ht="12.75"/>
    <row r="51418" s="3161" customFormat="1" ht="12.75"/>
    <row r="51419" s="3161" customFormat="1" ht="12.75"/>
    <row r="51420" s="3161" customFormat="1" ht="12.75"/>
    <row r="51421" s="3161" customFormat="1" ht="12.75"/>
    <row r="51422" s="3161" customFormat="1" ht="12.75"/>
    <row r="51423" s="3161" customFormat="1" ht="12.75"/>
    <row r="51424" s="3161" customFormat="1" ht="12.75"/>
    <row r="51425" s="3161" customFormat="1" ht="12.75"/>
    <row r="51426" s="3161" customFormat="1" ht="12.75"/>
    <row r="51427" s="3161" customFormat="1" ht="12.75"/>
    <row r="51428" s="3161" customFormat="1" ht="12.75"/>
    <row r="51429" s="3161" customFormat="1" ht="12.75"/>
    <row r="51430" s="3161" customFormat="1" ht="12.75"/>
    <row r="51431" s="3161" customFormat="1" ht="12.75"/>
    <row r="51432" s="3161" customFormat="1" ht="12.75"/>
    <row r="51433" s="3161" customFormat="1" ht="12.75"/>
    <row r="51434" s="3161" customFormat="1" ht="12.75"/>
    <row r="51435" s="3161" customFormat="1" ht="12.75"/>
    <row r="51436" s="3161" customFormat="1" ht="12.75"/>
    <row r="51437" s="3161" customFormat="1" ht="12.75"/>
    <row r="51438" s="3161" customFormat="1" ht="12.75"/>
    <row r="51439" s="3161" customFormat="1" ht="12.75"/>
    <row r="51440" s="3161" customFormat="1" ht="12.75"/>
    <row r="51441" s="3161" customFormat="1" ht="12.75"/>
    <row r="51442" s="3161" customFormat="1" ht="12.75"/>
    <row r="51443" s="3161" customFormat="1" ht="12.75"/>
    <row r="51444" s="3161" customFormat="1" ht="12.75"/>
    <row r="51445" s="3161" customFormat="1" ht="12.75"/>
    <row r="51446" s="3161" customFormat="1" ht="12.75"/>
    <row r="51447" s="3161" customFormat="1" ht="12.75"/>
    <row r="51448" s="3161" customFormat="1" ht="12.75"/>
    <row r="51449" s="3161" customFormat="1" ht="12.75"/>
    <row r="51450" s="3161" customFormat="1" ht="12.75"/>
    <row r="51451" s="3161" customFormat="1" ht="12.75"/>
    <row r="51452" s="3161" customFormat="1" ht="12.75"/>
    <row r="51453" s="3161" customFormat="1" ht="12.75"/>
    <row r="51454" s="3161" customFormat="1" ht="12.75"/>
    <row r="51455" s="3161" customFormat="1" ht="12.75"/>
    <row r="51456" s="3161" customFormat="1" ht="12.75"/>
    <row r="51457" s="3161" customFormat="1" ht="12.75"/>
    <row r="51458" s="3161" customFormat="1" ht="12.75"/>
    <row r="51459" s="3161" customFormat="1" ht="12.75"/>
    <row r="51460" s="3161" customFormat="1" ht="12.75"/>
    <row r="51461" s="3161" customFormat="1" ht="12.75"/>
    <row r="51462" s="3161" customFormat="1" ht="12.75"/>
    <row r="51463" s="3161" customFormat="1" ht="12.75"/>
    <row r="51464" s="3161" customFormat="1" ht="12.75"/>
    <row r="51465" s="3161" customFormat="1" ht="12.75"/>
    <row r="51466" s="3161" customFormat="1" ht="12.75"/>
    <row r="51467" s="3161" customFormat="1" ht="12.75"/>
    <row r="51468" s="3161" customFormat="1" ht="12.75"/>
    <row r="51469" s="3161" customFormat="1" ht="12.75"/>
    <row r="51470" s="3161" customFormat="1" ht="12.75"/>
    <row r="51471" s="3161" customFormat="1" ht="12.75"/>
    <row r="51472" s="3161" customFormat="1" ht="12.75"/>
    <row r="51473" s="3161" customFormat="1" ht="12.75"/>
    <row r="51474" s="3161" customFormat="1" ht="12.75"/>
    <row r="51475" s="3161" customFormat="1" ht="12.75"/>
    <row r="51476" s="3161" customFormat="1" ht="12.75"/>
    <row r="51477" s="3161" customFormat="1" ht="12.75"/>
    <row r="51478" s="3161" customFormat="1" ht="12.75"/>
    <row r="51479" s="3161" customFormat="1" ht="12.75"/>
    <row r="51480" s="3161" customFormat="1" ht="12.75"/>
    <row r="51481" s="3161" customFormat="1" ht="12.75"/>
    <row r="51482" s="3161" customFormat="1" ht="12.75"/>
    <row r="51483" s="3161" customFormat="1" ht="12.75"/>
    <row r="51484" s="3161" customFormat="1" ht="12.75"/>
    <row r="51485" s="3161" customFormat="1" ht="12.75"/>
    <row r="51486" s="3161" customFormat="1" ht="12.75"/>
    <row r="51487" s="3161" customFormat="1" ht="12.75"/>
    <row r="51488" s="3161" customFormat="1" ht="12.75"/>
    <row r="51489" s="3161" customFormat="1" ht="12.75"/>
    <row r="51490" s="3161" customFormat="1" ht="12.75"/>
    <row r="51491" s="3161" customFormat="1" ht="12.75"/>
    <row r="51492" s="3161" customFormat="1" ht="12.75"/>
    <row r="51493" s="3161" customFormat="1" ht="12.75"/>
    <row r="51494" s="3161" customFormat="1" ht="12.75"/>
    <row r="51495" s="3161" customFormat="1" ht="12.75"/>
    <row r="51496" s="3161" customFormat="1" ht="12.75"/>
    <row r="51497" s="3161" customFormat="1" ht="12.75"/>
    <row r="51498" s="3161" customFormat="1" ht="12.75"/>
    <row r="51499" s="3161" customFormat="1" ht="12.75"/>
    <row r="51500" s="3161" customFormat="1" ht="12.75"/>
    <row r="51501" s="3161" customFormat="1" ht="12.75"/>
    <row r="51502" s="3161" customFormat="1" ht="12.75"/>
    <row r="51503" s="3161" customFormat="1" ht="12.75"/>
    <row r="51504" s="3161" customFormat="1" ht="12.75"/>
    <row r="51505" s="3161" customFormat="1" ht="12.75"/>
    <row r="51506" s="3161" customFormat="1" ht="12.75"/>
    <row r="51507" s="3161" customFormat="1" ht="12.75"/>
    <row r="51508" s="3161" customFormat="1" ht="12.75"/>
    <row r="51509" s="3161" customFormat="1" ht="12.75"/>
    <row r="51510" s="3161" customFormat="1" ht="12.75"/>
    <row r="51511" s="3161" customFormat="1" ht="12.75"/>
    <row r="51512" s="3161" customFormat="1" ht="12.75"/>
    <row r="51513" s="3161" customFormat="1" ht="12.75"/>
    <row r="51514" s="3161" customFormat="1" ht="12.75"/>
    <row r="51515" s="3161" customFormat="1" ht="12.75"/>
    <row r="51516" s="3161" customFormat="1" ht="12.75"/>
    <row r="51517" s="3161" customFormat="1" ht="12.75"/>
    <row r="51518" s="3161" customFormat="1" ht="12.75"/>
    <row r="51519" s="3161" customFormat="1" ht="12.75"/>
    <row r="51520" s="3161" customFormat="1" ht="12.75"/>
    <row r="51521" s="3161" customFormat="1" ht="12.75"/>
    <row r="51522" s="3161" customFormat="1" ht="12.75"/>
    <row r="51523" s="3161" customFormat="1" ht="12.75"/>
    <row r="51524" s="3161" customFormat="1" ht="12.75"/>
    <row r="51525" s="3161" customFormat="1" ht="12.75"/>
    <row r="51526" s="3161" customFormat="1" ht="12.75"/>
    <row r="51527" s="3161" customFormat="1" ht="12.75"/>
    <row r="51528" s="3161" customFormat="1" ht="12.75"/>
    <row r="51529" s="3161" customFormat="1" ht="12.75"/>
    <row r="51530" s="3161" customFormat="1" ht="12.75"/>
    <row r="51531" s="3161" customFormat="1" ht="12.75"/>
    <row r="51532" s="3161" customFormat="1" ht="12.75"/>
    <row r="51533" s="3161" customFormat="1" ht="12.75"/>
    <row r="51534" s="3161" customFormat="1" ht="12.75"/>
    <row r="51535" s="3161" customFormat="1" ht="12.75"/>
    <row r="51536" s="3161" customFormat="1" ht="12.75"/>
    <row r="51537" s="3161" customFormat="1" ht="12.75"/>
    <row r="51538" s="3161" customFormat="1" ht="12.75"/>
    <row r="51539" s="3161" customFormat="1" ht="12.75"/>
    <row r="51540" s="3161" customFormat="1" ht="12.75"/>
    <row r="51541" s="3161" customFormat="1" ht="12.75"/>
    <row r="51542" s="3161" customFormat="1" ht="12.75"/>
    <row r="51543" s="3161" customFormat="1" ht="12.75"/>
    <row r="51544" s="3161" customFormat="1" ht="12.75"/>
    <row r="51545" s="3161" customFormat="1" ht="12.75"/>
    <row r="51546" s="3161" customFormat="1" ht="12.75"/>
    <row r="51547" s="3161" customFormat="1" ht="12.75"/>
    <row r="51548" s="3161" customFormat="1" ht="12.75"/>
    <row r="51549" s="3161" customFormat="1" ht="12.75"/>
    <row r="51550" s="3161" customFormat="1" ht="12.75"/>
    <row r="51551" s="3161" customFormat="1" ht="12.75"/>
    <row r="51552" s="3161" customFormat="1" ht="12.75"/>
    <row r="51553" s="3161" customFormat="1" ht="12.75"/>
    <row r="51554" s="3161" customFormat="1" ht="12.75"/>
    <row r="51555" s="3161" customFormat="1" ht="12.75"/>
    <row r="51556" s="3161" customFormat="1" ht="12.75"/>
    <row r="51557" s="3161" customFormat="1" ht="12.75"/>
    <row r="51558" s="3161" customFormat="1" ht="12.75"/>
    <row r="51559" s="3161" customFormat="1" ht="12.75"/>
    <row r="51560" s="3161" customFormat="1" ht="12.75"/>
    <row r="51561" s="3161" customFormat="1" ht="12.75"/>
    <row r="51562" s="3161" customFormat="1" ht="12.75"/>
    <row r="51563" s="3161" customFormat="1" ht="12.75"/>
    <row r="51564" s="3161" customFormat="1" ht="12.75"/>
    <row r="51565" s="3161" customFormat="1" ht="12.75"/>
    <row r="51566" s="3161" customFormat="1" ht="12.75"/>
    <row r="51567" s="3161" customFormat="1" ht="12.75"/>
    <row r="51568" s="3161" customFormat="1" ht="12.75"/>
    <row r="51569" s="3161" customFormat="1" ht="12.75"/>
    <row r="51570" s="3161" customFormat="1" ht="12.75"/>
    <row r="51571" s="3161" customFormat="1" ht="12.75"/>
    <row r="51572" s="3161" customFormat="1" ht="12.75"/>
    <row r="51573" s="3161" customFormat="1" ht="12.75"/>
    <row r="51574" s="3161" customFormat="1" ht="12.75"/>
    <row r="51575" s="3161" customFormat="1" ht="12.75"/>
    <row r="51576" s="3161" customFormat="1" ht="12.75"/>
    <row r="51577" s="3161" customFormat="1" ht="12.75"/>
    <row r="51578" s="3161" customFormat="1" ht="12.75"/>
    <row r="51579" s="3161" customFormat="1" ht="12.75"/>
    <row r="51580" s="3161" customFormat="1" ht="12.75"/>
    <row r="51581" s="3161" customFormat="1" ht="12.75"/>
    <row r="51582" s="3161" customFormat="1" ht="12.75"/>
    <row r="51583" s="3161" customFormat="1" ht="12.75"/>
    <row r="51584" s="3161" customFormat="1" ht="12.75"/>
    <row r="51585" s="3161" customFormat="1" ht="12.75"/>
    <row r="51586" s="3161" customFormat="1" ht="12.75"/>
    <row r="51587" s="3161" customFormat="1" ht="12.75"/>
    <row r="51588" s="3161" customFormat="1" ht="12.75"/>
    <row r="51589" s="3161" customFormat="1" ht="12.75"/>
    <row r="51590" s="3161" customFormat="1" ht="12.75"/>
    <row r="51591" s="3161" customFormat="1" ht="12.75"/>
    <row r="51592" s="3161" customFormat="1" ht="12.75"/>
    <row r="51593" s="3161" customFormat="1" ht="12.75"/>
    <row r="51594" s="3161" customFormat="1" ht="12.75"/>
    <row r="51595" s="3161" customFormat="1" ht="12.75"/>
    <row r="51596" s="3161" customFormat="1" ht="12.75"/>
    <row r="51597" s="3161" customFormat="1" ht="12.75"/>
    <row r="51598" s="3161" customFormat="1" ht="12.75"/>
    <row r="51599" s="3161" customFormat="1" ht="12.75"/>
    <row r="51600" s="3161" customFormat="1" ht="12.75"/>
    <row r="51601" s="3161" customFormat="1" ht="12.75"/>
    <row r="51602" s="3161" customFormat="1" ht="12.75"/>
    <row r="51603" s="3161" customFormat="1" ht="12.75"/>
    <row r="51604" s="3161" customFormat="1" ht="12.75"/>
    <row r="51605" s="3161" customFormat="1" ht="12.75"/>
    <row r="51606" s="3161" customFormat="1" ht="12.75"/>
    <row r="51607" s="3161" customFormat="1" ht="12.75"/>
    <row r="51608" s="3161" customFormat="1" ht="12.75"/>
    <row r="51609" s="3161" customFormat="1" ht="12.75"/>
    <row r="51610" s="3161" customFormat="1" ht="12.75"/>
    <row r="51611" s="3161" customFormat="1" ht="12.75"/>
    <row r="51612" s="3161" customFormat="1" ht="12.75"/>
    <row r="51613" s="3161" customFormat="1" ht="12.75"/>
    <row r="51614" s="3161" customFormat="1" ht="12.75"/>
    <row r="51615" s="3161" customFormat="1" ht="12.75"/>
    <row r="51616" s="3161" customFormat="1" ht="12.75"/>
    <row r="51617" s="3161" customFormat="1" ht="12.75"/>
    <row r="51618" s="3161" customFormat="1" ht="12.75"/>
    <row r="51619" s="3161" customFormat="1" ht="12.75"/>
    <row r="51620" s="3161" customFormat="1" ht="12.75"/>
    <row r="51621" s="3161" customFormat="1" ht="12.75"/>
    <row r="51622" s="3161" customFormat="1" ht="12.75"/>
    <row r="51623" s="3161" customFormat="1" ht="12.75"/>
    <row r="51624" s="3161" customFormat="1" ht="12.75"/>
    <row r="51625" s="3161" customFormat="1" ht="12.75"/>
    <row r="51626" s="3161" customFormat="1" ht="12.75"/>
    <row r="51627" s="3161" customFormat="1" ht="12.75"/>
    <row r="51628" s="3161" customFormat="1" ht="12.75"/>
    <row r="51629" s="3161" customFormat="1" ht="12.75"/>
    <row r="51630" s="3161" customFormat="1" ht="12.75"/>
    <row r="51631" s="3161" customFormat="1" ht="12.75"/>
    <row r="51632" s="3161" customFormat="1" ht="12.75"/>
    <row r="51633" s="3161" customFormat="1" ht="12.75"/>
    <row r="51634" s="3161" customFormat="1" ht="12.75"/>
    <row r="51635" s="3161" customFormat="1" ht="12.75"/>
    <row r="51636" s="3161" customFormat="1" ht="12.75"/>
    <row r="51637" s="3161" customFormat="1" ht="12.75"/>
    <row r="51638" s="3161" customFormat="1" ht="12.75"/>
    <row r="51639" s="3161" customFormat="1" ht="12.75"/>
    <row r="51640" s="3161" customFormat="1" ht="12.75"/>
    <row r="51641" s="3161" customFormat="1" ht="12.75"/>
    <row r="51642" s="3161" customFormat="1" ht="12.75"/>
    <row r="51643" s="3161" customFormat="1" ht="12.75"/>
    <row r="51644" s="3161" customFormat="1" ht="12.75"/>
    <row r="51645" s="3161" customFormat="1" ht="12.75"/>
    <row r="51646" s="3161" customFormat="1" ht="12.75"/>
    <row r="51647" s="3161" customFormat="1" ht="12.75"/>
    <row r="51648" s="3161" customFormat="1" ht="12.75"/>
    <row r="51649" s="3161" customFormat="1" ht="12.75"/>
    <row r="51650" s="3161" customFormat="1" ht="12.75"/>
    <row r="51651" s="3161" customFormat="1" ht="12.75"/>
    <row r="51652" s="3161" customFormat="1" ht="12.75"/>
    <row r="51653" s="3161" customFormat="1" ht="12.75"/>
    <row r="51654" s="3161" customFormat="1" ht="12.75"/>
    <row r="51655" s="3161" customFormat="1" ht="12.75"/>
    <row r="51656" s="3161" customFormat="1" ht="12.75"/>
    <row r="51657" s="3161" customFormat="1" ht="12.75"/>
    <row r="51658" s="3161" customFormat="1" ht="12.75"/>
    <row r="51659" s="3161" customFormat="1" ht="12.75"/>
    <row r="51660" s="3161" customFormat="1" ht="12.75"/>
    <row r="51661" s="3161" customFormat="1" ht="12.75"/>
    <row r="51662" s="3161" customFormat="1" ht="12.75"/>
    <row r="51663" s="3161" customFormat="1" ht="12.75"/>
    <row r="51664" s="3161" customFormat="1" ht="12.75"/>
    <row r="51665" s="3161" customFormat="1" ht="12.75"/>
    <row r="51666" s="3161" customFormat="1" ht="12.75"/>
    <row r="51667" s="3161" customFormat="1" ht="12.75"/>
    <row r="51668" s="3161" customFormat="1" ht="12.75"/>
    <row r="51669" s="3161" customFormat="1" ht="12.75"/>
    <row r="51670" s="3161" customFormat="1" ht="12.75"/>
    <row r="51671" s="3161" customFormat="1" ht="12.75"/>
    <row r="51672" s="3161" customFormat="1" ht="12.75"/>
    <row r="51673" s="3161" customFormat="1" ht="12.75"/>
    <row r="51674" s="3161" customFormat="1" ht="12.75"/>
    <row r="51675" s="3161" customFormat="1" ht="12.75"/>
    <row r="51676" s="3161" customFormat="1" ht="12.75"/>
    <row r="51677" s="3161" customFormat="1" ht="12.75"/>
    <row r="51678" s="3161" customFormat="1" ht="12.75"/>
    <row r="51679" s="3161" customFormat="1" ht="12.75"/>
    <row r="51680" s="3161" customFormat="1" ht="12.75"/>
    <row r="51681" s="3161" customFormat="1" ht="12.75"/>
    <row r="51682" s="3161" customFormat="1" ht="12.75"/>
    <row r="51683" s="3161" customFormat="1" ht="12.75"/>
    <row r="51684" s="3161" customFormat="1" ht="12.75"/>
    <row r="51685" s="3161" customFormat="1" ht="12.75"/>
    <row r="51686" s="3161" customFormat="1" ht="12.75"/>
    <row r="51687" s="3161" customFormat="1" ht="12.75"/>
    <row r="51688" s="3161" customFormat="1" ht="12.75"/>
    <row r="51689" s="3161" customFormat="1" ht="12.75"/>
    <row r="51690" s="3161" customFormat="1" ht="12.75"/>
    <row r="51691" s="3161" customFormat="1" ht="12.75"/>
    <row r="51692" s="3161" customFormat="1" ht="12.75"/>
    <row r="51693" s="3161" customFormat="1" ht="12.75"/>
    <row r="51694" s="3161" customFormat="1" ht="12.75"/>
    <row r="51695" s="3161" customFormat="1" ht="12.75"/>
    <row r="51696" s="3161" customFormat="1" ht="12.75"/>
    <row r="51697" s="3161" customFormat="1" ht="12.75"/>
    <row r="51698" s="3161" customFormat="1" ht="12.75"/>
    <row r="51699" s="3161" customFormat="1" ht="12.75"/>
    <row r="51700" s="3161" customFormat="1" ht="12.75"/>
    <row r="51701" s="3161" customFormat="1" ht="12.75"/>
    <row r="51702" s="3161" customFormat="1" ht="12.75"/>
    <row r="51703" s="3161" customFormat="1" ht="12.75"/>
    <row r="51704" s="3161" customFormat="1" ht="12.75"/>
    <row r="51705" s="3161" customFormat="1" ht="12.75"/>
    <row r="51706" s="3161" customFormat="1" ht="12.75"/>
    <row r="51707" s="3161" customFormat="1" ht="12.75"/>
    <row r="51708" s="3161" customFormat="1" ht="12.75"/>
    <row r="51709" s="3161" customFormat="1" ht="12.75"/>
    <row r="51710" s="3161" customFormat="1" ht="12.75"/>
    <row r="51711" s="3161" customFormat="1" ht="12.75"/>
    <row r="51712" s="3161" customFormat="1" ht="12.75"/>
    <row r="51713" s="3161" customFormat="1" ht="12.75"/>
    <row r="51714" s="3161" customFormat="1" ht="12.75"/>
    <row r="51715" s="3161" customFormat="1" ht="12.75"/>
    <row r="51716" s="3161" customFormat="1" ht="12.75"/>
    <row r="51717" s="3161" customFormat="1" ht="12.75"/>
    <row r="51718" s="3161" customFormat="1" ht="12.75"/>
    <row r="51719" s="3161" customFormat="1" ht="12.75"/>
    <row r="51720" s="3161" customFormat="1" ht="12.75"/>
    <row r="51721" s="3161" customFormat="1" ht="12.75"/>
    <row r="51722" s="3161" customFormat="1" ht="12.75"/>
    <row r="51723" s="3161" customFormat="1" ht="12.75"/>
    <row r="51724" s="3161" customFormat="1" ht="12.75"/>
    <row r="51725" s="3161" customFormat="1" ht="12.75"/>
    <row r="51726" s="3161" customFormat="1" ht="12.75"/>
    <row r="51727" s="3161" customFormat="1" ht="12.75"/>
    <row r="51728" s="3161" customFormat="1" ht="12.75"/>
    <row r="51729" s="3161" customFormat="1" ht="12.75"/>
    <row r="51730" s="3161" customFormat="1" ht="12.75"/>
    <row r="51731" s="3161" customFormat="1" ht="12.75"/>
    <row r="51732" s="3161" customFormat="1" ht="12.75"/>
    <row r="51733" s="3161" customFormat="1" ht="12.75"/>
    <row r="51734" s="3161" customFormat="1" ht="12.75"/>
    <row r="51735" s="3161" customFormat="1" ht="12.75"/>
    <row r="51736" s="3161" customFormat="1" ht="12.75"/>
    <row r="51737" s="3161" customFormat="1" ht="12.75"/>
    <row r="51738" s="3161" customFormat="1" ht="12.75"/>
    <row r="51739" s="3161" customFormat="1" ht="12.75"/>
    <row r="51740" s="3161" customFormat="1" ht="12.75"/>
    <row r="51741" s="3161" customFormat="1" ht="12.75"/>
    <row r="51742" s="3161" customFormat="1" ht="12.75"/>
    <row r="51743" s="3161" customFormat="1" ht="12.75"/>
    <row r="51744" s="3161" customFormat="1" ht="12.75"/>
    <row r="51745" s="3161" customFormat="1" ht="12.75"/>
    <row r="51746" s="3161" customFormat="1" ht="12.75"/>
    <row r="51747" s="3161" customFormat="1" ht="12.75"/>
    <row r="51748" s="3161" customFormat="1" ht="12.75"/>
    <row r="51749" s="3161" customFormat="1" ht="12.75"/>
    <row r="51750" s="3161" customFormat="1" ht="12.75"/>
    <row r="51751" s="3161" customFormat="1" ht="12.75"/>
    <row r="51752" s="3161" customFormat="1" ht="12.75"/>
    <row r="51753" s="3161" customFormat="1" ht="12.75"/>
    <row r="51754" s="3161" customFormat="1" ht="12.75"/>
    <row r="51755" s="3161" customFormat="1" ht="12.75"/>
    <row r="51756" s="3161" customFormat="1" ht="12.75"/>
    <row r="51757" s="3161" customFormat="1" ht="12.75"/>
    <row r="51758" s="3161" customFormat="1" ht="12.75"/>
    <row r="51759" s="3161" customFormat="1" ht="12.75"/>
    <row r="51760" s="3161" customFormat="1" ht="12.75"/>
    <row r="51761" s="3161" customFormat="1" ht="12.75"/>
    <row r="51762" s="3161" customFormat="1" ht="12.75"/>
    <row r="51763" s="3161" customFormat="1" ht="12.75"/>
    <row r="51764" s="3161" customFormat="1" ht="12.75"/>
    <row r="51765" s="3161" customFormat="1" ht="12.75"/>
    <row r="51766" s="3161" customFormat="1" ht="12.75"/>
    <row r="51767" s="3161" customFormat="1" ht="12.75"/>
    <row r="51768" s="3161" customFormat="1" ht="12.75"/>
    <row r="51769" s="3161" customFormat="1" ht="12.75"/>
    <row r="51770" s="3161" customFormat="1" ht="12.75"/>
    <row r="51771" s="3161" customFormat="1" ht="12.75"/>
    <row r="51772" s="3161" customFormat="1" ht="12.75"/>
    <row r="51773" s="3161" customFormat="1" ht="12.75"/>
    <row r="51774" s="3161" customFormat="1" ht="12.75"/>
    <row r="51775" s="3161" customFormat="1" ht="12.75"/>
    <row r="51776" s="3161" customFormat="1" ht="12.75"/>
    <row r="51777" s="3161" customFormat="1" ht="12.75"/>
    <row r="51778" s="3161" customFormat="1" ht="12.75"/>
    <row r="51779" s="3161" customFormat="1" ht="12.75"/>
    <row r="51780" s="3161" customFormat="1" ht="12.75"/>
    <row r="51781" s="3161" customFormat="1" ht="12.75"/>
    <row r="51782" s="3161" customFormat="1" ht="12.75"/>
    <row r="51783" s="3161" customFormat="1" ht="12.75"/>
    <row r="51784" s="3161" customFormat="1" ht="12.75"/>
    <row r="51785" s="3161" customFormat="1" ht="12.75"/>
    <row r="51786" s="3161" customFormat="1" ht="12.75"/>
    <row r="51787" s="3161" customFormat="1" ht="12.75"/>
    <row r="51788" s="3161" customFormat="1" ht="12.75"/>
    <row r="51789" s="3161" customFormat="1" ht="12.75"/>
    <row r="51790" s="3161" customFormat="1" ht="12.75"/>
    <row r="51791" s="3161" customFormat="1" ht="12.75"/>
    <row r="51792" s="3161" customFormat="1" ht="12.75"/>
    <row r="51793" s="3161" customFormat="1" ht="12.75"/>
    <row r="51794" s="3161" customFormat="1" ht="12.75"/>
    <row r="51795" s="3161" customFormat="1" ht="12.75"/>
    <row r="51796" s="3161" customFormat="1" ht="12.75"/>
    <row r="51797" s="3161" customFormat="1" ht="12.75"/>
    <row r="51798" s="3161" customFormat="1" ht="12.75"/>
    <row r="51799" s="3161" customFormat="1" ht="12.75"/>
    <row r="51800" s="3161" customFormat="1" ht="12.75"/>
    <row r="51801" s="3161" customFormat="1" ht="12.75"/>
    <row r="51802" s="3161" customFormat="1" ht="12.75"/>
    <row r="51803" s="3161" customFormat="1" ht="12.75"/>
    <row r="51804" s="3161" customFormat="1" ht="12.75"/>
    <row r="51805" s="3161" customFormat="1" ht="12.75"/>
    <row r="51806" s="3161" customFormat="1" ht="12.75"/>
    <row r="51807" s="3161" customFormat="1" ht="12.75"/>
    <row r="51808" s="3161" customFormat="1" ht="12.75"/>
    <row r="51809" s="3161" customFormat="1" ht="12.75"/>
    <row r="51810" s="3161" customFormat="1" ht="12.75"/>
    <row r="51811" s="3161" customFormat="1" ht="12.75"/>
    <row r="51812" s="3161" customFormat="1" ht="12.75"/>
    <row r="51813" s="3161" customFormat="1" ht="12.75"/>
    <row r="51814" s="3161" customFormat="1" ht="12.75"/>
    <row r="51815" s="3161" customFormat="1" ht="12.75"/>
    <row r="51816" s="3161" customFormat="1" ht="12.75"/>
    <row r="51817" s="3161" customFormat="1" ht="12.75"/>
    <row r="51818" s="3161" customFormat="1" ht="12.75"/>
    <row r="51819" s="3161" customFormat="1" ht="12.75"/>
    <row r="51820" s="3161" customFormat="1" ht="12.75"/>
    <row r="51821" s="3161" customFormat="1" ht="12.75"/>
    <row r="51822" s="3161" customFormat="1" ht="12.75"/>
    <row r="51823" s="3161" customFormat="1" ht="12.75"/>
    <row r="51824" s="3161" customFormat="1" ht="12.75"/>
    <row r="51825" s="3161" customFormat="1" ht="12.75"/>
    <row r="51826" s="3161" customFormat="1" ht="12.75"/>
    <row r="51827" s="3161" customFormat="1" ht="12.75"/>
    <row r="51828" s="3161" customFormat="1" ht="12.75"/>
    <row r="51829" s="3161" customFormat="1" ht="12.75"/>
    <row r="51830" s="3161" customFormat="1" ht="12.75"/>
    <row r="51831" s="3161" customFormat="1" ht="12.75"/>
    <row r="51832" s="3161" customFormat="1" ht="12.75"/>
    <row r="51833" s="3161" customFormat="1" ht="12.75"/>
    <row r="51834" s="3161" customFormat="1" ht="12.75"/>
    <row r="51835" s="3161" customFormat="1" ht="12.75"/>
    <row r="51836" s="3161" customFormat="1" ht="12.75"/>
    <row r="51837" s="3161" customFormat="1" ht="12.75"/>
    <row r="51838" s="3161" customFormat="1" ht="12.75"/>
    <row r="51839" s="3161" customFormat="1" ht="12.75"/>
    <row r="51840" s="3161" customFormat="1" ht="12.75"/>
    <row r="51841" s="3161" customFormat="1" ht="12.75"/>
    <row r="51842" s="3161" customFormat="1" ht="12.75"/>
    <row r="51843" s="3161" customFormat="1" ht="12.75"/>
    <row r="51844" s="3161" customFormat="1" ht="12.75"/>
    <row r="51845" s="3161" customFormat="1" ht="12.75"/>
    <row r="51846" s="3161" customFormat="1" ht="12.75"/>
    <row r="51847" s="3161" customFormat="1" ht="12.75"/>
    <row r="51848" s="3161" customFormat="1" ht="12.75"/>
    <row r="51849" s="3161" customFormat="1" ht="12.75"/>
    <row r="51850" s="3161" customFormat="1" ht="12.75"/>
    <row r="51851" s="3161" customFormat="1" ht="12.75"/>
    <row r="51852" s="3161" customFormat="1" ht="12.75"/>
    <row r="51853" s="3161" customFormat="1" ht="12.75"/>
    <row r="51854" s="3161" customFormat="1" ht="12.75"/>
    <row r="51855" s="3161" customFormat="1" ht="12.75"/>
    <row r="51856" s="3161" customFormat="1" ht="12.75"/>
    <row r="51857" s="3161" customFormat="1" ht="12.75"/>
    <row r="51858" s="3161" customFormat="1" ht="12.75"/>
    <row r="51859" s="3161" customFormat="1" ht="12.75"/>
    <row r="51860" s="3161" customFormat="1" ht="12.75"/>
    <row r="51861" s="3161" customFormat="1" ht="12.75"/>
    <row r="51862" s="3161" customFormat="1" ht="12.75"/>
    <row r="51863" s="3161" customFormat="1" ht="12.75"/>
    <row r="51864" s="3161" customFormat="1" ht="12.75"/>
    <row r="51865" s="3161" customFormat="1" ht="12.75"/>
    <row r="51866" s="3161" customFormat="1" ht="12.75"/>
    <row r="51867" s="3161" customFormat="1" ht="12.75"/>
    <row r="51868" s="3161" customFormat="1" ht="12.75"/>
    <row r="51869" s="3161" customFormat="1" ht="12.75"/>
    <row r="51870" s="3161" customFormat="1" ht="12.75"/>
    <row r="51871" s="3161" customFormat="1" ht="12.75"/>
    <row r="51872" s="3161" customFormat="1" ht="12.75"/>
    <row r="51873" s="3161" customFormat="1" ht="12.75"/>
    <row r="51874" s="3161" customFormat="1" ht="12.75"/>
    <row r="51875" s="3161" customFormat="1" ht="12.75"/>
    <row r="51876" s="3161" customFormat="1" ht="12.75"/>
    <row r="51877" s="3161" customFormat="1" ht="12.75"/>
    <row r="51878" s="3161" customFormat="1" ht="12.75"/>
    <row r="51879" s="3161" customFormat="1" ht="12.75"/>
    <row r="51880" s="3161" customFormat="1" ht="12.75"/>
    <row r="51881" s="3161" customFormat="1" ht="12.75"/>
    <row r="51882" s="3161" customFormat="1" ht="12.75"/>
    <row r="51883" s="3161" customFormat="1" ht="12.75"/>
    <row r="51884" s="3161" customFormat="1" ht="12.75"/>
    <row r="51885" s="3161" customFormat="1" ht="12.75"/>
    <row r="51886" s="3161" customFormat="1" ht="12.75"/>
    <row r="51887" s="3161" customFormat="1" ht="12.75"/>
    <row r="51888" s="3161" customFormat="1" ht="12.75"/>
    <row r="51889" s="3161" customFormat="1" ht="12.75"/>
    <row r="51890" s="3161" customFormat="1" ht="12.75"/>
    <row r="51891" s="3161" customFormat="1" ht="12.75"/>
    <row r="51892" s="3161" customFormat="1" ht="12.75"/>
    <row r="51893" s="3161" customFormat="1" ht="12.75"/>
    <row r="51894" s="3161" customFormat="1" ht="12.75"/>
    <row r="51895" s="3161" customFormat="1" ht="12.75"/>
    <row r="51896" s="3161" customFormat="1" ht="12.75"/>
    <row r="51897" s="3161" customFormat="1" ht="12.75"/>
    <row r="51898" s="3161" customFormat="1" ht="12.75"/>
    <row r="51899" s="3161" customFormat="1" ht="12.75"/>
    <row r="51900" s="3161" customFormat="1" ht="12.75"/>
    <row r="51901" s="3161" customFormat="1" ht="12.75"/>
    <row r="51902" s="3161" customFormat="1" ht="12.75"/>
    <row r="51903" s="3161" customFormat="1" ht="12.75"/>
    <row r="51904" s="3161" customFormat="1" ht="12.75"/>
    <row r="51905" s="3161" customFormat="1" ht="12.75"/>
    <row r="51906" s="3161" customFormat="1" ht="12.75"/>
    <row r="51907" s="3161" customFormat="1" ht="12.75"/>
    <row r="51908" s="3161" customFormat="1" ht="12.75"/>
    <row r="51909" s="3161" customFormat="1" ht="12.75"/>
    <row r="51910" s="3161" customFormat="1" ht="12.75"/>
    <row r="51911" s="3161" customFormat="1" ht="12.75"/>
    <row r="51912" s="3161" customFormat="1" ht="12.75"/>
    <row r="51913" s="3161" customFormat="1" ht="12.75"/>
    <row r="51914" s="3161" customFormat="1" ht="12.75"/>
    <row r="51915" s="3161" customFormat="1" ht="12.75"/>
    <row r="51916" s="3161" customFormat="1" ht="12.75"/>
    <row r="51917" s="3161" customFormat="1" ht="12.75"/>
    <row r="51918" s="3161" customFormat="1" ht="12.75"/>
    <row r="51919" s="3161" customFormat="1" ht="12.75"/>
    <row r="51920" s="3161" customFormat="1" ht="12.75"/>
    <row r="51921" s="3161" customFormat="1" ht="12.75"/>
    <row r="51922" s="3161" customFormat="1" ht="12.75"/>
    <row r="51923" s="3161" customFormat="1" ht="12.75"/>
    <row r="51924" s="3161" customFormat="1" ht="12.75"/>
    <row r="51925" s="3161" customFormat="1" ht="12.75"/>
    <row r="51926" s="3161" customFormat="1" ht="12.75"/>
    <row r="51927" s="3161" customFormat="1" ht="12.75"/>
    <row r="51928" s="3161" customFormat="1" ht="12.75"/>
    <row r="51929" s="3161" customFormat="1" ht="12.75"/>
    <row r="51930" s="3161" customFormat="1" ht="12.75"/>
    <row r="51931" s="3161" customFormat="1" ht="12.75"/>
    <row r="51932" s="3161" customFormat="1" ht="12.75"/>
    <row r="51933" s="3161" customFormat="1" ht="12.75"/>
    <row r="51934" s="3161" customFormat="1" ht="12.75"/>
    <row r="51935" s="3161" customFormat="1" ht="12.75"/>
    <row r="51936" s="3161" customFormat="1" ht="12.75"/>
    <row r="51937" s="3161" customFormat="1" ht="12.75"/>
    <row r="51938" s="3161" customFormat="1" ht="12.75"/>
    <row r="51939" s="3161" customFormat="1" ht="12.75"/>
    <row r="51940" s="3161" customFormat="1" ht="12.75"/>
    <row r="51941" s="3161" customFormat="1" ht="12.75"/>
    <row r="51942" s="3161" customFormat="1" ht="12.75"/>
    <row r="51943" s="3161" customFormat="1" ht="12.75"/>
    <row r="51944" s="3161" customFormat="1" ht="12.75"/>
    <row r="51945" s="3161" customFormat="1" ht="12.75"/>
    <row r="51946" s="3161" customFormat="1" ht="12.75"/>
    <row r="51947" s="3161" customFormat="1" ht="12.75"/>
    <row r="51948" s="3161" customFormat="1" ht="12.75"/>
    <row r="51949" s="3161" customFormat="1" ht="12.75"/>
    <row r="51950" s="3161" customFormat="1" ht="12.75"/>
    <row r="51951" s="3161" customFormat="1" ht="12.75"/>
    <row r="51952" s="3161" customFormat="1" ht="12.75"/>
    <row r="51953" s="3161" customFormat="1" ht="12.75"/>
    <row r="51954" s="3161" customFormat="1" ht="12.75"/>
    <row r="51955" s="3161" customFormat="1" ht="12.75"/>
    <row r="51956" s="3161" customFormat="1" ht="12.75"/>
    <row r="51957" s="3161" customFormat="1" ht="12.75"/>
    <row r="51958" s="3161" customFormat="1" ht="12.75"/>
    <row r="51959" s="3161" customFormat="1" ht="12.75"/>
    <row r="51960" s="3161" customFormat="1" ht="12.75"/>
    <row r="51961" s="3161" customFormat="1" ht="12.75"/>
    <row r="51962" s="3161" customFormat="1" ht="12.75"/>
    <row r="51963" s="3161" customFormat="1" ht="12.75"/>
    <row r="51964" s="3161" customFormat="1" ht="12.75"/>
    <row r="51965" s="3161" customFormat="1" ht="12.75"/>
    <row r="51966" s="3161" customFormat="1" ht="12.75"/>
    <row r="51967" s="3161" customFormat="1" ht="12.75"/>
    <row r="51968" s="3161" customFormat="1" ht="12.75"/>
    <row r="51969" s="3161" customFormat="1" ht="12.75"/>
    <row r="51970" s="3161" customFormat="1" ht="12.75"/>
    <row r="51971" s="3161" customFormat="1" ht="12.75"/>
    <row r="51972" s="3161" customFormat="1" ht="12.75"/>
    <row r="51973" s="3161" customFormat="1" ht="12.75"/>
    <row r="51974" s="3161" customFormat="1" ht="12.75"/>
    <row r="51975" s="3161" customFormat="1" ht="12.75"/>
    <row r="51976" s="3161" customFormat="1" ht="12.75"/>
    <row r="51977" s="3161" customFormat="1" ht="12.75"/>
    <row r="51978" s="3161" customFormat="1" ht="12.75"/>
    <row r="51979" s="3161" customFormat="1" ht="12.75"/>
    <row r="51980" s="3161" customFormat="1" ht="12.75"/>
    <row r="51981" s="3161" customFormat="1" ht="12.75"/>
    <row r="51982" s="3161" customFormat="1" ht="12.75"/>
    <row r="51983" s="3161" customFormat="1" ht="12.75"/>
    <row r="51984" s="3161" customFormat="1" ht="12.75"/>
    <row r="51985" s="3161" customFormat="1" ht="12.75"/>
    <row r="51986" s="3161" customFormat="1" ht="12.75"/>
    <row r="51987" s="3161" customFormat="1" ht="12.75"/>
    <row r="51988" s="3161" customFormat="1" ht="12.75"/>
    <row r="51989" s="3161" customFormat="1" ht="12.75"/>
    <row r="51990" s="3161" customFormat="1" ht="12.75"/>
    <row r="51991" s="3161" customFormat="1" ht="12.75"/>
    <row r="51992" s="3161" customFormat="1" ht="12.75"/>
    <row r="51993" s="3161" customFormat="1" ht="12.75"/>
    <row r="51994" s="3161" customFormat="1" ht="12.75"/>
    <row r="51995" s="3161" customFormat="1" ht="12.75"/>
    <row r="51996" s="3161" customFormat="1" ht="12.75"/>
    <row r="51997" s="3161" customFormat="1" ht="12.75"/>
    <row r="51998" s="3161" customFormat="1" ht="12.75"/>
    <row r="51999" s="3161" customFormat="1" ht="12.75"/>
    <row r="52000" s="3161" customFormat="1" ht="12.75"/>
    <row r="52001" s="3161" customFormat="1" ht="12.75"/>
    <row r="52002" s="3161" customFormat="1" ht="12.75"/>
    <row r="52003" s="3161" customFormat="1" ht="12.75"/>
    <row r="52004" s="3161" customFormat="1" ht="12.75"/>
    <row r="52005" s="3161" customFormat="1" ht="12.75"/>
    <row r="52006" s="3161" customFormat="1" ht="12.75"/>
    <row r="52007" s="3161" customFormat="1" ht="12.75"/>
    <row r="52008" s="3161" customFormat="1" ht="12.75"/>
    <row r="52009" s="3161" customFormat="1" ht="12.75"/>
    <row r="52010" s="3161" customFormat="1" ht="12.75"/>
    <row r="52011" s="3161" customFormat="1" ht="12.75"/>
    <row r="52012" s="3161" customFormat="1" ht="12.75"/>
    <row r="52013" s="3161" customFormat="1" ht="12.75"/>
    <row r="52014" s="3161" customFormat="1" ht="12.75"/>
    <row r="52015" s="3161" customFormat="1" ht="12.75"/>
    <row r="52016" s="3161" customFormat="1" ht="12.75"/>
    <row r="52017" s="3161" customFormat="1" ht="12.75"/>
    <row r="52018" s="3161" customFormat="1" ht="12.75"/>
    <row r="52019" s="3161" customFormat="1" ht="12.75"/>
    <row r="52020" s="3161" customFormat="1" ht="12.75"/>
    <row r="52021" s="3161" customFormat="1" ht="12.75"/>
    <row r="52022" s="3161" customFormat="1" ht="12.75"/>
    <row r="52023" s="3161" customFormat="1" ht="12.75"/>
    <row r="52024" s="3161" customFormat="1" ht="12.75"/>
    <row r="52025" s="3161" customFormat="1" ht="12.75"/>
    <row r="52026" s="3161" customFormat="1" ht="12.75"/>
    <row r="52027" s="3161" customFormat="1" ht="12.75"/>
    <row r="52028" s="3161" customFormat="1" ht="12.75"/>
    <row r="52029" s="3161" customFormat="1" ht="12.75"/>
    <row r="52030" s="3161" customFormat="1" ht="12.75"/>
    <row r="52031" s="3161" customFormat="1" ht="12.75"/>
    <row r="52032" s="3161" customFormat="1" ht="12.75"/>
    <row r="52033" s="3161" customFormat="1" ht="12.75"/>
    <row r="52034" s="3161" customFormat="1" ht="12.75"/>
    <row r="52035" s="3161" customFormat="1" ht="12.75"/>
    <row r="52036" s="3161" customFormat="1" ht="12.75"/>
    <row r="52037" s="3161" customFormat="1" ht="12.75"/>
    <row r="52038" s="3161" customFormat="1" ht="12.75"/>
    <row r="52039" s="3161" customFormat="1" ht="12.75"/>
    <row r="52040" s="3161" customFormat="1" ht="12.75"/>
    <row r="52041" s="3161" customFormat="1" ht="12.75"/>
    <row r="52042" s="3161" customFormat="1" ht="12.75"/>
    <row r="52043" s="3161" customFormat="1" ht="12.75"/>
    <row r="52044" s="3161" customFormat="1" ht="12.75"/>
    <row r="52045" s="3161" customFormat="1" ht="12.75"/>
    <row r="52046" s="3161" customFormat="1" ht="12.75"/>
    <row r="52047" s="3161" customFormat="1" ht="12.75"/>
    <row r="52048" s="3161" customFormat="1" ht="12.75"/>
    <row r="52049" s="3161" customFormat="1" ht="12.75"/>
    <row r="52050" s="3161" customFormat="1" ht="12.75"/>
    <row r="52051" s="3161" customFormat="1" ht="12.75"/>
    <row r="52052" s="3161" customFormat="1" ht="12.75"/>
    <row r="52053" s="3161" customFormat="1" ht="12.75"/>
    <row r="52054" s="3161" customFormat="1" ht="12.75"/>
    <row r="52055" s="3161" customFormat="1" ht="12.75"/>
    <row r="52056" s="3161" customFormat="1" ht="12.75"/>
    <row r="52057" s="3161" customFormat="1" ht="12.75"/>
    <row r="52058" s="3161" customFormat="1" ht="12.75"/>
    <row r="52059" s="3161" customFormat="1" ht="12.75"/>
    <row r="52060" s="3161" customFormat="1" ht="12.75"/>
    <row r="52061" s="3161" customFormat="1" ht="12.75"/>
    <row r="52062" s="3161" customFormat="1" ht="12.75"/>
    <row r="52063" s="3161" customFormat="1" ht="12.75"/>
    <row r="52064" s="3161" customFormat="1" ht="12.75"/>
    <row r="52065" s="3161" customFormat="1" ht="12.75"/>
    <row r="52066" s="3161" customFormat="1" ht="12.75"/>
    <row r="52067" s="3161" customFormat="1" ht="12.75"/>
    <row r="52068" s="3161" customFormat="1" ht="12.75"/>
    <row r="52069" s="3161" customFormat="1" ht="12.75"/>
    <row r="52070" s="3161" customFormat="1" ht="12.75"/>
    <row r="52071" s="3161" customFormat="1" ht="12.75"/>
    <row r="52072" s="3161" customFormat="1" ht="12.75"/>
    <row r="52073" s="3161" customFormat="1" ht="12.75"/>
    <row r="52074" s="3161" customFormat="1" ht="12.75"/>
    <row r="52075" s="3161" customFormat="1" ht="12.75"/>
    <row r="52076" s="3161" customFormat="1" ht="12.75"/>
    <row r="52077" s="3161" customFormat="1" ht="12.75"/>
    <row r="52078" s="3161" customFormat="1" ht="12.75"/>
    <row r="52079" s="3161" customFormat="1" ht="12.75"/>
    <row r="52080" s="3161" customFormat="1" ht="12.75"/>
    <row r="52081" s="3161" customFormat="1" ht="12.75"/>
    <row r="52082" s="3161" customFormat="1" ht="12.75"/>
    <row r="52083" s="3161" customFormat="1" ht="12.75"/>
    <row r="52084" s="3161" customFormat="1" ht="12.75"/>
    <row r="52085" s="3161" customFormat="1" ht="12.75"/>
    <row r="52086" s="3161" customFormat="1" ht="12.75"/>
    <row r="52087" s="3161" customFormat="1" ht="12.75"/>
    <row r="52088" s="3161" customFormat="1" ht="12.75"/>
    <row r="52089" s="3161" customFormat="1" ht="12.75"/>
    <row r="52090" s="3161" customFormat="1" ht="12.75"/>
    <row r="52091" s="3161" customFormat="1" ht="12.75"/>
    <row r="52092" s="3161" customFormat="1" ht="12.75"/>
    <row r="52093" s="3161" customFormat="1" ht="12.75"/>
    <row r="52094" s="3161" customFormat="1" ht="12.75"/>
    <row r="52095" s="3161" customFormat="1" ht="12.75"/>
    <row r="52096" s="3161" customFormat="1" ht="12.75"/>
    <row r="52097" s="3161" customFormat="1" ht="12.75"/>
    <row r="52098" s="3161" customFormat="1" ht="12.75"/>
    <row r="52099" s="3161" customFormat="1" ht="12.75"/>
    <row r="52100" s="3161" customFormat="1" ht="12.75"/>
    <row r="52101" s="3161" customFormat="1" ht="12.75"/>
    <row r="52102" s="3161" customFormat="1" ht="12.75"/>
    <row r="52103" s="3161" customFormat="1" ht="12.75"/>
    <row r="52104" s="3161" customFormat="1" ht="12.75"/>
    <row r="52105" s="3161" customFormat="1" ht="12.75"/>
    <row r="52106" s="3161" customFormat="1" ht="12.75"/>
    <row r="52107" s="3161" customFormat="1" ht="12.75"/>
    <row r="52108" s="3161" customFormat="1" ht="12.75"/>
    <row r="52109" s="3161" customFormat="1" ht="12.75"/>
    <row r="52110" s="3161" customFormat="1" ht="12.75"/>
    <row r="52111" s="3161" customFormat="1" ht="12.75"/>
    <row r="52112" s="3161" customFormat="1" ht="12.75"/>
    <row r="52113" s="3161" customFormat="1" ht="12.75"/>
    <row r="52114" s="3161" customFormat="1" ht="12.75"/>
    <row r="52115" s="3161" customFormat="1" ht="12.75"/>
    <row r="52116" s="3161" customFormat="1" ht="12.75"/>
    <row r="52117" s="3161" customFormat="1" ht="12.75"/>
    <row r="52118" s="3161" customFormat="1" ht="12.75"/>
    <row r="52119" s="3161" customFormat="1" ht="12.75"/>
    <row r="52120" s="3161" customFormat="1" ht="12.75"/>
    <row r="52121" s="3161" customFormat="1" ht="12.75"/>
    <row r="52122" s="3161" customFormat="1" ht="12.75"/>
    <row r="52123" s="3161" customFormat="1" ht="12.75"/>
    <row r="52124" s="3161" customFormat="1" ht="12.75"/>
    <row r="52125" s="3161" customFormat="1" ht="12.75"/>
    <row r="52126" s="3161" customFormat="1" ht="12.75"/>
    <row r="52127" s="3161" customFormat="1" ht="12.75"/>
    <row r="52128" s="3161" customFormat="1" ht="12.75"/>
    <row r="52129" s="3161" customFormat="1" ht="12.75"/>
    <row r="52130" s="3161" customFormat="1" ht="12.75"/>
    <row r="52131" s="3161" customFormat="1" ht="12.75"/>
    <row r="52132" s="3161" customFormat="1" ht="12.75"/>
    <row r="52133" s="3161" customFormat="1" ht="12.75"/>
    <row r="52134" s="3161" customFormat="1" ht="12.75"/>
    <row r="52135" s="3161" customFormat="1" ht="12.75"/>
    <row r="52136" s="3161" customFormat="1" ht="12.75"/>
    <row r="52137" s="3161" customFormat="1" ht="12.75"/>
    <row r="52138" s="3161" customFormat="1" ht="12.75"/>
    <row r="52139" s="3161" customFormat="1" ht="12.75"/>
    <row r="52140" s="3161" customFormat="1" ht="12.75"/>
    <row r="52141" s="3161" customFormat="1" ht="12.75"/>
    <row r="52142" s="3161" customFormat="1" ht="12.75"/>
    <row r="52143" s="3161" customFormat="1" ht="12.75"/>
    <row r="52144" s="3161" customFormat="1" ht="12.75"/>
    <row r="52145" s="3161" customFormat="1" ht="12.75"/>
    <row r="52146" s="3161" customFormat="1" ht="12.75"/>
    <row r="52147" s="3161" customFormat="1" ht="12.75"/>
    <row r="52148" s="3161" customFormat="1" ht="12.75"/>
    <row r="52149" s="3161" customFormat="1" ht="12.75"/>
    <row r="52150" s="3161" customFormat="1" ht="12.75"/>
    <row r="52151" s="3161" customFormat="1" ht="12.75"/>
    <row r="52152" s="3161" customFormat="1" ht="12.75"/>
    <row r="52153" s="3161" customFormat="1" ht="12.75"/>
    <row r="52154" s="3161" customFormat="1" ht="12.75"/>
    <row r="52155" s="3161" customFormat="1" ht="12.75"/>
    <row r="52156" s="3161" customFormat="1" ht="12.75"/>
    <row r="52157" s="3161" customFormat="1" ht="12.75"/>
    <row r="52158" s="3161" customFormat="1" ht="12.75"/>
    <row r="52159" s="3161" customFormat="1" ht="12.75"/>
    <row r="52160" s="3161" customFormat="1" ht="12.75"/>
    <row r="52161" s="3161" customFormat="1" ht="12.75"/>
    <row r="52162" s="3161" customFormat="1" ht="12.75"/>
    <row r="52163" s="3161" customFormat="1" ht="12.75"/>
    <row r="52164" s="3161" customFormat="1" ht="12.75"/>
    <row r="52165" s="3161" customFormat="1" ht="12.75"/>
    <row r="52166" s="3161" customFormat="1" ht="12.75"/>
    <row r="52167" s="3161" customFormat="1" ht="12.75"/>
    <row r="52168" s="3161" customFormat="1" ht="12.75"/>
    <row r="52169" s="3161" customFormat="1" ht="12.75"/>
    <row r="52170" s="3161" customFormat="1" ht="12.75"/>
    <row r="52171" s="3161" customFormat="1" ht="12.75"/>
    <row r="52172" s="3161" customFormat="1" ht="12.75"/>
    <row r="52173" s="3161" customFormat="1" ht="12.75"/>
    <row r="52174" s="3161" customFormat="1" ht="12.75"/>
    <row r="52175" s="3161" customFormat="1" ht="12.75"/>
    <row r="52176" s="3161" customFormat="1" ht="12.75"/>
    <row r="52177" s="3161" customFormat="1" ht="12.75"/>
    <row r="52178" s="3161" customFormat="1" ht="12.75"/>
    <row r="52179" s="3161" customFormat="1" ht="12.75"/>
    <row r="52180" s="3161" customFormat="1" ht="12.75"/>
    <row r="52181" s="3161" customFormat="1" ht="12.75"/>
    <row r="52182" s="3161" customFormat="1" ht="12.75"/>
    <row r="52183" s="3161" customFormat="1" ht="12.75"/>
    <row r="52184" s="3161" customFormat="1" ht="12.75"/>
    <row r="52185" s="3161" customFormat="1" ht="12.75"/>
    <row r="52186" s="3161" customFormat="1" ht="12.75"/>
    <row r="52187" s="3161" customFormat="1" ht="12.75"/>
    <row r="52188" s="3161" customFormat="1" ht="12.75"/>
    <row r="52189" s="3161" customFormat="1" ht="12.75"/>
    <row r="52190" s="3161" customFormat="1" ht="12.75"/>
    <row r="52191" s="3161" customFormat="1" ht="12.75"/>
    <row r="52192" s="3161" customFormat="1" ht="12.75"/>
    <row r="52193" s="3161" customFormat="1" ht="12.75"/>
    <row r="52194" s="3161" customFormat="1" ht="12.75"/>
    <row r="52195" s="3161" customFormat="1" ht="12.75"/>
    <row r="52196" s="3161" customFormat="1" ht="12.75"/>
    <row r="52197" s="3161" customFormat="1" ht="12.75"/>
    <row r="52198" s="3161" customFormat="1" ht="12.75"/>
    <row r="52199" s="3161" customFormat="1" ht="12.75"/>
    <row r="52200" s="3161" customFormat="1" ht="12.75"/>
    <row r="52201" s="3161" customFormat="1" ht="12.75"/>
    <row r="52202" s="3161" customFormat="1" ht="12.75"/>
    <row r="52203" s="3161" customFormat="1" ht="12.75"/>
    <row r="52204" s="3161" customFormat="1" ht="12.75"/>
    <row r="52205" s="3161" customFormat="1" ht="12.75"/>
    <row r="52206" s="3161" customFormat="1" ht="12.75"/>
    <row r="52207" s="3161" customFormat="1" ht="12.75"/>
    <row r="52208" s="3161" customFormat="1" ht="12.75"/>
    <row r="52209" s="3161" customFormat="1" ht="12.75"/>
    <row r="52210" s="3161" customFormat="1" ht="12.75"/>
    <row r="52211" s="3161" customFormat="1" ht="12.75"/>
    <row r="52212" s="3161" customFormat="1" ht="12.75"/>
    <row r="52213" s="3161" customFormat="1" ht="12.75"/>
    <row r="52214" s="3161" customFormat="1" ht="12.75"/>
    <row r="52215" s="3161" customFormat="1" ht="12.75"/>
    <row r="52216" s="3161" customFormat="1" ht="12.75"/>
    <row r="52217" s="3161" customFormat="1" ht="12.75"/>
    <row r="52218" s="3161" customFormat="1" ht="12.75"/>
    <row r="52219" s="3161" customFormat="1" ht="12.75"/>
    <row r="52220" s="3161" customFormat="1" ht="12.75"/>
    <row r="52221" s="3161" customFormat="1" ht="12.75"/>
    <row r="52222" s="3161" customFormat="1" ht="12.75"/>
    <row r="52223" s="3161" customFormat="1" ht="12.75"/>
    <row r="52224" s="3161" customFormat="1" ht="12.75"/>
    <row r="52225" s="3161" customFormat="1" ht="12.75"/>
    <row r="52226" s="3161" customFormat="1" ht="12.75"/>
    <row r="52227" s="3161" customFormat="1" ht="12.75"/>
    <row r="52228" s="3161" customFormat="1" ht="12.75"/>
    <row r="52229" s="3161" customFormat="1" ht="12.75"/>
    <row r="52230" s="3161" customFormat="1" ht="12.75"/>
    <row r="52231" s="3161" customFormat="1" ht="12.75"/>
    <row r="52232" s="3161" customFormat="1" ht="12.75"/>
    <row r="52233" s="3161" customFormat="1" ht="12.75"/>
    <row r="52234" s="3161" customFormat="1" ht="12.75"/>
    <row r="52235" s="3161" customFormat="1" ht="12.75"/>
    <row r="52236" s="3161" customFormat="1" ht="12.75"/>
    <row r="52237" s="3161" customFormat="1" ht="12.75"/>
    <row r="52238" s="3161" customFormat="1" ht="12.75"/>
    <row r="52239" s="3161" customFormat="1" ht="12.75"/>
    <row r="52240" s="3161" customFormat="1" ht="12.75"/>
    <row r="52241" s="3161" customFormat="1" ht="12.75"/>
    <row r="52242" s="3161" customFormat="1" ht="12.75"/>
    <row r="52243" s="3161" customFormat="1" ht="12.75"/>
    <row r="52244" s="3161" customFormat="1" ht="12.75"/>
    <row r="52245" s="3161" customFormat="1" ht="12.75"/>
    <row r="52246" s="3161" customFormat="1" ht="12.75"/>
    <row r="52247" s="3161" customFormat="1" ht="12.75"/>
    <row r="52248" s="3161" customFormat="1" ht="12.75"/>
    <row r="52249" s="3161" customFormat="1" ht="12.75"/>
    <row r="52250" s="3161" customFormat="1" ht="12.75"/>
    <row r="52251" s="3161" customFormat="1" ht="12.75"/>
    <row r="52252" s="3161" customFormat="1" ht="12.75"/>
    <row r="52253" s="3161" customFormat="1" ht="12.75"/>
    <row r="52254" s="3161" customFormat="1" ht="12.75"/>
    <row r="52255" s="3161" customFormat="1" ht="12.75"/>
    <row r="52256" s="3161" customFormat="1" ht="12.75"/>
    <row r="52257" s="3161" customFormat="1" ht="12.75"/>
    <row r="52258" s="3161" customFormat="1" ht="12.75"/>
    <row r="52259" s="3161" customFormat="1" ht="12.75"/>
    <row r="52260" s="3161" customFormat="1" ht="12.75"/>
    <row r="52261" s="3161" customFormat="1" ht="12.75"/>
    <row r="52262" s="3161" customFormat="1" ht="12.75"/>
    <row r="52263" s="3161" customFormat="1" ht="12.75"/>
    <row r="52264" s="3161" customFormat="1" ht="12.75"/>
    <row r="52265" s="3161" customFormat="1" ht="12.75"/>
    <row r="52266" s="3161" customFormat="1" ht="12.75"/>
    <row r="52267" s="3161" customFormat="1" ht="12.75"/>
    <row r="52268" s="3161" customFormat="1" ht="12.75"/>
    <row r="52269" s="3161" customFormat="1" ht="12.75"/>
    <row r="52270" s="3161" customFormat="1" ht="12.75"/>
    <row r="52271" s="3161" customFormat="1" ht="12.75"/>
    <row r="52272" s="3161" customFormat="1" ht="12.75"/>
    <row r="52273" s="3161" customFormat="1" ht="12.75"/>
    <row r="52274" s="3161" customFormat="1" ht="12.75"/>
    <row r="52275" s="3161" customFormat="1" ht="12.75"/>
    <row r="52276" s="3161" customFormat="1" ht="12.75"/>
    <row r="52277" s="3161" customFormat="1" ht="12.75"/>
    <row r="52278" s="3161" customFormat="1" ht="12.75"/>
    <row r="52279" s="3161" customFormat="1" ht="12.75"/>
    <row r="52280" s="3161" customFormat="1" ht="12.75"/>
    <row r="52281" s="3161" customFormat="1" ht="12.75"/>
    <row r="52282" s="3161" customFormat="1" ht="12.75"/>
    <row r="52283" s="3161" customFormat="1" ht="12.75"/>
    <row r="52284" s="3161" customFormat="1" ht="12.75"/>
    <row r="52285" s="3161" customFormat="1" ht="12.75"/>
    <row r="52286" s="3161" customFormat="1" ht="12.75"/>
    <row r="52287" s="3161" customFormat="1" ht="12.75"/>
    <row r="52288" s="3161" customFormat="1" ht="12.75"/>
    <row r="52289" s="3161" customFormat="1" ht="12.75"/>
    <row r="52290" s="3161" customFormat="1" ht="12.75"/>
    <row r="52291" s="3161" customFormat="1" ht="12.75"/>
    <row r="52292" s="3161" customFormat="1" ht="12.75"/>
    <row r="52293" s="3161" customFormat="1" ht="12.75"/>
    <row r="52294" s="3161" customFormat="1" ht="12.75"/>
    <row r="52295" s="3161" customFormat="1" ht="12.75"/>
    <row r="52296" s="3161" customFormat="1" ht="12.75"/>
    <row r="52297" s="3161" customFormat="1" ht="12.75"/>
    <row r="52298" s="3161" customFormat="1" ht="12.75"/>
    <row r="52299" s="3161" customFormat="1" ht="12.75"/>
    <row r="52300" s="3161" customFormat="1" ht="12.75"/>
    <row r="52301" s="3161" customFormat="1" ht="12.75"/>
    <row r="52302" s="3161" customFormat="1" ht="12.75"/>
    <row r="52303" s="3161" customFormat="1" ht="12.75"/>
    <row r="52304" s="3161" customFormat="1" ht="12.75"/>
    <row r="52305" s="3161" customFormat="1" ht="12.75"/>
    <row r="52306" s="3161" customFormat="1" ht="12.75"/>
    <row r="52307" s="3161" customFormat="1" ht="12.75"/>
    <row r="52308" s="3161" customFormat="1" ht="12.75"/>
    <row r="52309" s="3161" customFormat="1" ht="12.75"/>
    <row r="52310" s="3161" customFormat="1" ht="12.75"/>
    <row r="52311" s="3161" customFormat="1" ht="12.75"/>
    <row r="52312" s="3161" customFormat="1" ht="12.75"/>
    <row r="52313" s="3161" customFormat="1" ht="12.75"/>
    <row r="52314" s="3161" customFormat="1" ht="12.75"/>
    <row r="52315" s="3161" customFormat="1" ht="12.75"/>
    <row r="52316" s="3161" customFormat="1" ht="12.75"/>
    <row r="52317" s="3161" customFormat="1" ht="12.75"/>
    <row r="52318" s="3161" customFormat="1" ht="12.75"/>
    <row r="52319" s="3161" customFormat="1" ht="12.75"/>
    <row r="52320" s="3161" customFormat="1" ht="12.75"/>
    <row r="52321" s="3161" customFormat="1" ht="12.75"/>
    <row r="52322" s="3161" customFormat="1" ht="12.75"/>
    <row r="52323" s="3161" customFormat="1" ht="12.75"/>
    <row r="52324" s="3161" customFormat="1" ht="12.75"/>
    <row r="52325" s="3161" customFormat="1" ht="12.75"/>
    <row r="52326" s="3161" customFormat="1" ht="12.75"/>
    <row r="52327" s="3161" customFormat="1" ht="12.75"/>
    <row r="52328" s="3161" customFormat="1" ht="12.75"/>
    <row r="52329" s="3161" customFormat="1" ht="12.75"/>
    <row r="52330" s="3161" customFormat="1" ht="12.75"/>
    <row r="52331" s="3161" customFormat="1" ht="12.75"/>
    <row r="52332" s="3161" customFormat="1" ht="12.75"/>
    <row r="52333" s="3161" customFormat="1" ht="12.75"/>
    <row r="52334" s="3161" customFormat="1" ht="12.75"/>
    <row r="52335" s="3161" customFormat="1" ht="12.75"/>
    <row r="52336" s="3161" customFormat="1" ht="12.75"/>
    <row r="52337" s="3161" customFormat="1" ht="12.75"/>
    <row r="52338" s="3161" customFormat="1" ht="12.75"/>
    <row r="52339" s="3161" customFormat="1" ht="12.75"/>
    <row r="52340" s="3161" customFormat="1" ht="12.75"/>
    <row r="52341" s="3161" customFormat="1" ht="12.75"/>
    <row r="52342" s="3161" customFormat="1" ht="12.75"/>
    <row r="52343" s="3161" customFormat="1" ht="12.75"/>
    <row r="52344" s="3161" customFormat="1" ht="12.75"/>
    <row r="52345" s="3161" customFormat="1" ht="12.75"/>
    <row r="52346" s="3161" customFormat="1" ht="12.75"/>
    <row r="52347" s="3161" customFormat="1" ht="12.75"/>
    <row r="52348" s="3161" customFormat="1" ht="12.75"/>
    <row r="52349" s="3161" customFormat="1" ht="12.75"/>
    <row r="52350" s="3161" customFormat="1" ht="12.75"/>
    <row r="52351" s="3161" customFormat="1" ht="12.75"/>
    <row r="52352" s="3161" customFormat="1" ht="12.75"/>
    <row r="52353" s="3161" customFormat="1" ht="12.75"/>
    <row r="52354" s="3161" customFormat="1" ht="12.75"/>
    <row r="52355" s="3161" customFormat="1" ht="12.75"/>
    <row r="52356" s="3161" customFormat="1" ht="12.75"/>
    <row r="52357" s="3161" customFormat="1" ht="12.75"/>
    <row r="52358" s="3161" customFormat="1" ht="12.75"/>
    <row r="52359" s="3161" customFormat="1" ht="12.75"/>
    <row r="52360" s="3161" customFormat="1" ht="12.75"/>
    <row r="52361" s="3161" customFormat="1" ht="12.75"/>
    <row r="52362" s="3161" customFormat="1" ht="12.75"/>
    <row r="52363" s="3161" customFormat="1" ht="12.75"/>
    <row r="52364" s="3161" customFormat="1" ht="12.75"/>
    <row r="52365" s="3161" customFormat="1" ht="12.75"/>
    <row r="52366" s="3161" customFormat="1" ht="12.75"/>
    <row r="52367" s="3161" customFormat="1" ht="12.75"/>
    <row r="52368" s="3161" customFormat="1" ht="12.75"/>
    <row r="52369" s="3161" customFormat="1" ht="12.75"/>
    <row r="52370" s="3161" customFormat="1" ht="12.75"/>
    <row r="52371" s="3161" customFormat="1" ht="12.75"/>
    <row r="52372" s="3161" customFormat="1" ht="12.75"/>
    <row r="52373" s="3161" customFormat="1" ht="12.75"/>
    <row r="52374" s="3161" customFormat="1" ht="12.75"/>
    <row r="52375" s="3161" customFormat="1" ht="12.75"/>
    <row r="52376" s="3161" customFormat="1" ht="12.75"/>
    <row r="52377" s="3161" customFormat="1" ht="12.75"/>
    <row r="52378" s="3161" customFormat="1" ht="12.75"/>
    <row r="52379" s="3161" customFormat="1" ht="12.75"/>
    <row r="52380" s="3161" customFormat="1" ht="12.75"/>
    <row r="52381" s="3161" customFormat="1" ht="12.75"/>
    <row r="52382" s="3161" customFormat="1" ht="12.75"/>
    <row r="52383" s="3161" customFormat="1" ht="12.75"/>
    <row r="52384" s="3161" customFormat="1" ht="12.75"/>
    <row r="52385" s="3161" customFormat="1" ht="12.75"/>
    <row r="52386" s="3161" customFormat="1" ht="12.75"/>
    <row r="52387" s="3161" customFormat="1" ht="12.75"/>
    <row r="52388" s="3161" customFormat="1" ht="12.75"/>
    <row r="52389" s="3161" customFormat="1" ht="12.75"/>
    <row r="52390" s="3161" customFormat="1" ht="12.75"/>
    <row r="52391" s="3161" customFormat="1" ht="12.75"/>
    <row r="52392" s="3161" customFormat="1" ht="12.75"/>
    <row r="52393" s="3161" customFormat="1" ht="12.75"/>
    <row r="52394" s="3161" customFormat="1" ht="12.75"/>
    <row r="52395" s="3161" customFormat="1" ht="12.75"/>
    <row r="52396" s="3161" customFormat="1" ht="12.75"/>
    <row r="52397" s="3161" customFormat="1" ht="12.75"/>
    <row r="52398" s="3161" customFormat="1" ht="12.75"/>
    <row r="52399" s="3161" customFormat="1" ht="12.75"/>
    <row r="52400" s="3161" customFormat="1" ht="12.75"/>
    <row r="52401" s="3161" customFormat="1" ht="12.75"/>
    <row r="52402" s="3161" customFormat="1" ht="12.75"/>
    <row r="52403" s="3161" customFormat="1" ht="12.75"/>
    <row r="52404" s="3161" customFormat="1" ht="12.75"/>
    <row r="52405" s="3161" customFormat="1" ht="12.75"/>
    <row r="52406" s="3161" customFormat="1" ht="12.75"/>
    <row r="52407" s="3161" customFormat="1" ht="12.75"/>
    <row r="52408" s="3161" customFormat="1" ht="12.75"/>
    <row r="52409" s="3161" customFormat="1" ht="12.75"/>
    <row r="52410" s="3161" customFormat="1" ht="12.75"/>
    <row r="52411" s="3161" customFormat="1" ht="12.75"/>
    <row r="52412" s="3161" customFormat="1" ht="12.75"/>
    <row r="52413" s="3161" customFormat="1" ht="12.75"/>
    <row r="52414" s="3161" customFormat="1" ht="12.75"/>
    <row r="52415" s="3161" customFormat="1" ht="12.75"/>
    <row r="52416" s="3161" customFormat="1" ht="12.75"/>
    <row r="52417" s="3161" customFormat="1" ht="12.75"/>
    <row r="52418" s="3161" customFormat="1" ht="12.75"/>
    <row r="52419" s="3161" customFormat="1" ht="12.75"/>
    <row r="52420" s="3161" customFormat="1" ht="12.75"/>
    <row r="52421" s="3161" customFormat="1" ht="12.75"/>
    <row r="52422" s="3161" customFormat="1" ht="12.75"/>
    <row r="52423" s="3161" customFormat="1" ht="12.75"/>
    <row r="52424" s="3161" customFormat="1" ht="12.75"/>
    <row r="52425" s="3161" customFormat="1" ht="12.75"/>
    <row r="52426" s="3161" customFormat="1" ht="12.75"/>
    <row r="52427" s="3161" customFormat="1" ht="12.75"/>
    <row r="52428" s="3161" customFormat="1" ht="12.75"/>
    <row r="52429" s="3161" customFormat="1" ht="12.75"/>
    <row r="52430" s="3161" customFormat="1" ht="12.75"/>
    <row r="52431" s="3161" customFormat="1" ht="12.75"/>
    <row r="52432" s="3161" customFormat="1" ht="12.75"/>
    <row r="52433" s="3161" customFormat="1" ht="12.75"/>
    <row r="52434" s="3161" customFormat="1" ht="12.75"/>
    <row r="52435" s="3161" customFormat="1" ht="12.75"/>
    <row r="52436" s="3161" customFormat="1" ht="12.75"/>
    <row r="52437" s="3161" customFormat="1" ht="12.75"/>
    <row r="52438" s="3161" customFormat="1" ht="12.75"/>
    <row r="52439" s="3161" customFormat="1" ht="12.75"/>
    <row r="52440" s="3161" customFormat="1" ht="12.75"/>
    <row r="52441" s="3161" customFormat="1" ht="12.75"/>
    <row r="52442" s="3161" customFormat="1" ht="12.75"/>
    <row r="52443" s="3161" customFormat="1" ht="12.75"/>
    <row r="52444" s="3161" customFormat="1" ht="12.75"/>
    <row r="52445" s="3161" customFormat="1" ht="12.75"/>
    <row r="52446" s="3161" customFormat="1" ht="12.75"/>
    <row r="52447" s="3161" customFormat="1" ht="12.75"/>
    <row r="52448" s="3161" customFormat="1" ht="12.75"/>
    <row r="52449" s="3161" customFormat="1" ht="12.75"/>
    <row r="52450" s="3161" customFormat="1" ht="12.75"/>
    <row r="52451" s="3161" customFormat="1" ht="12.75"/>
    <row r="52452" s="3161" customFormat="1" ht="12.75"/>
    <row r="52453" s="3161" customFormat="1" ht="12.75"/>
    <row r="52454" s="3161" customFormat="1" ht="12.75"/>
    <row r="52455" s="3161" customFormat="1" ht="12.75"/>
    <row r="52456" s="3161" customFormat="1" ht="12.75"/>
    <row r="52457" s="3161" customFormat="1" ht="12.75"/>
    <row r="52458" s="3161" customFormat="1" ht="12.75"/>
    <row r="52459" s="3161" customFormat="1" ht="12.75"/>
    <row r="52460" s="3161" customFormat="1" ht="12.75"/>
    <row r="52461" s="3161" customFormat="1" ht="12.75"/>
    <row r="52462" s="3161" customFormat="1" ht="12.75"/>
    <row r="52463" s="3161" customFormat="1" ht="12.75"/>
    <row r="52464" s="3161" customFormat="1" ht="12.75"/>
    <row r="52465" s="3161" customFormat="1" ht="12.75"/>
    <row r="52466" s="3161" customFormat="1" ht="12.75"/>
    <row r="52467" s="3161" customFormat="1" ht="12.75"/>
    <row r="52468" s="3161" customFormat="1" ht="12.75"/>
    <row r="52469" s="3161" customFormat="1" ht="12.75"/>
    <row r="52470" s="3161" customFormat="1" ht="12.75"/>
    <row r="52471" s="3161" customFormat="1" ht="12.75"/>
    <row r="52472" s="3161" customFormat="1" ht="12.75"/>
    <row r="52473" s="3161" customFormat="1" ht="12.75"/>
    <row r="52474" s="3161" customFormat="1" ht="12.75"/>
    <row r="52475" s="3161" customFormat="1" ht="12.75"/>
    <row r="52476" s="3161" customFormat="1" ht="12.75"/>
    <row r="52477" s="3161" customFormat="1" ht="12.75"/>
    <row r="52478" s="3161" customFormat="1" ht="12.75"/>
    <row r="52479" s="3161" customFormat="1" ht="12.75"/>
    <row r="52480" s="3161" customFormat="1" ht="12.75"/>
    <row r="52481" s="3161" customFormat="1" ht="12.75"/>
    <row r="52482" s="3161" customFormat="1" ht="12.75"/>
    <row r="52483" s="3161" customFormat="1" ht="12.75"/>
    <row r="52484" s="3161" customFormat="1" ht="12.75"/>
    <row r="52485" s="3161" customFormat="1" ht="12.75"/>
    <row r="52486" s="3161" customFormat="1" ht="12.75"/>
    <row r="52487" s="3161" customFormat="1" ht="12.75"/>
    <row r="52488" s="3161" customFormat="1" ht="12.75"/>
    <row r="52489" s="3161" customFormat="1" ht="12.75"/>
    <row r="52490" s="3161" customFormat="1" ht="12.75"/>
    <row r="52491" s="3161" customFormat="1" ht="12.75"/>
    <row r="52492" s="3161" customFormat="1" ht="12.75"/>
    <row r="52493" s="3161" customFormat="1" ht="12.75"/>
    <row r="52494" s="3161" customFormat="1" ht="12.75"/>
    <row r="52495" s="3161" customFormat="1" ht="12.75"/>
    <row r="52496" s="3161" customFormat="1" ht="12.75"/>
    <row r="52497" s="3161" customFormat="1" ht="12.75"/>
    <row r="52498" s="3161" customFormat="1" ht="12.75"/>
    <row r="52499" s="3161" customFormat="1" ht="12.75"/>
    <row r="52500" s="3161" customFormat="1" ht="12.75"/>
    <row r="52501" s="3161" customFormat="1" ht="12.75"/>
    <row r="52502" s="3161" customFormat="1" ht="12.75"/>
    <row r="52503" s="3161" customFormat="1" ht="12.75"/>
    <row r="52504" s="3161" customFormat="1" ht="12.75"/>
    <row r="52505" s="3161" customFormat="1" ht="12.75"/>
    <row r="52506" s="3161" customFormat="1" ht="12.75"/>
    <row r="52507" s="3161" customFormat="1" ht="12.75"/>
    <row r="52508" s="3161" customFormat="1" ht="12.75"/>
    <row r="52509" s="3161" customFormat="1" ht="12.75"/>
    <row r="52510" s="3161" customFormat="1" ht="12.75"/>
    <row r="52511" s="3161" customFormat="1" ht="12.75"/>
    <row r="52512" s="3161" customFormat="1" ht="12.75"/>
    <row r="52513" s="3161" customFormat="1" ht="12.75"/>
    <row r="52514" s="3161" customFormat="1" ht="12.75"/>
    <row r="52515" s="3161" customFormat="1" ht="12.75"/>
    <row r="52516" s="3161" customFormat="1" ht="12.75"/>
    <row r="52517" s="3161" customFormat="1" ht="12.75"/>
    <row r="52518" s="3161" customFormat="1" ht="12.75"/>
    <row r="52519" s="3161" customFormat="1" ht="12.75"/>
    <row r="52520" s="3161" customFormat="1" ht="12.75"/>
    <row r="52521" s="3161" customFormat="1" ht="12.75"/>
    <row r="52522" s="3161" customFormat="1" ht="12.75"/>
    <row r="52523" s="3161" customFormat="1" ht="12.75"/>
    <row r="52524" s="3161" customFormat="1" ht="12.75"/>
    <row r="52525" s="3161" customFormat="1" ht="12.75"/>
    <row r="52526" s="3161" customFormat="1" ht="12.75"/>
    <row r="52527" s="3161" customFormat="1" ht="12.75"/>
    <row r="52528" s="3161" customFormat="1" ht="12.75"/>
    <row r="52529" s="3161" customFormat="1" ht="12.75"/>
    <row r="52530" s="3161" customFormat="1" ht="12.75"/>
    <row r="52531" s="3161" customFormat="1" ht="12.75"/>
    <row r="52532" s="3161" customFormat="1" ht="12.75"/>
    <row r="52533" s="3161" customFormat="1" ht="12.75"/>
    <row r="52534" s="3161" customFormat="1" ht="12.75"/>
    <row r="52535" s="3161" customFormat="1" ht="12.75"/>
    <row r="52536" s="3161" customFormat="1" ht="12.75"/>
    <row r="52537" s="3161" customFormat="1" ht="12.75"/>
    <row r="52538" s="3161" customFormat="1" ht="12.75"/>
    <row r="52539" s="3161" customFormat="1" ht="12.75"/>
    <row r="52540" s="3161" customFormat="1" ht="12.75"/>
    <row r="52541" s="3161" customFormat="1" ht="12.75"/>
    <row r="52542" s="3161" customFormat="1" ht="12.75"/>
    <row r="52543" s="3161" customFormat="1" ht="12.75"/>
    <row r="52544" s="3161" customFormat="1" ht="12.75"/>
    <row r="52545" s="3161" customFormat="1" ht="12.75"/>
    <row r="52546" s="3161" customFormat="1" ht="12.75"/>
    <row r="52547" s="3161" customFormat="1" ht="12.75"/>
    <row r="52548" s="3161" customFormat="1" ht="12.75"/>
    <row r="52549" s="3161" customFormat="1" ht="12.75"/>
    <row r="52550" s="3161" customFormat="1" ht="12.75"/>
    <row r="52551" s="3161" customFormat="1" ht="12.75"/>
    <row r="52552" s="3161" customFormat="1" ht="12.75"/>
    <row r="52553" s="3161" customFormat="1" ht="12.75"/>
    <row r="52554" s="3161" customFormat="1" ht="12.75"/>
    <row r="52555" s="3161" customFormat="1" ht="12.75"/>
    <row r="52556" s="3161" customFormat="1" ht="12.75"/>
    <row r="52557" s="3161" customFormat="1" ht="12.75"/>
    <row r="52558" s="3161" customFormat="1" ht="12.75"/>
    <row r="52559" s="3161" customFormat="1" ht="12.75"/>
    <row r="52560" s="3161" customFormat="1" ht="12.75"/>
    <row r="52561" s="3161" customFormat="1" ht="12.75"/>
    <row r="52562" s="3161" customFormat="1" ht="12.75"/>
    <row r="52563" s="3161" customFormat="1" ht="12.75"/>
    <row r="52564" s="3161" customFormat="1" ht="12.75"/>
    <row r="52565" s="3161" customFormat="1" ht="12.75"/>
    <row r="52566" s="3161" customFormat="1" ht="12.75"/>
    <row r="52567" s="3161" customFormat="1" ht="12.75"/>
    <row r="52568" s="3161" customFormat="1" ht="12.75"/>
    <row r="52569" s="3161" customFormat="1" ht="12.75"/>
    <row r="52570" s="3161" customFormat="1" ht="12.75"/>
    <row r="52571" s="3161" customFormat="1" ht="12.75"/>
    <row r="52572" s="3161" customFormat="1" ht="12.75"/>
    <row r="52573" s="3161" customFormat="1" ht="12.75"/>
    <row r="52574" s="3161" customFormat="1" ht="12.75"/>
    <row r="52575" s="3161" customFormat="1" ht="12.75"/>
    <row r="52576" s="3161" customFormat="1" ht="12.75"/>
    <row r="52577" s="3161" customFormat="1" ht="12.75"/>
    <row r="52578" s="3161" customFormat="1" ht="12.75"/>
    <row r="52579" s="3161" customFormat="1" ht="12.75"/>
    <row r="52580" s="3161" customFormat="1" ht="12.75"/>
    <row r="52581" s="3161" customFormat="1" ht="12.75"/>
    <row r="52582" s="3161" customFormat="1" ht="12.75"/>
    <row r="52583" s="3161" customFormat="1" ht="12.75"/>
    <row r="52584" s="3161" customFormat="1" ht="12.75"/>
    <row r="52585" s="3161" customFormat="1" ht="12.75"/>
    <row r="52586" s="3161" customFormat="1" ht="12.75"/>
    <row r="52587" s="3161" customFormat="1" ht="12.75"/>
    <row r="52588" s="3161" customFormat="1" ht="12.75"/>
    <row r="52589" s="3161" customFormat="1" ht="12.75"/>
    <row r="52590" s="3161" customFormat="1" ht="12.75"/>
    <row r="52591" s="3161" customFormat="1" ht="12.75"/>
    <row r="52592" s="3161" customFormat="1" ht="12.75"/>
    <row r="52593" s="3161" customFormat="1" ht="12.75"/>
    <row r="52594" s="3161" customFormat="1" ht="12.75"/>
    <row r="52595" s="3161" customFormat="1" ht="12.75"/>
    <row r="52596" s="3161" customFormat="1" ht="12.75"/>
    <row r="52597" s="3161" customFormat="1" ht="12.75"/>
    <row r="52598" s="3161" customFormat="1" ht="12.75"/>
    <row r="52599" s="3161" customFormat="1" ht="12.75"/>
    <row r="52600" s="3161" customFormat="1" ht="12.75"/>
    <row r="52601" s="3161" customFormat="1" ht="12.75"/>
    <row r="52602" s="3161" customFormat="1" ht="12.75"/>
    <row r="52603" s="3161" customFormat="1" ht="12.75"/>
    <row r="52604" s="3161" customFormat="1" ht="12.75"/>
    <row r="52605" s="3161" customFormat="1" ht="12.75"/>
    <row r="52606" s="3161" customFormat="1" ht="12.75"/>
    <row r="52607" s="3161" customFormat="1" ht="12.75"/>
    <row r="52608" s="3161" customFormat="1" ht="12.75"/>
    <row r="52609" s="3161" customFormat="1" ht="12.75"/>
    <row r="52610" s="3161" customFormat="1" ht="12.75"/>
    <row r="52611" s="3161" customFormat="1" ht="12.75"/>
    <row r="52612" s="3161" customFormat="1" ht="12.75"/>
    <row r="52613" s="3161" customFormat="1" ht="12.75"/>
    <row r="52614" s="3161" customFormat="1" ht="12.75"/>
    <row r="52615" s="3161" customFormat="1" ht="12.75"/>
    <row r="52616" s="3161" customFormat="1" ht="12.75"/>
    <row r="52617" s="3161" customFormat="1" ht="12.75"/>
    <row r="52618" s="3161" customFormat="1" ht="12.75"/>
    <row r="52619" s="3161" customFormat="1" ht="12.75"/>
    <row r="52620" s="3161" customFormat="1" ht="12.75"/>
    <row r="52621" s="3161" customFormat="1" ht="12.75"/>
    <row r="52622" s="3161" customFormat="1" ht="12.75"/>
    <row r="52623" s="3161" customFormat="1" ht="12.75"/>
    <row r="52624" s="3161" customFormat="1" ht="12.75"/>
    <row r="52625" s="3161" customFormat="1" ht="12.75"/>
    <row r="52626" s="3161" customFormat="1" ht="12.75"/>
    <row r="52627" s="3161" customFormat="1" ht="12.75"/>
    <row r="52628" s="3161" customFormat="1" ht="12.75"/>
    <row r="52629" s="3161" customFormat="1" ht="12.75"/>
    <row r="52630" s="3161" customFormat="1" ht="12.75"/>
    <row r="52631" s="3161" customFormat="1" ht="12.75"/>
    <row r="52632" s="3161" customFormat="1" ht="12.75"/>
    <row r="52633" s="3161" customFormat="1" ht="12.75"/>
    <row r="52634" s="3161" customFormat="1" ht="12.75"/>
    <row r="52635" s="3161" customFormat="1" ht="12.75"/>
    <row r="52636" s="3161" customFormat="1" ht="12.75"/>
    <row r="52637" s="3161" customFormat="1" ht="12.75"/>
    <row r="52638" s="3161" customFormat="1" ht="12.75"/>
    <row r="52639" s="3161" customFormat="1" ht="12.75"/>
    <row r="52640" s="3161" customFormat="1" ht="12.75"/>
    <row r="52641" s="3161" customFormat="1" ht="12.75"/>
    <row r="52642" s="3161" customFormat="1" ht="12.75"/>
    <row r="52643" s="3161" customFormat="1" ht="12.75"/>
    <row r="52644" s="3161" customFormat="1" ht="12.75"/>
    <row r="52645" s="3161" customFormat="1" ht="12.75"/>
    <row r="52646" s="3161" customFormat="1" ht="12.75"/>
    <row r="52647" s="3161" customFormat="1" ht="12.75"/>
    <row r="52648" s="3161" customFormat="1" ht="12.75"/>
    <row r="52649" s="3161" customFormat="1" ht="12.75"/>
    <row r="52650" s="3161" customFormat="1" ht="12.75"/>
    <row r="52651" s="3161" customFormat="1" ht="12.75"/>
    <row r="52652" s="3161" customFormat="1" ht="12.75"/>
    <row r="52653" s="3161" customFormat="1" ht="12.75"/>
    <row r="52654" s="3161" customFormat="1" ht="12.75"/>
    <row r="52655" s="3161" customFormat="1" ht="12.75"/>
    <row r="52656" s="3161" customFormat="1" ht="12.75"/>
    <row r="52657" s="3161" customFormat="1" ht="12.75"/>
    <row r="52658" s="3161" customFormat="1" ht="12.75"/>
    <row r="52659" s="3161" customFormat="1" ht="12.75"/>
    <row r="52660" s="3161" customFormat="1" ht="12.75"/>
    <row r="52661" s="3161" customFormat="1" ht="12.75"/>
    <row r="52662" s="3161" customFormat="1" ht="12.75"/>
    <row r="52663" s="3161" customFormat="1" ht="12.75"/>
    <row r="52664" s="3161" customFormat="1" ht="12.75"/>
    <row r="52665" s="3161" customFormat="1" ht="12.75"/>
    <row r="52666" s="3161" customFormat="1" ht="12.75"/>
    <row r="52667" s="3161" customFormat="1" ht="12.75"/>
    <row r="52668" s="3161" customFormat="1" ht="12.75"/>
    <row r="52669" s="3161" customFormat="1" ht="12.75"/>
    <row r="52670" s="3161" customFormat="1" ht="12.75"/>
    <row r="52671" s="3161" customFormat="1" ht="12.75"/>
    <row r="52672" s="3161" customFormat="1" ht="12.75"/>
    <row r="52673" s="3161" customFormat="1" ht="12.75"/>
    <row r="52674" s="3161" customFormat="1" ht="12.75"/>
    <row r="52675" s="3161" customFormat="1" ht="12.75"/>
    <row r="52676" s="3161" customFormat="1" ht="12.75"/>
    <row r="52677" s="3161" customFormat="1" ht="12.75"/>
    <row r="52678" s="3161" customFormat="1" ht="12.75"/>
    <row r="52679" s="3161" customFormat="1" ht="12.75"/>
    <row r="52680" s="3161" customFormat="1" ht="12.75"/>
    <row r="52681" s="3161" customFormat="1" ht="12.75"/>
    <row r="52682" s="3161" customFormat="1" ht="12.75"/>
    <row r="52683" s="3161" customFormat="1" ht="12.75"/>
    <row r="52684" s="3161" customFormat="1" ht="12.75"/>
    <row r="52685" s="3161" customFormat="1" ht="12.75"/>
    <row r="52686" s="3161" customFormat="1" ht="12.75"/>
    <row r="52687" s="3161" customFormat="1" ht="12.75"/>
    <row r="52688" s="3161" customFormat="1" ht="12.75"/>
    <row r="52689" s="3161" customFormat="1" ht="12.75"/>
    <row r="52690" s="3161" customFormat="1" ht="12.75"/>
    <row r="52691" s="3161" customFormat="1" ht="12.75"/>
    <row r="52692" s="3161" customFormat="1" ht="12.75"/>
    <row r="52693" s="3161" customFormat="1" ht="12.75"/>
    <row r="52694" s="3161" customFormat="1" ht="12.75"/>
    <row r="52695" s="3161" customFormat="1" ht="12.75"/>
    <row r="52696" s="3161" customFormat="1" ht="12.75"/>
    <row r="52697" s="3161" customFormat="1" ht="12.75"/>
    <row r="52698" s="3161" customFormat="1" ht="12.75"/>
    <row r="52699" s="3161" customFormat="1" ht="12.75"/>
    <row r="52700" s="3161" customFormat="1" ht="12.75"/>
    <row r="52701" s="3161" customFormat="1" ht="12.75"/>
    <row r="52702" s="3161" customFormat="1" ht="12.75"/>
    <row r="52703" s="3161" customFormat="1" ht="12.75"/>
    <row r="52704" s="3161" customFormat="1" ht="12.75"/>
    <row r="52705" s="3161" customFormat="1" ht="12.75"/>
    <row r="52706" s="3161" customFormat="1" ht="12.75"/>
    <row r="52707" s="3161" customFormat="1" ht="12.75"/>
    <row r="52708" s="3161" customFormat="1" ht="12.75"/>
    <row r="52709" s="3161" customFormat="1" ht="12.75"/>
    <row r="52710" s="3161" customFormat="1" ht="12.75"/>
    <row r="52711" s="3161" customFormat="1" ht="12.75"/>
    <row r="52712" s="3161" customFormat="1" ht="12.75"/>
    <row r="52713" s="3161" customFormat="1" ht="12.75"/>
    <row r="52714" s="3161" customFormat="1" ht="12.75"/>
    <row r="52715" s="3161" customFormat="1" ht="12.75"/>
    <row r="52716" s="3161" customFormat="1" ht="12.75"/>
    <row r="52717" s="3161" customFormat="1" ht="12.75"/>
    <row r="52718" s="3161" customFormat="1" ht="12.75"/>
    <row r="52719" s="3161" customFormat="1" ht="12.75"/>
    <row r="52720" s="3161" customFormat="1" ht="12.75"/>
    <row r="52721" s="3161" customFormat="1" ht="12.75"/>
    <row r="52722" s="3161" customFormat="1" ht="12.75"/>
    <row r="52723" s="3161" customFormat="1" ht="12.75"/>
    <row r="52724" s="3161" customFormat="1" ht="12.75"/>
    <row r="52725" s="3161" customFormat="1" ht="12.75"/>
    <row r="52726" s="3161" customFormat="1" ht="12.75"/>
    <row r="52727" s="3161" customFormat="1" ht="12.75"/>
    <row r="52728" s="3161" customFormat="1" ht="12.75"/>
    <row r="52729" s="3161" customFormat="1" ht="12.75"/>
    <row r="52730" s="3161" customFormat="1" ht="12.75"/>
    <row r="52731" s="3161" customFormat="1" ht="12.75"/>
    <row r="52732" s="3161" customFormat="1" ht="12.75"/>
    <row r="52733" s="3161" customFormat="1" ht="12.75"/>
    <row r="52734" s="3161" customFormat="1" ht="12.75"/>
    <row r="52735" s="3161" customFormat="1" ht="12.75"/>
    <row r="52736" s="3161" customFormat="1" ht="12.75"/>
    <row r="52737" s="3161" customFormat="1" ht="12.75"/>
    <row r="52738" s="3161" customFormat="1" ht="12.75"/>
    <row r="52739" s="3161" customFormat="1" ht="12.75"/>
    <row r="52740" s="3161" customFormat="1" ht="12.75"/>
    <row r="52741" s="3161" customFormat="1" ht="12.75"/>
    <row r="52742" s="3161" customFormat="1" ht="12.75"/>
    <row r="52743" s="3161" customFormat="1" ht="12.75"/>
    <row r="52744" s="3161" customFormat="1" ht="12.75"/>
    <row r="52745" s="3161" customFormat="1" ht="12.75"/>
    <row r="52746" s="3161" customFormat="1" ht="12.75"/>
    <row r="52747" s="3161" customFormat="1" ht="12.75"/>
    <row r="52748" s="3161" customFormat="1" ht="12.75"/>
    <row r="52749" s="3161" customFormat="1" ht="12.75"/>
    <row r="52750" s="3161" customFormat="1" ht="12.75"/>
    <row r="52751" s="3161" customFormat="1" ht="12.75"/>
    <row r="52752" s="3161" customFormat="1" ht="12.75"/>
    <row r="52753" s="3161" customFormat="1" ht="12.75"/>
    <row r="52754" s="3161" customFormat="1" ht="12.75"/>
    <row r="52755" s="3161" customFormat="1" ht="12.75"/>
    <row r="52756" s="3161" customFormat="1" ht="12.75"/>
    <row r="52757" s="3161" customFormat="1" ht="12.75"/>
    <row r="52758" s="3161" customFormat="1" ht="12.75"/>
    <row r="52759" s="3161" customFormat="1" ht="12.75"/>
    <row r="52760" s="3161" customFormat="1" ht="12.75"/>
    <row r="52761" s="3161" customFormat="1" ht="12.75"/>
    <row r="52762" s="3161" customFormat="1" ht="12.75"/>
    <row r="52763" s="3161" customFormat="1" ht="12.75"/>
    <row r="52764" s="3161" customFormat="1" ht="12.75"/>
    <row r="52765" s="3161" customFormat="1" ht="12.75"/>
    <row r="52766" s="3161" customFormat="1" ht="12.75"/>
    <row r="52767" s="3161" customFormat="1" ht="12.75"/>
    <row r="52768" s="3161" customFormat="1" ht="12.75"/>
    <row r="52769" s="3161" customFormat="1" ht="12.75"/>
    <row r="52770" s="3161" customFormat="1" ht="12.75"/>
    <row r="52771" s="3161" customFormat="1" ht="12.75"/>
    <row r="52772" s="3161" customFormat="1" ht="12.75"/>
    <row r="52773" s="3161" customFormat="1" ht="12.75"/>
    <row r="52774" s="3161" customFormat="1" ht="12.75"/>
    <row r="52775" s="3161" customFormat="1" ht="12.75"/>
    <row r="52776" s="3161" customFormat="1" ht="12.75"/>
    <row r="52777" s="3161" customFormat="1" ht="12.75"/>
    <row r="52778" s="3161" customFormat="1" ht="12.75"/>
    <row r="52779" s="3161" customFormat="1" ht="12.75"/>
    <row r="52780" s="3161" customFormat="1" ht="12.75"/>
    <row r="52781" s="3161" customFormat="1" ht="12.75"/>
    <row r="52782" s="3161" customFormat="1" ht="12.75"/>
    <row r="52783" s="3161" customFormat="1" ht="12.75"/>
    <row r="52784" s="3161" customFormat="1" ht="12.75"/>
    <row r="52785" s="3161" customFormat="1" ht="12.75"/>
    <row r="52786" s="3161" customFormat="1" ht="12.75"/>
    <row r="52787" s="3161" customFormat="1" ht="12.75"/>
    <row r="52788" s="3161" customFormat="1" ht="12.75"/>
    <row r="52789" s="3161" customFormat="1" ht="12.75"/>
    <row r="52790" s="3161" customFormat="1" ht="12.75"/>
    <row r="52791" s="3161" customFormat="1" ht="12.75"/>
    <row r="52792" s="3161" customFormat="1" ht="12.75"/>
    <row r="52793" s="3161" customFormat="1" ht="12.75"/>
    <row r="52794" s="3161" customFormat="1" ht="12.75"/>
    <row r="52795" s="3161" customFormat="1" ht="12.75"/>
    <row r="52796" s="3161" customFormat="1" ht="12.75"/>
    <row r="52797" s="3161" customFormat="1" ht="12.75"/>
    <row r="52798" s="3161" customFormat="1" ht="12.75"/>
    <row r="52799" s="3161" customFormat="1" ht="12.75"/>
    <row r="52800" s="3161" customFormat="1" ht="12.75"/>
    <row r="52801" s="3161" customFormat="1" ht="12.75"/>
    <row r="52802" s="3161" customFormat="1" ht="12.75"/>
    <row r="52803" s="3161" customFormat="1" ht="12.75"/>
    <row r="52804" s="3161" customFormat="1" ht="12.75"/>
    <row r="52805" s="3161" customFormat="1" ht="12.75"/>
    <row r="52806" s="3161" customFormat="1" ht="12.75"/>
    <row r="52807" s="3161" customFormat="1" ht="12.75"/>
    <row r="52808" s="3161" customFormat="1" ht="12.75"/>
    <row r="52809" s="3161" customFormat="1" ht="12.75"/>
    <row r="52810" s="3161" customFormat="1" ht="12.75"/>
    <row r="52811" s="3161" customFormat="1" ht="12.75"/>
    <row r="52812" s="3161" customFormat="1" ht="12.75"/>
    <row r="52813" s="3161" customFormat="1" ht="12.75"/>
    <row r="52814" s="3161" customFormat="1" ht="12.75"/>
    <row r="52815" s="3161" customFormat="1" ht="12.75"/>
    <row r="52816" s="3161" customFormat="1" ht="12.75"/>
    <row r="52817" s="3161" customFormat="1" ht="12.75"/>
    <row r="52818" s="3161" customFormat="1" ht="12.75"/>
    <row r="52819" s="3161" customFormat="1" ht="12.75"/>
    <row r="52820" s="3161" customFormat="1" ht="12.75"/>
    <row r="52821" s="3161" customFormat="1" ht="12.75"/>
    <row r="52822" s="3161" customFormat="1" ht="12.75"/>
    <row r="52823" s="3161" customFormat="1" ht="12.75"/>
    <row r="52824" s="3161" customFormat="1" ht="12.75"/>
    <row r="52825" s="3161" customFormat="1" ht="12.75"/>
    <row r="52826" s="3161" customFormat="1" ht="12.75"/>
    <row r="52827" s="3161" customFormat="1" ht="12.75"/>
    <row r="52828" s="3161" customFormat="1" ht="12.75"/>
    <row r="52829" s="3161" customFormat="1" ht="12.75"/>
    <row r="52830" s="3161" customFormat="1" ht="12.75"/>
    <row r="52831" s="3161" customFormat="1" ht="12.75"/>
    <row r="52832" s="3161" customFormat="1" ht="12.75"/>
    <row r="52833" s="3161" customFormat="1" ht="12.75"/>
    <row r="52834" s="3161" customFormat="1" ht="12.75"/>
    <row r="52835" s="3161" customFormat="1" ht="12.75"/>
    <row r="52836" s="3161" customFormat="1" ht="12.75"/>
    <row r="52837" s="3161" customFormat="1" ht="12.75"/>
    <row r="52838" s="3161" customFormat="1" ht="12.75"/>
    <row r="52839" s="3161" customFormat="1" ht="12.75"/>
    <row r="52840" s="3161" customFormat="1" ht="12.75"/>
    <row r="52841" s="3161" customFormat="1" ht="12.75"/>
    <row r="52842" s="3161" customFormat="1" ht="12.75"/>
    <row r="52843" s="3161" customFormat="1" ht="12.75"/>
    <row r="52844" s="3161" customFormat="1" ht="12.75"/>
    <row r="52845" s="3161" customFormat="1" ht="12.75"/>
    <row r="52846" s="3161" customFormat="1" ht="12.75"/>
    <row r="52847" s="3161" customFormat="1" ht="12.75"/>
    <row r="52848" s="3161" customFormat="1" ht="12.75"/>
    <row r="52849" s="3161" customFormat="1" ht="12.75"/>
    <row r="52850" s="3161" customFormat="1" ht="12.75"/>
    <row r="52851" s="3161" customFormat="1" ht="12.75"/>
    <row r="52852" s="3161" customFormat="1" ht="12.75"/>
    <row r="52853" s="3161" customFormat="1" ht="12.75"/>
    <row r="52854" s="3161" customFormat="1" ht="12.75"/>
    <row r="52855" s="3161" customFormat="1" ht="12.75"/>
    <row r="52856" s="3161" customFormat="1" ht="12.75"/>
    <row r="52857" s="3161" customFormat="1" ht="12.75"/>
    <row r="52858" s="3161" customFormat="1" ht="12.75"/>
    <row r="52859" s="3161" customFormat="1" ht="12.75"/>
    <row r="52860" s="3161" customFormat="1" ht="12.75"/>
    <row r="52861" s="3161" customFormat="1" ht="12.75"/>
    <row r="52862" s="3161" customFormat="1" ht="12.75"/>
    <row r="52863" s="3161" customFormat="1" ht="12.75"/>
    <row r="52864" s="3161" customFormat="1" ht="12.75"/>
    <row r="52865" s="3161" customFormat="1" ht="12.75"/>
    <row r="52866" s="3161" customFormat="1" ht="12.75"/>
    <row r="52867" s="3161" customFormat="1" ht="12.75"/>
    <row r="52868" s="3161" customFormat="1" ht="12.75"/>
    <row r="52869" s="3161" customFormat="1" ht="12.75"/>
    <row r="52870" s="3161" customFormat="1" ht="12.75"/>
    <row r="52871" s="3161" customFormat="1" ht="12.75"/>
    <row r="52872" s="3161" customFormat="1" ht="12.75"/>
    <row r="52873" s="3161" customFormat="1" ht="12.75"/>
    <row r="52874" s="3161" customFormat="1" ht="12.75"/>
    <row r="52875" s="3161" customFormat="1" ht="12.75"/>
    <row r="52876" s="3161" customFormat="1" ht="12.75"/>
    <row r="52877" s="3161" customFormat="1" ht="12.75"/>
    <row r="52878" s="3161" customFormat="1" ht="12.75"/>
    <row r="52879" s="3161" customFormat="1" ht="12.75"/>
    <row r="52880" s="3161" customFormat="1" ht="12.75"/>
    <row r="52881" s="3161" customFormat="1" ht="12.75"/>
    <row r="52882" s="3161" customFormat="1" ht="12.75"/>
    <row r="52883" s="3161" customFormat="1" ht="12.75"/>
    <row r="52884" s="3161" customFormat="1" ht="12.75"/>
    <row r="52885" s="3161" customFormat="1" ht="12.75"/>
    <row r="52886" s="3161" customFormat="1" ht="12.75"/>
    <row r="52887" s="3161" customFormat="1" ht="12.75"/>
    <row r="52888" s="3161" customFormat="1" ht="12.75"/>
    <row r="52889" s="3161" customFormat="1" ht="12.75"/>
    <row r="52890" s="3161" customFormat="1" ht="12.75"/>
    <row r="52891" s="3161" customFormat="1" ht="12.75"/>
    <row r="52892" s="3161" customFormat="1" ht="12.75"/>
    <row r="52893" s="3161" customFormat="1" ht="12.75"/>
    <row r="52894" s="3161" customFormat="1" ht="12.75"/>
    <row r="52895" s="3161" customFormat="1" ht="12.75"/>
    <row r="52896" s="3161" customFormat="1" ht="12.75"/>
    <row r="52897" s="3161" customFormat="1" ht="12.75"/>
    <row r="52898" s="3161" customFormat="1" ht="12.75"/>
    <row r="52899" s="3161" customFormat="1" ht="12.75"/>
    <row r="52900" s="3161" customFormat="1" ht="12.75"/>
    <row r="52901" s="3161" customFormat="1" ht="12.75"/>
    <row r="52902" s="3161" customFormat="1" ht="12.75"/>
    <row r="52903" s="3161" customFormat="1" ht="12.75"/>
    <row r="52904" s="3161" customFormat="1" ht="12.75"/>
    <row r="52905" s="3161" customFormat="1" ht="12.75"/>
    <row r="52906" s="3161" customFormat="1" ht="12.75"/>
    <row r="52907" s="3161" customFormat="1" ht="12.75"/>
    <row r="52908" s="3161" customFormat="1" ht="12.75"/>
    <row r="52909" s="3161" customFormat="1" ht="12.75"/>
    <row r="52910" s="3161" customFormat="1" ht="12.75"/>
    <row r="52911" s="3161" customFormat="1" ht="12.75"/>
    <row r="52912" s="3161" customFormat="1" ht="12.75"/>
    <row r="52913" s="3161" customFormat="1" ht="12.75"/>
    <row r="52914" s="3161" customFormat="1" ht="12.75"/>
    <row r="52915" s="3161" customFormat="1" ht="12.75"/>
    <row r="52916" s="3161" customFormat="1" ht="12.75"/>
    <row r="52917" s="3161" customFormat="1" ht="12.75"/>
    <row r="52918" s="3161" customFormat="1" ht="12.75"/>
    <row r="52919" s="3161" customFormat="1" ht="12.75"/>
    <row r="52920" s="3161" customFormat="1" ht="12.75"/>
    <row r="52921" s="3161" customFormat="1" ht="12.75"/>
    <row r="52922" s="3161" customFormat="1" ht="12.75"/>
    <row r="52923" s="3161" customFormat="1" ht="12.75"/>
    <row r="52924" s="3161" customFormat="1" ht="12.75"/>
    <row r="52925" s="3161" customFormat="1" ht="12.75"/>
    <row r="52926" s="3161" customFormat="1" ht="12.75"/>
    <row r="52927" s="3161" customFormat="1" ht="12.75"/>
    <row r="52928" s="3161" customFormat="1" ht="12.75"/>
    <row r="52929" s="3161" customFormat="1" ht="12.75"/>
    <row r="52930" s="3161" customFormat="1" ht="12.75"/>
    <row r="52931" s="3161" customFormat="1" ht="12.75"/>
    <row r="52932" s="3161" customFormat="1" ht="12.75"/>
    <row r="52933" s="3161" customFormat="1" ht="12.75"/>
    <row r="52934" s="3161" customFormat="1" ht="12.75"/>
    <row r="52935" s="3161" customFormat="1" ht="12.75"/>
    <row r="52936" s="3161" customFormat="1" ht="12.75"/>
    <row r="52937" s="3161" customFormat="1" ht="12.75"/>
    <row r="52938" s="3161" customFormat="1" ht="12.75"/>
    <row r="52939" s="3161" customFormat="1" ht="12.75"/>
    <row r="52940" s="3161" customFormat="1" ht="12.75"/>
    <row r="52941" s="3161" customFormat="1" ht="12.75"/>
    <row r="52942" s="3161" customFormat="1" ht="12.75"/>
    <row r="52943" s="3161" customFormat="1" ht="12.75"/>
    <row r="52944" s="3161" customFormat="1" ht="12.75"/>
    <row r="52945" s="3161" customFormat="1" ht="12.75"/>
    <row r="52946" s="3161" customFormat="1" ht="12.75"/>
    <row r="52947" s="3161" customFormat="1" ht="12.75"/>
    <row r="52948" s="3161" customFormat="1" ht="12.75"/>
    <row r="52949" s="3161" customFormat="1" ht="12.75"/>
    <row r="52950" s="3161" customFormat="1" ht="12.75"/>
    <row r="52951" s="3161" customFormat="1" ht="12.75"/>
    <row r="52952" s="3161" customFormat="1" ht="12.75"/>
    <row r="52953" s="3161" customFormat="1" ht="12.75"/>
    <row r="52954" s="3161" customFormat="1" ht="12.75"/>
    <row r="52955" s="3161" customFormat="1" ht="12.75"/>
    <row r="52956" s="3161" customFormat="1" ht="12.75"/>
    <row r="52957" s="3161" customFormat="1" ht="12.75"/>
    <row r="52958" s="3161" customFormat="1" ht="12.75"/>
    <row r="52959" s="3161" customFormat="1" ht="12.75"/>
    <row r="52960" s="3161" customFormat="1" ht="12.75"/>
    <row r="52961" s="3161" customFormat="1" ht="12.75"/>
    <row r="52962" s="3161" customFormat="1" ht="12.75"/>
    <row r="52963" s="3161" customFormat="1" ht="12.75"/>
    <row r="52964" s="3161" customFormat="1" ht="12.75"/>
    <row r="52965" s="3161" customFormat="1" ht="12.75"/>
    <row r="52966" s="3161" customFormat="1" ht="12.75"/>
    <row r="52967" s="3161" customFormat="1" ht="12.75"/>
    <row r="52968" s="3161" customFormat="1" ht="12.75"/>
    <row r="52969" s="3161" customFormat="1" ht="12.75"/>
    <row r="52970" s="3161" customFormat="1" ht="12.75"/>
    <row r="52971" s="3161" customFormat="1" ht="12.75"/>
    <row r="52972" s="3161" customFormat="1" ht="12.75"/>
    <row r="52973" s="3161" customFormat="1" ht="12.75"/>
    <row r="52974" s="3161" customFormat="1" ht="12.75"/>
    <row r="52975" s="3161" customFormat="1" ht="12.75"/>
    <row r="52976" s="3161" customFormat="1" ht="12.75"/>
    <row r="52977" s="3161" customFormat="1" ht="12.75"/>
    <row r="52978" s="3161" customFormat="1" ht="12.75"/>
    <row r="52979" s="3161" customFormat="1" ht="12.75"/>
    <row r="52980" s="3161" customFormat="1" ht="12.75"/>
    <row r="52981" s="3161" customFormat="1" ht="12.75"/>
    <row r="52982" s="3161" customFormat="1" ht="12.75"/>
    <row r="52983" s="3161" customFormat="1" ht="12.75"/>
    <row r="52984" s="3161" customFormat="1" ht="12.75"/>
    <row r="52985" s="3161" customFormat="1" ht="12.75"/>
    <row r="52986" s="3161" customFormat="1" ht="12.75"/>
    <row r="52987" s="3161" customFormat="1" ht="12.75"/>
    <row r="52988" s="3161" customFormat="1" ht="12.75"/>
    <row r="52989" s="3161" customFormat="1" ht="12.75"/>
    <row r="52990" s="3161" customFormat="1" ht="12.75"/>
    <row r="52991" s="3161" customFormat="1" ht="12.75"/>
    <row r="52992" s="3161" customFormat="1" ht="12.75"/>
    <row r="52993" s="3161" customFormat="1" ht="12.75"/>
    <row r="52994" s="3161" customFormat="1" ht="12.75"/>
    <row r="52995" s="3161" customFormat="1" ht="12.75"/>
    <row r="52996" s="3161" customFormat="1" ht="12.75"/>
    <row r="52997" s="3161" customFormat="1" ht="12.75"/>
    <row r="52998" s="3161" customFormat="1" ht="12.75"/>
    <row r="52999" s="3161" customFormat="1" ht="12.75"/>
    <row r="53000" s="3161" customFormat="1" ht="12.75"/>
    <row r="53001" s="3161" customFormat="1" ht="12.75"/>
    <row r="53002" s="3161" customFormat="1" ht="12.75"/>
    <row r="53003" s="3161" customFormat="1" ht="12.75"/>
    <row r="53004" s="3161" customFormat="1" ht="12.75"/>
    <row r="53005" s="3161" customFormat="1" ht="12.75"/>
    <row r="53006" s="3161" customFormat="1" ht="12.75"/>
    <row r="53007" s="3161" customFormat="1" ht="12.75"/>
    <row r="53008" s="3161" customFormat="1" ht="12.75"/>
    <row r="53009" s="3161" customFormat="1" ht="12.75"/>
    <row r="53010" s="3161" customFormat="1" ht="12.75"/>
    <row r="53011" s="3161" customFormat="1" ht="12.75"/>
    <row r="53012" s="3161" customFormat="1" ht="12.75"/>
    <row r="53013" s="3161" customFormat="1" ht="12.75"/>
    <row r="53014" s="3161" customFormat="1" ht="12.75"/>
    <row r="53015" s="3161" customFormat="1" ht="12.75"/>
    <row r="53016" s="3161" customFormat="1" ht="12.75"/>
    <row r="53017" s="3161" customFormat="1" ht="12.75"/>
    <row r="53018" s="3161" customFormat="1" ht="12.75"/>
    <row r="53019" s="3161" customFormat="1" ht="12.75"/>
    <row r="53020" s="3161" customFormat="1" ht="12.75"/>
    <row r="53021" s="3161" customFormat="1" ht="12.75"/>
    <row r="53022" s="3161" customFormat="1" ht="12.75"/>
    <row r="53023" s="3161" customFormat="1" ht="12.75"/>
    <row r="53024" s="3161" customFormat="1" ht="12.75"/>
    <row r="53025" s="3161" customFormat="1" ht="12.75"/>
    <row r="53026" s="3161" customFormat="1" ht="12.75"/>
    <row r="53027" s="3161" customFormat="1" ht="12.75"/>
    <row r="53028" s="3161" customFormat="1" ht="12.75"/>
    <row r="53029" s="3161" customFormat="1" ht="12.75"/>
    <row r="53030" s="3161" customFormat="1" ht="12.75"/>
    <row r="53031" s="3161" customFormat="1" ht="12.75"/>
    <row r="53032" s="3161" customFormat="1" ht="12.75"/>
    <row r="53033" s="3161" customFormat="1" ht="12.75"/>
    <row r="53034" s="3161" customFormat="1" ht="12.75"/>
    <row r="53035" s="3161" customFormat="1" ht="12.75"/>
    <row r="53036" s="3161" customFormat="1" ht="12.75"/>
    <row r="53037" s="3161" customFormat="1" ht="12.75"/>
    <row r="53038" s="3161" customFormat="1" ht="12.75"/>
    <row r="53039" s="3161" customFormat="1" ht="12.75"/>
    <row r="53040" s="3161" customFormat="1" ht="12.75"/>
    <row r="53041" s="3161" customFormat="1" ht="12.75"/>
    <row r="53042" s="3161" customFormat="1" ht="12.75"/>
    <row r="53043" s="3161" customFormat="1" ht="12.75"/>
    <row r="53044" s="3161" customFormat="1" ht="12.75"/>
    <row r="53045" s="3161" customFormat="1" ht="12.75"/>
    <row r="53046" s="3161" customFormat="1" ht="12.75"/>
    <row r="53047" s="3161" customFormat="1" ht="12.75"/>
    <row r="53048" s="3161" customFormat="1" ht="12.75"/>
    <row r="53049" s="3161" customFormat="1" ht="12.75"/>
    <row r="53050" s="3161" customFormat="1" ht="12.75"/>
    <row r="53051" s="3161" customFormat="1" ht="12.75"/>
    <row r="53052" s="3161" customFormat="1" ht="12.75"/>
    <row r="53053" s="3161" customFormat="1" ht="12.75"/>
    <row r="53054" s="3161" customFormat="1" ht="12.75"/>
    <row r="53055" s="3161" customFormat="1" ht="12.75"/>
    <row r="53056" s="3161" customFormat="1" ht="12.75"/>
    <row r="53057" s="3161" customFormat="1" ht="12.75"/>
    <row r="53058" s="3161" customFormat="1" ht="12.75"/>
    <row r="53059" s="3161" customFormat="1" ht="12.75"/>
    <row r="53060" s="3161" customFormat="1" ht="12.75"/>
    <row r="53061" s="3161" customFormat="1" ht="12.75"/>
    <row r="53062" s="3161" customFormat="1" ht="12.75"/>
    <row r="53063" s="3161" customFormat="1" ht="12.75"/>
    <row r="53064" s="3161" customFormat="1" ht="12.75"/>
    <row r="53065" s="3161" customFormat="1" ht="12.75"/>
    <row r="53066" s="3161" customFormat="1" ht="12.75"/>
    <row r="53067" s="3161" customFormat="1" ht="12.75"/>
    <row r="53068" s="3161" customFormat="1" ht="12.75"/>
    <row r="53069" s="3161" customFormat="1" ht="12.75"/>
    <row r="53070" s="3161" customFormat="1" ht="12.75"/>
    <row r="53071" s="3161" customFormat="1" ht="12.75"/>
    <row r="53072" s="3161" customFormat="1" ht="12.75"/>
    <row r="53073" s="3161" customFormat="1" ht="12.75"/>
    <row r="53074" s="3161" customFormat="1" ht="12.75"/>
    <row r="53075" s="3161" customFormat="1" ht="12.75"/>
    <row r="53076" s="3161" customFormat="1" ht="12.75"/>
    <row r="53077" s="3161" customFormat="1" ht="12.75"/>
    <row r="53078" s="3161" customFormat="1" ht="12.75"/>
    <row r="53079" s="3161" customFormat="1" ht="12.75"/>
    <row r="53080" s="3161" customFormat="1" ht="12.75"/>
    <row r="53081" s="3161" customFormat="1" ht="12.75"/>
    <row r="53082" s="3161" customFormat="1" ht="12.75"/>
    <row r="53083" s="3161" customFormat="1" ht="12.75"/>
    <row r="53084" s="3161" customFormat="1" ht="12.75"/>
    <row r="53085" s="3161" customFormat="1" ht="12.75"/>
    <row r="53086" s="3161" customFormat="1" ht="12.75"/>
    <row r="53087" s="3161" customFormat="1" ht="12.75"/>
    <row r="53088" s="3161" customFormat="1" ht="12.75"/>
    <row r="53089" s="3161" customFormat="1" ht="12.75"/>
    <row r="53090" s="3161" customFormat="1" ht="12.75"/>
    <row r="53091" s="3161" customFormat="1" ht="12.75"/>
    <row r="53092" s="3161" customFormat="1" ht="12.75"/>
    <row r="53093" s="3161" customFormat="1" ht="12.75"/>
    <row r="53094" s="3161" customFormat="1" ht="12.75"/>
    <row r="53095" s="3161" customFormat="1" ht="12.75"/>
    <row r="53096" s="3161" customFormat="1" ht="12.75"/>
    <row r="53097" s="3161" customFormat="1" ht="12.75"/>
    <row r="53098" s="3161" customFormat="1" ht="12.75"/>
    <row r="53099" s="3161" customFormat="1" ht="12.75"/>
    <row r="53100" s="3161" customFormat="1" ht="12.75"/>
    <row r="53101" s="3161" customFormat="1" ht="12.75"/>
    <row r="53102" s="3161" customFormat="1" ht="12.75"/>
    <row r="53103" s="3161" customFormat="1" ht="12.75"/>
    <row r="53104" s="3161" customFormat="1" ht="12.75"/>
    <row r="53105" s="3161" customFormat="1" ht="12.75"/>
    <row r="53106" s="3161" customFormat="1" ht="12.75"/>
    <row r="53107" s="3161" customFormat="1" ht="12.75"/>
    <row r="53108" s="3161" customFormat="1" ht="12.75"/>
    <row r="53109" s="3161" customFormat="1" ht="12.75"/>
    <row r="53110" s="3161" customFormat="1" ht="12.75"/>
    <row r="53111" s="3161" customFormat="1" ht="12.75"/>
    <row r="53112" s="3161" customFormat="1" ht="12.75"/>
    <row r="53113" s="3161" customFormat="1" ht="12.75"/>
    <row r="53114" s="3161" customFormat="1" ht="12.75"/>
    <row r="53115" s="3161" customFormat="1" ht="12.75"/>
    <row r="53116" s="3161" customFormat="1" ht="12.75"/>
    <row r="53117" s="3161" customFormat="1" ht="12.75"/>
    <row r="53118" s="3161" customFormat="1" ht="12.75"/>
    <row r="53119" s="3161" customFormat="1" ht="12.75"/>
    <row r="53120" s="3161" customFormat="1" ht="12.75"/>
    <row r="53121" s="3161" customFormat="1" ht="12.75"/>
    <row r="53122" s="3161" customFormat="1" ht="12.75"/>
    <row r="53123" s="3161" customFormat="1" ht="12.75"/>
    <row r="53124" s="3161" customFormat="1" ht="12.75"/>
    <row r="53125" s="3161" customFormat="1" ht="12.75"/>
    <row r="53126" s="3161" customFormat="1" ht="12.75"/>
    <row r="53127" s="3161" customFormat="1" ht="12.75"/>
    <row r="53128" s="3161" customFormat="1" ht="12.75"/>
    <row r="53129" s="3161" customFormat="1" ht="12.75"/>
    <row r="53130" s="3161" customFormat="1" ht="12.75"/>
    <row r="53131" s="3161" customFormat="1" ht="12.75"/>
    <row r="53132" s="3161" customFormat="1" ht="12.75"/>
    <row r="53133" s="3161" customFormat="1" ht="12.75"/>
    <row r="53134" s="3161" customFormat="1" ht="12.75"/>
    <row r="53135" s="3161" customFormat="1" ht="12.75"/>
    <row r="53136" s="3161" customFormat="1" ht="12.75"/>
    <row r="53137" s="3161" customFormat="1" ht="12.75"/>
    <row r="53138" s="3161" customFormat="1" ht="12.75"/>
    <row r="53139" s="3161" customFormat="1" ht="12.75"/>
    <row r="53140" s="3161" customFormat="1" ht="12.75"/>
    <row r="53141" s="3161" customFormat="1" ht="12.75"/>
    <row r="53142" s="3161" customFormat="1" ht="12.75"/>
    <row r="53143" s="3161" customFormat="1" ht="12.75"/>
    <row r="53144" s="3161" customFormat="1" ht="12.75"/>
    <row r="53145" s="3161" customFormat="1" ht="12.75"/>
    <row r="53146" s="3161" customFormat="1" ht="12.75"/>
    <row r="53147" s="3161" customFormat="1" ht="12.75"/>
    <row r="53148" s="3161" customFormat="1" ht="12.75"/>
    <row r="53149" s="3161" customFormat="1" ht="12.75"/>
    <row r="53150" s="3161" customFormat="1" ht="12.75"/>
    <row r="53151" s="3161" customFormat="1" ht="12.75"/>
    <row r="53152" s="3161" customFormat="1" ht="12.75"/>
    <row r="53153" s="3161" customFormat="1" ht="12.75"/>
    <row r="53154" s="3161" customFormat="1" ht="12.75"/>
    <row r="53155" s="3161" customFormat="1" ht="12.75"/>
    <row r="53156" s="3161" customFormat="1" ht="12.75"/>
    <row r="53157" s="3161" customFormat="1" ht="12.75"/>
    <row r="53158" s="3161" customFormat="1" ht="12.75"/>
    <row r="53159" s="3161" customFormat="1" ht="12.75"/>
    <row r="53160" s="3161" customFormat="1" ht="12.75"/>
    <row r="53161" s="3161" customFormat="1" ht="12.75"/>
    <row r="53162" s="3161" customFormat="1" ht="12.75"/>
    <row r="53163" s="3161" customFormat="1" ht="12.75"/>
    <row r="53164" s="3161" customFormat="1" ht="12.75"/>
    <row r="53165" s="3161" customFormat="1" ht="12.75"/>
    <row r="53166" s="3161" customFormat="1" ht="12.75"/>
    <row r="53167" s="3161" customFormat="1" ht="12.75"/>
    <row r="53168" s="3161" customFormat="1" ht="12.75"/>
    <row r="53169" s="3161" customFormat="1" ht="12.75"/>
    <row r="53170" s="3161" customFormat="1" ht="12.75"/>
    <row r="53171" s="3161" customFormat="1" ht="12.75"/>
    <row r="53172" s="3161" customFormat="1" ht="12.75"/>
    <row r="53173" s="3161" customFormat="1" ht="12.75"/>
    <row r="53174" s="3161" customFormat="1" ht="12.75"/>
    <row r="53175" s="3161" customFormat="1" ht="12.75"/>
    <row r="53176" s="3161" customFormat="1" ht="12.75"/>
    <row r="53177" s="3161" customFormat="1" ht="12.75"/>
    <row r="53178" s="3161" customFormat="1" ht="12.75"/>
    <row r="53179" s="3161" customFormat="1" ht="12.75"/>
    <row r="53180" s="3161" customFormat="1" ht="12.75"/>
    <row r="53181" s="3161" customFormat="1" ht="12.75"/>
    <row r="53182" s="3161" customFormat="1" ht="12.75"/>
    <row r="53183" s="3161" customFormat="1" ht="12.75"/>
    <row r="53184" s="3161" customFormat="1" ht="12.75"/>
    <row r="53185" s="3161" customFormat="1" ht="12.75"/>
    <row r="53186" s="3161" customFormat="1" ht="12.75"/>
    <row r="53187" s="3161" customFormat="1" ht="12.75"/>
    <row r="53188" s="3161" customFormat="1" ht="12.75"/>
    <row r="53189" s="3161" customFormat="1" ht="12.75"/>
    <row r="53190" s="3161" customFormat="1" ht="12.75"/>
    <row r="53191" s="3161" customFormat="1" ht="12.75"/>
    <row r="53192" s="3161" customFormat="1" ht="12.75"/>
    <row r="53193" s="3161" customFormat="1" ht="12.75"/>
    <row r="53194" s="3161" customFormat="1" ht="12.75"/>
    <row r="53195" s="3161" customFormat="1" ht="12.75"/>
    <row r="53196" s="3161" customFormat="1" ht="12.75"/>
    <row r="53197" s="3161" customFormat="1" ht="12.75"/>
    <row r="53198" s="3161" customFormat="1" ht="12.75"/>
    <row r="53199" s="3161" customFormat="1" ht="12.75"/>
    <row r="53200" s="3161" customFormat="1" ht="12.75"/>
    <row r="53201" s="3161" customFormat="1" ht="12.75"/>
    <row r="53202" s="3161" customFormat="1" ht="12.75"/>
    <row r="53203" s="3161" customFormat="1" ht="12.75"/>
    <row r="53204" s="3161" customFormat="1" ht="12.75"/>
    <row r="53205" s="3161" customFormat="1" ht="12.75"/>
    <row r="53206" s="3161" customFormat="1" ht="12.75"/>
    <row r="53207" s="3161" customFormat="1" ht="12.75"/>
    <row r="53208" s="3161" customFormat="1" ht="12.75"/>
    <row r="53209" s="3161" customFormat="1" ht="12.75"/>
    <row r="53210" s="3161" customFormat="1" ht="12.75"/>
    <row r="53211" s="3161" customFormat="1" ht="12.75"/>
    <row r="53212" s="3161" customFormat="1" ht="12.75"/>
    <row r="53213" s="3161" customFormat="1" ht="12.75"/>
    <row r="53214" s="3161" customFormat="1" ht="12.75"/>
    <row r="53215" s="3161" customFormat="1" ht="12.75"/>
    <row r="53216" s="3161" customFormat="1" ht="12.75"/>
    <row r="53217" s="3161" customFormat="1" ht="12.75"/>
    <row r="53218" s="3161" customFormat="1" ht="12.75"/>
    <row r="53219" s="3161" customFormat="1" ht="12.75"/>
    <row r="53220" s="3161" customFormat="1" ht="12.75"/>
    <row r="53221" s="3161" customFormat="1" ht="12.75"/>
    <row r="53222" s="3161" customFormat="1" ht="12.75"/>
    <row r="53223" s="3161" customFormat="1" ht="12.75"/>
    <row r="53224" s="3161" customFormat="1" ht="12.75"/>
    <row r="53225" s="3161" customFormat="1" ht="12.75"/>
    <row r="53226" s="3161" customFormat="1" ht="12.75"/>
    <row r="53227" s="3161" customFormat="1" ht="12.75"/>
    <row r="53228" s="3161" customFormat="1" ht="12.75"/>
    <row r="53229" s="3161" customFormat="1" ht="12.75"/>
    <row r="53230" s="3161" customFormat="1" ht="12.75"/>
    <row r="53231" s="3161" customFormat="1" ht="12.75"/>
    <row r="53232" s="3161" customFormat="1" ht="12.75"/>
    <row r="53233" s="3161" customFormat="1" ht="12.75"/>
    <row r="53234" s="3161" customFormat="1" ht="12.75"/>
    <row r="53235" s="3161" customFormat="1" ht="12.75"/>
    <row r="53236" s="3161" customFormat="1" ht="12.75"/>
    <row r="53237" s="3161" customFormat="1" ht="12.75"/>
    <row r="53238" s="3161" customFormat="1" ht="12.75"/>
    <row r="53239" s="3161" customFormat="1" ht="12.75"/>
    <row r="53240" s="3161" customFormat="1" ht="12.75"/>
    <row r="53241" s="3161" customFormat="1" ht="12.75"/>
    <row r="53242" s="3161" customFormat="1" ht="12.75"/>
    <row r="53243" s="3161" customFormat="1" ht="12.75"/>
    <row r="53244" s="3161" customFormat="1" ht="12.75"/>
    <row r="53245" s="3161" customFormat="1" ht="12.75"/>
    <row r="53246" s="3161" customFormat="1" ht="12.75"/>
    <row r="53247" s="3161" customFormat="1" ht="12.75"/>
    <row r="53248" s="3161" customFormat="1" ht="12.75"/>
    <row r="53249" s="3161" customFormat="1" ht="12.75"/>
    <row r="53250" s="3161" customFormat="1" ht="12.75"/>
    <row r="53251" s="3161" customFormat="1" ht="12.75"/>
    <row r="53252" s="3161" customFormat="1" ht="12.75"/>
    <row r="53253" s="3161" customFormat="1" ht="12.75"/>
    <row r="53254" s="3161" customFormat="1" ht="12.75"/>
    <row r="53255" s="3161" customFormat="1" ht="12.75"/>
    <row r="53256" s="3161" customFormat="1" ht="12.75"/>
    <row r="53257" s="3161" customFormat="1" ht="12.75"/>
    <row r="53258" s="3161" customFormat="1" ht="12.75"/>
    <row r="53259" s="3161" customFormat="1" ht="12.75"/>
    <row r="53260" s="3161" customFormat="1" ht="12.75"/>
    <row r="53261" s="3161" customFormat="1" ht="12.75"/>
    <row r="53262" s="3161" customFormat="1" ht="12.75"/>
    <row r="53263" s="3161" customFormat="1" ht="12.75"/>
    <row r="53264" s="3161" customFormat="1" ht="12.75"/>
    <row r="53265" s="3161" customFormat="1" ht="12.75"/>
    <row r="53266" s="3161" customFormat="1" ht="12.75"/>
    <row r="53267" s="3161" customFormat="1" ht="12.75"/>
    <row r="53268" s="3161" customFormat="1" ht="12.75"/>
    <row r="53269" s="3161" customFormat="1" ht="12.75"/>
    <row r="53270" s="3161" customFormat="1" ht="12.75"/>
    <row r="53271" s="3161" customFormat="1" ht="12.75"/>
    <row r="53272" s="3161" customFormat="1" ht="12.75"/>
    <row r="53273" s="3161" customFormat="1" ht="12.75"/>
    <row r="53274" s="3161" customFormat="1" ht="12.75"/>
    <row r="53275" s="3161" customFormat="1" ht="12.75"/>
    <row r="53276" s="3161" customFormat="1" ht="12.75"/>
    <row r="53277" s="3161" customFormat="1" ht="12.75"/>
    <row r="53278" s="3161" customFormat="1" ht="12.75"/>
    <row r="53279" s="3161" customFormat="1" ht="12.75"/>
    <row r="53280" s="3161" customFormat="1" ht="12.75"/>
    <row r="53281" s="3161" customFormat="1" ht="12.75"/>
    <row r="53282" s="3161" customFormat="1" ht="12.75"/>
    <row r="53283" s="3161" customFormat="1" ht="12.75"/>
    <row r="53284" s="3161" customFormat="1" ht="12.75"/>
    <row r="53285" s="3161" customFormat="1" ht="12.75"/>
    <row r="53286" s="3161" customFormat="1" ht="12.75"/>
    <row r="53287" s="3161" customFormat="1" ht="12.75"/>
    <row r="53288" s="3161" customFormat="1" ht="12.75"/>
    <row r="53289" s="3161" customFormat="1" ht="12.75"/>
    <row r="53290" s="3161" customFormat="1" ht="12.75"/>
    <row r="53291" s="3161" customFormat="1" ht="12.75"/>
    <row r="53292" s="3161" customFormat="1" ht="12.75"/>
    <row r="53293" s="3161" customFormat="1" ht="12.75"/>
    <row r="53294" s="3161" customFormat="1" ht="12.75"/>
    <row r="53295" s="3161" customFormat="1" ht="12.75"/>
    <row r="53296" s="3161" customFormat="1" ht="12.75"/>
    <row r="53297" s="3161" customFormat="1" ht="12.75"/>
    <row r="53298" s="3161" customFormat="1" ht="12.75"/>
    <row r="53299" s="3161" customFormat="1" ht="12.75"/>
    <row r="53300" s="3161" customFormat="1" ht="12.75"/>
    <row r="53301" s="3161" customFormat="1" ht="12.75"/>
    <row r="53302" s="3161" customFormat="1" ht="12.75"/>
    <row r="53303" s="3161" customFormat="1" ht="12.75"/>
    <row r="53304" s="3161" customFormat="1" ht="12.75"/>
    <row r="53305" s="3161" customFormat="1" ht="12.75"/>
    <row r="53306" s="3161" customFormat="1" ht="12.75"/>
    <row r="53307" s="3161" customFormat="1" ht="12.75"/>
    <row r="53308" s="3161" customFormat="1" ht="12.75"/>
    <row r="53309" s="3161" customFormat="1" ht="12.75"/>
    <row r="53310" s="3161" customFormat="1" ht="12.75"/>
    <row r="53311" s="3161" customFormat="1" ht="12.75"/>
    <row r="53312" s="3161" customFormat="1" ht="12.75"/>
    <row r="53313" s="3161" customFormat="1" ht="12.75"/>
    <row r="53314" s="3161" customFormat="1" ht="12.75"/>
    <row r="53315" s="3161" customFormat="1" ht="12.75"/>
    <row r="53316" s="3161" customFormat="1" ht="12.75"/>
    <row r="53317" s="3161" customFormat="1" ht="12.75"/>
    <row r="53318" s="3161" customFormat="1" ht="12.75"/>
    <row r="53319" s="3161" customFormat="1" ht="12.75"/>
    <row r="53320" s="3161" customFormat="1" ht="12.75"/>
    <row r="53321" s="3161" customFormat="1" ht="12.75"/>
    <row r="53322" s="3161" customFormat="1" ht="12.75"/>
    <row r="53323" s="3161" customFormat="1" ht="12.75"/>
    <row r="53324" s="3161" customFormat="1" ht="12.75"/>
    <row r="53325" s="3161" customFormat="1" ht="12.75"/>
    <row r="53326" s="3161" customFormat="1" ht="12.75"/>
    <row r="53327" s="3161" customFormat="1" ht="12.75"/>
    <row r="53328" s="3161" customFormat="1" ht="12.75"/>
    <row r="53329" s="3161" customFormat="1" ht="12.75"/>
    <row r="53330" s="3161" customFormat="1" ht="12.75"/>
    <row r="53331" s="3161" customFormat="1" ht="12.75"/>
    <row r="53332" s="3161" customFormat="1" ht="12.75"/>
    <row r="53333" s="3161" customFormat="1" ht="12.75"/>
    <row r="53334" s="3161" customFormat="1" ht="12.75"/>
    <row r="53335" s="3161" customFormat="1" ht="12.75"/>
    <row r="53336" s="3161" customFormat="1" ht="12.75"/>
    <row r="53337" s="3161" customFormat="1" ht="12.75"/>
    <row r="53338" s="3161" customFormat="1" ht="12.75"/>
    <row r="53339" s="3161" customFormat="1" ht="12.75"/>
    <row r="53340" s="3161" customFormat="1" ht="12.75"/>
    <row r="53341" s="3161" customFormat="1" ht="12.75"/>
    <row r="53342" s="3161" customFormat="1" ht="12.75"/>
    <row r="53343" s="3161" customFormat="1" ht="12.75"/>
    <row r="53344" s="3161" customFormat="1" ht="12.75"/>
    <row r="53345" s="3161" customFormat="1" ht="12.75"/>
    <row r="53346" s="3161" customFormat="1" ht="12.75"/>
    <row r="53347" s="3161" customFormat="1" ht="12.75"/>
    <row r="53348" s="3161" customFormat="1" ht="12.75"/>
    <row r="53349" s="3161" customFormat="1" ht="12.75"/>
    <row r="53350" s="3161" customFormat="1" ht="12.75"/>
    <row r="53351" s="3161" customFormat="1" ht="12.75"/>
    <row r="53352" s="3161" customFormat="1" ht="12.75"/>
    <row r="53353" s="3161" customFormat="1" ht="12.75"/>
    <row r="53354" s="3161" customFormat="1" ht="12.75"/>
    <row r="53355" s="3161" customFormat="1" ht="12.75"/>
    <row r="53356" s="3161" customFormat="1" ht="12.75"/>
    <row r="53357" s="3161" customFormat="1" ht="12.75"/>
    <row r="53358" s="3161" customFormat="1" ht="12.75"/>
    <row r="53359" s="3161" customFormat="1" ht="12.75"/>
    <row r="53360" s="3161" customFormat="1" ht="12.75"/>
    <row r="53361" s="3161" customFormat="1" ht="12.75"/>
    <row r="53362" s="3161" customFormat="1" ht="12.75"/>
    <row r="53363" s="3161" customFormat="1" ht="12.75"/>
    <row r="53364" s="3161" customFormat="1" ht="12.75"/>
    <row r="53365" s="3161" customFormat="1" ht="12.75"/>
    <row r="53366" s="3161" customFormat="1" ht="12.75"/>
    <row r="53367" s="3161" customFormat="1" ht="12.75"/>
    <row r="53368" s="3161" customFormat="1" ht="12.75"/>
    <row r="53369" s="3161" customFormat="1" ht="12.75"/>
    <row r="53370" s="3161" customFormat="1" ht="12.75"/>
    <row r="53371" s="3161" customFormat="1" ht="12.75"/>
    <row r="53372" s="3161" customFormat="1" ht="12.75"/>
    <row r="53373" s="3161" customFormat="1" ht="12.75"/>
    <row r="53374" s="3161" customFormat="1" ht="12.75"/>
    <row r="53375" s="3161" customFormat="1" ht="12.75"/>
    <row r="53376" s="3161" customFormat="1" ht="12.75"/>
    <row r="53377" s="3161" customFormat="1" ht="12.75"/>
    <row r="53378" s="3161" customFormat="1" ht="12.75"/>
    <row r="53379" s="3161" customFormat="1" ht="12.75"/>
    <row r="53380" s="3161" customFormat="1" ht="12.75"/>
    <row r="53381" s="3161" customFormat="1" ht="12.75"/>
    <row r="53382" s="3161" customFormat="1" ht="12.75"/>
    <row r="53383" s="3161" customFormat="1" ht="12.75"/>
    <row r="53384" s="3161" customFormat="1" ht="12.75"/>
    <row r="53385" s="3161" customFormat="1" ht="12.75"/>
    <row r="53386" s="3161" customFormat="1" ht="12.75"/>
    <row r="53387" s="3161" customFormat="1" ht="12.75"/>
    <row r="53388" s="3161" customFormat="1" ht="12.75"/>
    <row r="53389" s="3161" customFormat="1" ht="12.75"/>
    <row r="53390" s="3161" customFormat="1" ht="12.75"/>
    <row r="53391" s="3161" customFormat="1" ht="12.75"/>
    <row r="53392" s="3161" customFormat="1" ht="12.75"/>
    <row r="53393" s="3161" customFormat="1" ht="12.75"/>
    <row r="53394" s="3161" customFormat="1" ht="12.75"/>
    <row r="53395" s="3161" customFormat="1" ht="12.75"/>
    <row r="53396" s="3161" customFormat="1" ht="12.75"/>
    <row r="53397" s="3161" customFormat="1" ht="12.75"/>
    <row r="53398" s="3161" customFormat="1" ht="12.75"/>
    <row r="53399" s="3161" customFormat="1" ht="12.75"/>
    <row r="53400" s="3161" customFormat="1" ht="12.75"/>
    <row r="53401" s="3161" customFormat="1" ht="12.75"/>
    <row r="53402" s="3161" customFormat="1" ht="12.75"/>
    <row r="53403" s="3161" customFormat="1" ht="12.75"/>
    <row r="53404" s="3161" customFormat="1" ht="12.75"/>
    <row r="53405" s="3161" customFormat="1" ht="12.75"/>
    <row r="53406" s="3161" customFormat="1" ht="12.75"/>
    <row r="53407" s="3161" customFormat="1" ht="12.75"/>
    <row r="53408" s="3161" customFormat="1" ht="12.75"/>
    <row r="53409" s="3161" customFormat="1" ht="12.75"/>
    <row r="53410" s="3161" customFormat="1" ht="12.75"/>
    <row r="53411" s="3161" customFormat="1" ht="12.75"/>
    <row r="53412" s="3161" customFormat="1" ht="12.75"/>
    <row r="53413" s="3161" customFormat="1" ht="12.75"/>
    <row r="53414" s="3161" customFormat="1" ht="12.75"/>
    <row r="53415" s="3161" customFormat="1" ht="12.75"/>
    <row r="53416" s="3161" customFormat="1" ht="12.75"/>
    <row r="53417" s="3161" customFormat="1" ht="12.75"/>
    <row r="53418" s="3161" customFormat="1" ht="12.75"/>
    <row r="53419" s="3161" customFormat="1" ht="12.75"/>
    <row r="53420" s="3161" customFormat="1" ht="12.75"/>
    <row r="53421" s="3161" customFormat="1" ht="12.75"/>
    <row r="53422" s="3161" customFormat="1" ht="12.75"/>
    <row r="53423" s="3161" customFormat="1" ht="12.75"/>
    <row r="53424" s="3161" customFormat="1" ht="12.75"/>
    <row r="53425" s="3161" customFormat="1" ht="12.75"/>
    <row r="53426" s="3161" customFormat="1" ht="12.75"/>
    <row r="53427" s="3161" customFormat="1" ht="12.75"/>
    <row r="53428" s="3161" customFormat="1" ht="12.75"/>
    <row r="53429" s="3161" customFormat="1" ht="12.75"/>
    <row r="53430" s="3161" customFormat="1" ht="12.75"/>
    <row r="53431" s="3161" customFormat="1" ht="12.75"/>
    <row r="53432" s="3161" customFormat="1" ht="12.75"/>
    <row r="53433" s="3161" customFormat="1" ht="12.75"/>
    <row r="53434" s="3161" customFormat="1" ht="12.75"/>
    <row r="53435" s="3161" customFormat="1" ht="12.75"/>
    <row r="53436" s="3161" customFormat="1" ht="12.75"/>
    <row r="53437" s="3161" customFormat="1" ht="12.75"/>
    <row r="53438" s="3161" customFormat="1" ht="12.75"/>
    <row r="53439" s="3161" customFormat="1" ht="12.75"/>
    <row r="53440" s="3161" customFormat="1" ht="12.75"/>
    <row r="53441" s="3161" customFormat="1" ht="12.75"/>
    <row r="53442" s="3161" customFormat="1" ht="12.75"/>
    <row r="53443" s="3161" customFormat="1" ht="12.75"/>
    <row r="53444" s="3161" customFormat="1" ht="12.75"/>
    <row r="53445" s="3161" customFormat="1" ht="12.75"/>
    <row r="53446" s="3161" customFormat="1" ht="12.75"/>
    <row r="53447" s="3161" customFormat="1" ht="12.75"/>
    <row r="53448" s="3161" customFormat="1" ht="12.75"/>
    <row r="53449" s="3161" customFormat="1" ht="12.75"/>
    <row r="53450" s="3161" customFormat="1" ht="12.75"/>
    <row r="53451" s="3161" customFormat="1" ht="12.75"/>
    <row r="53452" s="3161" customFormat="1" ht="12.75"/>
    <row r="53453" s="3161" customFormat="1" ht="12.75"/>
    <row r="53454" s="3161" customFormat="1" ht="12.75"/>
    <row r="53455" s="3161" customFormat="1" ht="12.75"/>
    <row r="53456" s="3161" customFormat="1" ht="12.75"/>
    <row r="53457" s="3161" customFormat="1" ht="12.75"/>
    <row r="53458" s="3161" customFormat="1" ht="12.75"/>
    <row r="53459" s="3161" customFormat="1" ht="12.75"/>
    <row r="53460" s="3161" customFormat="1" ht="12.75"/>
    <row r="53461" s="3161" customFormat="1" ht="12.75"/>
    <row r="53462" s="3161" customFormat="1" ht="12.75"/>
    <row r="53463" s="3161" customFormat="1" ht="12.75"/>
    <row r="53464" s="3161" customFormat="1" ht="12.75"/>
    <row r="53465" s="3161" customFormat="1" ht="12.75"/>
    <row r="53466" s="3161" customFormat="1" ht="12.75"/>
    <row r="53467" s="3161" customFormat="1" ht="12.75"/>
    <row r="53468" s="3161" customFormat="1" ht="12.75"/>
    <row r="53469" s="3161" customFormat="1" ht="12.75"/>
    <row r="53470" s="3161" customFormat="1" ht="12.75"/>
    <row r="53471" s="3161" customFormat="1" ht="12.75"/>
    <row r="53472" s="3161" customFormat="1" ht="12.75"/>
    <row r="53473" s="3161" customFormat="1" ht="12.75"/>
    <row r="53474" s="3161" customFormat="1" ht="12.75"/>
    <row r="53475" s="3161" customFormat="1" ht="12.75"/>
    <row r="53476" s="3161" customFormat="1" ht="12.75"/>
    <row r="53477" s="3161" customFormat="1" ht="12.75"/>
    <row r="53478" s="3161" customFormat="1" ht="12.75"/>
    <row r="53479" s="3161" customFormat="1" ht="12.75"/>
    <row r="53480" s="3161" customFormat="1" ht="12.75"/>
    <row r="53481" s="3161" customFormat="1" ht="12.75"/>
    <row r="53482" s="3161" customFormat="1" ht="12.75"/>
    <row r="53483" s="3161" customFormat="1" ht="12.75"/>
    <row r="53484" s="3161" customFormat="1" ht="12.75"/>
    <row r="53485" s="3161" customFormat="1" ht="12.75"/>
    <row r="53486" s="3161" customFormat="1" ht="12.75"/>
    <row r="53487" s="3161" customFormat="1" ht="12.75"/>
    <row r="53488" s="3161" customFormat="1" ht="12.75"/>
    <row r="53489" s="3161" customFormat="1" ht="12.75"/>
    <row r="53490" s="3161" customFormat="1" ht="12.75"/>
    <row r="53491" s="3161" customFormat="1" ht="12.75"/>
    <row r="53492" s="3161" customFormat="1" ht="12.75"/>
    <row r="53493" s="3161" customFormat="1" ht="12.75"/>
    <row r="53494" s="3161" customFormat="1" ht="12.75"/>
    <row r="53495" s="3161" customFormat="1" ht="12.75"/>
    <row r="53496" s="3161" customFormat="1" ht="12.75"/>
    <row r="53497" s="3161" customFormat="1" ht="12.75"/>
    <row r="53498" s="3161" customFormat="1" ht="12.75"/>
    <row r="53499" s="3161" customFormat="1" ht="12.75"/>
    <row r="53500" s="3161" customFormat="1" ht="12.75"/>
    <row r="53501" s="3161" customFormat="1" ht="12.75"/>
    <row r="53502" s="3161" customFormat="1" ht="12.75"/>
    <row r="53503" s="3161" customFormat="1" ht="12.75"/>
    <row r="53504" s="3161" customFormat="1" ht="12.75"/>
    <row r="53505" s="3161" customFormat="1" ht="12.75"/>
    <row r="53506" s="3161" customFormat="1" ht="12.75"/>
    <row r="53507" s="3161" customFormat="1" ht="12.75"/>
    <row r="53508" s="3161" customFormat="1" ht="12.75"/>
    <row r="53509" s="3161" customFormat="1" ht="12.75"/>
    <row r="53510" s="3161" customFormat="1" ht="12.75"/>
    <row r="53511" s="3161" customFormat="1" ht="12.75"/>
    <row r="53512" s="3161" customFormat="1" ht="12.75"/>
    <row r="53513" s="3161" customFormat="1" ht="12.75"/>
    <row r="53514" s="3161" customFormat="1" ht="12.75"/>
    <row r="53515" s="3161" customFormat="1" ht="12.75"/>
    <row r="53516" s="3161" customFormat="1" ht="12.75"/>
    <row r="53517" s="3161" customFormat="1" ht="12.75"/>
    <row r="53518" s="3161" customFormat="1" ht="12.75"/>
    <row r="53519" s="3161" customFormat="1" ht="12.75"/>
    <row r="53520" s="3161" customFormat="1" ht="12.75"/>
    <row r="53521" s="3161" customFormat="1" ht="12.75"/>
    <row r="53522" s="3161" customFormat="1" ht="12.75"/>
    <row r="53523" s="3161" customFormat="1" ht="12.75"/>
    <row r="53524" s="3161" customFormat="1" ht="12.75"/>
    <row r="53525" s="3161" customFormat="1" ht="12.75"/>
    <row r="53526" s="3161" customFormat="1" ht="12.75"/>
    <row r="53527" s="3161" customFormat="1" ht="12.75"/>
    <row r="53528" s="3161" customFormat="1" ht="12.75"/>
    <row r="53529" s="3161" customFormat="1" ht="12.75"/>
    <row r="53530" s="3161" customFormat="1" ht="12.75"/>
    <row r="53531" s="3161" customFormat="1" ht="12.75"/>
    <row r="53532" s="3161" customFormat="1" ht="12.75"/>
    <row r="53533" s="3161" customFormat="1" ht="12.75"/>
    <row r="53534" s="3161" customFormat="1" ht="12.75"/>
    <row r="53535" s="3161" customFormat="1" ht="12.75"/>
    <row r="53536" s="3161" customFormat="1" ht="12.75"/>
    <row r="53537" s="3161" customFormat="1" ht="12.75"/>
    <row r="53538" s="3161" customFormat="1" ht="12.75"/>
    <row r="53539" s="3161" customFormat="1" ht="12.75"/>
    <row r="53540" s="3161" customFormat="1" ht="12.75"/>
    <row r="53541" s="3161" customFormat="1" ht="12.75"/>
    <row r="53542" s="3161" customFormat="1" ht="12.75"/>
    <row r="53543" s="3161" customFormat="1" ht="12.75"/>
    <row r="53544" s="3161" customFormat="1" ht="12.75"/>
    <row r="53545" s="3161" customFormat="1" ht="12.75"/>
    <row r="53546" s="3161" customFormat="1" ht="12.75"/>
    <row r="53547" s="3161" customFormat="1" ht="12.75"/>
    <row r="53548" s="3161" customFormat="1" ht="12.75"/>
    <row r="53549" s="3161" customFormat="1" ht="12.75"/>
    <row r="53550" s="3161" customFormat="1" ht="12.75"/>
    <row r="53551" s="3161" customFormat="1" ht="12.75"/>
    <row r="53552" s="3161" customFormat="1" ht="12.75"/>
    <row r="53553" s="3161" customFormat="1" ht="12.75"/>
    <row r="53554" s="3161" customFormat="1" ht="12.75"/>
    <row r="53555" s="3161" customFormat="1" ht="12.75"/>
    <row r="53556" s="3161" customFormat="1" ht="12.75"/>
    <row r="53557" s="3161" customFormat="1" ht="12.75"/>
    <row r="53558" s="3161" customFormat="1" ht="12.75"/>
    <row r="53559" s="3161" customFormat="1" ht="12.75"/>
    <row r="53560" s="3161" customFormat="1" ht="12.75"/>
    <row r="53561" s="3161" customFormat="1" ht="12.75"/>
    <row r="53562" s="3161" customFormat="1" ht="12.75"/>
    <row r="53563" s="3161" customFormat="1" ht="12.75"/>
    <row r="53564" s="3161" customFormat="1" ht="12.75"/>
    <row r="53565" s="3161" customFormat="1" ht="12.75"/>
    <row r="53566" s="3161" customFormat="1" ht="12.75"/>
    <row r="53567" s="3161" customFormat="1" ht="12.75"/>
    <row r="53568" s="3161" customFormat="1" ht="12.75"/>
    <row r="53569" s="3161" customFormat="1" ht="12.75"/>
    <row r="53570" s="3161" customFormat="1" ht="12.75"/>
    <row r="53571" s="3161" customFormat="1" ht="12.75"/>
    <row r="53572" s="3161" customFormat="1" ht="12.75"/>
    <row r="53573" s="3161" customFormat="1" ht="12.75"/>
    <row r="53574" s="3161" customFormat="1" ht="12.75"/>
    <row r="53575" s="3161" customFormat="1" ht="12.75"/>
    <row r="53576" s="3161" customFormat="1" ht="12.75"/>
    <row r="53577" s="3161" customFormat="1" ht="12.75"/>
    <row r="53578" s="3161" customFormat="1" ht="12.75"/>
    <row r="53579" s="3161" customFormat="1" ht="12.75"/>
    <row r="53580" s="3161" customFormat="1" ht="12.75"/>
    <row r="53581" s="3161" customFormat="1" ht="12.75"/>
    <row r="53582" s="3161" customFormat="1" ht="12.75"/>
    <row r="53583" s="3161" customFormat="1" ht="12.75"/>
    <row r="53584" s="3161" customFormat="1" ht="12.75"/>
    <row r="53585" s="3161" customFormat="1" ht="12.75"/>
    <row r="53586" s="3161" customFormat="1" ht="12.75"/>
    <row r="53587" s="3161" customFormat="1" ht="12.75"/>
    <row r="53588" s="3161" customFormat="1" ht="12.75"/>
    <row r="53589" s="3161" customFormat="1" ht="12.75"/>
    <row r="53590" s="3161" customFormat="1" ht="12.75"/>
    <row r="53591" s="3161" customFormat="1" ht="12.75"/>
    <row r="53592" s="3161" customFormat="1" ht="12.75"/>
    <row r="53593" s="3161" customFormat="1" ht="12.75"/>
    <row r="53594" s="3161" customFormat="1" ht="12.75"/>
    <row r="53595" s="3161" customFormat="1" ht="12.75"/>
    <row r="53596" s="3161" customFormat="1" ht="12.75"/>
    <row r="53597" s="3161" customFormat="1" ht="12.75"/>
    <row r="53598" s="3161" customFormat="1" ht="12.75"/>
    <row r="53599" s="3161" customFormat="1" ht="12.75"/>
    <row r="53600" s="3161" customFormat="1" ht="12.75"/>
    <row r="53601" s="3161" customFormat="1" ht="12.75"/>
    <row r="53602" s="3161" customFormat="1" ht="12.75"/>
    <row r="53603" s="3161" customFormat="1" ht="12.75"/>
    <row r="53604" s="3161" customFormat="1" ht="12.75"/>
    <row r="53605" s="3161" customFormat="1" ht="12.75"/>
    <row r="53606" s="3161" customFormat="1" ht="12.75"/>
    <row r="53607" s="3161" customFormat="1" ht="12.75"/>
    <row r="53608" s="3161" customFormat="1" ht="12.75"/>
    <row r="53609" s="3161" customFormat="1" ht="12.75"/>
    <row r="53610" s="3161" customFormat="1" ht="12.75"/>
    <row r="53611" s="3161" customFormat="1" ht="12.75"/>
    <row r="53612" s="3161" customFormat="1" ht="12.75"/>
    <row r="53613" s="3161" customFormat="1" ht="12.75"/>
    <row r="53614" s="3161" customFormat="1" ht="12.75"/>
    <row r="53615" s="3161" customFormat="1" ht="12.75"/>
    <row r="53616" s="3161" customFormat="1" ht="12.75"/>
    <row r="53617" s="3161" customFormat="1" ht="12.75"/>
    <row r="53618" s="3161" customFormat="1" ht="12.75"/>
    <row r="53619" s="3161" customFormat="1" ht="12.75"/>
    <row r="53620" s="3161" customFormat="1" ht="12.75"/>
    <row r="53621" s="3161" customFormat="1" ht="12.75"/>
    <row r="53622" s="3161" customFormat="1" ht="12.75"/>
    <row r="53623" s="3161" customFormat="1" ht="12.75"/>
    <row r="53624" s="3161" customFormat="1" ht="12.75"/>
    <row r="53625" s="3161" customFormat="1" ht="12.75"/>
    <row r="53626" s="3161" customFormat="1" ht="12.75"/>
    <row r="53627" s="3161" customFormat="1" ht="12.75"/>
    <row r="53628" s="3161" customFormat="1" ht="12.75"/>
    <row r="53629" s="3161" customFormat="1" ht="12.75"/>
    <row r="53630" s="3161" customFormat="1" ht="12.75"/>
    <row r="53631" s="3161" customFormat="1" ht="12.75"/>
    <row r="53632" s="3161" customFormat="1" ht="12.75"/>
    <row r="53633" s="3161" customFormat="1" ht="12.75"/>
    <row r="53634" s="3161" customFormat="1" ht="12.75"/>
    <row r="53635" s="3161" customFormat="1" ht="12.75"/>
    <row r="53636" s="3161" customFormat="1" ht="12.75"/>
    <row r="53637" s="3161" customFormat="1" ht="12.75"/>
    <row r="53638" s="3161" customFormat="1" ht="12.75"/>
    <row r="53639" s="3161" customFormat="1" ht="12.75"/>
    <row r="53640" s="3161" customFormat="1" ht="12.75"/>
    <row r="53641" s="3161" customFormat="1" ht="12.75"/>
    <row r="53642" s="3161" customFormat="1" ht="12.75"/>
    <row r="53643" s="3161" customFormat="1" ht="12.75"/>
    <row r="53644" s="3161" customFormat="1" ht="12.75"/>
    <row r="53645" s="3161" customFormat="1" ht="12.75"/>
    <row r="53646" s="3161" customFormat="1" ht="12.75"/>
    <row r="53647" s="3161" customFormat="1" ht="12.75"/>
    <row r="53648" s="3161" customFormat="1" ht="12.75"/>
    <row r="53649" s="3161" customFormat="1" ht="12.75"/>
    <row r="53650" s="3161" customFormat="1" ht="12.75"/>
    <row r="53651" s="3161" customFormat="1" ht="12.75"/>
    <row r="53652" s="3161" customFormat="1" ht="12.75"/>
    <row r="53653" s="3161" customFormat="1" ht="12.75"/>
    <row r="53654" s="3161" customFormat="1" ht="12.75"/>
    <row r="53655" s="3161" customFormat="1" ht="12.75"/>
    <row r="53656" s="3161" customFormat="1" ht="12.75"/>
    <row r="53657" s="3161" customFormat="1" ht="12.75"/>
    <row r="53658" s="3161" customFormat="1" ht="12.75"/>
    <row r="53659" s="3161" customFormat="1" ht="12.75"/>
    <row r="53660" s="3161" customFormat="1" ht="12.75"/>
    <row r="53661" s="3161" customFormat="1" ht="12.75"/>
    <row r="53662" s="3161" customFormat="1" ht="12.75"/>
    <row r="53663" s="3161" customFormat="1" ht="12.75"/>
    <row r="53664" s="3161" customFormat="1" ht="12.75"/>
    <row r="53665" s="3161" customFormat="1" ht="12.75"/>
    <row r="53666" s="3161" customFormat="1" ht="12.75"/>
    <row r="53667" s="3161" customFormat="1" ht="12.75"/>
    <row r="53668" s="3161" customFormat="1" ht="12.75"/>
    <row r="53669" s="3161" customFormat="1" ht="12.75"/>
    <row r="53670" s="3161" customFormat="1" ht="12.75"/>
    <row r="53671" s="3161" customFormat="1" ht="12.75"/>
    <row r="53672" s="3161" customFormat="1" ht="12.75"/>
    <row r="53673" s="3161" customFormat="1" ht="12.75"/>
    <row r="53674" s="3161" customFormat="1" ht="12.75"/>
    <row r="53675" s="3161" customFormat="1" ht="12.75"/>
    <row r="53676" s="3161" customFormat="1" ht="12.75"/>
    <row r="53677" s="3161" customFormat="1" ht="12.75"/>
    <row r="53678" s="3161" customFormat="1" ht="12.75"/>
    <row r="53679" s="3161" customFormat="1" ht="12.75"/>
    <row r="53680" s="3161" customFormat="1" ht="12.75"/>
    <row r="53681" s="3161" customFormat="1" ht="12.75"/>
    <row r="53682" s="3161" customFormat="1" ht="12.75"/>
    <row r="53683" s="3161" customFormat="1" ht="12.75"/>
    <row r="53684" s="3161" customFormat="1" ht="12.75"/>
    <row r="53685" s="3161" customFormat="1" ht="12.75"/>
    <row r="53686" s="3161" customFormat="1" ht="12.75"/>
    <row r="53687" s="3161" customFormat="1" ht="12.75"/>
    <row r="53688" s="3161" customFormat="1" ht="12.75"/>
    <row r="53689" s="3161" customFormat="1" ht="12.75"/>
    <row r="53690" s="3161" customFormat="1" ht="12.75"/>
    <row r="53691" s="3161" customFormat="1" ht="12.75"/>
    <row r="53692" s="3161" customFormat="1" ht="12.75"/>
    <row r="53693" s="3161" customFormat="1" ht="12.75"/>
    <row r="53694" s="3161" customFormat="1" ht="12.75"/>
    <row r="53695" s="3161" customFormat="1" ht="12.75"/>
    <row r="53696" s="3161" customFormat="1" ht="12.75"/>
    <row r="53697" s="3161" customFormat="1" ht="12.75"/>
    <row r="53698" s="3161" customFormat="1" ht="12.75"/>
    <row r="53699" s="3161" customFormat="1" ht="12.75"/>
    <row r="53700" s="3161" customFormat="1" ht="12.75"/>
    <row r="53701" s="3161" customFormat="1" ht="12.75"/>
    <row r="53702" s="3161" customFormat="1" ht="12.75"/>
    <row r="53703" s="3161" customFormat="1" ht="12.75"/>
    <row r="53704" s="3161" customFormat="1" ht="12.75"/>
    <row r="53705" s="3161" customFormat="1" ht="12.75"/>
    <row r="53706" s="3161" customFormat="1" ht="12.75"/>
    <row r="53707" s="3161" customFormat="1" ht="12.75"/>
    <row r="53708" s="3161" customFormat="1" ht="12.75"/>
    <row r="53709" s="3161" customFormat="1" ht="12.75"/>
    <row r="53710" s="3161" customFormat="1" ht="12.75"/>
    <row r="53711" s="3161" customFormat="1" ht="12.75"/>
    <row r="53712" s="3161" customFormat="1" ht="12.75"/>
    <row r="53713" s="3161" customFormat="1" ht="12.75"/>
    <row r="53714" s="3161" customFormat="1" ht="12.75"/>
    <row r="53715" s="3161" customFormat="1" ht="12.75"/>
    <row r="53716" s="3161" customFormat="1" ht="12.75"/>
    <row r="53717" s="3161" customFormat="1" ht="12.75"/>
    <row r="53718" s="3161" customFormat="1" ht="12.75"/>
    <row r="53719" s="3161" customFormat="1" ht="12.75"/>
    <row r="53720" s="3161" customFormat="1" ht="12.75"/>
    <row r="53721" s="3161" customFormat="1" ht="12.75"/>
    <row r="53722" s="3161" customFormat="1" ht="12.75"/>
    <row r="53723" s="3161" customFormat="1" ht="12.75"/>
    <row r="53724" s="3161" customFormat="1" ht="12.75"/>
    <row r="53725" s="3161" customFormat="1" ht="12.75"/>
    <row r="53726" s="3161" customFormat="1" ht="12.75"/>
    <row r="53727" s="3161" customFormat="1" ht="12.75"/>
    <row r="53728" s="3161" customFormat="1" ht="12.75"/>
    <row r="53729" s="3161" customFormat="1" ht="12.75"/>
    <row r="53730" s="3161" customFormat="1" ht="12.75"/>
    <row r="53731" s="3161" customFormat="1" ht="12.75"/>
    <row r="53732" s="3161" customFormat="1" ht="12.75"/>
    <row r="53733" s="3161" customFormat="1" ht="12.75"/>
    <row r="53734" s="3161" customFormat="1" ht="12.75"/>
    <row r="53735" s="3161" customFormat="1" ht="12.75"/>
    <row r="53736" s="3161" customFormat="1" ht="12.75"/>
    <row r="53737" s="3161" customFormat="1" ht="12.75"/>
    <row r="53738" s="3161" customFormat="1" ht="12.75"/>
    <row r="53739" s="3161" customFormat="1" ht="12.75"/>
    <row r="53740" s="3161" customFormat="1" ht="12.75"/>
    <row r="53741" s="3161" customFormat="1" ht="12.75"/>
    <row r="53742" s="3161" customFormat="1" ht="12.75"/>
    <row r="53743" s="3161" customFormat="1" ht="12.75"/>
    <row r="53744" s="3161" customFormat="1" ht="12.75"/>
    <row r="53745" s="3161" customFormat="1" ht="12.75"/>
    <row r="53746" s="3161" customFormat="1" ht="12.75"/>
    <row r="53747" s="3161" customFormat="1" ht="12.75"/>
    <row r="53748" s="3161" customFormat="1" ht="12.75"/>
    <row r="53749" s="3161" customFormat="1" ht="12.75"/>
    <row r="53750" s="3161" customFormat="1" ht="12.75"/>
    <row r="53751" s="3161" customFormat="1" ht="12.75"/>
    <row r="53752" s="3161" customFormat="1" ht="12.75"/>
    <row r="53753" s="3161" customFormat="1" ht="12.75"/>
    <row r="53754" s="3161" customFormat="1" ht="12.75"/>
    <row r="53755" s="3161" customFormat="1" ht="12.75"/>
    <row r="53756" s="3161" customFormat="1" ht="12.75"/>
    <row r="53757" s="3161" customFormat="1" ht="12.75"/>
    <row r="53758" s="3161" customFormat="1" ht="12.75"/>
    <row r="53759" s="3161" customFormat="1" ht="12.75"/>
    <row r="53760" s="3161" customFormat="1" ht="12.75"/>
    <row r="53761" s="3161" customFormat="1" ht="12.75"/>
    <row r="53762" s="3161" customFormat="1" ht="12.75"/>
    <row r="53763" s="3161" customFormat="1" ht="12.75"/>
    <row r="53764" s="3161" customFormat="1" ht="12.75"/>
    <row r="53765" s="3161" customFormat="1" ht="12.75"/>
    <row r="53766" s="3161" customFormat="1" ht="12.75"/>
    <row r="53767" s="3161" customFormat="1" ht="12.75"/>
    <row r="53768" s="3161" customFormat="1" ht="12.75"/>
    <row r="53769" s="3161" customFormat="1" ht="12.75"/>
    <row r="53770" s="3161" customFormat="1" ht="12.75"/>
    <row r="53771" s="3161" customFormat="1" ht="12.75"/>
    <row r="53772" s="3161" customFormat="1" ht="12.75"/>
    <row r="53773" s="3161" customFormat="1" ht="12.75"/>
    <row r="53774" s="3161" customFormat="1" ht="12.75"/>
    <row r="53775" s="3161" customFormat="1" ht="12.75"/>
    <row r="53776" s="3161" customFormat="1" ht="12.75"/>
    <row r="53777" s="3161" customFormat="1" ht="12.75"/>
    <row r="53778" s="3161" customFormat="1" ht="12.75"/>
    <row r="53779" s="3161" customFormat="1" ht="12.75"/>
    <row r="53780" s="3161" customFormat="1" ht="12.75"/>
    <row r="53781" s="3161" customFormat="1" ht="12.75"/>
    <row r="53782" s="3161" customFormat="1" ht="12.75"/>
    <row r="53783" s="3161" customFormat="1" ht="12.75"/>
    <row r="53784" s="3161" customFormat="1" ht="12.75"/>
    <row r="53785" s="3161" customFormat="1" ht="12.75"/>
    <row r="53786" s="3161" customFormat="1" ht="12.75"/>
    <row r="53787" s="3161" customFormat="1" ht="12.75"/>
    <row r="53788" s="3161" customFormat="1" ht="12.75"/>
    <row r="53789" s="3161" customFormat="1" ht="12.75"/>
    <row r="53790" s="3161" customFormat="1" ht="12.75"/>
    <row r="53791" s="3161" customFormat="1" ht="12.75"/>
    <row r="53792" s="3161" customFormat="1" ht="12.75"/>
    <row r="53793" s="3161" customFormat="1" ht="12.75"/>
    <row r="53794" s="3161" customFormat="1" ht="12.75"/>
    <row r="53795" s="3161" customFormat="1" ht="12.75"/>
    <row r="53796" s="3161" customFormat="1" ht="12.75"/>
    <row r="53797" s="3161" customFormat="1" ht="12.75"/>
    <row r="53798" s="3161" customFormat="1" ht="12.75"/>
    <row r="53799" s="3161" customFormat="1" ht="12.75"/>
    <row r="53800" s="3161" customFormat="1" ht="12.75"/>
    <row r="53801" s="3161" customFormat="1" ht="12.75"/>
    <row r="53802" s="3161" customFormat="1" ht="12.75"/>
    <row r="53803" s="3161" customFormat="1" ht="12.75"/>
    <row r="53804" s="3161" customFormat="1" ht="12.75"/>
    <row r="53805" s="3161" customFormat="1" ht="12.75"/>
    <row r="53806" s="3161" customFormat="1" ht="12.75"/>
    <row r="53807" s="3161" customFormat="1" ht="12.75"/>
    <row r="53808" s="3161" customFormat="1" ht="12.75"/>
    <row r="53809" s="3161" customFormat="1" ht="12.75"/>
    <row r="53810" s="3161" customFormat="1" ht="12.75"/>
    <row r="53811" s="3161" customFormat="1" ht="12.75"/>
    <row r="53812" s="3161" customFormat="1" ht="12.75"/>
    <row r="53813" s="3161" customFormat="1" ht="12.75"/>
    <row r="53814" s="3161" customFormat="1" ht="12.75"/>
    <row r="53815" s="3161" customFormat="1" ht="12.75"/>
    <row r="53816" s="3161" customFormat="1" ht="12.75"/>
    <row r="53817" s="3161" customFormat="1" ht="12.75"/>
    <row r="53818" s="3161" customFormat="1" ht="12.75"/>
    <row r="53819" s="3161" customFormat="1" ht="12.75"/>
    <row r="53820" s="3161" customFormat="1" ht="12.75"/>
    <row r="53821" s="3161" customFormat="1" ht="12.75"/>
    <row r="53822" s="3161" customFormat="1" ht="12.75"/>
    <row r="53823" s="3161" customFormat="1" ht="12.75"/>
    <row r="53824" s="3161" customFormat="1" ht="12.75"/>
    <row r="53825" s="3161" customFormat="1" ht="12.75"/>
    <row r="53826" s="3161" customFormat="1" ht="12.75"/>
    <row r="53827" s="3161" customFormat="1" ht="12.75"/>
    <row r="53828" s="3161" customFormat="1" ht="12.75"/>
    <row r="53829" s="3161" customFormat="1" ht="12.75"/>
    <row r="53830" s="3161" customFormat="1" ht="12.75"/>
    <row r="53831" s="3161" customFormat="1" ht="12.75"/>
    <row r="53832" s="3161" customFormat="1" ht="12.75"/>
    <row r="53833" s="3161" customFormat="1" ht="12.75"/>
    <row r="53834" s="3161" customFormat="1" ht="12.75"/>
    <row r="53835" s="3161" customFormat="1" ht="12.75"/>
    <row r="53836" s="3161" customFormat="1" ht="12.75"/>
    <row r="53837" s="3161" customFormat="1" ht="12.75"/>
    <row r="53838" s="3161" customFormat="1" ht="12.75"/>
    <row r="53839" s="3161" customFormat="1" ht="12.75"/>
    <row r="53840" s="3161" customFormat="1" ht="12.75"/>
    <row r="53841" s="3161" customFormat="1" ht="12.75"/>
    <row r="53842" s="3161" customFormat="1" ht="12.75"/>
    <row r="53843" s="3161" customFormat="1" ht="12.75"/>
    <row r="53844" s="3161" customFormat="1" ht="12.75"/>
    <row r="53845" s="3161" customFormat="1" ht="12.75"/>
    <row r="53846" s="3161" customFormat="1" ht="12.75"/>
    <row r="53847" s="3161" customFormat="1" ht="12.75"/>
    <row r="53848" s="3161" customFormat="1" ht="12.75"/>
    <row r="53849" s="3161" customFormat="1" ht="12.75"/>
    <row r="53850" s="3161" customFormat="1" ht="12.75"/>
    <row r="53851" s="3161" customFormat="1" ht="12.75"/>
    <row r="53852" s="3161" customFormat="1" ht="12.75"/>
    <row r="53853" s="3161" customFormat="1" ht="12.75"/>
    <row r="53854" s="3161" customFormat="1" ht="12.75"/>
    <row r="53855" s="3161" customFormat="1" ht="12.75"/>
    <row r="53856" s="3161" customFormat="1" ht="12.75"/>
    <row r="53857" s="3161" customFormat="1" ht="12.75"/>
    <row r="53858" s="3161" customFormat="1" ht="12.75"/>
    <row r="53859" s="3161" customFormat="1" ht="12.75"/>
    <row r="53860" s="3161" customFormat="1" ht="12.75"/>
    <row r="53861" s="3161" customFormat="1" ht="12.75"/>
    <row r="53862" s="3161" customFormat="1" ht="12.75"/>
    <row r="53863" s="3161" customFormat="1" ht="12.75"/>
    <row r="53864" s="3161" customFormat="1" ht="12.75"/>
    <row r="53865" s="3161" customFormat="1" ht="12.75"/>
    <row r="53866" s="3161" customFormat="1" ht="12.75"/>
    <row r="53867" s="3161" customFormat="1" ht="12.75"/>
    <row r="53868" s="3161" customFormat="1" ht="12.75"/>
    <row r="53869" s="3161" customFormat="1" ht="12.75"/>
    <row r="53870" s="3161" customFormat="1" ht="12.75"/>
    <row r="53871" s="3161" customFormat="1" ht="12.75"/>
    <row r="53872" s="3161" customFormat="1" ht="12.75"/>
    <row r="53873" s="3161" customFormat="1" ht="12.75"/>
    <row r="53874" s="3161" customFormat="1" ht="12.75"/>
    <row r="53875" s="3161" customFormat="1" ht="12.75"/>
    <row r="53876" s="3161" customFormat="1" ht="12.75"/>
    <row r="53877" s="3161" customFormat="1" ht="12.75"/>
    <row r="53878" s="3161" customFormat="1" ht="12.75"/>
    <row r="53879" s="3161" customFormat="1" ht="12.75"/>
    <row r="53880" s="3161" customFormat="1" ht="12.75"/>
    <row r="53881" s="3161" customFormat="1" ht="12.75"/>
    <row r="53882" s="3161" customFormat="1" ht="12.75"/>
    <row r="53883" s="3161" customFormat="1" ht="12.75"/>
    <row r="53884" s="3161" customFormat="1" ht="12.75"/>
    <row r="53885" s="3161" customFormat="1" ht="12.75"/>
    <row r="53886" s="3161" customFormat="1" ht="12.75"/>
    <row r="53887" s="3161" customFormat="1" ht="12.75"/>
    <row r="53888" s="3161" customFormat="1" ht="12.75"/>
    <row r="53889" s="3161" customFormat="1" ht="12.75"/>
    <row r="53890" s="3161" customFormat="1" ht="12.75"/>
    <row r="53891" s="3161" customFormat="1" ht="12.75"/>
    <row r="53892" s="3161" customFormat="1" ht="12.75"/>
    <row r="53893" s="3161" customFormat="1" ht="12.75"/>
    <row r="53894" s="3161" customFormat="1" ht="12.75"/>
    <row r="53895" s="3161" customFormat="1" ht="12.75"/>
    <row r="53896" s="3161" customFormat="1" ht="12.75"/>
    <row r="53897" s="3161" customFormat="1" ht="12.75"/>
    <row r="53898" s="3161" customFormat="1" ht="12.75"/>
    <row r="53899" s="3161" customFormat="1" ht="12.75"/>
    <row r="53900" s="3161" customFormat="1" ht="12.75"/>
    <row r="53901" s="3161" customFormat="1" ht="12.75"/>
    <row r="53902" s="3161" customFormat="1" ht="12.75"/>
    <row r="53903" s="3161" customFormat="1" ht="12.75"/>
    <row r="53904" s="3161" customFormat="1" ht="12.75"/>
    <row r="53905" s="3161" customFormat="1" ht="12.75"/>
    <row r="53906" s="3161" customFormat="1" ht="12.75"/>
    <row r="53907" s="3161" customFormat="1" ht="12.75"/>
    <row r="53908" s="3161" customFormat="1" ht="12.75"/>
    <row r="53909" s="3161" customFormat="1" ht="12.75"/>
    <row r="53910" s="3161" customFormat="1" ht="12.75"/>
    <row r="53911" s="3161" customFormat="1" ht="12.75"/>
    <row r="53912" s="3161" customFormat="1" ht="12.75"/>
    <row r="53913" s="3161" customFormat="1" ht="12.75"/>
    <row r="53914" s="3161" customFormat="1" ht="12.75"/>
    <row r="53915" s="3161" customFormat="1" ht="12.75"/>
    <row r="53916" s="3161" customFormat="1" ht="12.75"/>
    <row r="53917" s="3161" customFormat="1" ht="12.75"/>
    <row r="53918" s="3161" customFormat="1" ht="12.75"/>
    <row r="53919" s="3161" customFormat="1" ht="12.75"/>
    <row r="53920" s="3161" customFormat="1" ht="12.75"/>
    <row r="53921" s="3161" customFormat="1" ht="12.75"/>
    <row r="53922" s="3161" customFormat="1" ht="12.75"/>
    <row r="53923" s="3161" customFormat="1" ht="12.75"/>
    <row r="53924" s="3161" customFormat="1" ht="12.75"/>
    <row r="53925" s="3161" customFormat="1" ht="12.75"/>
    <row r="53926" s="3161" customFormat="1" ht="12.75"/>
    <row r="53927" s="3161" customFormat="1" ht="12.75"/>
    <row r="53928" s="3161" customFormat="1" ht="12.75"/>
    <row r="53929" s="3161" customFormat="1" ht="12.75"/>
    <row r="53930" s="3161" customFormat="1" ht="12.75"/>
    <row r="53931" s="3161" customFormat="1" ht="12.75"/>
    <row r="53932" s="3161" customFormat="1" ht="12.75"/>
    <row r="53933" s="3161" customFormat="1" ht="12.75"/>
    <row r="53934" s="3161" customFormat="1" ht="12.75"/>
    <row r="53935" s="3161" customFormat="1" ht="12.75"/>
    <row r="53936" s="3161" customFormat="1" ht="12.75"/>
    <row r="53937" s="3161" customFormat="1" ht="12.75"/>
    <row r="53938" s="3161" customFormat="1" ht="12.75"/>
    <row r="53939" s="3161" customFormat="1" ht="12.75"/>
    <row r="53940" s="3161" customFormat="1" ht="12.75"/>
    <row r="53941" s="3161" customFormat="1" ht="12.75"/>
    <row r="53942" s="3161" customFormat="1" ht="12.75"/>
    <row r="53943" s="3161" customFormat="1" ht="12.75"/>
    <row r="53944" s="3161" customFormat="1" ht="12.75"/>
    <row r="53945" s="3161" customFormat="1" ht="12.75"/>
    <row r="53946" s="3161" customFormat="1" ht="12.75"/>
    <row r="53947" s="3161" customFormat="1" ht="12.75"/>
    <row r="53948" s="3161" customFormat="1" ht="12.75"/>
    <row r="53949" s="3161" customFormat="1" ht="12.75"/>
    <row r="53950" s="3161" customFormat="1" ht="12.75"/>
    <row r="53951" s="3161" customFormat="1" ht="12.75"/>
    <row r="53952" s="3161" customFormat="1" ht="12.75"/>
    <row r="53953" s="3161" customFormat="1" ht="12.75"/>
    <row r="53954" s="3161" customFormat="1" ht="12.75"/>
    <row r="53955" s="3161" customFormat="1" ht="12.75"/>
    <row r="53956" s="3161" customFormat="1" ht="12.75"/>
    <row r="53957" s="3161" customFormat="1" ht="12.75"/>
    <row r="53958" s="3161" customFormat="1" ht="12.75"/>
    <row r="53959" s="3161" customFormat="1" ht="12.75"/>
    <row r="53960" s="3161" customFormat="1" ht="12.75"/>
    <row r="53961" s="3161" customFormat="1" ht="12.75"/>
    <row r="53962" s="3161" customFormat="1" ht="12.75"/>
    <row r="53963" s="3161" customFormat="1" ht="12.75"/>
    <row r="53964" s="3161" customFormat="1" ht="12.75"/>
    <row r="53965" s="3161" customFormat="1" ht="12.75"/>
    <row r="53966" s="3161" customFormat="1" ht="12.75"/>
    <row r="53967" s="3161" customFormat="1" ht="12.75"/>
    <row r="53968" s="3161" customFormat="1" ht="12.75"/>
    <row r="53969" s="3161" customFormat="1" ht="12.75"/>
    <row r="53970" s="3161" customFormat="1" ht="12.75"/>
    <row r="53971" s="3161" customFormat="1" ht="12.75"/>
    <row r="53972" s="3161" customFormat="1" ht="12.75"/>
    <row r="53973" s="3161" customFormat="1" ht="12.75"/>
    <row r="53974" s="3161" customFormat="1" ht="12.75"/>
    <row r="53975" s="3161" customFormat="1" ht="12.75"/>
    <row r="53976" s="3161" customFormat="1" ht="12.75"/>
    <row r="53977" s="3161" customFormat="1" ht="12.75"/>
    <row r="53978" s="3161" customFormat="1" ht="12.75"/>
    <row r="53979" s="3161" customFormat="1" ht="12.75"/>
    <row r="53980" s="3161" customFormat="1" ht="12.75"/>
    <row r="53981" s="3161" customFormat="1" ht="12.75"/>
    <row r="53982" s="3161" customFormat="1" ht="12.75"/>
    <row r="53983" s="3161" customFormat="1" ht="12.75"/>
    <row r="53984" s="3161" customFormat="1" ht="12.75"/>
    <row r="53985" s="3161" customFormat="1" ht="12.75"/>
    <row r="53986" s="3161" customFormat="1" ht="12.75"/>
    <row r="53987" s="3161" customFormat="1" ht="12.75"/>
    <row r="53988" s="3161" customFormat="1" ht="12.75"/>
    <row r="53989" s="3161" customFormat="1" ht="12.75"/>
    <row r="53990" s="3161" customFormat="1" ht="12.75"/>
    <row r="53991" s="3161" customFormat="1" ht="12.75"/>
    <row r="53992" s="3161" customFormat="1" ht="12.75"/>
    <row r="53993" s="3161" customFormat="1" ht="12.75"/>
    <row r="53994" s="3161" customFormat="1" ht="12.75"/>
    <row r="53995" s="3161" customFormat="1" ht="12.75"/>
    <row r="53996" s="3161" customFormat="1" ht="12.75"/>
    <row r="53997" s="3161" customFormat="1" ht="12.75"/>
    <row r="53998" s="3161" customFormat="1" ht="12.75"/>
    <row r="53999" s="3161" customFormat="1" ht="12.75"/>
    <row r="54000" s="3161" customFormat="1" ht="12.75"/>
    <row r="54001" s="3161" customFormat="1" ht="12.75"/>
    <row r="54002" s="3161" customFormat="1" ht="12.75"/>
    <row r="54003" s="3161" customFormat="1" ht="12.75"/>
    <row r="54004" s="3161" customFormat="1" ht="12.75"/>
    <row r="54005" s="3161" customFormat="1" ht="12.75"/>
    <row r="54006" s="3161" customFormat="1" ht="12.75"/>
    <row r="54007" s="3161" customFormat="1" ht="12.75"/>
    <row r="54008" s="3161" customFormat="1" ht="12.75"/>
    <row r="54009" s="3161" customFormat="1" ht="12.75"/>
    <row r="54010" s="3161" customFormat="1" ht="12.75"/>
    <row r="54011" s="3161" customFormat="1" ht="12.75"/>
    <row r="54012" s="3161" customFormat="1" ht="12.75"/>
    <row r="54013" s="3161" customFormat="1" ht="12.75"/>
    <row r="54014" s="3161" customFormat="1" ht="12.75"/>
    <row r="54015" s="3161" customFormat="1" ht="12.75"/>
    <row r="54016" s="3161" customFormat="1" ht="12.75"/>
    <row r="54017" s="3161" customFormat="1" ht="12.75"/>
    <row r="54018" s="3161" customFormat="1" ht="12.75"/>
    <row r="54019" s="3161" customFormat="1" ht="12.75"/>
    <row r="54020" s="3161" customFormat="1" ht="12.75"/>
    <row r="54021" s="3161" customFormat="1" ht="12.75"/>
    <row r="54022" s="3161" customFormat="1" ht="12.75"/>
    <row r="54023" s="3161" customFormat="1" ht="12.75"/>
    <row r="54024" s="3161" customFormat="1" ht="12.75"/>
    <row r="54025" s="3161" customFormat="1" ht="12.75"/>
    <row r="54026" s="3161" customFormat="1" ht="12.75"/>
    <row r="54027" s="3161" customFormat="1" ht="12.75"/>
    <row r="54028" s="3161" customFormat="1" ht="12.75"/>
    <row r="54029" s="3161" customFormat="1" ht="12.75"/>
    <row r="54030" s="3161" customFormat="1" ht="12.75"/>
    <row r="54031" s="3161" customFormat="1" ht="12.75"/>
    <row r="54032" s="3161" customFormat="1" ht="12.75"/>
    <row r="54033" s="3161" customFormat="1" ht="12.75"/>
    <row r="54034" s="3161" customFormat="1" ht="12.75"/>
    <row r="54035" s="3161" customFormat="1" ht="12.75"/>
    <row r="54036" s="3161" customFormat="1" ht="12.75"/>
    <row r="54037" s="3161" customFormat="1" ht="12.75"/>
    <row r="54038" s="3161" customFormat="1" ht="12.75"/>
    <row r="54039" s="3161" customFormat="1" ht="12.75"/>
    <row r="54040" s="3161" customFormat="1" ht="12.75"/>
    <row r="54041" s="3161" customFormat="1" ht="12.75"/>
    <row r="54042" s="3161" customFormat="1" ht="12.75"/>
    <row r="54043" s="3161" customFormat="1" ht="12.75"/>
    <row r="54044" s="3161" customFormat="1" ht="12.75"/>
    <row r="54045" s="3161" customFormat="1" ht="12.75"/>
    <row r="54046" s="3161" customFormat="1" ht="12.75"/>
    <row r="54047" s="3161" customFormat="1" ht="12.75"/>
    <row r="54048" s="3161" customFormat="1" ht="12.75"/>
    <row r="54049" s="3161" customFormat="1" ht="12.75"/>
    <row r="54050" s="3161" customFormat="1" ht="12.75"/>
    <row r="54051" s="3161" customFormat="1" ht="12.75"/>
    <row r="54052" s="3161" customFormat="1" ht="12.75"/>
    <row r="54053" s="3161" customFormat="1" ht="12.75"/>
    <row r="54054" s="3161" customFormat="1" ht="12.75"/>
    <row r="54055" s="3161" customFormat="1" ht="12.75"/>
    <row r="54056" s="3161" customFormat="1" ht="12.75"/>
    <row r="54057" s="3161" customFormat="1" ht="12.75"/>
    <row r="54058" s="3161" customFormat="1" ht="12.75"/>
    <row r="54059" s="3161" customFormat="1" ht="12.75"/>
    <row r="54060" s="3161" customFormat="1" ht="12.75"/>
    <row r="54061" s="3161" customFormat="1" ht="12.75"/>
    <row r="54062" s="3161" customFormat="1" ht="12.75"/>
    <row r="54063" s="3161" customFormat="1" ht="12.75"/>
    <row r="54064" s="3161" customFormat="1" ht="12.75"/>
    <row r="54065" s="3161" customFormat="1" ht="12.75"/>
    <row r="54066" s="3161" customFormat="1" ht="12.75"/>
    <row r="54067" s="3161" customFormat="1" ht="12.75"/>
    <row r="54068" s="3161" customFormat="1" ht="12.75"/>
    <row r="54069" s="3161" customFormat="1" ht="12.75"/>
    <row r="54070" s="3161" customFormat="1" ht="12.75"/>
    <row r="54071" s="3161" customFormat="1" ht="12.75"/>
    <row r="54072" s="3161" customFormat="1" ht="12.75"/>
    <row r="54073" s="3161" customFormat="1" ht="12.75"/>
    <row r="54074" s="3161" customFormat="1" ht="12.75"/>
    <row r="54075" s="3161" customFormat="1" ht="12.75"/>
    <row r="54076" s="3161" customFormat="1" ht="12.75"/>
    <row r="54077" s="3161" customFormat="1" ht="12.75"/>
    <row r="54078" s="3161" customFormat="1" ht="12.75"/>
    <row r="54079" s="3161" customFormat="1" ht="12.75"/>
    <row r="54080" s="3161" customFormat="1" ht="12.75"/>
    <row r="54081" s="3161" customFormat="1" ht="12.75"/>
    <row r="54082" s="3161" customFormat="1" ht="12.75"/>
    <row r="54083" s="3161" customFormat="1" ht="12.75"/>
    <row r="54084" s="3161" customFormat="1" ht="12.75"/>
    <row r="54085" s="3161" customFormat="1" ht="12.75"/>
    <row r="54086" s="3161" customFormat="1" ht="12.75"/>
    <row r="54087" s="3161" customFormat="1" ht="12.75"/>
    <row r="54088" s="3161" customFormat="1" ht="12.75"/>
    <row r="54089" s="3161" customFormat="1" ht="12.75"/>
    <row r="54090" s="3161" customFormat="1" ht="12.75"/>
    <row r="54091" s="3161" customFormat="1" ht="12.75"/>
    <row r="54092" s="3161" customFormat="1" ht="12.75"/>
    <row r="54093" s="3161" customFormat="1" ht="12.75"/>
    <row r="54094" s="3161" customFormat="1" ht="12.75"/>
    <row r="54095" s="3161" customFormat="1" ht="12.75"/>
    <row r="54096" s="3161" customFormat="1" ht="12.75"/>
    <row r="54097" s="3161" customFormat="1" ht="12.75"/>
    <row r="54098" s="3161" customFormat="1" ht="12.75"/>
    <row r="54099" s="3161" customFormat="1" ht="12.75"/>
    <row r="54100" s="3161" customFormat="1" ht="12.75"/>
    <row r="54101" s="3161" customFormat="1" ht="12.75"/>
    <row r="54102" s="3161" customFormat="1" ht="12.75"/>
    <row r="54103" s="3161" customFormat="1" ht="12.75"/>
    <row r="54104" s="3161" customFormat="1" ht="12.75"/>
    <row r="54105" s="3161" customFormat="1" ht="12.75"/>
    <row r="54106" s="3161" customFormat="1" ht="12.75"/>
    <row r="54107" s="3161" customFormat="1" ht="12.75"/>
    <row r="54108" s="3161" customFormat="1" ht="12.75"/>
    <row r="54109" s="3161" customFormat="1" ht="12.75"/>
    <row r="54110" s="3161" customFormat="1" ht="12.75"/>
    <row r="54111" s="3161" customFormat="1" ht="12.75"/>
    <row r="54112" s="3161" customFormat="1" ht="12.75"/>
    <row r="54113" s="3161" customFormat="1" ht="12.75"/>
    <row r="54114" s="3161" customFormat="1" ht="12.75"/>
    <row r="54115" s="3161" customFormat="1" ht="12.75"/>
    <row r="54116" s="3161" customFormat="1" ht="12.75"/>
    <row r="54117" s="3161" customFormat="1" ht="12.75"/>
    <row r="54118" s="3161" customFormat="1" ht="12.75"/>
    <row r="54119" s="3161" customFormat="1" ht="12.75"/>
    <row r="54120" s="3161" customFormat="1" ht="12.75"/>
    <row r="54121" s="3161" customFormat="1" ht="12.75"/>
    <row r="54122" s="3161" customFormat="1" ht="12.75"/>
    <row r="54123" s="3161" customFormat="1" ht="12.75"/>
    <row r="54124" s="3161" customFormat="1" ht="12.75"/>
    <row r="54125" s="3161" customFormat="1" ht="12.75"/>
    <row r="54126" s="3161" customFormat="1" ht="12.75"/>
    <row r="54127" s="3161" customFormat="1" ht="12.75"/>
    <row r="54128" s="3161" customFormat="1" ht="12.75"/>
    <row r="54129" s="3161" customFormat="1" ht="12.75"/>
    <row r="54130" s="3161" customFormat="1" ht="12.75"/>
    <row r="54131" s="3161" customFormat="1" ht="12.75"/>
    <row r="54132" s="3161" customFormat="1" ht="12.75"/>
    <row r="54133" s="3161" customFormat="1" ht="12.75"/>
    <row r="54134" s="3161" customFormat="1" ht="12.75"/>
    <row r="54135" s="3161" customFormat="1" ht="12.75"/>
    <row r="54136" s="3161" customFormat="1" ht="12.75"/>
    <row r="54137" s="3161" customFormat="1" ht="12.75"/>
    <row r="54138" s="3161" customFormat="1" ht="12.75"/>
    <row r="54139" s="3161" customFormat="1" ht="12.75"/>
    <row r="54140" s="3161" customFormat="1" ht="12.75"/>
    <row r="54141" s="3161" customFormat="1" ht="12.75"/>
    <row r="54142" s="3161" customFormat="1" ht="12.75"/>
    <row r="54143" s="3161" customFormat="1" ht="12.75"/>
    <row r="54144" s="3161" customFormat="1" ht="12.75"/>
    <row r="54145" s="3161" customFormat="1" ht="12.75"/>
    <row r="54146" s="3161" customFormat="1" ht="12.75"/>
    <row r="54147" s="3161" customFormat="1" ht="12.75"/>
    <row r="54148" s="3161" customFormat="1" ht="12.75"/>
    <row r="54149" s="3161" customFormat="1" ht="12.75"/>
    <row r="54150" s="3161" customFormat="1" ht="12.75"/>
    <row r="54151" s="3161" customFormat="1" ht="12.75"/>
    <row r="54152" s="3161" customFormat="1" ht="12.75"/>
    <row r="54153" s="3161" customFormat="1" ht="12.75"/>
    <row r="54154" s="3161" customFormat="1" ht="12.75"/>
    <row r="54155" s="3161" customFormat="1" ht="12.75"/>
    <row r="54156" s="3161" customFormat="1" ht="12.75"/>
    <row r="54157" s="3161" customFormat="1" ht="12.75"/>
    <row r="54158" s="3161" customFormat="1" ht="12.75"/>
    <row r="54159" s="3161" customFormat="1" ht="12.75"/>
    <row r="54160" s="3161" customFormat="1" ht="12.75"/>
    <row r="54161" s="3161" customFormat="1" ht="12.75"/>
    <row r="54162" s="3161" customFormat="1" ht="12.75"/>
    <row r="54163" s="3161" customFormat="1" ht="12.75"/>
    <row r="54164" s="3161" customFormat="1" ht="12.75"/>
    <row r="54165" s="3161" customFormat="1" ht="12.75"/>
    <row r="54166" s="3161" customFormat="1" ht="12.75"/>
    <row r="54167" s="3161" customFormat="1" ht="12.75"/>
    <row r="54168" s="3161" customFormat="1" ht="12.75"/>
    <row r="54169" s="3161" customFormat="1" ht="12.75"/>
    <row r="54170" s="3161" customFormat="1" ht="12.75"/>
    <row r="54171" s="3161" customFormat="1" ht="12.75"/>
    <row r="54172" s="3161" customFormat="1" ht="12.75"/>
    <row r="54173" s="3161" customFormat="1" ht="12.75"/>
    <row r="54174" s="3161" customFormat="1" ht="12.75"/>
    <row r="54175" s="3161" customFormat="1" ht="12.75"/>
    <row r="54176" s="3161" customFormat="1" ht="12.75"/>
    <row r="54177" s="3161" customFormat="1" ht="12.75"/>
    <row r="54178" s="3161" customFormat="1" ht="12.75"/>
    <row r="54179" s="3161" customFormat="1" ht="12.75"/>
    <row r="54180" s="3161" customFormat="1" ht="12.75"/>
    <row r="54181" s="3161" customFormat="1" ht="12.75"/>
    <row r="54182" s="3161" customFormat="1" ht="12.75"/>
    <row r="54183" s="3161" customFormat="1" ht="12.75"/>
    <row r="54184" s="3161" customFormat="1" ht="12.75"/>
    <row r="54185" s="3161" customFormat="1" ht="12.75"/>
    <row r="54186" s="3161" customFormat="1" ht="12.75"/>
    <row r="54187" s="3161" customFormat="1" ht="12.75"/>
    <row r="54188" s="3161" customFormat="1" ht="12.75"/>
    <row r="54189" s="3161" customFormat="1" ht="12.75"/>
    <row r="54190" s="3161" customFormat="1" ht="12.75"/>
    <row r="54191" s="3161" customFormat="1" ht="12.75"/>
    <row r="54192" s="3161" customFormat="1" ht="12.75"/>
    <row r="54193" s="3161" customFormat="1" ht="12.75"/>
    <row r="54194" s="3161" customFormat="1" ht="12.75"/>
    <row r="54195" s="3161" customFormat="1" ht="12.75"/>
    <row r="54196" s="3161" customFormat="1" ht="12.75"/>
    <row r="54197" s="3161" customFormat="1" ht="12.75"/>
    <row r="54198" s="3161" customFormat="1" ht="12.75"/>
    <row r="54199" s="3161" customFormat="1" ht="12.75"/>
    <row r="54200" s="3161" customFormat="1" ht="12.75"/>
    <row r="54201" s="3161" customFormat="1" ht="12.75"/>
    <row r="54202" s="3161" customFormat="1" ht="12.75"/>
    <row r="54203" s="3161" customFormat="1" ht="12.75"/>
    <row r="54204" s="3161" customFormat="1" ht="12.75"/>
    <row r="54205" s="3161" customFormat="1" ht="12.75"/>
    <row r="54206" s="3161" customFormat="1" ht="12.75"/>
    <row r="54207" s="3161" customFormat="1" ht="12.75"/>
    <row r="54208" s="3161" customFormat="1" ht="12.75"/>
    <row r="54209" s="3161" customFormat="1" ht="12.75"/>
    <row r="54210" s="3161" customFormat="1" ht="12.75"/>
    <row r="54211" s="3161" customFormat="1" ht="12.75"/>
    <row r="54212" s="3161" customFormat="1" ht="12.75"/>
    <row r="54213" s="3161" customFormat="1" ht="12.75"/>
    <row r="54214" s="3161" customFormat="1" ht="12.75"/>
    <row r="54215" s="3161" customFormat="1" ht="12.75"/>
    <row r="54216" s="3161" customFormat="1" ht="12.75"/>
    <row r="54217" s="3161" customFormat="1" ht="12.75"/>
    <row r="54218" s="3161" customFormat="1" ht="12.75"/>
    <row r="54219" s="3161" customFormat="1" ht="12.75"/>
    <row r="54220" s="3161" customFormat="1" ht="12.75"/>
    <row r="54221" s="3161" customFormat="1" ht="12.75"/>
    <row r="54222" s="3161" customFormat="1" ht="12.75"/>
    <row r="54223" s="3161" customFormat="1" ht="12.75"/>
    <row r="54224" s="3161" customFormat="1" ht="12.75"/>
    <row r="54225" s="3161" customFormat="1" ht="12.75"/>
    <row r="54226" s="3161" customFormat="1" ht="12.75"/>
    <row r="54227" s="3161" customFormat="1" ht="12.75"/>
    <row r="54228" s="3161" customFormat="1" ht="12.75"/>
    <row r="54229" s="3161" customFormat="1" ht="12.75"/>
    <row r="54230" s="3161" customFormat="1" ht="12.75"/>
    <row r="54231" s="3161" customFormat="1" ht="12.75"/>
    <row r="54232" s="3161" customFormat="1" ht="12.75"/>
    <row r="54233" s="3161" customFormat="1" ht="12.75"/>
    <row r="54234" s="3161" customFormat="1" ht="12.75"/>
    <row r="54235" s="3161" customFormat="1" ht="12.75"/>
    <row r="54236" s="3161" customFormat="1" ht="12.75"/>
    <row r="54237" s="3161" customFormat="1" ht="12.75"/>
    <row r="54238" s="3161" customFormat="1" ht="12.75"/>
    <row r="54239" s="3161" customFormat="1" ht="12.75"/>
    <row r="54240" s="3161" customFormat="1" ht="12.75"/>
    <row r="54241" s="3161" customFormat="1" ht="12.75"/>
    <row r="54242" s="3161" customFormat="1" ht="12.75"/>
    <row r="54243" s="3161" customFormat="1" ht="12.75"/>
    <row r="54244" s="3161" customFormat="1" ht="12.75"/>
    <row r="54245" s="3161" customFormat="1" ht="12.75"/>
    <row r="54246" s="3161" customFormat="1" ht="12.75"/>
    <row r="54247" s="3161" customFormat="1" ht="12.75"/>
    <row r="54248" s="3161" customFormat="1" ht="12.75"/>
    <row r="54249" s="3161" customFormat="1" ht="12.75"/>
    <row r="54250" s="3161" customFormat="1" ht="12.75"/>
    <row r="54251" s="3161" customFormat="1" ht="12.75"/>
    <row r="54252" s="3161" customFormat="1" ht="12.75"/>
    <row r="54253" s="3161" customFormat="1" ht="12.75"/>
    <row r="54254" s="3161" customFormat="1" ht="12.75"/>
    <row r="54255" s="3161" customFormat="1" ht="12.75"/>
    <row r="54256" s="3161" customFormat="1" ht="12.75"/>
    <row r="54257" s="3161" customFormat="1" ht="12.75"/>
    <row r="54258" s="3161" customFormat="1" ht="12.75"/>
    <row r="54259" s="3161" customFormat="1" ht="12.75"/>
    <row r="54260" s="3161" customFormat="1" ht="12.75"/>
    <row r="54261" s="3161" customFormat="1" ht="12.75"/>
    <row r="54262" s="3161" customFormat="1" ht="12.75"/>
    <row r="54263" s="3161" customFormat="1" ht="12.75"/>
    <row r="54264" s="3161" customFormat="1" ht="12.75"/>
    <row r="54265" s="3161" customFormat="1" ht="12.75"/>
    <row r="54266" s="3161" customFormat="1" ht="12.75"/>
    <row r="54267" s="3161" customFormat="1" ht="12.75"/>
    <row r="54268" s="3161" customFormat="1" ht="12.75"/>
    <row r="54269" s="3161" customFormat="1" ht="12.75"/>
    <row r="54270" s="3161" customFormat="1" ht="12.75"/>
    <row r="54271" s="3161" customFormat="1" ht="12.75"/>
    <row r="54272" s="3161" customFormat="1" ht="12.75"/>
    <row r="54273" s="3161" customFormat="1" ht="12.75"/>
    <row r="54274" s="3161" customFormat="1" ht="12.75"/>
    <row r="54275" s="3161" customFormat="1" ht="12.75"/>
    <row r="54276" s="3161" customFormat="1" ht="12.75"/>
    <row r="54277" s="3161" customFormat="1" ht="12.75"/>
    <row r="54278" s="3161" customFormat="1" ht="12.75"/>
    <row r="54279" s="3161" customFormat="1" ht="12.75"/>
    <row r="54280" s="3161" customFormat="1" ht="12.75"/>
    <row r="54281" s="3161" customFormat="1" ht="12.75"/>
    <row r="54282" s="3161" customFormat="1" ht="12.75"/>
    <row r="54283" s="3161" customFormat="1" ht="12.75"/>
    <row r="54284" s="3161" customFormat="1" ht="12.75"/>
    <row r="54285" s="3161" customFormat="1" ht="12.75"/>
    <row r="54286" s="3161" customFormat="1" ht="12.75"/>
    <row r="54287" s="3161" customFormat="1" ht="12.75"/>
    <row r="54288" s="3161" customFormat="1" ht="12.75"/>
    <row r="54289" s="3161" customFormat="1" ht="12.75"/>
    <row r="54290" s="3161" customFormat="1" ht="12.75"/>
    <row r="54291" s="3161" customFormat="1" ht="12.75"/>
    <row r="54292" s="3161" customFormat="1" ht="12.75"/>
    <row r="54293" s="3161" customFormat="1" ht="12.75"/>
    <row r="54294" s="3161" customFormat="1" ht="12.75"/>
    <row r="54295" s="3161" customFormat="1" ht="12.75"/>
    <row r="54296" s="3161" customFormat="1" ht="12.75"/>
    <row r="54297" s="3161" customFormat="1" ht="12.75"/>
    <row r="54298" s="3161" customFormat="1" ht="12.75"/>
    <row r="54299" s="3161" customFormat="1" ht="12.75"/>
    <row r="54300" s="3161" customFormat="1" ht="12.75"/>
    <row r="54301" s="3161" customFormat="1" ht="12.75"/>
    <row r="54302" s="3161" customFormat="1" ht="12.75"/>
    <row r="54303" s="3161" customFormat="1" ht="12.75"/>
    <row r="54304" s="3161" customFormat="1" ht="12.75"/>
    <row r="54305" s="3161" customFormat="1" ht="12.75"/>
    <row r="54306" s="3161" customFormat="1" ht="12.75"/>
    <row r="54307" s="3161" customFormat="1" ht="12.75"/>
    <row r="54308" s="3161" customFormat="1" ht="12.75"/>
    <row r="54309" s="3161" customFormat="1" ht="12.75"/>
    <row r="54310" s="3161" customFormat="1" ht="12.75"/>
    <row r="54311" s="3161" customFormat="1" ht="12.75"/>
    <row r="54312" s="3161" customFormat="1" ht="12.75"/>
    <row r="54313" s="3161" customFormat="1" ht="12.75"/>
    <row r="54314" s="3161" customFormat="1" ht="12.75"/>
    <row r="54315" s="3161" customFormat="1" ht="12.75"/>
    <row r="54316" s="3161" customFormat="1" ht="12.75"/>
    <row r="54317" s="3161" customFormat="1" ht="12.75"/>
    <row r="54318" s="3161" customFormat="1" ht="12.75"/>
    <row r="54319" s="3161" customFormat="1" ht="12.75"/>
    <row r="54320" s="3161" customFormat="1" ht="12.75"/>
    <row r="54321" s="3161" customFormat="1" ht="12.75"/>
    <row r="54322" s="3161" customFormat="1" ht="12.75"/>
    <row r="54323" s="3161" customFormat="1" ht="12.75"/>
    <row r="54324" s="3161" customFormat="1" ht="12.75"/>
    <row r="54325" s="3161" customFormat="1" ht="12.75"/>
    <row r="54326" s="3161" customFormat="1" ht="12.75"/>
    <row r="54327" s="3161" customFormat="1" ht="12.75"/>
    <row r="54328" s="3161" customFormat="1" ht="12.75"/>
    <row r="54329" s="3161" customFormat="1" ht="12.75"/>
    <row r="54330" s="3161" customFormat="1" ht="12.75"/>
    <row r="54331" s="3161" customFormat="1" ht="12.75"/>
    <row r="54332" s="3161" customFormat="1" ht="12.75"/>
    <row r="54333" s="3161" customFormat="1" ht="12.75"/>
    <row r="54334" s="3161" customFormat="1" ht="12.75"/>
    <row r="54335" s="3161" customFormat="1" ht="12.75"/>
    <row r="54336" s="3161" customFormat="1" ht="12.75"/>
    <row r="54337" s="3161" customFormat="1" ht="12.75"/>
    <row r="54338" s="3161" customFormat="1" ht="12.75"/>
    <row r="54339" s="3161" customFormat="1" ht="12.75"/>
    <row r="54340" s="3161" customFormat="1" ht="12.75"/>
    <row r="54341" s="3161" customFormat="1" ht="12.75"/>
    <row r="54342" s="3161" customFormat="1" ht="12.75"/>
    <row r="54343" s="3161" customFormat="1" ht="12.75"/>
    <row r="54344" s="3161" customFormat="1" ht="12.75"/>
    <row r="54345" s="3161" customFormat="1" ht="12.75"/>
    <row r="54346" s="3161" customFormat="1" ht="12.75"/>
    <row r="54347" s="3161" customFormat="1" ht="12.75"/>
    <row r="54348" s="3161" customFormat="1" ht="12.75"/>
    <row r="54349" s="3161" customFormat="1" ht="12.75"/>
    <row r="54350" s="3161" customFormat="1" ht="12.75"/>
    <row r="54351" s="3161" customFormat="1" ht="12.75"/>
    <row r="54352" s="3161" customFormat="1" ht="12.75"/>
    <row r="54353" s="3161" customFormat="1" ht="12.75"/>
    <row r="54354" s="3161" customFormat="1" ht="12.75"/>
    <row r="54355" s="3161" customFormat="1" ht="12.75"/>
    <row r="54356" s="3161" customFormat="1" ht="12.75"/>
    <row r="54357" s="3161" customFormat="1" ht="12.75"/>
    <row r="54358" s="3161" customFormat="1" ht="12.75"/>
    <row r="54359" s="3161" customFormat="1" ht="12.75"/>
    <row r="54360" s="3161" customFormat="1" ht="12.75"/>
    <row r="54361" s="3161" customFormat="1" ht="12.75"/>
    <row r="54362" s="3161" customFormat="1" ht="12.75"/>
    <row r="54363" s="3161" customFormat="1" ht="12.75"/>
    <row r="54364" s="3161" customFormat="1" ht="12.75"/>
    <row r="54365" s="3161" customFormat="1" ht="12.75"/>
    <row r="54366" s="3161" customFormat="1" ht="12.75"/>
    <row r="54367" s="3161" customFormat="1" ht="12.75"/>
    <row r="54368" s="3161" customFormat="1" ht="12.75"/>
    <row r="54369" s="3161" customFormat="1" ht="12.75"/>
    <row r="54370" s="3161" customFormat="1" ht="12.75"/>
    <row r="54371" s="3161" customFormat="1" ht="12.75"/>
    <row r="54372" s="3161" customFormat="1" ht="12.75"/>
    <row r="54373" s="3161" customFormat="1" ht="12.75"/>
    <row r="54374" s="3161" customFormat="1" ht="12.75"/>
    <row r="54375" s="3161" customFormat="1" ht="12.75"/>
    <row r="54376" s="3161" customFormat="1" ht="12.75"/>
    <row r="54377" s="3161" customFormat="1" ht="12.75"/>
    <row r="54378" s="3161" customFormat="1" ht="12.75"/>
    <row r="54379" s="3161" customFormat="1" ht="12.75"/>
    <row r="54380" s="3161" customFormat="1" ht="12.75"/>
    <row r="54381" s="3161" customFormat="1" ht="12.75"/>
    <row r="54382" s="3161" customFormat="1" ht="12.75"/>
    <row r="54383" s="3161" customFormat="1" ht="12.75"/>
    <row r="54384" s="3161" customFormat="1" ht="12.75"/>
    <row r="54385" s="3161" customFormat="1" ht="12.75"/>
    <row r="54386" s="3161" customFormat="1" ht="12.75"/>
    <row r="54387" s="3161" customFormat="1" ht="12.75"/>
    <row r="54388" s="3161" customFormat="1" ht="12.75"/>
    <row r="54389" s="3161" customFormat="1" ht="12.75"/>
    <row r="54390" s="3161" customFormat="1" ht="12.75"/>
    <row r="54391" s="3161" customFormat="1" ht="12.75"/>
    <row r="54392" s="3161" customFormat="1" ht="12.75"/>
    <row r="54393" s="3161" customFormat="1" ht="12.75"/>
    <row r="54394" s="3161" customFormat="1" ht="12.75"/>
    <row r="54395" s="3161" customFormat="1" ht="12.75"/>
    <row r="54396" s="3161" customFormat="1" ht="12.75"/>
    <row r="54397" s="3161" customFormat="1" ht="12.75"/>
    <row r="54398" s="3161" customFormat="1" ht="12.75"/>
    <row r="54399" s="3161" customFormat="1" ht="12.75"/>
    <row r="54400" s="3161" customFormat="1" ht="12.75"/>
    <row r="54401" s="3161" customFormat="1" ht="12.75"/>
    <row r="54402" s="3161" customFormat="1" ht="12.75"/>
    <row r="54403" s="3161" customFormat="1" ht="12.75"/>
    <row r="54404" s="3161" customFormat="1" ht="12.75"/>
    <row r="54405" s="3161" customFormat="1" ht="12.75"/>
    <row r="54406" s="3161" customFormat="1" ht="12.75"/>
    <row r="54407" s="3161" customFormat="1" ht="12.75"/>
    <row r="54408" s="3161" customFormat="1" ht="12.75"/>
    <row r="54409" s="3161" customFormat="1" ht="12.75"/>
    <row r="54410" s="3161" customFormat="1" ht="12.75"/>
    <row r="54411" s="3161" customFormat="1" ht="12.75"/>
    <row r="54412" s="3161" customFormat="1" ht="12.75"/>
    <row r="54413" s="3161" customFormat="1" ht="12.75"/>
    <row r="54414" s="3161" customFormat="1" ht="12.75"/>
    <row r="54415" s="3161" customFormat="1" ht="12.75"/>
    <row r="54416" s="3161" customFormat="1" ht="12.75"/>
    <row r="54417" s="3161" customFormat="1" ht="12.75"/>
    <row r="54418" s="3161" customFormat="1" ht="12.75"/>
    <row r="54419" s="3161" customFormat="1" ht="12.75"/>
    <row r="54420" s="3161" customFormat="1" ht="12.75"/>
    <row r="54421" s="3161" customFormat="1" ht="12.75"/>
    <row r="54422" s="3161" customFormat="1" ht="12.75"/>
    <row r="54423" s="3161" customFormat="1" ht="12.75"/>
    <row r="54424" s="3161" customFormat="1" ht="12.75"/>
    <row r="54425" s="3161" customFormat="1" ht="12.75"/>
    <row r="54426" s="3161" customFormat="1" ht="12.75"/>
    <row r="54427" s="3161" customFormat="1" ht="12.75"/>
    <row r="54428" s="3161" customFormat="1" ht="12.75"/>
    <row r="54429" s="3161" customFormat="1" ht="12.75"/>
    <row r="54430" s="3161" customFormat="1" ht="12.75"/>
    <row r="54431" s="3161" customFormat="1" ht="12.75"/>
    <row r="54432" s="3161" customFormat="1" ht="12.75"/>
    <row r="54433" s="3161" customFormat="1" ht="12.75"/>
    <row r="54434" s="3161" customFormat="1" ht="12.75"/>
    <row r="54435" s="3161" customFormat="1" ht="12.75"/>
    <row r="54436" s="3161" customFormat="1" ht="12.75"/>
    <row r="54437" s="3161" customFormat="1" ht="12.75"/>
    <row r="54438" s="3161" customFormat="1" ht="12.75"/>
    <row r="54439" s="3161" customFormat="1" ht="12.75"/>
    <row r="54440" s="3161" customFormat="1" ht="12.75"/>
    <row r="54441" s="3161" customFormat="1" ht="12.75"/>
    <row r="54442" s="3161" customFormat="1" ht="12.75"/>
    <row r="54443" s="3161" customFormat="1" ht="12.75"/>
    <row r="54444" s="3161" customFormat="1" ht="12.75"/>
    <row r="54445" s="3161" customFormat="1" ht="12.75"/>
    <row r="54446" s="3161" customFormat="1" ht="12.75"/>
    <row r="54447" s="3161" customFormat="1" ht="12.75"/>
    <row r="54448" s="3161" customFormat="1" ht="12.75"/>
    <row r="54449" s="3161" customFormat="1" ht="12.75"/>
    <row r="54450" s="3161" customFormat="1" ht="12.75"/>
    <row r="54451" s="3161" customFormat="1" ht="12.75"/>
    <row r="54452" s="3161" customFormat="1" ht="12.75"/>
    <row r="54453" s="3161" customFormat="1" ht="12.75"/>
    <row r="54454" s="3161" customFormat="1" ht="12.75"/>
    <row r="54455" s="3161" customFormat="1" ht="12.75"/>
    <row r="54456" s="3161" customFormat="1" ht="12.75"/>
    <row r="54457" s="3161" customFormat="1" ht="12.75"/>
    <row r="54458" s="3161" customFormat="1" ht="12.75"/>
    <row r="54459" s="3161" customFormat="1" ht="12.75"/>
    <row r="54460" s="3161" customFormat="1" ht="12.75"/>
    <row r="54461" s="3161" customFormat="1" ht="12.75"/>
    <row r="54462" s="3161" customFormat="1" ht="12.75"/>
    <row r="54463" s="3161" customFormat="1" ht="12.75"/>
    <row r="54464" s="3161" customFormat="1" ht="12.75"/>
    <row r="54465" s="3161" customFormat="1" ht="12.75"/>
    <row r="54466" s="3161" customFormat="1" ht="12.75"/>
    <row r="54467" s="3161" customFormat="1" ht="12.75"/>
    <row r="54468" s="3161" customFormat="1" ht="12.75"/>
    <row r="54469" s="3161" customFormat="1" ht="12.75"/>
    <row r="54470" s="3161" customFormat="1" ht="12.75"/>
    <row r="54471" s="3161" customFormat="1" ht="12.75"/>
    <row r="54472" s="3161" customFormat="1" ht="12.75"/>
    <row r="54473" s="3161" customFormat="1" ht="12.75"/>
    <row r="54474" s="3161" customFormat="1" ht="12.75"/>
    <row r="54475" s="3161" customFormat="1" ht="12.75"/>
    <row r="54476" s="3161" customFormat="1" ht="12.75"/>
    <row r="54477" s="3161" customFormat="1" ht="12.75"/>
    <row r="54478" s="3161" customFormat="1" ht="12.75"/>
    <row r="54479" s="3161" customFormat="1" ht="12.75"/>
    <row r="54480" s="3161" customFormat="1" ht="12.75"/>
    <row r="54481" s="3161" customFormat="1" ht="12.75"/>
    <row r="54482" s="3161" customFormat="1" ht="12.75"/>
    <row r="54483" s="3161" customFormat="1" ht="12.75"/>
    <row r="54484" s="3161" customFormat="1" ht="12.75"/>
    <row r="54485" s="3161" customFormat="1" ht="12.75"/>
    <row r="54486" s="3161" customFormat="1" ht="12.75"/>
    <row r="54487" s="3161" customFormat="1" ht="12.75"/>
    <row r="54488" s="3161" customFormat="1" ht="12.75"/>
    <row r="54489" s="3161" customFormat="1" ht="12.75"/>
    <row r="54490" s="3161" customFormat="1" ht="12.75"/>
    <row r="54491" s="3161" customFormat="1" ht="12.75"/>
    <row r="54492" s="3161" customFormat="1" ht="12.75"/>
    <row r="54493" s="3161" customFormat="1" ht="12.75"/>
    <row r="54494" s="3161" customFormat="1" ht="12.75"/>
    <row r="54495" s="3161" customFormat="1" ht="12.75"/>
    <row r="54496" s="3161" customFormat="1" ht="12.75"/>
    <row r="54497" s="3161" customFormat="1" ht="12.75"/>
    <row r="54498" s="3161" customFormat="1" ht="12.75"/>
    <row r="54499" s="3161" customFormat="1" ht="12.75"/>
    <row r="54500" s="3161" customFormat="1" ht="12.75"/>
    <row r="54501" s="3161" customFormat="1" ht="12.75"/>
    <row r="54502" s="3161" customFormat="1" ht="12.75"/>
    <row r="54503" s="3161" customFormat="1" ht="12.75"/>
    <row r="54504" s="3161" customFormat="1" ht="12.75"/>
    <row r="54505" s="3161" customFormat="1" ht="12.75"/>
    <row r="54506" s="3161" customFormat="1" ht="12.75"/>
    <row r="54507" s="3161" customFormat="1" ht="12.75"/>
    <row r="54508" s="3161" customFormat="1" ht="12.75"/>
    <row r="54509" s="3161" customFormat="1" ht="12.75"/>
    <row r="54510" s="3161" customFormat="1" ht="12.75"/>
    <row r="54511" s="3161" customFormat="1" ht="12.75"/>
    <row r="54512" s="3161" customFormat="1" ht="12.75"/>
    <row r="54513" s="3161" customFormat="1" ht="12.75"/>
    <row r="54514" s="3161" customFormat="1" ht="12.75"/>
    <row r="54515" s="3161" customFormat="1" ht="12.75"/>
    <row r="54516" s="3161" customFormat="1" ht="12.75"/>
    <row r="54517" s="3161" customFormat="1" ht="12.75"/>
    <row r="54518" s="3161" customFormat="1" ht="12.75"/>
    <row r="54519" s="3161" customFormat="1" ht="12.75"/>
    <row r="54520" s="3161" customFormat="1" ht="12.75"/>
    <row r="54521" s="3161" customFormat="1" ht="12.75"/>
    <row r="54522" s="3161" customFormat="1" ht="12.75"/>
    <row r="54523" s="3161" customFormat="1" ht="12.75"/>
    <row r="54524" s="3161" customFormat="1" ht="12.75"/>
    <row r="54525" s="3161" customFormat="1" ht="12.75"/>
    <row r="54526" s="3161" customFormat="1" ht="12.75"/>
    <row r="54527" s="3161" customFormat="1" ht="12.75"/>
    <row r="54528" s="3161" customFormat="1" ht="12.75"/>
    <row r="54529" s="3161" customFormat="1" ht="12.75"/>
    <row r="54530" s="3161" customFormat="1" ht="12.75"/>
    <row r="54531" s="3161" customFormat="1" ht="12.75"/>
    <row r="54532" s="3161" customFormat="1" ht="12.75"/>
    <row r="54533" s="3161" customFormat="1" ht="12.75"/>
    <row r="54534" s="3161" customFormat="1" ht="12.75"/>
    <row r="54535" s="3161" customFormat="1" ht="12.75"/>
    <row r="54536" s="3161" customFormat="1" ht="12.75"/>
    <row r="54537" s="3161" customFormat="1" ht="12.75"/>
    <row r="54538" s="3161" customFormat="1" ht="12.75"/>
    <row r="54539" s="3161" customFormat="1" ht="12.75"/>
    <row r="54540" s="3161" customFormat="1" ht="12.75"/>
    <row r="54541" s="3161" customFormat="1" ht="12.75"/>
    <row r="54542" s="3161" customFormat="1" ht="12.75"/>
    <row r="54543" s="3161" customFormat="1" ht="12.75"/>
    <row r="54544" s="3161" customFormat="1" ht="12.75"/>
    <row r="54545" s="3161" customFormat="1" ht="12.75"/>
    <row r="54546" s="3161" customFormat="1" ht="12.75"/>
    <row r="54547" s="3161" customFormat="1" ht="12.75"/>
    <row r="54548" s="3161" customFormat="1" ht="12.75"/>
    <row r="54549" s="3161" customFormat="1" ht="12.75"/>
    <row r="54550" s="3161" customFormat="1" ht="12.75"/>
    <row r="54551" s="3161" customFormat="1" ht="12.75"/>
    <row r="54552" s="3161" customFormat="1" ht="12.75"/>
    <row r="54553" s="3161" customFormat="1" ht="12.75"/>
    <row r="54554" s="3161" customFormat="1" ht="12.75"/>
    <row r="54555" s="3161" customFormat="1" ht="12.75"/>
    <row r="54556" s="3161" customFormat="1" ht="12.75"/>
    <row r="54557" s="3161" customFormat="1" ht="12.75"/>
    <row r="54558" s="3161" customFormat="1" ht="12.75"/>
    <row r="54559" s="3161" customFormat="1" ht="12.75"/>
    <row r="54560" s="3161" customFormat="1" ht="12.75"/>
    <row r="54561" s="3161" customFormat="1" ht="12.75"/>
    <row r="54562" s="3161" customFormat="1" ht="12.75"/>
    <row r="54563" s="3161" customFormat="1" ht="12.75"/>
    <row r="54564" s="3161" customFormat="1" ht="12.75"/>
    <row r="54565" s="3161" customFormat="1" ht="12.75"/>
    <row r="54566" s="3161" customFormat="1" ht="12.75"/>
    <row r="54567" s="3161" customFormat="1" ht="12.75"/>
    <row r="54568" s="3161" customFormat="1" ht="12.75"/>
    <row r="54569" s="3161" customFormat="1" ht="12.75"/>
    <row r="54570" s="3161" customFormat="1" ht="12.75"/>
    <row r="54571" s="3161" customFormat="1" ht="12.75"/>
    <row r="54572" s="3161" customFormat="1" ht="12.75"/>
    <row r="54573" s="3161" customFormat="1" ht="12.75"/>
    <row r="54574" s="3161" customFormat="1" ht="12.75"/>
    <row r="54575" s="3161" customFormat="1" ht="12.75"/>
    <row r="54576" s="3161" customFormat="1" ht="12.75"/>
    <row r="54577" s="3161" customFormat="1" ht="12.75"/>
    <row r="54578" s="3161" customFormat="1" ht="12.75"/>
    <row r="54579" s="3161" customFormat="1" ht="12.75"/>
    <row r="54580" s="3161" customFormat="1" ht="12.75"/>
    <row r="54581" s="3161" customFormat="1" ht="12.75"/>
    <row r="54582" s="3161" customFormat="1" ht="12.75"/>
    <row r="54583" s="3161" customFormat="1" ht="12.75"/>
    <row r="54584" s="3161" customFormat="1" ht="12.75"/>
    <row r="54585" s="3161" customFormat="1" ht="12.75"/>
    <row r="54586" s="3161" customFormat="1" ht="12.75"/>
    <row r="54587" s="3161" customFormat="1" ht="12.75"/>
    <row r="54588" s="3161" customFormat="1" ht="12.75"/>
    <row r="54589" s="3161" customFormat="1" ht="12.75"/>
    <row r="54590" s="3161" customFormat="1" ht="12.75"/>
    <row r="54591" s="3161" customFormat="1" ht="12.75"/>
    <row r="54592" s="3161" customFormat="1" ht="12.75"/>
    <row r="54593" s="3161" customFormat="1" ht="12.75"/>
    <row r="54594" s="3161" customFormat="1" ht="12.75"/>
    <row r="54595" s="3161" customFormat="1" ht="12.75"/>
    <row r="54596" s="3161" customFormat="1" ht="12.75"/>
    <row r="54597" s="3161" customFormat="1" ht="12.75"/>
    <row r="54598" s="3161" customFormat="1" ht="12.75"/>
    <row r="54599" s="3161" customFormat="1" ht="12.75"/>
    <row r="54600" s="3161" customFormat="1" ht="12.75"/>
    <row r="54601" s="3161" customFormat="1" ht="12.75"/>
    <row r="54602" s="3161" customFormat="1" ht="12.75"/>
    <row r="54603" s="3161" customFormat="1" ht="12.75"/>
    <row r="54604" s="3161" customFormat="1" ht="12.75"/>
    <row r="54605" s="3161" customFormat="1" ht="12.75"/>
    <row r="54606" s="3161" customFormat="1" ht="12.75"/>
    <row r="54607" s="3161" customFormat="1" ht="12.75"/>
    <row r="54608" s="3161" customFormat="1" ht="12.75"/>
    <row r="54609" s="3161" customFormat="1" ht="12.75"/>
    <row r="54610" s="3161" customFormat="1" ht="12.75"/>
    <row r="54611" s="3161" customFormat="1" ht="12.75"/>
    <row r="54612" s="3161" customFormat="1" ht="12.75"/>
    <row r="54613" s="3161" customFormat="1" ht="12.75"/>
    <row r="54614" s="3161" customFormat="1" ht="12.75"/>
    <row r="54615" s="3161" customFormat="1" ht="12.75"/>
    <row r="54616" s="3161" customFormat="1" ht="12.75"/>
    <row r="54617" s="3161" customFormat="1" ht="12.75"/>
    <row r="54618" s="3161" customFormat="1" ht="12.75"/>
    <row r="54619" s="3161" customFormat="1" ht="12.75"/>
    <row r="54620" s="3161" customFormat="1" ht="12.75"/>
    <row r="54621" s="3161" customFormat="1" ht="12.75"/>
    <row r="54622" s="3161" customFormat="1" ht="12.75"/>
    <row r="54623" s="3161" customFormat="1" ht="12.75"/>
    <row r="54624" s="3161" customFormat="1" ht="12.75"/>
    <row r="54625" s="3161" customFormat="1" ht="12.75"/>
    <row r="54626" s="3161" customFormat="1" ht="12.75"/>
    <row r="54627" s="3161" customFormat="1" ht="12.75"/>
    <row r="54628" s="3161" customFormat="1" ht="12.75"/>
    <row r="54629" s="3161" customFormat="1" ht="12.75"/>
    <row r="54630" s="3161" customFormat="1" ht="12.75"/>
    <row r="54631" s="3161" customFormat="1" ht="12.75"/>
    <row r="54632" s="3161" customFormat="1" ht="12.75"/>
    <row r="54633" s="3161" customFormat="1" ht="12.75"/>
    <row r="54634" s="3161" customFormat="1" ht="12.75"/>
    <row r="54635" s="3161" customFormat="1" ht="12.75"/>
    <row r="54636" s="3161" customFormat="1" ht="12.75"/>
    <row r="54637" s="3161" customFormat="1" ht="12.75"/>
    <row r="54638" s="3161" customFormat="1" ht="12.75"/>
    <row r="54639" s="3161" customFormat="1" ht="12.75"/>
    <row r="54640" s="3161" customFormat="1" ht="12.75"/>
    <row r="54641" s="3161" customFormat="1" ht="12.75"/>
    <row r="54642" s="3161" customFormat="1" ht="12.75"/>
    <row r="54643" s="3161" customFormat="1" ht="12.75"/>
    <row r="54644" s="3161" customFormat="1" ht="12.75"/>
    <row r="54645" s="3161" customFormat="1" ht="12.75"/>
    <row r="54646" s="3161" customFormat="1" ht="12.75"/>
    <row r="54647" s="3161" customFormat="1" ht="12.75"/>
    <row r="54648" s="3161" customFormat="1" ht="12.75"/>
    <row r="54649" s="3161" customFormat="1" ht="12.75"/>
    <row r="54650" s="3161" customFormat="1" ht="12.75"/>
    <row r="54651" s="3161" customFormat="1" ht="12.75"/>
    <row r="54652" s="3161" customFormat="1" ht="12.75"/>
    <row r="54653" s="3161" customFormat="1" ht="12.75"/>
    <row r="54654" s="3161" customFormat="1" ht="12.75"/>
    <row r="54655" s="3161" customFormat="1" ht="12.75"/>
    <row r="54656" s="3161" customFormat="1" ht="12.75"/>
    <row r="54657" s="3161" customFormat="1" ht="12.75"/>
    <row r="54658" s="3161" customFormat="1" ht="12.75"/>
    <row r="54659" s="3161" customFormat="1" ht="12.75"/>
    <row r="54660" s="3161" customFormat="1" ht="12.75"/>
    <row r="54661" s="3161" customFormat="1" ht="12.75"/>
    <row r="54662" s="3161" customFormat="1" ht="12.75"/>
    <row r="54663" s="3161" customFormat="1" ht="12.75"/>
    <row r="54664" s="3161" customFormat="1" ht="12.75"/>
    <row r="54665" s="3161" customFormat="1" ht="12.75"/>
    <row r="54666" s="3161" customFormat="1" ht="12.75"/>
    <row r="54667" s="3161" customFormat="1" ht="12.75"/>
    <row r="54668" s="3161" customFormat="1" ht="12.75"/>
    <row r="54669" s="3161" customFormat="1" ht="12.75"/>
    <row r="54670" s="3161" customFormat="1" ht="12.75"/>
    <row r="54671" s="3161" customFormat="1" ht="12.75"/>
    <row r="54672" s="3161" customFormat="1" ht="12.75"/>
    <row r="54673" s="3161" customFormat="1" ht="12.75"/>
    <row r="54674" s="3161" customFormat="1" ht="12.75"/>
    <row r="54675" s="3161" customFormat="1" ht="12.75"/>
    <row r="54676" s="3161" customFormat="1" ht="12.75"/>
    <row r="54677" s="3161" customFormat="1" ht="12.75"/>
    <row r="54678" s="3161" customFormat="1" ht="12.75"/>
    <row r="54679" s="3161" customFormat="1" ht="12.75"/>
    <row r="54680" s="3161" customFormat="1" ht="12.75"/>
    <row r="54681" s="3161" customFormat="1" ht="12.75"/>
    <row r="54682" s="3161" customFormat="1" ht="12.75"/>
    <row r="54683" s="3161" customFormat="1" ht="12.75"/>
    <row r="54684" s="3161" customFormat="1" ht="12.75"/>
    <row r="54685" s="3161" customFormat="1" ht="12.75"/>
    <row r="54686" s="3161" customFormat="1" ht="12.75"/>
    <row r="54687" s="3161" customFormat="1" ht="12.75"/>
    <row r="54688" s="3161" customFormat="1" ht="12.75"/>
    <row r="54689" s="3161" customFormat="1" ht="12.75"/>
    <row r="54690" s="3161" customFormat="1" ht="12.75"/>
    <row r="54691" s="3161" customFormat="1" ht="12.75"/>
    <row r="54692" s="3161" customFormat="1" ht="12.75"/>
    <row r="54693" s="3161" customFormat="1" ht="12.75"/>
    <row r="54694" s="3161" customFormat="1" ht="12.75"/>
    <row r="54695" s="3161" customFormat="1" ht="12.75"/>
    <row r="54696" s="3161" customFormat="1" ht="12.75"/>
    <row r="54697" s="3161" customFormat="1" ht="12.75"/>
    <row r="54698" s="3161" customFormat="1" ht="12.75"/>
    <row r="54699" s="3161" customFormat="1" ht="12.75"/>
    <row r="54700" s="3161" customFormat="1" ht="12.75"/>
    <row r="54701" s="3161" customFormat="1" ht="12.75"/>
    <row r="54702" s="3161" customFormat="1" ht="12.75"/>
    <row r="54703" s="3161" customFormat="1" ht="12.75"/>
    <row r="54704" s="3161" customFormat="1" ht="12.75"/>
    <row r="54705" s="3161" customFormat="1" ht="12.75"/>
    <row r="54706" s="3161" customFormat="1" ht="12.75"/>
    <row r="54707" s="3161" customFormat="1" ht="12.75"/>
    <row r="54708" s="3161" customFormat="1" ht="12.75"/>
    <row r="54709" s="3161" customFormat="1" ht="12.75"/>
    <row r="54710" s="3161" customFormat="1" ht="12.75"/>
    <row r="54711" s="3161" customFormat="1" ht="12.75"/>
    <row r="54712" s="3161" customFormat="1" ht="12.75"/>
    <row r="54713" s="3161" customFormat="1" ht="12.75"/>
    <row r="54714" s="3161" customFormat="1" ht="12.75"/>
    <row r="54715" s="3161" customFormat="1" ht="12.75"/>
    <row r="54716" s="3161" customFormat="1" ht="12.75"/>
    <row r="54717" s="3161" customFormat="1" ht="12.75"/>
    <row r="54718" s="3161" customFormat="1" ht="12.75"/>
    <row r="54719" s="3161" customFormat="1" ht="12.75"/>
    <row r="54720" s="3161" customFormat="1" ht="12.75"/>
    <row r="54721" s="3161" customFormat="1" ht="12.75"/>
    <row r="54722" s="3161" customFormat="1" ht="12.75"/>
    <row r="54723" s="3161" customFormat="1" ht="12.75"/>
    <row r="54724" s="3161" customFormat="1" ht="12.75"/>
    <row r="54725" s="3161" customFormat="1" ht="12.75"/>
    <row r="54726" s="3161" customFormat="1" ht="12.75"/>
    <row r="54727" s="3161" customFormat="1" ht="12.75"/>
    <row r="54728" s="3161" customFormat="1" ht="12.75"/>
    <row r="54729" s="3161" customFormat="1" ht="12.75"/>
    <row r="54730" s="3161" customFormat="1" ht="12.75"/>
    <row r="54731" s="3161" customFormat="1" ht="12.75"/>
    <row r="54732" s="3161" customFormat="1" ht="12.75"/>
    <row r="54733" s="3161" customFormat="1" ht="12.75"/>
    <row r="54734" s="3161" customFormat="1" ht="12.75"/>
    <row r="54735" s="3161" customFormat="1" ht="12.75"/>
    <row r="54736" s="3161" customFormat="1" ht="12.75"/>
    <row r="54737" s="3161" customFormat="1" ht="12.75"/>
    <row r="54738" s="3161" customFormat="1" ht="12.75"/>
    <row r="54739" s="3161" customFormat="1" ht="12.75"/>
    <row r="54740" s="3161" customFormat="1" ht="12.75"/>
    <row r="54741" s="3161" customFormat="1" ht="12.75"/>
    <row r="54742" s="3161" customFormat="1" ht="12.75"/>
    <row r="54743" s="3161" customFormat="1" ht="12.75"/>
    <row r="54744" s="3161" customFormat="1" ht="12.75"/>
    <row r="54745" s="3161" customFormat="1" ht="12.75"/>
    <row r="54746" s="3161" customFormat="1" ht="12.75"/>
    <row r="54747" s="3161" customFormat="1" ht="12.75"/>
    <row r="54748" s="3161" customFormat="1" ht="12.75"/>
    <row r="54749" s="3161" customFormat="1" ht="12.75"/>
    <row r="54750" s="3161" customFormat="1" ht="12.75"/>
    <row r="54751" s="3161" customFormat="1" ht="12.75"/>
    <row r="54752" s="3161" customFormat="1" ht="12.75"/>
    <row r="54753" s="3161" customFormat="1" ht="12.75"/>
    <row r="54754" s="3161" customFormat="1" ht="12.75"/>
    <row r="54755" s="3161" customFormat="1" ht="12.75"/>
    <row r="54756" s="3161" customFormat="1" ht="12.75"/>
    <row r="54757" s="3161" customFormat="1" ht="12.75"/>
    <row r="54758" s="3161" customFormat="1" ht="12.75"/>
    <row r="54759" s="3161" customFormat="1" ht="12.75"/>
    <row r="54760" s="3161" customFormat="1" ht="12.75"/>
    <row r="54761" s="3161" customFormat="1" ht="12.75"/>
    <row r="54762" s="3161" customFormat="1" ht="12.75"/>
    <row r="54763" s="3161" customFormat="1" ht="12.75"/>
    <row r="54764" s="3161" customFormat="1" ht="12.75"/>
    <row r="54765" s="3161" customFormat="1" ht="12.75"/>
    <row r="54766" s="3161" customFormat="1" ht="12.75"/>
    <row r="54767" s="3161" customFormat="1" ht="12.75"/>
    <row r="54768" s="3161" customFormat="1" ht="12.75"/>
    <row r="54769" s="3161" customFormat="1" ht="12.75"/>
    <row r="54770" s="3161" customFormat="1" ht="12.75"/>
    <row r="54771" s="3161" customFormat="1" ht="12.75"/>
    <row r="54772" s="3161" customFormat="1" ht="12.75"/>
    <row r="54773" s="3161" customFormat="1" ht="12.75"/>
    <row r="54774" s="3161" customFormat="1" ht="12.75"/>
    <row r="54775" s="3161" customFormat="1" ht="12.75"/>
    <row r="54776" s="3161" customFormat="1" ht="12.75"/>
    <row r="54777" s="3161" customFormat="1" ht="12.75"/>
    <row r="54778" s="3161" customFormat="1" ht="12.75"/>
    <row r="54779" s="3161" customFormat="1" ht="12.75"/>
    <row r="54780" s="3161" customFormat="1" ht="12.75"/>
    <row r="54781" s="3161" customFormat="1" ht="12.75"/>
    <row r="54782" s="3161" customFormat="1" ht="12.75"/>
    <row r="54783" s="3161" customFormat="1" ht="12.75"/>
    <row r="54784" s="3161" customFormat="1" ht="12.75"/>
    <row r="54785" s="3161" customFormat="1" ht="12.75"/>
    <row r="54786" s="3161" customFormat="1" ht="12.75"/>
    <row r="54787" s="3161" customFormat="1" ht="12.75"/>
    <row r="54788" s="3161" customFormat="1" ht="12.75"/>
    <row r="54789" s="3161" customFormat="1" ht="12.75"/>
    <row r="54790" s="3161" customFormat="1" ht="12.75"/>
    <row r="54791" s="3161" customFormat="1" ht="12.75"/>
    <row r="54792" s="3161" customFormat="1" ht="12.75"/>
    <row r="54793" s="3161" customFormat="1" ht="12.75"/>
    <row r="54794" s="3161" customFormat="1" ht="12.75"/>
    <row r="54795" s="3161" customFormat="1" ht="12.75"/>
    <row r="54796" s="3161" customFormat="1" ht="12.75"/>
    <row r="54797" s="3161" customFormat="1" ht="12.75"/>
    <row r="54798" s="3161" customFormat="1" ht="12.75"/>
    <row r="54799" s="3161" customFormat="1" ht="12.75"/>
    <row r="54800" s="3161" customFormat="1" ht="12.75"/>
    <row r="54801" s="3161" customFormat="1" ht="12.75"/>
    <row r="54802" s="3161" customFormat="1" ht="12.75"/>
    <row r="54803" s="3161" customFormat="1" ht="12.75"/>
    <row r="54804" s="3161" customFormat="1" ht="12.75"/>
    <row r="54805" s="3161" customFormat="1" ht="12.75"/>
    <row r="54806" s="3161" customFormat="1" ht="12.75"/>
    <row r="54807" s="3161" customFormat="1" ht="12.75"/>
    <row r="54808" s="3161" customFormat="1" ht="12.75"/>
    <row r="54809" s="3161" customFormat="1" ht="12.75"/>
    <row r="54810" s="3161" customFormat="1" ht="12.75"/>
    <row r="54811" s="3161" customFormat="1" ht="12.75"/>
    <row r="54812" s="3161" customFormat="1" ht="12.75"/>
    <row r="54813" s="3161" customFormat="1" ht="12.75"/>
    <row r="54814" s="3161" customFormat="1" ht="12.75"/>
    <row r="54815" s="3161" customFormat="1" ht="12.75"/>
    <row r="54816" s="3161" customFormat="1" ht="12.75"/>
    <row r="54817" s="3161" customFormat="1" ht="12.75"/>
    <row r="54818" s="3161" customFormat="1" ht="12.75"/>
    <row r="54819" s="3161" customFormat="1" ht="12.75"/>
    <row r="54820" s="3161" customFormat="1" ht="12.75"/>
    <row r="54821" s="3161" customFormat="1" ht="12.75"/>
    <row r="54822" s="3161" customFormat="1" ht="12.75"/>
    <row r="54823" s="3161" customFormat="1" ht="12.75"/>
    <row r="54824" s="3161" customFormat="1" ht="12.75"/>
    <row r="54825" s="3161" customFormat="1" ht="12.75"/>
    <row r="54826" s="3161" customFormat="1" ht="12.75"/>
    <row r="54827" s="3161" customFormat="1" ht="12.75"/>
    <row r="54828" s="3161" customFormat="1" ht="12.75"/>
    <row r="54829" s="3161" customFormat="1" ht="12.75"/>
    <row r="54830" s="3161" customFormat="1" ht="12.75"/>
    <row r="54831" s="3161" customFormat="1" ht="12.75"/>
    <row r="54832" s="3161" customFormat="1" ht="12.75"/>
    <row r="54833" s="3161" customFormat="1" ht="12.75"/>
    <row r="54834" s="3161" customFormat="1" ht="12.75"/>
    <row r="54835" s="3161" customFormat="1" ht="12.75"/>
    <row r="54836" s="3161" customFormat="1" ht="12.75"/>
    <row r="54837" s="3161" customFormat="1" ht="12.75"/>
    <row r="54838" s="3161" customFormat="1" ht="12.75"/>
    <row r="54839" s="3161" customFormat="1" ht="12.75"/>
    <row r="54840" s="3161" customFormat="1" ht="12.75"/>
    <row r="54841" s="3161" customFormat="1" ht="12.75"/>
    <row r="54842" s="3161" customFormat="1" ht="12.75"/>
    <row r="54843" s="3161" customFormat="1" ht="12.75"/>
    <row r="54844" s="3161" customFormat="1" ht="12.75"/>
    <row r="54845" s="3161" customFormat="1" ht="12.75"/>
    <row r="54846" s="3161" customFormat="1" ht="12.75"/>
    <row r="54847" s="3161" customFormat="1" ht="12.75"/>
    <row r="54848" s="3161" customFormat="1" ht="12.75"/>
    <row r="54849" s="3161" customFormat="1" ht="12.75"/>
    <row r="54850" s="3161" customFormat="1" ht="12.75"/>
    <row r="54851" s="3161" customFormat="1" ht="12.75"/>
    <row r="54852" s="3161" customFormat="1" ht="12.75"/>
    <row r="54853" s="3161" customFormat="1" ht="12.75"/>
    <row r="54854" s="3161" customFormat="1" ht="12.75"/>
    <row r="54855" s="3161" customFormat="1" ht="12.75"/>
    <row r="54856" s="3161" customFormat="1" ht="12.75"/>
    <row r="54857" s="3161" customFormat="1" ht="12.75"/>
    <row r="54858" s="3161" customFormat="1" ht="12.75"/>
    <row r="54859" s="3161" customFormat="1" ht="12.75"/>
    <row r="54860" s="3161" customFormat="1" ht="12.75"/>
    <row r="54861" s="3161" customFormat="1" ht="12.75"/>
    <row r="54862" s="3161" customFormat="1" ht="12.75"/>
    <row r="54863" s="3161" customFormat="1" ht="12.75"/>
    <row r="54864" s="3161" customFormat="1" ht="12.75"/>
    <row r="54865" s="3161" customFormat="1" ht="12.75"/>
    <row r="54866" s="3161" customFormat="1" ht="12.75"/>
    <row r="54867" s="3161" customFormat="1" ht="12.75"/>
    <row r="54868" s="3161" customFormat="1" ht="12.75"/>
    <row r="54869" s="3161" customFormat="1" ht="12.75"/>
    <row r="54870" s="3161" customFormat="1" ht="12.75"/>
    <row r="54871" s="3161" customFormat="1" ht="12.75"/>
    <row r="54872" s="3161" customFormat="1" ht="12.75"/>
    <row r="54873" s="3161" customFormat="1" ht="12.75"/>
    <row r="54874" s="3161" customFormat="1" ht="12.75"/>
    <row r="54875" s="3161" customFormat="1" ht="12.75"/>
    <row r="54876" s="3161" customFormat="1" ht="12.75"/>
    <row r="54877" s="3161" customFormat="1" ht="12.75"/>
    <row r="54878" s="3161" customFormat="1" ht="12.75"/>
    <row r="54879" s="3161" customFormat="1" ht="12.75"/>
    <row r="54880" s="3161" customFormat="1" ht="12.75"/>
    <row r="54881" s="3161" customFormat="1" ht="12.75"/>
    <row r="54882" s="3161" customFormat="1" ht="12.75"/>
    <row r="54883" s="3161" customFormat="1" ht="12.75"/>
    <row r="54884" s="3161" customFormat="1" ht="12.75"/>
    <row r="54885" s="3161" customFormat="1" ht="12.75"/>
    <row r="54886" s="3161" customFormat="1" ht="12.75"/>
    <row r="54887" s="3161" customFormat="1" ht="12.75"/>
    <row r="54888" s="3161" customFormat="1" ht="12.75"/>
    <row r="54889" s="3161" customFormat="1" ht="12.75"/>
    <row r="54890" s="3161" customFormat="1" ht="12.75"/>
    <row r="54891" s="3161" customFormat="1" ht="12.75"/>
    <row r="54892" s="3161" customFormat="1" ht="12.75"/>
    <row r="54893" s="3161" customFormat="1" ht="12.75"/>
    <row r="54894" s="3161" customFormat="1" ht="12.75"/>
    <row r="54895" s="3161" customFormat="1" ht="12.75"/>
    <row r="54896" s="3161" customFormat="1" ht="12.75"/>
    <row r="54897" s="3161" customFormat="1" ht="12.75"/>
    <row r="54898" s="3161" customFormat="1" ht="12.75"/>
    <row r="54899" s="3161" customFormat="1" ht="12.75"/>
    <row r="54900" s="3161" customFormat="1" ht="12.75"/>
    <row r="54901" s="3161" customFormat="1" ht="12.75"/>
    <row r="54902" s="3161" customFormat="1" ht="12.75"/>
    <row r="54903" s="3161" customFormat="1" ht="12.75"/>
    <row r="54904" s="3161" customFormat="1" ht="12.75"/>
    <row r="54905" s="3161" customFormat="1" ht="12.75"/>
    <row r="54906" s="3161" customFormat="1" ht="12.75"/>
    <row r="54907" s="3161" customFormat="1" ht="12.75"/>
    <row r="54908" s="3161" customFormat="1" ht="12.75"/>
    <row r="54909" s="3161" customFormat="1" ht="12.75"/>
    <row r="54910" s="3161" customFormat="1" ht="12.75"/>
    <row r="54911" s="3161" customFormat="1" ht="12.75"/>
    <row r="54912" s="3161" customFormat="1" ht="12.75"/>
    <row r="54913" s="3161" customFormat="1" ht="12.75"/>
    <row r="54914" s="3161" customFormat="1" ht="12.75"/>
    <row r="54915" s="3161" customFormat="1" ht="12.75"/>
    <row r="54916" s="3161" customFormat="1" ht="12.75"/>
    <row r="54917" s="3161" customFormat="1" ht="12.75"/>
    <row r="54918" s="3161" customFormat="1" ht="12.75"/>
    <row r="54919" s="3161" customFormat="1" ht="12.75"/>
    <row r="54920" s="3161" customFormat="1" ht="12.75"/>
    <row r="54921" s="3161" customFormat="1" ht="12.75"/>
    <row r="54922" s="3161" customFormat="1" ht="12.75"/>
    <row r="54923" s="3161" customFormat="1" ht="12.75"/>
    <row r="54924" s="3161" customFormat="1" ht="12.75"/>
    <row r="54925" s="3161" customFormat="1" ht="12.75"/>
    <row r="54926" s="3161" customFormat="1" ht="12.75"/>
    <row r="54927" s="3161" customFormat="1" ht="12.75"/>
    <row r="54928" s="3161" customFormat="1" ht="12.75"/>
    <row r="54929" s="3161" customFormat="1" ht="12.75"/>
    <row r="54930" s="3161" customFormat="1" ht="12.75"/>
    <row r="54931" s="3161" customFormat="1" ht="12.75"/>
    <row r="54932" s="3161" customFormat="1" ht="12.75"/>
    <row r="54933" s="3161" customFormat="1" ht="12.75"/>
    <row r="54934" s="3161" customFormat="1" ht="12.75"/>
    <row r="54935" s="3161" customFormat="1" ht="12.75"/>
    <row r="54936" s="3161" customFormat="1" ht="12.75"/>
    <row r="54937" s="3161" customFormat="1" ht="12.75"/>
    <row r="54938" s="3161" customFormat="1" ht="12.75"/>
    <row r="54939" s="3161" customFormat="1" ht="12.75"/>
    <row r="54940" s="3161" customFormat="1" ht="12.75"/>
    <row r="54941" s="3161" customFormat="1" ht="12.75"/>
    <row r="54942" s="3161" customFormat="1" ht="12.75"/>
    <row r="54943" s="3161" customFormat="1" ht="12.75"/>
    <row r="54944" s="3161" customFormat="1" ht="12.75"/>
    <row r="54945" s="3161" customFormat="1" ht="12.75"/>
    <row r="54946" s="3161" customFormat="1" ht="12.75"/>
    <row r="54947" s="3161" customFormat="1" ht="12.75"/>
    <row r="54948" s="3161" customFormat="1" ht="12.75"/>
    <row r="54949" s="3161" customFormat="1" ht="12.75"/>
    <row r="54950" s="3161" customFormat="1" ht="12.75"/>
    <row r="54951" s="3161" customFormat="1" ht="12.75"/>
    <row r="54952" s="3161" customFormat="1" ht="12.75"/>
    <row r="54953" s="3161" customFormat="1" ht="12.75"/>
    <row r="54954" s="3161" customFormat="1" ht="12.75"/>
    <row r="54955" s="3161" customFormat="1" ht="12.75"/>
    <row r="54956" s="3161" customFormat="1" ht="12.75"/>
    <row r="54957" s="3161" customFormat="1" ht="12.75"/>
    <row r="54958" s="3161" customFormat="1" ht="12.75"/>
    <row r="54959" s="3161" customFormat="1" ht="12.75"/>
    <row r="54960" s="3161" customFormat="1" ht="12.75"/>
    <row r="54961" s="3161" customFormat="1" ht="12.75"/>
    <row r="54962" s="3161" customFormat="1" ht="12.75"/>
    <row r="54963" s="3161" customFormat="1" ht="12.75"/>
    <row r="54964" s="3161" customFormat="1" ht="12.75"/>
    <row r="54965" s="3161" customFormat="1" ht="12.75"/>
    <row r="54966" s="3161" customFormat="1" ht="12.75"/>
    <row r="54967" s="3161" customFormat="1" ht="12.75"/>
    <row r="54968" s="3161" customFormat="1" ht="12.75"/>
    <row r="54969" s="3161" customFormat="1" ht="12.75"/>
    <row r="54970" s="3161" customFormat="1" ht="12.75"/>
    <row r="54971" s="3161" customFormat="1" ht="12.75"/>
    <row r="54972" s="3161" customFormat="1" ht="12.75"/>
    <row r="54973" s="3161" customFormat="1" ht="12.75"/>
    <row r="54974" s="3161" customFormat="1" ht="12.75"/>
    <row r="54975" s="3161" customFormat="1" ht="12.75"/>
    <row r="54976" s="3161" customFormat="1" ht="12.75"/>
    <row r="54977" s="3161" customFormat="1" ht="12.75"/>
    <row r="54978" s="3161" customFormat="1" ht="12.75"/>
    <row r="54979" s="3161" customFormat="1" ht="12.75"/>
    <row r="54980" s="3161" customFormat="1" ht="12.75"/>
    <row r="54981" s="3161" customFormat="1" ht="12.75"/>
    <row r="54982" s="3161" customFormat="1" ht="12.75"/>
    <row r="54983" s="3161" customFormat="1" ht="12.75"/>
    <row r="54984" s="3161" customFormat="1" ht="12.75"/>
    <row r="54985" s="3161" customFormat="1" ht="12.75"/>
    <row r="54986" s="3161" customFormat="1" ht="12.75"/>
    <row r="54987" s="3161" customFormat="1" ht="12.75"/>
    <row r="54988" s="3161" customFormat="1" ht="12.75"/>
    <row r="54989" s="3161" customFormat="1" ht="12.75"/>
    <row r="54990" s="3161" customFormat="1" ht="12.75"/>
    <row r="54991" s="3161" customFormat="1" ht="12.75"/>
    <row r="54992" s="3161" customFormat="1" ht="12.75"/>
    <row r="54993" s="3161" customFormat="1" ht="12.75"/>
    <row r="54994" s="3161" customFormat="1" ht="12.75"/>
    <row r="54995" s="3161" customFormat="1" ht="12.75"/>
    <row r="54996" s="3161" customFormat="1" ht="12.75"/>
    <row r="54997" s="3161" customFormat="1" ht="12.75"/>
    <row r="54998" s="3161" customFormat="1" ht="12.75"/>
    <row r="54999" s="3161" customFormat="1" ht="12.75"/>
    <row r="55000" s="3161" customFormat="1" ht="12.75"/>
    <row r="55001" s="3161" customFormat="1" ht="12.75"/>
    <row r="55002" s="3161" customFormat="1" ht="12.75"/>
    <row r="55003" s="3161" customFormat="1" ht="12.75"/>
    <row r="55004" s="3161" customFormat="1" ht="12.75"/>
    <row r="55005" s="3161" customFormat="1" ht="12.75"/>
    <row r="55006" s="3161" customFormat="1" ht="12.75"/>
    <row r="55007" s="3161" customFormat="1" ht="12.75"/>
    <row r="55008" s="3161" customFormat="1" ht="12.75"/>
    <row r="55009" s="3161" customFormat="1" ht="12.75"/>
    <row r="55010" s="3161" customFormat="1" ht="12.75"/>
    <row r="55011" s="3161" customFormat="1" ht="12.75"/>
    <row r="55012" s="3161" customFormat="1" ht="12.75"/>
    <row r="55013" s="3161" customFormat="1" ht="12.75"/>
    <row r="55014" s="3161" customFormat="1" ht="12.75"/>
    <row r="55015" s="3161" customFormat="1" ht="12.75"/>
    <row r="55016" s="3161" customFormat="1" ht="12.75"/>
    <row r="55017" s="3161" customFormat="1" ht="12.75"/>
    <row r="55018" s="3161" customFormat="1" ht="12.75"/>
    <row r="55019" s="3161" customFormat="1" ht="12.75"/>
    <row r="55020" s="3161" customFormat="1" ht="12.75"/>
    <row r="55021" s="3161" customFormat="1" ht="12.75"/>
    <row r="55022" s="3161" customFormat="1" ht="12.75"/>
    <row r="55023" s="3161" customFormat="1" ht="12.75"/>
    <row r="55024" s="3161" customFormat="1" ht="12.75"/>
    <row r="55025" s="3161" customFormat="1" ht="12.75"/>
    <row r="55026" s="3161" customFormat="1" ht="12.75"/>
    <row r="55027" s="3161" customFormat="1" ht="12.75"/>
    <row r="55028" s="3161" customFormat="1" ht="12.75"/>
    <row r="55029" s="3161" customFormat="1" ht="12.75"/>
    <row r="55030" s="3161" customFormat="1" ht="12.75"/>
    <row r="55031" s="3161" customFormat="1" ht="12.75"/>
    <row r="55032" s="3161" customFormat="1" ht="12.75"/>
    <row r="55033" s="3161" customFormat="1" ht="12.75"/>
    <row r="55034" s="3161" customFormat="1" ht="12.75"/>
    <row r="55035" s="3161" customFormat="1" ht="12.75"/>
    <row r="55036" s="3161" customFormat="1" ht="12.75"/>
    <row r="55037" s="3161" customFormat="1" ht="12.75"/>
    <row r="55038" s="3161" customFormat="1" ht="12.75"/>
    <row r="55039" s="3161" customFormat="1" ht="12.75"/>
    <row r="55040" s="3161" customFormat="1" ht="12.75"/>
    <row r="55041" s="3161" customFormat="1" ht="12.75"/>
    <row r="55042" s="3161" customFormat="1" ht="12.75"/>
    <row r="55043" s="3161" customFormat="1" ht="12.75"/>
    <row r="55044" s="3161" customFormat="1" ht="12.75"/>
    <row r="55045" s="3161" customFormat="1" ht="12.75"/>
    <row r="55046" s="3161" customFormat="1" ht="12.75"/>
    <row r="55047" s="3161" customFormat="1" ht="12.75"/>
    <row r="55048" s="3161" customFormat="1" ht="12.75"/>
    <row r="55049" s="3161" customFormat="1" ht="12.75"/>
    <row r="55050" s="3161" customFormat="1" ht="12.75"/>
    <row r="55051" s="3161" customFormat="1" ht="12.75"/>
    <row r="55052" s="3161" customFormat="1" ht="12.75"/>
    <row r="55053" s="3161" customFormat="1" ht="12.75"/>
    <row r="55054" s="3161" customFormat="1" ht="12.75"/>
    <row r="55055" s="3161" customFormat="1" ht="12.75"/>
    <row r="55056" s="3161" customFormat="1" ht="12.75"/>
    <row r="55057" s="3161" customFormat="1" ht="12.75"/>
    <row r="55058" s="3161" customFormat="1" ht="12.75"/>
    <row r="55059" s="3161" customFormat="1" ht="12.75"/>
    <row r="55060" s="3161" customFormat="1" ht="12.75"/>
    <row r="55061" s="3161" customFormat="1" ht="12.75"/>
    <row r="55062" s="3161" customFormat="1" ht="12.75"/>
    <row r="55063" s="3161" customFormat="1" ht="12.75"/>
    <row r="55064" s="3161" customFormat="1" ht="12.75"/>
    <row r="55065" s="3161" customFormat="1" ht="12.75"/>
    <row r="55066" s="3161" customFormat="1" ht="12.75"/>
    <row r="55067" s="3161" customFormat="1" ht="12.75"/>
    <row r="55068" s="3161" customFormat="1" ht="12.75"/>
    <row r="55069" s="3161" customFormat="1" ht="12.75"/>
    <row r="55070" s="3161" customFormat="1" ht="12.75"/>
    <row r="55071" s="3161" customFormat="1" ht="12.75"/>
    <row r="55072" s="3161" customFormat="1" ht="12.75"/>
    <row r="55073" s="3161" customFormat="1" ht="12.75"/>
    <row r="55074" s="3161" customFormat="1" ht="12.75"/>
    <row r="55075" s="3161" customFormat="1" ht="12.75"/>
    <row r="55076" s="3161" customFormat="1" ht="12.75"/>
    <row r="55077" s="3161" customFormat="1" ht="12.75"/>
    <row r="55078" s="3161" customFormat="1" ht="12.75"/>
    <row r="55079" s="3161" customFormat="1" ht="12.75"/>
    <row r="55080" s="3161" customFormat="1" ht="12.75"/>
    <row r="55081" s="3161" customFormat="1" ht="12.75"/>
    <row r="55082" s="3161" customFormat="1" ht="12.75"/>
    <row r="55083" s="3161" customFormat="1" ht="12.75"/>
    <row r="55084" s="3161" customFormat="1" ht="12.75"/>
    <row r="55085" s="3161" customFormat="1" ht="12.75"/>
    <row r="55086" s="3161" customFormat="1" ht="12.75"/>
    <row r="55087" s="3161" customFormat="1" ht="12.75"/>
    <row r="55088" s="3161" customFormat="1" ht="12.75"/>
    <row r="55089" s="3161" customFormat="1" ht="12.75"/>
    <row r="55090" s="3161" customFormat="1" ht="12.75"/>
    <row r="55091" s="3161" customFormat="1" ht="12.75"/>
    <row r="55092" s="3161" customFormat="1" ht="12.75"/>
    <row r="55093" s="3161" customFormat="1" ht="12.75"/>
    <row r="55094" s="3161" customFormat="1" ht="12.75"/>
    <row r="55095" s="3161" customFormat="1" ht="12.75"/>
    <row r="55096" s="3161" customFormat="1" ht="12.75"/>
    <row r="55097" s="3161" customFormat="1" ht="12.75"/>
    <row r="55098" s="3161" customFormat="1" ht="12.75"/>
    <row r="55099" s="3161" customFormat="1" ht="12.75"/>
    <row r="55100" s="3161" customFormat="1" ht="12.75"/>
    <row r="55101" s="3161" customFormat="1" ht="12.75"/>
    <row r="55102" s="3161" customFormat="1" ht="12.75"/>
    <row r="55103" s="3161" customFormat="1" ht="12.75"/>
    <row r="55104" s="3161" customFormat="1" ht="12.75"/>
    <row r="55105" s="3161" customFormat="1" ht="12.75"/>
    <row r="55106" s="3161" customFormat="1" ht="12.75"/>
    <row r="55107" s="3161" customFormat="1" ht="12.75"/>
    <row r="55108" s="3161" customFormat="1" ht="12.75"/>
    <row r="55109" s="3161" customFormat="1" ht="12.75"/>
    <row r="55110" s="3161" customFormat="1" ht="12.75"/>
    <row r="55111" s="3161" customFormat="1" ht="12.75"/>
    <row r="55112" s="3161" customFormat="1" ht="12.75"/>
    <row r="55113" s="3161" customFormat="1" ht="12.75"/>
    <row r="55114" s="3161" customFormat="1" ht="12.75"/>
    <row r="55115" s="3161" customFormat="1" ht="12.75"/>
    <row r="55116" s="3161" customFormat="1" ht="12.75"/>
    <row r="55117" s="3161" customFormat="1" ht="12.75"/>
    <row r="55118" s="3161" customFormat="1" ht="12.75"/>
    <row r="55119" s="3161" customFormat="1" ht="12.75"/>
    <row r="55120" s="3161" customFormat="1" ht="12.75"/>
    <row r="55121" s="3161" customFormat="1" ht="12.75"/>
    <row r="55122" s="3161" customFormat="1" ht="12.75"/>
    <row r="55123" s="3161" customFormat="1" ht="12.75"/>
    <row r="55124" s="3161" customFormat="1" ht="12.75"/>
    <row r="55125" s="3161" customFormat="1" ht="12.75"/>
    <row r="55126" s="3161" customFormat="1" ht="12.75"/>
    <row r="55127" s="3161" customFormat="1" ht="12.75"/>
    <row r="55128" s="3161" customFormat="1" ht="12.75"/>
    <row r="55129" s="3161" customFormat="1" ht="12.75"/>
    <row r="55130" s="3161" customFormat="1" ht="12.75"/>
    <row r="55131" s="3161" customFormat="1" ht="12.75"/>
    <row r="55132" s="3161" customFormat="1" ht="12.75"/>
    <row r="55133" s="3161" customFormat="1" ht="12.75"/>
    <row r="55134" s="3161" customFormat="1" ht="12.75"/>
    <row r="55135" s="3161" customFormat="1" ht="12.75"/>
    <row r="55136" s="3161" customFormat="1" ht="12.75"/>
    <row r="55137" s="3161" customFormat="1" ht="12.75"/>
    <row r="55138" s="3161" customFormat="1" ht="12.75"/>
    <row r="55139" s="3161" customFormat="1" ht="12.75"/>
    <row r="55140" s="3161" customFormat="1" ht="12.75"/>
    <row r="55141" s="3161" customFormat="1" ht="12.75"/>
    <row r="55142" s="3161" customFormat="1" ht="12.75"/>
    <row r="55143" s="3161" customFormat="1" ht="12.75"/>
    <row r="55144" s="3161" customFormat="1" ht="12.75"/>
    <row r="55145" s="3161" customFormat="1" ht="12.75"/>
    <row r="55146" s="3161" customFormat="1" ht="12.75"/>
    <row r="55147" s="3161" customFormat="1" ht="12.75"/>
    <row r="55148" s="3161" customFormat="1" ht="12.75"/>
    <row r="55149" s="3161" customFormat="1" ht="12.75"/>
    <row r="55150" s="3161" customFormat="1" ht="12.75"/>
    <row r="55151" s="3161" customFormat="1" ht="12.75"/>
    <row r="55152" s="3161" customFormat="1" ht="12.75"/>
    <row r="55153" s="3161" customFormat="1" ht="12.75"/>
    <row r="55154" s="3161" customFormat="1" ht="12.75"/>
    <row r="55155" s="3161" customFormat="1" ht="12.75"/>
    <row r="55156" s="3161" customFormat="1" ht="12.75"/>
    <row r="55157" s="3161" customFormat="1" ht="12.75"/>
    <row r="55158" s="3161" customFormat="1" ht="12.75"/>
    <row r="55159" s="3161" customFormat="1" ht="12.75"/>
    <row r="55160" s="3161" customFormat="1" ht="12.75"/>
    <row r="55161" s="3161" customFormat="1" ht="12.75"/>
    <row r="55162" s="3161" customFormat="1" ht="12.75"/>
    <row r="55163" s="3161" customFormat="1" ht="12.75"/>
    <row r="55164" s="3161" customFormat="1" ht="12.75"/>
    <row r="55165" s="3161" customFormat="1" ht="12.75"/>
    <row r="55166" s="3161" customFormat="1" ht="12.75"/>
    <row r="55167" s="3161" customFormat="1" ht="12.75"/>
    <row r="55168" s="3161" customFormat="1" ht="12.75"/>
    <row r="55169" s="3161" customFormat="1" ht="12.75"/>
    <row r="55170" s="3161" customFormat="1" ht="12.75"/>
    <row r="55171" s="3161" customFormat="1" ht="12.75"/>
    <row r="55172" s="3161" customFormat="1" ht="12.75"/>
    <row r="55173" s="3161" customFormat="1" ht="12.75"/>
    <row r="55174" s="3161" customFormat="1" ht="12.75"/>
    <row r="55175" s="3161" customFormat="1" ht="12.75"/>
    <row r="55176" s="3161" customFormat="1" ht="12.75"/>
    <row r="55177" s="3161" customFormat="1" ht="12.75"/>
    <row r="55178" s="3161" customFormat="1" ht="12.75"/>
    <row r="55179" s="3161" customFormat="1" ht="12.75"/>
    <row r="55180" s="3161" customFormat="1" ht="12.75"/>
    <row r="55181" s="3161" customFormat="1" ht="12.75"/>
    <row r="55182" s="3161" customFormat="1" ht="12.75"/>
    <row r="55183" s="3161" customFormat="1" ht="12.75"/>
    <row r="55184" s="3161" customFormat="1" ht="12.75"/>
    <row r="55185" s="3161" customFormat="1" ht="12.75"/>
    <row r="55186" s="3161" customFormat="1" ht="12.75"/>
    <row r="55187" s="3161" customFormat="1" ht="12.75"/>
    <row r="55188" s="3161" customFormat="1" ht="12.75"/>
    <row r="55189" s="3161" customFormat="1" ht="12.75"/>
    <row r="55190" s="3161" customFormat="1" ht="12.75"/>
    <row r="55191" s="3161" customFormat="1" ht="12.75"/>
    <row r="55192" s="3161" customFormat="1" ht="12.75"/>
    <row r="55193" s="3161" customFormat="1" ht="12.75"/>
    <row r="55194" s="3161" customFormat="1" ht="12.75"/>
    <row r="55195" s="3161" customFormat="1" ht="12.75"/>
    <row r="55196" s="3161" customFormat="1" ht="12.75"/>
    <row r="55197" s="3161" customFormat="1" ht="12.75"/>
    <row r="55198" s="3161" customFormat="1" ht="12.75"/>
    <row r="55199" s="3161" customFormat="1" ht="12.75"/>
    <row r="55200" s="3161" customFormat="1" ht="12.75"/>
    <row r="55201" s="3161" customFormat="1" ht="12.75"/>
    <row r="55202" s="3161" customFormat="1" ht="12.75"/>
    <row r="55203" s="3161" customFormat="1" ht="12.75"/>
    <row r="55204" s="3161" customFormat="1" ht="12.75"/>
    <row r="55205" s="3161" customFormat="1" ht="12.75"/>
    <row r="55206" s="3161" customFormat="1" ht="12.75"/>
    <row r="55207" s="3161" customFormat="1" ht="12.75"/>
    <row r="55208" s="3161" customFormat="1" ht="12.75"/>
    <row r="55209" s="3161" customFormat="1" ht="12.75"/>
    <row r="55210" s="3161" customFormat="1" ht="12.75"/>
    <row r="55211" s="3161" customFormat="1" ht="12.75"/>
    <row r="55212" s="3161" customFormat="1" ht="12.75"/>
    <row r="55213" s="3161" customFormat="1" ht="12.75"/>
    <row r="55214" s="3161" customFormat="1" ht="12.75"/>
    <row r="55215" s="3161" customFormat="1" ht="12.75"/>
    <row r="55216" s="3161" customFormat="1" ht="12.75"/>
    <row r="55217" s="3161" customFormat="1" ht="12.75"/>
    <row r="55218" s="3161" customFormat="1" ht="12.75"/>
    <row r="55219" s="3161" customFormat="1" ht="12.75"/>
    <row r="55220" s="3161" customFormat="1" ht="12.75"/>
    <row r="55221" s="3161" customFormat="1" ht="12.75"/>
    <row r="55222" s="3161" customFormat="1" ht="12.75"/>
    <row r="55223" s="3161" customFormat="1" ht="12.75"/>
    <row r="55224" s="3161" customFormat="1" ht="12.75"/>
    <row r="55225" s="3161" customFormat="1" ht="12.75"/>
    <row r="55226" s="3161" customFormat="1" ht="12.75"/>
    <row r="55227" s="3161" customFormat="1" ht="12.75"/>
    <row r="55228" s="3161" customFormat="1" ht="12.75"/>
    <row r="55229" s="3161" customFormat="1" ht="12.75"/>
    <row r="55230" s="3161" customFormat="1" ht="12.75"/>
    <row r="55231" s="3161" customFormat="1" ht="12.75"/>
    <row r="55232" s="3161" customFormat="1" ht="12.75"/>
    <row r="55233" s="3161" customFormat="1" ht="12.75"/>
    <row r="55234" s="3161" customFormat="1" ht="12.75"/>
    <row r="55235" s="3161" customFormat="1" ht="12.75"/>
    <row r="55236" s="3161" customFormat="1" ht="12.75"/>
    <row r="55237" s="3161" customFormat="1" ht="12.75"/>
    <row r="55238" s="3161" customFormat="1" ht="12.75"/>
    <row r="55239" s="3161" customFormat="1" ht="12.75"/>
    <row r="55240" s="3161" customFormat="1" ht="12.75"/>
    <row r="55241" s="3161" customFormat="1" ht="12.75"/>
    <row r="55242" s="3161" customFormat="1" ht="12.75"/>
    <row r="55243" s="3161" customFormat="1" ht="12.75"/>
    <row r="55244" s="3161" customFormat="1" ht="12.75"/>
    <row r="55245" s="3161" customFormat="1" ht="12.75"/>
    <row r="55246" s="3161" customFormat="1" ht="12.75"/>
    <row r="55247" s="3161" customFormat="1" ht="12.75"/>
    <row r="55248" s="3161" customFormat="1" ht="12.75"/>
    <row r="55249" s="3161" customFormat="1" ht="12.75"/>
    <row r="55250" s="3161" customFormat="1" ht="12.75"/>
    <row r="55251" s="3161" customFormat="1" ht="12.75"/>
    <row r="55252" s="3161" customFormat="1" ht="12.75"/>
    <row r="55253" s="3161" customFormat="1" ht="12.75"/>
    <row r="55254" s="3161" customFormat="1" ht="12.75"/>
    <row r="55255" s="3161" customFormat="1" ht="12.75"/>
    <row r="55256" s="3161" customFormat="1" ht="12.75"/>
    <row r="55257" s="3161" customFormat="1" ht="12.75"/>
    <row r="55258" s="3161" customFormat="1" ht="12.75"/>
    <row r="55259" s="3161" customFormat="1" ht="12.75"/>
    <row r="55260" s="3161" customFormat="1" ht="12.75"/>
    <row r="55261" s="3161" customFormat="1" ht="12.75"/>
    <row r="55262" s="3161" customFormat="1" ht="12.75"/>
    <row r="55263" s="3161" customFormat="1" ht="12.75"/>
    <row r="55264" s="3161" customFormat="1" ht="12.75"/>
    <row r="55265" s="3161" customFormat="1" ht="12.75"/>
    <row r="55266" s="3161" customFormat="1" ht="12.75"/>
    <row r="55267" s="3161" customFormat="1" ht="12.75"/>
    <row r="55268" s="3161" customFormat="1" ht="12.75"/>
    <row r="55269" s="3161" customFormat="1" ht="12.75"/>
    <row r="55270" s="3161" customFormat="1" ht="12.75"/>
    <row r="55271" s="3161" customFormat="1" ht="12.75"/>
    <row r="55272" s="3161" customFormat="1" ht="12.75"/>
    <row r="55273" s="3161" customFormat="1" ht="12.75"/>
    <row r="55274" s="3161" customFormat="1" ht="12.75"/>
    <row r="55275" s="3161" customFormat="1" ht="12.75"/>
    <row r="55276" s="3161" customFormat="1" ht="12.75"/>
    <row r="55277" s="3161" customFormat="1" ht="12.75"/>
    <row r="55278" s="3161" customFormat="1" ht="12.75"/>
    <row r="55279" s="3161" customFormat="1" ht="12.75"/>
    <row r="55280" s="3161" customFormat="1" ht="12.75"/>
    <row r="55281" s="3161" customFormat="1" ht="12.75"/>
    <row r="55282" s="3161" customFormat="1" ht="12.75"/>
    <row r="55283" s="3161" customFormat="1" ht="12.75"/>
    <row r="55284" s="3161" customFormat="1" ht="12.75"/>
    <row r="55285" s="3161" customFormat="1" ht="12.75"/>
    <row r="55286" s="3161" customFormat="1" ht="12.75"/>
    <row r="55287" s="3161" customFormat="1" ht="12.75"/>
    <row r="55288" s="3161" customFormat="1" ht="12.75"/>
    <row r="55289" s="3161" customFormat="1" ht="12.75"/>
    <row r="55290" s="3161" customFormat="1" ht="12.75"/>
    <row r="55291" s="3161" customFormat="1" ht="12.75"/>
    <row r="55292" s="3161" customFormat="1" ht="12.75"/>
    <row r="55293" s="3161" customFormat="1" ht="12.75"/>
    <row r="55294" s="3161" customFormat="1" ht="12.75"/>
    <row r="55295" s="3161" customFormat="1" ht="12.75"/>
    <row r="55296" s="3161" customFormat="1" ht="12.75"/>
    <row r="55297" s="3161" customFormat="1" ht="12.75"/>
    <row r="55298" s="3161" customFormat="1" ht="12.75"/>
    <row r="55299" s="3161" customFormat="1" ht="12.75"/>
    <row r="55300" s="3161" customFormat="1" ht="12.75"/>
    <row r="55301" s="3161" customFormat="1" ht="12.75"/>
    <row r="55302" s="3161" customFormat="1" ht="12.75"/>
    <row r="55303" s="3161" customFormat="1" ht="12.75"/>
    <row r="55304" s="3161" customFormat="1" ht="12.75"/>
    <row r="55305" s="3161" customFormat="1" ht="12.75"/>
    <row r="55306" s="3161" customFormat="1" ht="12.75"/>
    <row r="55307" s="3161" customFormat="1" ht="12.75"/>
    <row r="55308" s="3161" customFormat="1" ht="12.75"/>
    <row r="55309" s="3161" customFormat="1" ht="12.75"/>
    <row r="55310" s="3161" customFormat="1" ht="12.75"/>
    <row r="55311" s="3161" customFormat="1" ht="12.75"/>
    <row r="55312" s="3161" customFormat="1" ht="12.75"/>
    <row r="55313" s="3161" customFormat="1" ht="12.75"/>
    <row r="55314" s="3161" customFormat="1" ht="12.75"/>
    <row r="55315" s="3161" customFormat="1" ht="12.75"/>
    <row r="55316" s="3161" customFormat="1" ht="12.75"/>
    <row r="55317" s="3161" customFormat="1" ht="12.75"/>
    <row r="55318" s="3161" customFormat="1" ht="12.75"/>
    <row r="55319" s="3161" customFormat="1" ht="12.75"/>
    <row r="55320" s="3161" customFormat="1" ht="12.75"/>
    <row r="55321" s="3161" customFormat="1" ht="12.75"/>
    <row r="55322" s="3161" customFormat="1" ht="12.75"/>
    <row r="55323" s="3161" customFormat="1" ht="12.75"/>
    <row r="55324" s="3161" customFormat="1" ht="12.75"/>
    <row r="55325" s="3161" customFormat="1" ht="12.75"/>
    <row r="55326" s="3161" customFormat="1" ht="12.75"/>
    <row r="55327" s="3161" customFormat="1" ht="12.75"/>
    <row r="55328" s="3161" customFormat="1" ht="12.75"/>
    <row r="55329" s="3161" customFormat="1" ht="12.75"/>
    <row r="55330" s="3161" customFormat="1" ht="12.75"/>
    <row r="55331" s="3161" customFormat="1" ht="12.75"/>
    <row r="55332" s="3161" customFormat="1" ht="12.75"/>
    <row r="55333" s="3161" customFormat="1" ht="12.75"/>
    <row r="55334" s="3161" customFormat="1" ht="12.75"/>
    <row r="55335" s="3161" customFormat="1" ht="12.75"/>
    <row r="55336" s="3161" customFormat="1" ht="12.75"/>
    <row r="55337" s="3161" customFormat="1" ht="12.75"/>
    <row r="55338" s="3161" customFormat="1" ht="12.75"/>
    <row r="55339" s="3161" customFormat="1" ht="12.75"/>
    <row r="55340" s="3161" customFormat="1" ht="12.75"/>
    <row r="55341" s="3161" customFormat="1" ht="12.75"/>
    <row r="55342" s="3161" customFormat="1" ht="12.75"/>
    <row r="55343" s="3161" customFormat="1" ht="12.75"/>
    <row r="55344" s="3161" customFormat="1" ht="12.75"/>
    <row r="55345" s="3161" customFormat="1" ht="12.75"/>
    <row r="55346" s="3161" customFormat="1" ht="12.75"/>
    <row r="55347" s="3161" customFormat="1" ht="12.75"/>
    <row r="55348" s="3161" customFormat="1" ht="12.75"/>
    <row r="55349" s="3161" customFormat="1" ht="12.75"/>
    <row r="55350" s="3161" customFormat="1" ht="12.75"/>
    <row r="55351" s="3161" customFormat="1" ht="12.75"/>
    <row r="55352" s="3161" customFormat="1" ht="12.75"/>
    <row r="55353" s="3161" customFormat="1" ht="12.75"/>
    <row r="55354" s="3161" customFormat="1" ht="12.75"/>
    <row r="55355" s="3161" customFormat="1" ht="12.75"/>
    <row r="55356" s="3161" customFormat="1" ht="12.75"/>
    <row r="55357" s="3161" customFormat="1" ht="12.75"/>
    <row r="55358" s="3161" customFormat="1" ht="12.75"/>
    <row r="55359" s="3161" customFormat="1" ht="12.75"/>
    <row r="55360" s="3161" customFormat="1" ht="12.75"/>
    <row r="55361" s="3161" customFormat="1" ht="12.75"/>
    <row r="55362" s="3161" customFormat="1" ht="12.75"/>
    <row r="55363" s="3161" customFormat="1" ht="12.75"/>
    <row r="55364" s="3161" customFormat="1" ht="12.75"/>
    <row r="55365" s="3161" customFormat="1" ht="12.75"/>
    <row r="55366" s="3161" customFormat="1" ht="12.75"/>
    <row r="55367" s="3161" customFormat="1" ht="12.75"/>
    <row r="55368" s="3161" customFormat="1" ht="12.75"/>
    <row r="55369" s="3161" customFormat="1" ht="12.75"/>
    <row r="55370" s="3161" customFormat="1" ht="12.75"/>
    <row r="55371" s="3161" customFormat="1" ht="12.75"/>
    <row r="55372" s="3161" customFormat="1" ht="12.75"/>
    <row r="55373" s="3161" customFormat="1" ht="12.75"/>
    <row r="55374" s="3161" customFormat="1" ht="12.75"/>
    <row r="55375" s="3161" customFormat="1" ht="12.75"/>
    <row r="55376" s="3161" customFormat="1" ht="12.75"/>
    <row r="55377" s="3161" customFormat="1" ht="12.75"/>
    <row r="55378" s="3161" customFormat="1" ht="12.75"/>
    <row r="55379" s="3161" customFormat="1" ht="12.75"/>
    <row r="55380" s="3161" customFormat="1" ht="12.75"/>
    <row r="55381" s="3161" customFormat="1" ht="12.75"/>
    <row r="55382" s="3161" customFormat="1" ht="12.75"/>
    <row r="55383" s="3161" customFormat="1" ht="12.75"/>
    <row r="55384" s="3161" customFormat="1" ht="12.75"/>
    <row r="55385" s="3161" customFormat="1" ht="12.75"/>
    <row r="55386" s="3161" customFormat="1" ht="12.75"/>
    <row r="55387" s="3161" customFormat="1" ht="12.75"/>
    <row r="55388" s="3161" customFormat="1" ht="12.75"/>
    <row r="55389" s="3161" customFormat="1" ht="12.75"/>
    <row r="55390" s="3161" customFormat="1" ht="12.75"/>
    <row r="55391" s="3161" customFormat="1" ht="12.75"/>
    <row r="55392" s="3161" customFormat="1" ht="12.75"/>
    <row r="55393" s="3161" customFormat="1" ht="12.75"/>
    <row r="55394" s="3161" customFormat="1" ht="12.75"/>
    <row r="55395" s="3161" customFormat="1" ht="12.75"/>
    <row r="55396" s="3161" customFormat="1" ht="12.75"/>
    <row r="55397" s="3161" customFormat="1" ht="12.75"/>
    <row r="55398" s="3161" customFormat="1" ht="12.75"/>
    <row r="55399" s="3161" customFormat="1" ht="12.75"/>
    <row r="55400" s="3161" customFormat="1" ht="12.75"/>
    <row r="55401" s="3161" customFormat="1" ht="12.75"/>
    <row r="55402" s="3161" customFormat="1" ht="12.75"/>
    <row r="55403" s="3161" customFormat="1" ht="12.75"/>
    <row r="55404" s="3161" customFormat="1" ht="12.75"/>
    <row r="55405" s="3161" customFormat="1" ht="12.75"/>
    <row r="55406" s="3161" customFormat="1" ht="12.75"/>
    <row r="55407" s="3161" customFormat="1" ht="12.75"/>
    <row r="55408" s="3161" customFormat="1" ht="12.75"/>
    <row r="55409" s="3161" customFormat="1" ht="12.75"/>
    <row r="55410" s="3161" customFormat="1" ht="12.75"/>
    <row r="55411" s="3161" customFormat="1" ht="12.75"/>
    <row r="55412" s="3161" customFormat="1" ht="12.75"/>
    <row r="55413" s="3161" customFormat="1" ht="12.75"/>
    <row r="55414" s="3161" customFormat="1" ht="12.75"/>
    <row r="55415" s="3161" customFormat="1" ht="12.75"/>
    <row r="55416" s="3161" customFormat="1" ht="12.75"/>
    <row r="55417" s="3161" customFormat="1" ht="12.75"/>
    <row r="55418" s="3161" customFormat="1" ht="12.75"/>
    <row r="55419" s="3161" customFormat="1" ht="12.75"/>
    <row r="55420" s="3161" customFormat="1" ht="12.75"/>
    <row r="55421" s="3161" customFormat="1" ht="12.75"/>
    <row r="55422" s="3161" customFormat="1" ht="12.75"/>
    <row r="55423" s="3161" customFormat="1" ht="12.75"/>
    <row r="55424" s="3161" customFormat="1" ht="12.75"/>
    <row r="55425" s="3161" customFormat="1" ht="12.75"/>
    <row r="55426" s="3161" customFormat="1" ht="12.75"/>
    <row r="55427" s="3161" customFormat="1" ht="12.75"/>
    <row r="55428" s="3161" customFormat="1" ht="12.75"/>
    <row r="55429" s="3161" customFormat="1" ht="12.75"/>
    <row r="55430" s="3161" customFormat="1" ht="12.75"/>
    <row r="55431" s="3161" customFormat="1" ht="12.75"/>
    <row r="55432" s="3161" customFormat="1" ht="12.75"/>
    <row r="55433" s="3161" customFormat="1" ht="12.75"/>
    <row r="55434" s="3161" customFormat="1" ht="12.75"/>
    <row r="55435" s="3161" customFormat="1" ht="12.75"/>
    <row r="55436" s="3161" customFormat="1" ht="12.75"/>
    <row r="55437" s="3161" customFormat="1" ht="12.75"/>
    <row r="55438" s="3161" customFormat="1" ht="12.75"/>
    <row r="55439" s="3161" customFormat="1" ht="12.75"/>
    <row r="55440" s="3161" customFormat="1" ht="12.75"/>
    <row r="55441" s="3161" customFormat="1" ht="12.75"/>
    <row r="55442" s="3161" customFormat="1" ht="12.75"/>
    <row r="55443" s="3161" customFormat="1" ht="12.75"/>
    <row r="55444" s="3161" customFormat="1" ht="12.75"/>
    <row r="55445" s="3161" customFormat="1" ht="12.75"/>
    <row r="55446" s="3161" customFormat="1" ht="12.75"/>
    <row r="55447" s="3161" customFormat="1" ht="12.75"/>
    <row r="55448" s="3161" customFormat="1" ht="12.75"/>
    <row r="55449" s="3161" customFormat="1" ht="12.75"/>
    <row r="55450" s="3161" customFormat="1" ht="12.75"/>
    <row r="55451" s="3161" customFormat="1" ht="12.75"/>
    <row r="55452" s="3161" customFormat="1" ht="12.75"/>
    <row r="55453" s="3161" customFormat="1" ht="12.75"/>
    <row r="55454" s="3161" customFormat="1" ht="12.75"/>
    <row r="55455" s="3161" customFormat="1" ht="12.75"/>
    <row r="55456" s="3161" customFormat="1" ht="12.75"/>
    <row r="55457" s="3161" customFormat="1" ht="12.75"/>
    <row r="55458" s="3161" customFormat="1" ht="12.75"/>
    <row r="55459" s="3161" customFormat="1" ht="12.75"/>
    <row r="55460" s="3161" customFormat="1" ht="12.75"/>
    <row r="55461" s="3161" customFormat="1" ht="12.75"/>
    <row r="55462" s="3161" customFormat="1" ht="12.75"/>
    <row r="55463" s="3161" customFormat="1" ht="12.75"/>
    <row r="55464" s="3161" customFormat="1" ht="12.75"/>
    <row r="55465" s="3161" customFormat="1" ht="12.75"/>
    <row r="55466" s="3161" customFormat="1" ht="12.75"/>
    <row r="55467" s="3161" customFormat="1" ht="12.75"/>
    <row r="55468" s="3161" customFormat="1" ht="12.75"/>
    <row r="55469" s="3161" customFormat="1" ht="12.75"/>
    <row r="55470" s="3161" customFormat="1" ht="12.75"/>
    <row r="55471" s="3161" customFormat="1" ht="12.75"/>
    <row r="55472" s="3161" customFormat="1" ht="12.75"/>
    <row r="55473" s="3161" customFormat="1" ht="12.75"/>
    <row r="55474" s="3161" customFormat="1" ht="12.75"/>
    <row r="55475" s="3161" customFormat="1" ht="12.75"/>
    <row r="55476" s="3161" customFormat="1" ht="12.75"/>
    <row r="55477" s="3161" customFormat="1" ht="12.75"/>
    <row r="55478" s="3161" customFormat="1" ht="12.75"/>
    <row r="55479" s="3161" customFormat="1" ht="12.75"/>
    <row r="55480" s="3161" customFormat="1" ht="12.75"/>
    <row r="55481" s="3161" customFormat="1" ht="12.75"/>
    <row r="55482" s="3161" customFormat="1" ht="12.75"/>
    <row r="55483" s="3161" customFormat="1" ht="12.75"/>
    <row r="55484" s="3161" customFormat="1" ht="12.75"/>
    <row r="55485" s="3161" customFormat="1" ht="12.75"/>
    <row r="55486" s="3161" customFormat="1" ht="12.75"/>
    <row r="55487" s="3161" customFormat="1" ht="12.75"/>
    <row r="55488" s="3161" customFormat="1" ht="12.75"/>
    <row r="55489" s="3161" customFormat="1" ht="12.75"/>
    <row r="55490" s="3161" customFormat="1" ht="12.75"/>
    <row r="55491" s="3161" customFormat="1" ht="12.75"/>
    <row r="55492" s="3161" customFormat="1" ht="12.75"/>
    <row r="55493" s="3161" customFormat="1" ht="12.75"/>
    <row r="55494" s="3161" customFormat="1" ht="12.75"/>
    <row r="55495" s="3161" customFormat="1" ht="12.75"/>
    <row r="55496" s="3161" customFormat="1" ht="12.75"/>
    <row r="55497" s="3161" customFormat="1" ht="12.75"/>
    <row r="55498" s="3161" customFormat="1" ht="12.75"/>
    <row r="55499" s="3161" customFormat="1" ht="12.75"/>
    <row r="55500" s="3161" customFormat="1" ht="12.75"/>
    <row r="55501" s="3161" customFormat="1" ht="12.75"/>
    <row r="55502" s="3161" customFormat="1" ht="12.75"/>
    <row r="55503" s="3161" customFormat="1" ht="12.75"/>
    <row r="55504" s="3161" customFormat="1" ht="12.75"/>
    <row r="55505" s="3161" customFormat="1" ht="12.75"/>
    <row r="55506" s="3161" customFormat="1" ht="12.75"/>
    <row r="55507" s="3161" customFormat="1" ht="12.75"/>
    <row r="55508" s="3161" customFormat="1" ht="12.75"/>
    <row r="55509" s="3161" customFormat="1" ht="12.75"/>
    <row r="55510" s="3161" customFormat="1" ht="12.75"/>
    <row r="55511" s="3161" customFormat="1" ht="12.75"/>
    <row r="55512" s="3161" customFormat="1" ht="12.75"/>
    <row r="55513" s="3161" customFormat="1" ht="12.75"/>
    <row r="55514" s="3161" customFormat="1" ht="12.75"/>
    <row r="55515" s="3161" customFormat="1" ht="12.75"/>
    <row r="55516" s="3161" customFormat="1" ht="12.75"/>
    <row r="55517" s="3161" customFormat="1" ht="12.75"/>
    <row r="55518" s="3161" customFormat="1" ht="12.75"/>
    <row r="55519" s="3161" customFormat="1" ht="12.75"/>
    <row r="55520" s="3161" customFormat="1" ht="12.75"/>
    <row r="55521" s="3161" customFormat="1" ht="12.75"/>
    <row r="55522" s="3161" customFormat="1" ht="12.75"/>
    <row r="55523" s="3161" customFormat="1" ht="12.75"/>
    <row r="55524" s="3161" customFormat="1" ht="12.75"/>
    <row r="55525" s="3161" customFormat="1" ht="12.75"/>
    <row r="55526" s="3161" customFormat="1" ht="12.75"/>
    <row r="55527" s="3161" customFormat="1" ht="12.75"/>
    <row r="55528" s="3161" customFormat="1" ht="12.75"/>
    <row r="55529" s="3161" customFormat="1" ht="12.75"/>
    <row r="55530" s="3161" customFormat="1" ht="12.75"/>
    <row r="55531" s="3161" customFormat="1" ht="12.75"/>
    <row r="55532" s="3161" customFormat="1" ht="12.75"/>
    <row r="55533" s="3161" customFormat="1" ht="12.75"/>
    <row r="55534" s="3161" customFormat="1" ht="12.75"/>
    <row r="55535" s="3161" customFormat="1" ht="12.75"/>
    <row r="55536" s="3161" customFormat="1" ht="12.75"/>
    <row r="55537" s="3161" customFormat="1" ht="12.75"/>
    <row r="55538" s="3161" customFormat="1" ht="12.75"/>
    <row r="55539" s="3161" customFormat="1" ht="12.75"/>
    <row r="55540" s="3161" customFormat="1" ht="12.75"/>
    <row r="55541" s="3161" customFormat="1" ht="12.75"/>
    <row r="55542" s="3161" customFormat="1" ht="12.75"/>
    <row r="55543" s="3161" customFormat="1" ht="12.75"/>
    <row r="55544" s="3161" customFormat="1" ht="12.75"/>
    <row r="55545" s="3161" customFormat="1" ht="12.75"/>
    <row r="55546" s="3161" customFormat="1" ht="12.75"/>
    <row r="55547" s="3161" customFormat="1" ht="12.75"/>
    <row r="55548" s="3161" customFormat="1" ht="12.75"/>
    <row r="55549" s="3161" customFormat="1" ht="12.75"/>
    <row r="55550" s="3161" customFormat="1" ht="12.75"/>
    <row r="55551" s="3161" customFormat="1" ht="12.75"/>
    <row r="55552" s="3161" customFormat="1" ht="12.75"/>
    <row r="55553" s="3161" customFormat="1" ht="12.75"/>
    <row r="55554" s="3161" customFormat="1" ht="12.75"/>
    <row r="55555" s="3161" customFormat="1" ht="12.75"/>
    <row r="55556" s="3161" customFormat="1" ht="12.75"/>
    <row r="55557" s="3161" customFormat="1" ht="12.75"/>
    <row r="55558" s="3161" customFormat="1" ht="12.75"/>
    <row r="55559" s="3161" customFormat="1" ht="12.75"/>
    <row r="55560" s="3161" customFormat="1" ht="12.75"/>
    <row r="55561" s="3161" customFormat="1" ht="12.75"/>
    <row r="55562" s="3161" customFormat="1" ht="12.75"/>
    <row r="55563" s="3161" customFormat="1" ht="12.75"/>
    <row r="55564" s="3161" customFormat="1" ht="12.75"/>
    <row r="55565" s="3161" customFormat="1" ht="12.75"/>
    <row r="55566" s="3161" customFormat="1" ht="12.75"/>
    <row r="55567" s="3161" customFormat="1" ht="12.75"/>
    <row r="55568" s="3161" customFormat="1" ht="12.75"/>
    <row r="55569" s="3161" customFormat="1" ht="12.75"/>
    <row r="55570" s="3161" customFormat="1" ht="12.75"/>
    <row r="55571" s="3161" customFormat="1" ht="12.75"/>
    <row r="55572" s="3161" customFormat="1" ht="12.75"/>
    <row r="55573" s="3161" customFormat="1" ht="12.75"/>
    <row r="55574" s="3161" customFormat="1" ht="12.75"/>
    <row r="55575" s="3161" customFormat="1" ht="12.75"/>
    <row r="55576" s="3161" customFormat="1" ht="12.75"/>
    <row r="55577" s="3161" customFormat="1" ht="12.75"/>
    <row r="55578" s="3161" customFormat="1" ht="12.75"/>
    <row r="55579" s="3161" customFormat="1" ht="12.75"/>
    <row r="55580" s="3161" customFormat="1" ht="12.75"/>
    <row r="55581" s="3161" customFormat="1" ht="12.75"/>
    <row r="55582" s="3161" customFormat="1" ht="12.75"/>
    <row r="55583" s="3161" customFormat="1" ht="12.75"/>
    <row r="55584" s="3161" customFormat="1" ht="12.75"/>
    <row r="55585" s="3161" customFormat="1" ht="12.75"/>
    <row r="55586" s="3161" customFormat="1" ht="12.75"/>
    <row r="55587" s="3161" customFormat="1" ht="12.75"/>
    <row r="55588" s="3161" customFormat="1" ht="12.75"/>
    <row r="55589" s="3161" customFormat="1" ht="12.75"/>
    <row r="55590" s="3161" customFormat="1" ht="12.75"/>
    <row r="55591" s="3161" customFormat="1" ht="12.75"/>
    <row r="55592" s="3161" customFormat="1" ht="12.75"/>
    <row r="55593" s="3161" customFormat="1" ht="12.75"/>
    <row r="55594" s="3161" customFormat="1" ht="12.75"/>
    <row r="55595" s="3161" customFormat="1" ht="12.75"/>
    <row r="55596" s="3161" customFormat="1" ht="12.75"/>
    <row r="55597" s="3161" customFormat="1" ht="12.75"/>
    <row r="55598" s="3161" customFormat="1" ht="12.75"/>
    <row r="55599" s="3161" customFormat="1" ht="12.75"/>
    <row r="55600" s="3161" customFormat="1" ht="12.75"/>
    <row r="55601" s="3161" customFormat="1" ht="12.75"/>
    <row r="55602" s="3161" customFormat="1" ht="12.75"/>
    <row r="55603" s="3161" customFormat="1" ht="12.75"/>
    <row r="55604" s="3161" customFormat="1" ht="12.75"/>
    <row r="55605" s="3161" customFormat="1" ht="12.75"/>
    <row r="55606" s="3161" customFormat="1" ht="12.75"/>
    <row r="55607" s="3161" customFormat="1" ht="12.75"/>
    <row r="55608" s="3161" customFormat="1" ht="12.75"/>
    <row r="55609" s="3161" customFormat="1" ht="12.75"/>
    <row r="55610" s="3161" customFormat="1" ht="12.75"/>
    <row r="55611" s="3161" customFormat="1" ht="12.75"/>
    <row r="55612" s="3161" customFormat="1" ht="12.75"/>
    <row r="55613" s="3161" customFormat="1" ht="12.75"/>
    <row r="55614" s="3161" customFormat="1" ht="12.75"/>
    <row r="55615" s="3161" customFormat="1" ht="12.75"/>
    <row r="55616" s="3161" customFormat="1" ht="12.75"/>
    <row r="55617" s="3161" customFormat="1" ht="12.75"/>
    <row r="55618" s="3161" customFormat="1" ht="12.75"/>
    <row r="55619" s="3161" customFormat="1" ht="12.75"/>
    <row r="55620" s="3161" customFormat="1" ht="12.75"/>
    <row r="55621" s="3161" customFormat="1" ht="12.75"/>
    <row r="55622" s="3161" customFormat="1" ht="12.75"/>
    <row r="55623" s="3161" customFormat="1" ht="12.75"/>
    <row r="55624" s="3161" customFormat="1" ht="12.75"/>
    <row r="55625" s="3161" customFormat="1" ht="12.75"/>
    <row r="55626" s="3161" customFormat="1" ht="12.75"/>
    <row r="55627" s="3161" customFormat="1" ht="12.75"/>
    <row r="55628" s="3161" customFormat="1" ht="12.75"/>
    <row r="55629" s="3161" customFormat="1" ht="12.75"/>
    <row r="55630" s="3161" customFormat="1" ht="12.75"/>
    <row r="55631" s="3161" customFormat="1" ht="12.75"/>
    <row r="55632" s="3161" customFormat="1" ht="12.75"/>
    <row r="55633" s="3161" customFormat="1" ht="12.75"/>
    <row r="55634" s="3161" customFormat="1" ht="12.75"/>
    <row r="55635" s="3161" customFormat="1" ht="12.75"/>
    <row r="55636" s="3161" customFormat="1" ht="12.75"/>
    <row r="55637" s="3161" customFormat="1" ht="12.75"/>
    <row r="55638" s="3161" customFormat="1" ht="12.75"/>
    <row r="55639" s="3161" customFormat="1" ht="12.75"/>
    <row r="55640" s="3161" customFormat="1" ht="12.75"/>
    <row r="55641" s="3161" customFormat="1" ht="12.75"/>
    <row r="55642" s="3161" customFormat="1" ht="12.75"/>
    <row r="55643" s="3161" customFormat="1" ht="12.75"/>
    <row r="55644" s="3161" customFormat="1" ht="12.75"/>
    <row r="55645" s="3161" customFormat="1" ht="12.75"/>
    <row r="55646" s="3161" customFormat="1" ht="12.75"/>
    <row r="55647" s="3161" customFormat="1" ht="12.75"/>
    <row r="55648" s="3161" customFormat="1" ht="12.75"/>
    <row r="55649" s="3161" customFormat="1" ht="12.75"/>
    <row r="55650" s="3161" customFormat="1" ht="12.75"/>
    <row r="55651" s="3161" customFormat="1" ht="12.75"/>
    <row r="55652" s="3161" customFormat="1" ht="12.75"/>
    <row r="55653" s="3161" customFormat="1" ht="12.75"/>
    <row r="55654" s="3161" customFormat="1" ht="12.75"/>
    <row r="55655" s="3161" customFormat="1" ht="12.75"/>
    <row r="55656" s="3161" customFormat="1" ht="12.75"/>
    <row r="55657" s="3161" customFormat="1" ht="12.75"/>
    <row r="55658" s="3161" customFormat="1" ht="12.75"/>
    <row r="55659" s="3161" customFormat="1" ht="12.75"/>
    <row r="55660" s="3161" customFormat="1" ht="12.75"/>
    <row r="55661" s="3161" customFormat="1" ht="12.75"/>
    <row r="55662" s="3161" customFormat="1" ht="12.75"/>
    <row r="55663" s="3161" customFormat="1" ht="12.75"/>
    <row r="55664" s="3161" customFormat="1" ht="12.75"/>
    <row r="55665" s="3161" customFormat="1" ht="12.75"/>
    <row r="55666" s="3161" customFormat="1" ht="12.75"/>
    <row r="55667" s="3161" customFormat="1" ht="12.75"/>
    <row r="55668" s="3161" customFormat="1" ht="12.75"/>
    <row r="55669" s="3161" customFormat="1" ht="12.75"/>
    <row r="55670" s="3161" customFormat="1" ht="12.75"/>
    <row r="55671" s="3161" customFormat="1" ht="12.75"/>
    <row r="55672" s="3161" customFormat="1" ht="12.75"/>
    <row r="55673" s="3161" customFormat="1" ht="12.75"/>
    <row r="55674" s="3161" customFormat="1" ht="12.75"/>
    <row r="55675" s="3161" customFormat="1" ht="12.75"/>
    <row r="55676" s="3161" customFormat="1" ht="12.75"/>
    <row r="55677" s="3161" customFormat="1" ht="12.75"/>
    <row r="55678" s="3161" customFormat="1" ht="12.75"/>
    <row r="55679" s="3161" customFormat="1" ht="12.75"/>
    <row r="55680" s="3161" customFormat="1" ht="12.75"/>
    <row r="55681" s="3161" customFormat="1" ht="12.75"/>
    <row r="55682" s="3161" customFormat="1" ht="12.75"/>
    <row r="55683" s="3161" customFormat="1" ht="12.75"/>
    <row r="55684" s="3161" customFormat="1" ht="12.75"/>
    <row r="55685" s="3161" customFormat="1" ht="12.75"/>
    <row r="55686" s="3161" customFormat="1" ht="12.75"/>
    <row r="55687" s="3161" customFormat="1" ht="12.75"/>
    <row r="55688" s="3161" customFormat="1" ht="12.75"/>
    <row r="55689" s="3161" customFormat="1" ht="12.75"/>
    <row r="55690" s="3161" customFormat="1" ht="12.75"/>
    <row r="55691" s="3161" customFormat="1" ht="12.75"/>
    <row r="55692" s="3161" customFormat="1" ht="12.75"/>
    <row r="55693" s="3161" customFormat="1" ht="12.75"/>
    <row r="55694" s="3161" customFormat="1" ht="12.75"/>
    <row r="55695" s="3161" customFormat="1" ht="12.75"/>
    <row r="55696" s="3161" customFormat="1" ht="12.75"/>
    <row r="55697" s="3161" customFormat="1" ht="12.75"/>
    <row r="55698" s="3161" customFormat="1" ht="12.75"/>
    <row r="55699" s="3161" customFormat="1" ht="12.75"/>
    <row r="55700" s="3161" customFormat="1" ht="12.75"/>
    <row r="55701" s="3161" customFormat="1" ht="12.75"/>
    <row r="55702" s="3161" customFormat="1" ht="12.75"/>
    <row r="55703" s="3161" customFormat="1" ht="12.75"/>
    <row r="55704" s="3161" customFormat="1" ht="12.75"/>
    <row r="55705" s="3161" customFormat="1" ht="12.75"/>
    <row r="55706" s="3161" customFormat="1" ht="12.75"/>
    <row r="55707" s="3161" customFormat="1" ht="12.75"/>
    <row r="55708" s="3161" customFormat="1" ht="12.75"/>
    <row r="55709" s="3161" customFormat="1" ht="12.75"/>
    <row r="55710" s="3161" customFormat="1" ht="12.75"/>
    <row r="55711" s="3161" customFormat="1" ht="12.75"/>
    <row r="55712" s="3161" customFormat="1" ht="12.75"/>
    <row r="55713" s="3161" customFormat="1" ht="12.75"/>
    <row r="55714" s="3161" customFormat="1" ht="12.75"/>
    <row r="55715" s="3161" customFormat="1" ht="12.75"/>
    <row r="55716" s="3161" customFormat="1" ht="12.75"/>
    <row r="55717" s="3161" customFormat="1" ht="12.75"/>
    <row r="55718" s="3161" customFormat="1" ht="12.75"/>
    <row r="55719" s="3161" customFormat="1" ht="12.75"/>
    <row r="55720" s="3161" customFormat="1" ht="12.75"/>
    <row r="55721" s="3161" customFormat="1" ht="12.75"/>
    <row r="55722" s="3161" customFormat="1" ht="12.75"/>
    <row r="55723" s="3161" customFormat="1" ht="12.75"/>
    <row r="55724" s="3161" customFormat="1" ht="12.75"/>
    <row r="55725" s="3161" customFormat="1" ht="12.75"/>
    <row r="55726" s="3161" customFormat="1" ht="12.75"/>
    <row r="55727" s="3161" customFormat="1" ht="12.75"/>
    <row r="55728" s="3161" customFormat="1" ht="12.75"/>
    <row r="55729" s="3161" customFormat="1" ht="12.75"/>
    <row r="55730" s="3161" customFormat="1" ht="12.75"/>
    <row r="55731" s="3161" customFormat="1" ht="12.75"/>
    <row r="55732" s="3161" customFormat="1" ht="12.75"/>
    <row r="55733" s="3161" customFormat="1" ht="12.75"/>
    <row r="55734" s="3161" customFormat="1" ht="12.75"/>
    <row r="55735" s="3161" customFormat="1" ht="12.75"/>
    <row r="55736" s="3161" customFormat="1" ht="12.75"/>
    <row r="55737" s="3161" customFormat="1" ht="12.75"/>
    <row r="55738" s="3161" customFormat="1" ht="12.75"/>
    <row r="55739" s="3161" customFormat="1" ht="12.75"/>
    <row r="55740" s="3161" customFormat="1" ht="12.75"/>
    <row r="55741" s="3161" customFormat="1" ht="12.75"/>
    <row r="55742" s="3161" customFormat="1" ht="12.75"/>
    <row r="55743" s="3161" customFormat="1" ht="12.75"/>
    <row r="55744" s="3161" customFormat="1" ht="12.75"/>
    <row r="55745" s="3161" customFormat="1" ht="12.75"/>
    <row r="55746" s="3161" customFormat="1" ht="12.75"/>
    <row r="55747" s="3161" customFormat="1" ht="12.75"/>
    <row r="55748" s="3161" customFormat="1" ht="12.75"/>
    <row r="55749" s="3161" customFormat="1" ht="12.75"/>
    <row r="55750" s="3161" customFormat="1" ht="12.75"/>
    <row r="55751" s="3161" customFormat="1" ht="12.75"/>
    <row r="55752" s="3161" customFormat="1" ht="12.75"/>
    <row r="55753" s="3161" customFormat="1" ht="12.75"/>
    <row r="55754" s="3161" customFormat="1" ht="12.75"/>
    <row r="55755" s="3161" customFormat="1" ht="12.75"/>
    <row r="55756" s="3161" customFormat="1" ht="12.75"/>
    <row r="55757" s="3161" customFormat="1" ht="12.75"/>
    <row r="55758" s="3161" customFormat="1" ht="12.75"/>
    <row r="55759" s="3161" customFormat="1" ht="12.75"/>
    <row r="55760" s="3161" customFormat="1" ht="12.75"/>
    <row r="55761" s="3161" customFormat="1" ht="12.75"/>
    <row r="55762" s="3161" customFormat="1" ht="12.75"/>
    <row r="55763" s="3161" customFormat="1" ht="12.75"/>
    <row r="55764" s="3161" customFormat="1" ht="12.75"/>
    <row r="55765" s="3161" customFormat="1" ht="12.75"/>
    <row r="55766" s="3161" customFormat="1" ht="12.75"/>
    <row r="55767" s="3161" customFormat="1" ht="12.75"/>
    <row r="55768" s="3161" customFormat="1" ht="12.75"/>
    <row r="55769" s="3161" customFormat="1" ht="12.75"/>
    <row r="55770" s="3161" customFormat="1" ht="12.75"/>
    <row r="55771" s="3161" customFormat="1" ht="12.75"/>
    <row r="55772" s="3161" customFormat="1" ht="12.75"/>
    <row r="55773" s="3161" customFormat="1" ht="12.75"/>
    <row r="55774" s="3161" customFormat="1" ht="12.75"/>
    <row r="55775" s="3161" customFormat="1" ht="12.75"/>
    <row r="55776" s="3161" customFormat="1" ht="12.75"/>
    <row r="55777" s="3161" customFormat="1" ht="12.75"/>
    <row r="55778" s="3161" customFormat="1" ht="12.75"/>
    <row r="55779" s="3161" customFormat="1" ht="12.75"/>
    <row r="55780" s="3161" customFormat="1" ht="12.75"/>
    <row r="55781" s="3161" customFormat="1" ht="12.75"/>
    <row r="55782" s="3161" customFormat="1" ht="12.75"/>
    <row r="55783" s="3161" customFormat="1" ht="12.75"/>
    <row r="55784" s="3161" customFormat="1" ht="12.75"/>
    <row r="55785" s="3161" customFormat="1" ht="12.75"/>
    <row r="55786" s="3161" customFormat="1" ht="12.75"/>
    <row r="55787" s="3161" customFormat="1" ht="12.75"/>
    <row r="55788" s="3161" customFormat="1" ht="12.75"/>
    <row r="55789" s="3161" customFormat="1" ht="12.75"/>
    <row r="55790" s="3161" customFormat="1" ht="12.75"/>
    <row r="55791" s="3161" customFormat="1" ht="12.75"/>
    <row r="55792" s="3161" customFormat="1" ht="12.75"/>
    <row r="55793" s="3161" customFormat="1" ht="12.75"/>
    <row r="55794" s="3161" customFormat="1" ht="12.75"/>
    <row r="55795" s="3161" customFormat="1" ht="12.75"/>
    <row r="55796" s="3161" customFormat="1" ht="12.75"/>
    <row r="55797" s="3161" customFormat="1" ht="12.75"/>
    <row r="55798" s="3161" customFormat="1" ht="12.75"/>
    <row r="55799" s="3161" customFormat="1" ht="12.75"/>
    <row r="55800" s="3161" customFormat="1" ht="12.75"/>
    <row r="55801" s="3161" customFormat="1" ht="12.75"/>
    <row r="55802" s="3161" customFormat="1" ht="12.75"/>
    <row r="55803" s="3161" customFormat="1" ht="12.75"/>
    <row r="55804" s="3161" customFormat="1" ht="12.75"/>
    <row r="55805" s="3161" customFormat="1" ht="12.75"/>
    <row r="55806" s="3161" customFormat="1" ht="12.75"/>
    <row r="55807" s="3161" customFormat="1" ht="12.75"/>
    <row r="55808" s="3161" customFormat="1" ht="12.75"/>
    <row r="55809" s="3161" customFormat="1" ht="12.75"/>
    <row r="55810" s="3161" customFormat="1" ht="12.75"/>
    <row r="55811" s="3161" customFormat="1" ht="12.75"/>
    <row r="55812" s="3161" customFormat="1" ht="12.75"/>
    <row r="55813" s="3161" customFormat="1" ht="12.75"/>
    <row r="55814" s="3161" customFormat="1" ht="12.75"/>
    <row r="55815" s="3161" customFormat="1" ht="12.75"/>
    <row r="55816" s="3161" customFormat="1" ht="12.75"/>
    <row r="55817" s="3161" customFormat="1" ht="12.75"/>
    <row r="55818" s="3161" customFormat="1" ht="12.75"/>
    <row r="55819" s="3161" customFormat="1" ht="12.75"/>
    <row r="55820" s="3161" customFormat="1" ht="12.75"/>
    <row r="55821" s="3161" customFormat="1" ht="12.75"/>
    <row r="55822" s="3161" customFormat="1" ht="12.75"/>
    <row r="55823" s="3161" customFormat="1" ht="12.75"/>
    <row r="55824" s="3161" customFormat="1" ht="12.75"/>
    <row r="55825" s="3161" customFormat="1" ht="12.75"/>
    <row r="55826" s="3161" customFormat="1" ht="12.75"/>
    <row r="55827" s="3161" customFormat="1" ht="12.75"/>
    <row r="55828" s="3161" customFormat="1" ht="12.75"/>
    <row r="55829" s="3161" customFormat="1" ht="12.75"/>
    <row r="55830" s="3161" customFormat="1" ht="12.75"/>
    <row r="55831" s="3161" customFormat="1" ht="12.75"/>
    <row r="55832" s="3161" customFormat="1" ht="12.75"/>
    <row r="55833" s="3161" customFormat="1" ht="12.75"/>
    <row r="55834" s="3161" customFormat="1" ht="12.75"/>
    <row r="55835" s="3161" customFormat="1" ht="12.75"/>
    <row r="55836" s="3161" customFormat="1" ht="12.75"/>
    <row r="55837" s="3161" customFormat="1" ht="12.75"/>
    <row r="55838" s="3161" customFormat="1" ht="12.75"/>
    <row r="55839" s="3161" customFormat="1" ht="12.75"/>
    <row r="55840" s="3161" customFormat="1" ht="12.75"/>
    <row r="55841" s="3161" customFormat="1" ht="12.75"/>
    <row r="55842" s="3161" customFormat="1" ht="12.75"/>
    <row r="55843" s="3161" customFormat="1" ht="12.75"/>
    <row r="55844" s="3161" customFormat="1" ht="12.75"/>
    <row r="55845" s="3161" customFormat="1" ht="12.75"/>
    <row r="55846" s="3161" customFormat="1" ht="12.75"/>
    <row r="55847" s="3161" customFormat="1" ht="12.75"/>
    <row r="55848" s="3161" customFormat="1" ht="12.75"/>
    <row r="55849" s="3161" customFormat="1" ht="12.75"/>
    <row r="55850" s="3161" customFormat="1" ht="12.75"/>
    <row r="55851" s="3161" customFormat="1" ht="12.75"/>
    <row r="55852" s="3161" customFormat="1" ht="12.75"/>
    <row r="55853" s="3161" customFormat="1" ht="12.75"/>
    <row r="55854" s="3161" customFormat="1" ht="12.75"/>
    <row r="55855" s="3161" customFormat="1" ht="12.75"/>
    <row r="55856" s="3161" customFormat="1" ht="12.75"/>
    <row r="55857" s="3161" customFormat="1" ht="12.75"/>
    <row r="55858" s="3161" customFormat="1" ht="12.75"/>
    <row r="55859" s="3161" customFormat="1" ht="12.75"/>
    <row r="55860" s="3161" customFormat="1" ht="12.75"/>
    <row r="55861" s="3161" customFormat="1" ht="12.75"/>
    <row r="55862" s="3161" customFormat="1" ht="12.75"/>
    <row r="55863" s="3161" customFormat="1" ht="12.75"/>
    <row r="55864" s="3161" customFormat="1" ht="12.75"/>
    <row r="55865" s="3161" customFormat="1" ht="12.75"/>
    <row r="55866" s="3161" customFormat="1" ht="12.75"/>
    <row r="55867" s="3161" customFormat="1" ht="12.75"/>
    <row r="55868" s="3161" customFormat="1" ht="12.75"/>
    <row r="55869" s="3161" customFormat="1" ht="12.75"/>
    <row r="55870" s="3161" customFormat="1" ht="12.75"/>
    <row r="55871" s="3161" customFormat="1" ht="12.75"/>
    <row r="55872" s="3161" customFormat="1" ht="12.75"/>
    <row r="55873" s="3161" customFormat="1" ht="12.75"/>
    <row r="55874" s="3161" customFormat="1" ht="12.75"/>
    <row r="55875" s="3161" customFormat="1" ht="12.75"/>
    <row r="55876" s="3161" customFormat="1" ht="12.75"/>
    <row r="55877" s="3161" customFormat="1" ht="12.75"/>
    <row r="55878" s="3161" customFormat="1" ht="12.75"/>
    <row r="55879" s="3161" customFormat="1" ht="12.75"/>
    <row r="55880" s="3161" customFormat="1" ht="12.75"/>
    <row r="55881" s="3161" customFormat="1" ht="12.75"/>
    <row r="55882" s="3161" customFormat="1" ht="12.75"/>
    <row r="55883" s="3161" customFormat="1" ht="12.75"/>
    <row r="55884" s="3161" customFormat="1" ht="12.75"/>
    <row r="55885" s="3161" customFormat="1" ht="12.75"/>
    <row r="55886" s="3161" customFormat="1" ht="12.75"/>
    <row r="55887" s="3161" customFormat="1" ht="12.75"/>
    <row r="55888" s="3161" customFormat="1" ht="12.75"/>
    <row r="55889" s="3161" customFormat="1" ht="12.75"/>
    <row r="55890" s="3161" customFormat="1" ht="12.75"/>
    <row r="55891" s="3161" customFormat="1" ht="12.75"/>
    <row r="55892" s="3161" customFormat="1" ht="12.75"/>
    <row r="55893" s="3161" customFormat="1" ht="12.75"/>
    <row r="55894" s="3161" customFormat="1" ht="12.75"/>
    <row r="55895" s="3161" customFormat="1" ht="12.75"/>
    <row r="55896" s="3161" customFormat="1" ht="12.75"/>
    <row r="55897" s="3161" customFormat="1" ht="12.75"/>
    <row r="55898" s="3161" customFormat="1" ht="12.75"/>
    <row r="55899" s="3161" customFormat="1" ht="12.75"/>
    <row r="55900" s="3161" customFormat="1" ht="12.75"/>
    <row r="55901" s="3161" customFormat="1" ht="12.75"/>
    <row r="55902" s="3161" customFormat="1" ht="12.75"/>
    <row r="55903" s="3161" customFormat="1" ht="12.75"/>
    <row r="55904" s="3161" customFormat="1" ht="12.75"/>
    <row r="55905" s="3161" customFormat="1" ht="12.75"/>
    <row r="55906" s="3161" customFormat="1" ht="12.75"/>
    <row r="55907" s="3161" customFormat="1" ht="12.75"/>
    <row r="55908" s="3161" customFormat="1" ht="12.75"/>
    <row r="55909" s="3161" customFormat="1" ht="12.75"/>
    <row r="55910" s="3161" customFormat="1" ht="12.75"/>
    <row r="55911" s="3161" customFormat="1" ht="12.75"/>
    <row r="55912" s="3161" customFormat="1" ht="12.75"/>
    <row r="55913" s="3161" customFormat="1" ht="12.75"/>
    <row r="55914" s="3161" customFormat="1" ht="12.75"/>
    <row r="55915" s="3161" customFormat="1" ht="12.75"/>
    <row r="55916" s="3161" customFormat="1" ht="12.75"/>
    <row r="55917" s="3161" customFormat="1" ht="12.75"/>
    <row r="55918" s="3161" customFormat="1" ht="12.75"/>
    <row r="55919" s="3161" customFormat="1" ht="12.75"/>
    <row r="55920" s="3161" customFormat="1" ht="12.75"/>
    <row r="55921" s="3161" customFormat="1" ht="12.75"/>
    <row r="55922" s="3161" customFormat="1" ht="12.75"/>
    <row r="55923" s="3161" customFormat="1" ht="12.75"/>
    <row r="55924" s="3161" customFormat="1" ht="12.75"/>
    <row r="55925" s="3161" customFormat="1" ht="12.75"/>
    <row r="55926" s="3161" customFormat="1" ht="12.75"/>
    <row r="55927" s="3161" customFormat="1" ht="12.75"/>
    <row r="55928" s="3161" customFormat="1" ht="12.75"/>
    <row r="55929" s="3161" customFormat="1" ht="12.75"/>
    <row r="55930" s="3161" customFormat="1" ht="12.75"/>
    <row r="55931" s="3161" customFormat="1" ht="12.75"/>
    <row r="55932" s="3161" customFormat="1" ht="12.75"/>
    <row r="55933" s="3161" customFormat="1" ht="12.75"/>
    <row r="55934" s="3161" customFormat="1" ht="12.75"/>
    <row r="55935" s="3161" customFormat="1" ht="12.75"/>
    <row r="55936" s="3161" customFormat="1" ht="12.75"/>
    <row r="55937" s="3161" customFormat="1" ht="12.75"/>
    <row r="55938" s="3161" customFormat="1" ht="12.75"/>
    <row r="55939" s="3161" customFormat="1" ht="12.75"/>
    <row r="55940" s="3161" customFormat="1" ht="12.75"/>
    <row r="55941" s="3161" customFormat="1" ht="12.75"/>
    <row r="55942" s="3161" customFormat="1" ht="12.75"/>
    <row r="55943" s="3161" customFormat="1" ht="12.75"/>
    <row r="55944" s="3161" customFormat="1" ht="12.75"/>
    <row r="55945" s="3161" customFormat="1" ht="12.75"/>
    <row r="55946" s="3161" customFormat="1" ht="12.75"/>
    <row r="55947" s="3161" customFormat="1" ht="12.75"/>
    <row r="55948" s="3161" customFormat="1" ht="12.75"/>
    <row r="55949" s="3161" customFormat="1" ht="12.75"/>
    <row r="55950" s="3161" customFormat="1" ht="12.75"/>
    <row r="55951" s="3161" customFormat="1" ht="12.75"/>
    <row r="55952" s="3161" customFormat="1" ht="12.75"/>
    <row r="55953" s="3161" customFormat="1" ht="12.75"/>
    <row r="55954" s="3161" customFormat="1" ht="12.75"/>
    <row r="55955" s="3161" customFormat="1" ht="12.75"/>
    <row r="55956" s="3161" customFormat="1" ht="12.75"/>
    <row r="55957" s="3161" customFormat="1" ht="12.75"/>
    <row r="55958" s="3161" customFormat="1" ht="12.75"/>
    <row r="55959" s="3161" customFormat="1" ht="12.75"/>
    <row r="55960" s="3161" customFormat="1" ht="12.75"/>
    <row r="55961" s="3161" customFormat="1" ht="12.75"/>
    <row r="55962" s="3161" customFormat="1" ht="12.75"/>
    <row r="55963" s="3161" customFormat="1" ht="12.75"/>
    <row r="55964" s="3161" customFormat="1" ht="12.75"/>
    <row r="55965" s="3161" customFormat="1" ht="12.75"/>
    <row r="55966" s="3161" customFormat="1" ht="12.75"/>
    <row r="55967" s="3161" customFormat="1" ht="12.75"/>
    <row r="55968" s="3161" customFormat="1" ht="12.75"/>
    <row r="55969" s="3161" customFormat="1" ht="12.75"/>
    <row r="55970" s="3161" customFormat="1" ht="12.75"/>
    <row r="55971" s="3161" customFormat="1" ht="12.75"/>
    <row r="55972" s="3161" customFormat="1" ht="12.75"/>
    <row r="55973" s="3161" customFormat="1" ht="12.75"/>
    <row r="55974" s="3161" customFormat="1" ht="12.75"/>
    <row r="55975" s="3161" customFormat="1" ht="12.75"/>
    <row r="55976" s="3161" customFormat="1" ht="12.75"/>
    <row r="55977" s="3161" customFormat="1" ht="12.75"/>
    <row r="55978" s="3161" customFormat="1" ht="12.75"/>
    <row r="55979" s="3161" customFormat="1" ht="12.75"/>
    <row r="55980" s="3161" customFormat="1" ht="12.75"/>
    <row r="55981" s="3161" customFormat="1" ht="12.75"/>
    <row r="55982" s="3161" customFormat="1" ht="12.75"/>
    <row r="55983" s="3161" customFormat="1" ht="12.75"/>
    <row r="55984" s="3161" customFormat="1" ht="12.75"/>
    <row r="55985" s="3161" customFormat="1" ht="12.75"/>
    <row r="55986" s="3161" customFormat="1" ht="12.75"/>
    <row r="55987" s="3161" customFormat="1" ht="12.75"/>
    <row r="55988" s="3161" customFormat="1" ht="12.75"/>
    <row r="55989" s="3161" customFormat="1" ht="12.75"/>
    <row r="55990" s="3161" customFormat="1" ht="12.75"/>
    <row r="55991" s="3161" customFormat="1" ht="12.75"/>
    <row r="55992" s="3161" customFormat="1" ht="12.75"/>
    <row r="55993" s="3161" customFormat="1" ht="12.75"/>
    <row r="55994" s="3161" customFormat="1" ht="12.75"/>
    <row r="55995" s="3161" customFormat="1" ht="12.75"/>
    <row r="55996" s="3161" customFormat="1" ht="12.75"/>
    <row r="55997" s="3161" customFormat="1" ht="12.75"/>
    <row r="55998" s="3161" customFormat="1" ht="12.75"/>
    <row r="55999" s="3161" customFormat="1" ht="12.75"/>
    <row r="56000" s="3161" customFormat="1" ht="12.75"/>
    <row r="56001" s="3161" customFormat="1" ht="12.75"/>
    <row r="56002" s="3161" customFormat="1" ht="12.75"/>
    <row r="56003" s="3161" customFormat="1" ht="12.75"/>
    <row r="56004" s="3161" customFormat="1" ht="12.75"/>
    <row r="56005" s="3161" customFormat="1" ht="12.75"/>
    <row r="56006" s="3161" customFormat="1" ht="12.75"/>
    <row r="56007" s="3161" customFormat="1" ht="12.75"/>
    <row r="56008" s="3161" customFormat="1" ht="12.75"/>
    <row r="56009" s="3161" customFormat="1" ht="12.75"/>
    <row r="56010" s="3161" customFormat="1" ht="12.75"/>
    <row r="56011" s="3161" customFormat="1" ht="12.75"/>
    <row r="56012" s="3161" customFormat="1" ht="12.75"/>
    <row r="56013" s="3161" customFormat="1" ht="12.75"/>
    <row r="56014" s="3161" customFormat="1" ht="12.75"/>
    <row r="56015" s="3161" customFormat="1" ht="12.75"/>
    <row r="56016" s="3161" customFormat="1" ht="12.75"/>
    <row r="56017" s="3161" customFormat="1" ht="12.75"/>
    <row r="56018" s="3161" customFormat="1" ht="12.75"/>
    <row r="56019" s="3161" customFormat="1" ht="12.75"/>
    <row r="56020" s="3161" customFormat="1" ht="12.75"/>
    <row r="56021" s="3161" customFormat="1" ht="12.75"/>
    <row r="56022" s="3161" customFormat="1" ht="12.75"/>
    <row r="56023" s="3161" customFormat="1" ht="12.75"/>
    <row r="56024" s="3161" customFormat="1" ht="12.75"/>
    <row r="56025" s="3161" customFormat="1" ht="12.75"/>
    <row r="56026" s="3161" customFormat="1" ht="12.75"/>
    <row r="56027" s="3161" customFormat="1" ht="12.75"/>
    <row r="56028" s="3161" customFormat="1" ht="12.75"/>
    <row r="56029" s="3161" customFormat="1" ht="12.75"/>
    <row r="56030" s="3161" customFormat="1" ht="12.75"/>
    <row r="56031" s="3161" customFormat="1" ht="12.75"/>
    <row r="56032" s="3161" customFormat="1" ht="12.75"/>
    <row r="56033" s="3161" customFormat="1" ht="12.75"/>
    <row r="56034" s="3161" customFormat="1" ht="12.75"/>
    <row r="56035" s="3161" customFormat="1" ht="12.75"/>
    <row r="56036" s="3161" customFormat="1" ht="12.75"/>
    <row r="56037" s="3161" customFormat="1" ht="12.75"/>
    <row r="56038" s="3161" customFormat="1" ht="12.75"/>
    <row r="56039" s="3161" customFormat="1" ht="12.75"/>
    <row r="56040" s="3161" customFormat="1" ht="12.75"/>
    <row r="56041" s="3161" customFormat="1" ht="12.75"/>
    <row r="56042" s="3161" customFormat="1" ht="12.75"/>
    <row r="56043" s="3161" customFormat="1" ht="12.75"/>
    <row r="56044" s="3161" customFormat="1" ht="12.75"/>
    <row r="56045" s="3161" customFormat="1" ht="12.75"/>
    <row r="56046" s="3161" customFormat="1" ht="12.75"/>
    <row r="56047" s="3161" customFormat="1" ht="12.75"/>
    <row r="56048" s="3161" customFormat="1" ht="12.75"/>
    <row r="56049" s="3161" customFormat="1" ht="12.75"/>
    <row r="56050" s="3161" customFormat="1" ht="12.75"/>
    <row r="56051" s="3161" customFormat="1" ht="12.75"/>
    <row r="56052" s="3161" customFormat="1" ht="12.75"/>
    <row r="56053" s="3161" customFormat="1" ht="12.75"/>
    <row r="56054" s="3161" customFormat="1" ht="12.75"/>
    <row r="56055" s="3161" customFormat="1" ht="12.75"/>
    <row r="56056" s="3161" customFormat="1" ht="12.75"/>
    <row r="56057" s="3161" customFormat="1" ht="12.75"/>
    <row r="56058" s="3161" customFormat="1" ht="12.75"/>
    <row r="56059" s="3161" customFormat="1" ht="12.75"/>
    <row r="56060" s="3161" customFormat="1" ht="12.75"/>
    <row r="56061" s="3161" customFormat="1" ht="12.75"/>
    <row r="56062" s="3161" customFormat="1" ht="12.75"/>
    <row r="56063" s="3161" customFormat="1" ht="12.75"/>
    <row r="56064" s="3161" customFormat="1" ht="12.75"/>
    <row r="56065" s="3161" customFormat="1" ht="12.75"/>
    <row r="56066" s="3161" customFormat="1" ht="12.75"/>
    <row r="56067" s="3161" customFormat="1" ht="12.75"/>
    <row r="56068" s="3161" customFormat="1" ht="12.75"/>
    <row r="56069" s="3161" customFormat="1" ht="12.75"/>
    <row r="56070" s="3161" customFormat="1" ht="12.75"/>
    <row r="56071" s="3161" customFormat="1" ht="12.75"/>
    <row r="56072" s="3161" customFormat="1" ht="12.75"/>
    <row r="56073" s="3161" customFormat="1" ht="12.75"/>
    <row r="56074" s="3161" customFormat="1" ht="12.75"/>
    <row r="56075" s="3161" customFormat="1" ht="12.75"/>
    <row r="56076" s="3161" customFormat="1" ht="12.75"/>
    <row r="56077" s="3161" customFormat="1" ht="12.75"/>
    <row r="56078" s="3161" customFormat="1" ht="12.75"/>
    <row r="56079" s="3161" customFormat="1" ht="12.75"/>
    <row r="56080" s="3161" customFormat="1" ht="12.75"/>
    <row r="56081" s="3161" customFormat="1" ht="12.75"/>
    <row r="56082" s="3161" customFormat="1" ht="12.75"/>
    <row r="56083" s="3161" customFormat="1" ht="12.75"/>
    <row r="56084" s="3161" customFormat="1" ht="12.75"/>
    <row r="56085" s="3161" customFormat="1" ht="12.75"/>
    <row r="56086" s="3161" customFormat="1" ht="12.75"/>
    <row r="56087" s="3161" customFormat="1" ht="12.75"/>
    <row r="56088" s="3161" customFormat="1" ht="12.75"/>
    <row r="56089" s="3161" customFormat="1" ht="12.75"/>
    <row r="56090" s="3161" customFormat="1" ht="12.75"/>
    <row r="56091" s="3161" customFormat="1" ht="12.75"/>
    <row r="56092" s="3161" customFormat="1" ht="12.75"/>
    <row r="56093" s="3161" customFormat="1" ht="12.75"/>
    <row r="56094" s="3161" customFormat="1" ht="12.75"/>
    <row r="56095" s="3161" customFormat="1" ht="12.75"/>
    <row r="56096" s="3161" customFormat="1" ht="12.75"/>
    <row r="56097" s="3161" customFormat="1" ht="12.75"/>
    <row r="56098" s="3161" customFormat="1" ht="12.75"/>
    <row r="56099" s="3161" customFormat="1" ht="12.75"/>
    <row r="56100" s="3161" customFormat="1" ht="12.75"/>
    <row r="56101" s="3161" customFormat="1" ht="12.75"/>
    <row r="56102" s="3161" customFormat="1" ht="12.75"/>
    <row r="56103" s="3161" customFormat="1" ht="12.75"/>
    <row r="56104" s="3161" customFormat="1" ht="12.75"/>
    <row r="56105" s="3161" customFormat="1" ht="12.75"/>
    <row r="56106" s="3161" customFormat="1" ht="12.75"/>
    <row r="56107" s="3161" customFormat="1" ht="12.75"/>
    <row r="56108" s="3161" customFormat="1" ht="12.75"/>
    <row r="56109" s="3161" customFormat="1" ht="12.75"/>
    <row r="56110" s="3161" customFormat="1" ht="12.75"/>
    <row r="56111" s="3161" customFormat="1" ht="12.75"/>
    <row r="56112" s="3161" customFormat="1" ht="12.75"/>
    <row r="56113" s="3161" customFormat="1" ht="12.75"/>
    <row r="56114" s="3161" customFormat="1" ht="12.75"/>
    <row r="56115" s="3161" customFormat="1" ht="12.75"/>
    <row r="56116" s="3161" customFormat="1" ht="12.75"/>
    <row r="56117" s="3161" customFormat="1" ht="12.75"/>
    <row r="56118" s="3161" customFormat="1" ht="12.75"/>
    <row r="56119" s="3161" customFormat="1" ht="12.75"/>
    <row r="56120" s="3161" customFormat="1" ht="12.75"/>
    <row r="56121" s="3161" customFormat="1" ht="12.75"/>
    <row r="56122" s="3161" customFormat="1" ht="12.75"/>
    <row r="56123" s="3161" customFormat="1" ht="12.75"/>
    <row r="56124" s="3161" customFormat="1" ht="12.75"/>
    <row r="56125" s="3161" customFormat="1" ht="12.75"/>
    <row r="56126" s="3161" customFormat="1" ht="12.75"/>
    <row r="56127" s="3161" customFormat="1" ht="12.75"/>
    <row r="56128" s="3161" customFormat="1" ht="12.75"/>
    <row r="56129" s="3161" customFormat="1" ht="12.75"/>
    <row r="56130" s="3161" customFormat="1" ht="12.75"/>
    <row r="56131" s="3161" customFormat="1" ht="12.75"/>
    <row r="56132" s="3161" customFormat="1" ht="12.75"/>
    <row r="56133" s="3161" customFormat="1" ht="12.75"/>
    <row r="56134" s="3161" customFormat="1" ht="12.75"/>
    <row r="56135" s="3161" customFormat="1" ht="12.75"/>
    <row r="56136" s="3161" customFormat="1" ht="12.75"/>
    <row r="56137" s="3161" customFormat="1" ht="12.75"/>
    <row r="56138" s="3161" customFormat="1" ht="12.75"/>
    <row r="56139" s="3161" customFormat="1" ht="12.75"/>
    <row r="56140" s="3161" customFormat="1" ht="12.75"/>
    <row r="56141" s="3161" customFormat="1" ht="12.75"/>
    <row r="56142" s="3161" customFormat="1" ht="12.75"/>
    <row r="56143" s="3161" customFormat="1" ht="12.75"/>
    <row r="56144" s="3161" customFormat="1" ht="12.75"/>
    <row r="56145" s="3161" customFormat="1" ht="12.75"/>
    <row r="56146" s="3161" customFormat="1" ht="12.75"/>
    <row r="56147" s="3161" customFormat="1" ht="12.75"/>
    <row r="56148" s="3161" customFormat="1" ht="12.75"/>
    <row r="56149" s="3161" customFormat="1" ht="12.75"/>
    <row r="56150" s="3161" customFormat="1" ht="12.75"/>
    <row r="56151" s="3161" customFormat="1" ht="12.75"/>
    <row r="56152" s="3161" customFormat="1" ht="12.75"/>
    <row r="56153" s="3161" customFormat="1" ht="12.75"/>
    <row r="56154" s="3161" customFormat="1" ht="12.75"/>
    <row r="56155" s="3161" customFormat="1" ht="12.75"/>
    <row r="56156" s="3161" customFormat="1" ht="12.75"/>
    <row r="56157" s="3161" customFormat="1" ht="12.75"/>
    <row r="56158" s="3161" customFormat="1" ht="12.75"/>
    <row r="56159" s="3161" customFormat="1" ht="12.75"/>
    <row r="56160" s="3161" customFormat="1" ht="12.75"/>
    <row r="56161" s="3161" customFormat="1" ht="12.75"/>
    <row r="56162" s="3161" customFormat="1" ht="12.75"/>
    <row r="56163" s="3161" customFormat="1" ht="12.75"/>
    <row r="56164" s="3161" customFormat="1" ht="12.75"/>
    <row r="56165" s="3161" customFormat="1" ht="12.75"/>
    <row r="56166" s="3161" customFormat="1" ht="12.75"/>
    <row r="56167" s="3161" customFormat="1" ht="12.75"/>
    <row r="56168" s="3161" customFormat="1" ht="12.75"/>
    <row r="56169" s="3161" customFormat="1" ht="12.75"/>
    <row r="56170" s="3161" customFormat="1" ht="12.75"/>
    <row r="56171" s="3161" customFormat="1" ht="12.75"/>
    <row r="56172" s="3161" customFormat="1" ht="12.75"/>
    <row r="56173" s="3161" customFormat="1" ht="12.75"/>
    <row r="56174" s="3161" customFormat="1" ht="12.75"/>
    <row r="56175" s="3161" customFormat="1" ht="12.75"/>
    <row r="56176" s="3161" customFormat="1" ht="12.75"/>
    <row r="56177" s="3161" customFormat="1" ht="12.75"/>
    <row r="56178" s="3161" customFormat="1" ht="12.75"/>
    <row r="56179" s="3161" customFormat="1" ht="12.75"/>
    <row r="56180" s="3161" customFormat="1" ht="12.75"/>
    <row r="56181" s="3161" customFormat="1" ht="12.75"/>
    <row r="56182" s="3161" customFormat="1" ht="12.75"/>
    <row r="56183" s="3161" customFormat="1" ht="12.75"/>
    <row r="56184" s="3161" customFormat="1" ht="12.75"/>
    <row r="56185" s="3161" customFormat="1" ht="12.75"/>
    <row r="56186" s="3161" customFormat="1" ht="12.75"/>
    <row r="56187" s="3161" customFormat="1" ht="12.75"/>
    <row r="56188" s="3161" customFormat="1" ht="12.75"/>
    <row r="56189" s="3161" customFormat="1" ht="12.75"/>
    <row r="56190" s="3161" customFormat="1" ht="12.75"/>
    <row r="56191" s="3161" customFormat="1" ht="12.75"/>
    <row r="56192" s="3161" customFormat="1" ht="12.75"/>
    <row r="56193" s="3161" customFormat="1" ht="12.75"/>
    <row r="56194" s="3161" customFormat="1" ht="12.75"/>
    <row r="56195" s="3161" customFormat="1" ht="12.75"/>
    <row r="56196" s="3161" customFormat="1" ht="12.75"/>
    <row r="56197" s="3161" customFormat="1" ht="12.75"/>
    <row r="56198" s="3161" customFormat="1" ht="12.75"/>
    <row r="56199" s="3161" customFormat="1" ht="12.75"/>
    <row r="56200" s="3161" customFormat="1" ht="12.75"/>
    <row r="56201" s="3161" customFormat="1" ht="12.75"/>
    <row r="56202" s="3161" customFormat="1" ht="12.75"/>
    <row r="56203" s="3161" customFormat="1" ht="12.75"/>
    <row r="56204" s="3161" customFormat="1" ht="12.75"/>
    <row r="56205" s="3161" customFormat="1" ht="12.75"/>
    <row r="56206" s="3161" customFormat="1" ht="12.75"/>
    <row r="56207" s="3161" customFormat="1" ht="12.75"/>
    <row r="56208" s="3161" customFormat="1" ht="12.75"/>
    <row r="56209" s="3161" customFormat="1" ht="12.75"/>
    <row r="56210" s="3161" customFormat="1" ht="12.75"/>
    <row r="56211" s="3161" customFormat="1" ht="12.75"/>
    <row r="56212" s="3161" customFormat="1" ht="12.75"/>
    <row r="56213" s="3161" customFormat="1" ht="12.75"/>
    <row r="56214" s="3161" customFormat="1" ht="12.75"/>
    <row r="56215" s="3161" customFormat="1" ht="12.75"/>
    <row r="56216" s="3161" customFormat="1" ht="12.75"/>
    <row r="56217" s="3161" customFormat="1" ht="12.75"/>
    <row r="56218" s="3161" customFormat="1" ht="12.75"/>
    <row r="56219" s="3161" customFormat="1" ht="12.75"/>
    <row r="56220" s="3161" customFormat="1" ht="12.75"/>
    <row r="56221" s="3161" customFormat="1" ht="12.75"/>
    <row r="56222" s="3161" customFormat="1" ht="12.75"/>
    <row r="56223" s="3161" customFormat="1" ht="12.75"/>
    <row r="56224" s="3161" customFormat="1" ht="12.75"/>
    <row r="56225" s="3161" customFormat="1" ht="12.75"/>
    <row r="56226" s="3161" customFormat="1" ht="12.75"/>
    <row r="56227" s="3161" customFormat="1" ht="12.75"/>
    <row r="56228" s="3161" customFormat="1" ht="12.75"/>
    <row r="56229" s="3161" customFormat="1" ht="12.75"/>
    <row r="56230" s="3161" customFormat="1" ht="12.75"/>
    <row r="56231" s="3161" customFormat="1" ht="12.75"/>
    <row r="56232" s="3161" customFormat="1" ht="12.75"/>
    <row r="56233" s="3161" customFormat="1" ht="12.75"/>
    <row r="56234" s="3161" customFormat="1" ht="12.75"/>
    <row r="56235" s="3161" customFormat="1" ht="12.75"/>
    <row r="56236" s="3161" customFormat="1" ht="12.75"/>
    <row r="56237" s="3161" customFormat="1" ht="12.75"/>
    <row r="56238" s="3161" customFormat="1" ht="12.75"/>
    <row r="56239" s="3161" customFormat="1" ht="12.75"/>
    <row r="56240" s="3161" customFormat="1" ht="12.75"/>
    <row r="56241" s="3161" customFormat="1" ht="12.75"/>
    <row r="56242" s="3161" customFormat="1" ht="12.75"/>
    <row r="56243" s="3161" customFormat="1" ht="12.75"/>
    <row r="56244" s="3161" customFormat="1" ht="12.75"/>
    <row r="56245" s="3161" customFormat="1" ht="12.75"/>
    <row r="56246" s="3161" customFormat="1" ht="12.75"/>
    <row r="56247" s="3161" customFormat="1" ht="12.75"/>
    <row r="56248" s="3161" customFormat="1" ht="12.75"/>
    <row r="56249" s="3161" customFormat="1" ht="12.75"/>
    <row r="56250" s="3161" customFormat="1" ht="12.75"/>
    <row r="56251" s="3161" customFormat="1" ht="12.75"/>
    <row r="56252" s="3161" customFormat="1" ht="12.75"/>
    <row r="56253" s="3161" customFormat="1" ht="12.75"/>
    <row r="56254" s="3161" customFormat="1" ht="12.75"/>
    <row r="56255" s="3161" customFormat="1" ht="12.75"/>
    <row r="56256" s="3161" customFormat="1" ht="12.75"/>
    <row r="56257" s="3161" customFormat="1" ht="12.75"/>
    <row r="56258" s="3161" customFormat="1" ht="12.75"/>
    <row r="56259" s="3161" customFormat="1" ht="12.75"/>
    <row r="56260" s="3161" customFormat="1" ht="12.75"/>
    <row r="56261" s="3161" customFormat="1" ht="12.75"/>
    <row r="56262" s="3161" customFormat="1" ht="12.75"/>
    <row r="56263" s="3161" customFormat="1" ht="12.75"/>
    <row r="56264" s="3161" customFormat="1" ht="12.75"/>
    <row r="56265" s="3161" customFormat="1" ht="12.75"/>
    <row r="56266" s="3161" customFormat="1" ht="12.75"/>
    <row r="56267" s="3161" customFormat="1" ht="12.75"/>
    <row r="56268" s="3161" customFormat="1" ht="12.75"/>
    <row r="56269" s="3161" customFormat="1" ht="12.75"/>
    <row r="56270" s="3161" customFormat="1" ht="12.75"/>
    <row r="56271" s="3161" customFormat="1" ht="12.75"/>
    <row r="56272" s="3161" customFormat="1" ht="12.75"/>
    <row r="56273" s="3161" customFormat="1" ht="12.75"/>
    <row r="56274" s="3161" customFormat="1" ht="12.75"/>
    <row r="56275" s="3161" customFormat="1" ht="12.75"/>
    <row r="56276" s="3161" customFormat="1" ht="12.75"/>
    <row r="56277" s="3161" customFormat="1" ht="12.75"/>
    <row r="56278" s="3161" customFormat="1" ht="12.75"/>
    <row r="56279" s="3161" customFormat="1" ht="12.75"/>
    <row r="56280" s="3161" customFormat="1" ht="12.75"/>
    <row r="56281" s="3161" customFormat="1" ht="12.75"/>
    <row r="56282" s="3161" customFormat="1" ht="12.75"/>
    <row r="56283" s="3161" customFormat="1" ht="12.75"/>
    <row r="56284" s="3161" customFormat="1" ht="12.75"/>
    <row r="56285" s="3161" customFormat="1" ht="12.75"/>
    <row r="56286" s="3161" customFormat="1" ht="12.75"/>
    <row r="56287" s="3161" customFormat="1" ht="12.75"/>
    <row r="56288" s="3161" customFormat="1" ht="12.75"/>
    <row r="56289" s="3161" customFormat="1" ht="12.75"/>
    <row r="56290" s="3161" customFormat="1" ht="12.75"/>
    <row r="56291" s="3161" customFormat="1" ht="12.75"/>
    <row r="56292" s="3161" customFormat="1" ht="12.75"/>
    <row r="56293" s="3161" customFormat="1" ht="12.75"/>
    <row r="56294" s="3161" customFormat="1" ht="12.75"/>
    <row r="56295" s="3161" customFormat="1" ht="12.75"/>
    <row r="56296" s="3161" customFormat="1" ht="12.75"/>
    <row r="56297" s="3161" customFormat="1" ht="12.75"/>
    <row r="56298" s="3161" customFormat="1" ht="12.75"/>
    <row r="56299" s="3161" customFormat="1" ht="12.75"/>
    <row r="56300" s="3161" customFormat="1" ht="12.75"/>
    <row r="56301" s="3161" customFormat="1" ht="12.75"/>
    <row r="56302" s="3161" customFormat="1" ht="12.75"/>
    <row r="56303" s="3161" customFormat="1" ht="12.75"/>
    <row r="56304" s="3161" customFormat="1" ht="12.75"/>
    <row r="56305" s="3161" customFormat="1" ht="12.75"/>
    <row r="56306" s="3161" customFormat="1" ht="12.75"/>
    <row r="56307" s="3161" customFormat="1" ht="12.75"/>
    <row r="56308" s="3161" customFormat="1" ht="12.75"/>
    <row r="56309" s="3161" customFormat="1" ht="12.75"/>
    <row r="56310" s="3161" customFormat="1" ht="12.75"/>
    <row r="56311" s="3161" customFormat="1" ht="12.75"/>
    <row r="56312" s="3161" customFormat="1" ht="12.75"/>
    <row r="56313" s="3161" customFormat="1" ht="12.75"/>
    <row r="56314" s="3161" customFormat="1" ht="12.75"/>
    <row r="56315" s="3161" customFormat="1" ht="12.75"/>
    <row r="56316" s="3161" customFormat="1" ht="12.75"/>
    <row r="56317" s="3161" customFormat="1" ht="12.75"/>
    <row r="56318" s="3161" customFormat="1" ht="12.75"/>
    <row r="56319" s="3161" customFormat="1" ht="12.75"/>
    <row r="56320" s="3161" customFormat="1" ht="12.75"/>
    <row r="56321" s="3161" customFormat="1" ht="12.75"/>
    <row r="56322" s="3161" customFormat="1" ht="12.75"/>
    <row r="56323" s="3161" customFormat="1" ht="12.75"/>
    <row r="56324" s="3161" customFormat="1" ht="12.75"/>
    <row r="56325" s="3161" customFormat="1" ht="12.75"/>
    <row r="56326" s="3161" customFormat="1" ht="12.75"/>
    <row r="56327" s="3161" customFormat="1" ht="12.75"/>
    <row r="56328" s="3161" customFormat="1" ht="12.75"/>
    <row r="56329" s="3161" customFormat="1" ht="12.75"/>
    <row r="56330" s="3161" customFormat="1" ht="12.75"/>
    <row r="56331" s="3161" customFormat="1" ht="12.75"/>
    <row r="56332" s="3161" customFormat="1" ht="12.75"/>
    <row r="56333" s="3161" customFormat="1" ht="12.75"/>
    <row r="56334" s="3161" customFormat="1" ht="12.75"/>
    <row r="56335" s="3161" customFormat="1" ht="12.75"/>
    <row r="56336" s="3161" customFormat="1" ht="12.75"/>
    <row r="56337" s="3161" customFormat="1" ht="12.75"/>
    <row r="56338" s="3161" customFormat="1" ht="12.75"/>
    <row r="56339" s="3161" customFormat="1" ht="12.75"/>
    <row r="56340" s="3161" customFormat="1" ht="12.75"/>
    <row r="56341" s="3161" customFormat="1" ht="12.75"/>
    <row r="56342" s="3161" customFormat="1" ht="12.75"/>
    <row r="56343" s="3161" customFormat="1" ht="12.75"/>
    <row r="56344" s="3161" customFormat="1" ht="12.75"/>
    <row r="56345" s="3161" customFormat="1" ht="12.75"/>
    <row r="56346" s="3161" customFormat="1" ht="12.75"/>
    <row r="56347" s="3161" customFormat="1" ht="12.75"/>
    <row r="56348" s="3161" customFormat="1" ht="12.75"/>
    <row r="56349" s="3161" customFormat="1" ht="12.75"/>
    <row r="56350" s="3161" customFormat="1" ht="12.75"/>
    <row r="56351" s="3161" customFormat="1" ht="12.75"/>
    <row r="56352" s="3161" customFormat="1" ht="12.75"/>
    <row r="56353" s="3161" customFormat="1" ht="12.75"/>
    <row r="56354" s="3161" customFormat="1" ht="12.75"/>
    <row r="56355" s="3161" customFormat="1" ht="12.75"/>
    <row r="56356" s="3161" customFormat="1" ht="12.75"/>
    <row r="56357" s="3161" customFormat="1" ht="12.75"/>
    <row r="56358" s="3161" customFormat="1" ht="12.75"/>
    <row r="56359" s="3161" customFormat="1" ht="12.75"/>
    <row r="56360" s="3161" customFormat="1" ht="12.75"/>
    <row r="56361" s="3161" customFormat="1" ht="12.75"/>
    <row r="56362" s="3161" customFormat="1" ht="12.75"/>
    <row r="56363" s="3161" customFormat="1" ht="12.75"/>
    <row r="56364" s="3161" customFormat="1" ht="12.75"/>
    <row r="56365" s="3161" customFormat="1" ht="12.75"/>
    <row r="56366" s="3161" customFormat="1" ht="12.75"/>
    <row r="56367" s="3161" customFormat="1" ht="12.75"/>
    <row r="56368" s="3161" customFormat="1" ht="12.75"/>
    <row r="56369" s="3161" customFormat="1" ht="12.75"/>
    <row r="56370" s="3161" customFormat="1" ht="12.75"/>
    <row r="56371" s="3161" customFormat="1" ht="12.75"/>
    <row r="56372" s="3161" customFormat="1" ht="12.75"/>
    <row r="56373" s="3161" customFormat="1" ht="12.75"/>
    <row r="56374" s="3161" customFormat="1" ht="12.75"/>
    <row r="56375" s="3161" customFormat="1" ht="12.75"/>
    <row r="56376" s="3161" customFormat="1" ht="12.75"/>
    <row r="56377" s="3161" customFormat="1" ht="12.75"/>
    <row r="56378" s="3161" customFormat="1" ht="12.75"/>
    <row r="56379" s="3161" customFormat="1" ht="12.75"/>
    <row r="56380" s="3161" customFormat="1" ht="12.75"/>
    <row r="56381" s="3161" customFormat="1" ht="12.75"/>
    <row r="56382" s="3161" customFormat="1" ht="12.75"/>
    <row r="56383" s="3161" customFormat="1" ht="12.75"/>
    <row r="56384" s="3161" customFormat="1" ht="12.75"/>
    <row r="56385" s="3161" customFormat="1" ht="12.75"/>
    <row r="56386" s="3161" customFormat="1" ht="12.75"/>
    <row r="56387" s="3161" customFormat="1" ht="12.75"/>
    <row r="56388" s="3161" customFormat="1" ht="12.75"/>
    <row r="56389" s="3161" customFormat="1" ht="12.75"/>
    <row r="56390" s="3161" customFormat="1" ht="12.75"/>
    <row r="56391" s="3161" customFormat="1" ht="12.75"/>
    <row r="56392" s="3161" customFormat="1" ht="12.75"/>
    <row r="56393" s="3161" customFormat="1" ht="12.75"/>
    <row r="56394" s="3161" customFormat="1" ht="12.75"/>
    <row r="56395" s="3161" customFormat="1" ht="12.75"/>
    <row r="56396" s="3161" customFormat="1" ht="12.75"/>
    <row r="56397" s="3161" customFormat="1" ht="12.75"/>
    <row r="56398" s="3161" customFormat="1" ht="12.75"/>
    <row r="56399" s="3161" customFormat="1" ht="12.75"/>
    <row r="56400" s="3161" customFormat="1" ht="12.75"/>
    <row r="56401" s="3161" customFormat="1" ht="12.75"/>
    <row r="56402" s="3161" customFormat="1" ht="12.75"/>
    <row r="56403" s="3161" customFormat="1" ht="12.75"/>
    <row r="56404" s="3161" customFormat="1" ht="12.75"/>
    <row r="56405" s="3161" customFormat="1" ht="12.75"/>
    <row r="56406" s="3161" customFormat="1" ht="12.75"/>
    <row r="56407" s="3161" customFormat="1" ht="12.75"/>
    <row r="56408" s="3161" customFormat="1" ht="12.75"/>
    <row r="56409" s="3161" customFormat="1" ht="12.75"/>
    <row r="56410" s="3161" customFormat="1" ht="12.75"/>
    <row r="56411" s="3161" customFormat="1" ht="12.75"/>
    <row r="56412" s="3161" customFormat="1" ht="12.75"/>
    <row r="56413" s="3161" customFormat="1" ht="12.75"/>
    <row r="56414" s="3161" customFormat="1" ht="12.75"/>
    <row r="56415" s="3161" customFormat="1" ht="12.75"/>
    <row r="56416" s="3161" customFormat="1" ht="12.75"/>
    <row r="56417" s="3161" customFormat="1" ht="12.75"/>
    <row r="56418" s="3161" customFormat="1" ht="12.75"/>
    <row r="56419" s="3161" customFormat="1" ht="12.75"/>
    <row r="56420" s="3161" customFormat="1" ht="12.75"/>
    <row r="56421" s="3161" customFormat="1" ht="12.75"/>
    <row r="56422" s="3161" customFormat="1" ht="12.75"/>
    <row r="56423" s="3161" customFormat="1" ht="12.75"/>
    <row r="56424" s="3161" customFormat="1" ht="12.75"/>
    <row r="56425" s="3161" customFormat="1" ht="12.75"/>
    <row r="56426" s="3161" customFormat="1" ht="12.75"/>
    <row r="56427" s="3161" customFormat="1" ht="12.75"/>
    <row r="56428" s="3161" customFormat="1" ht="12.75"/>
    <row r="56429" s="3161" customFormat="1" ht="12.75"/>
    <row r="56430" s="3161" customFormat="1" ht="12.75"/>
    <row r="56431" s="3161" customFormat="1" ht="12.75"/>
    <row r="56432" s="3161" customFormat="1" ht="12.75"/>
    <row r="56433" s="3161" customFormat="1" ht="12.75"/>
    <row r="56434" s="3161" customFormat="1" ht="12.75"/>
    <row r="56435" s="3161" customFormat="1" ht="12.75"/>
    <row r="56436" s="3161" customFormat="1" ht="12.75"/>
    <row r="56437" s="3161" customFormat="1" ht="12.75"/>
    <row r="56438" s="3161" customFormat="1" ht="12.75"/>
    <row r="56439" s="3161" customFormat="1" ht="12.75"/>
    <row r="56440" s="3161" customFormat="1" ht="12.75"/>
    <row r="56441" s="3161" customFormat="1" ht="12.75"/>
    <row r="56442" s="3161" customFormat="1" ht="12.75"/>
    <row r="56443" s="3161" customFormat="1" ht="12.75"/>
    <row r="56444" s="3161" customFormat="1" ht="12.75"/>
    <row r="56445" s="3161" customFormat="1" ht="12.75"/>
    <row r="56446" s="3161" customFormat="1" ht="12.75"/>
    <row r="56447" s="3161" customFormat="1" ht="12.75"/>
    <row r="56448" s="3161" customFormat="1" ht="12.75"/>
    <row r="56449" s="3161" customFormat="1" ht="12.75"/>
    <row r="56450" s="3161" customFormat="1" ht="12.75"/>
    <row r="56451" s="3161" customFormat="1" ht="12.75"/>
    <row r="56452" s="3161" customFormat="1" ht="12.75"/>
    <row r="56453" s="3161" customFormat="1" ht="12.75"/>
    <row r="56454" s="3161" customFormat="1" ht="12.75"/>
    <row r="56455" s="3161" customFormat="1" ht="12.75"/>
    <row r="56456" s="3161" customFormat="1" ht="12.75"/>
    <row r="56457" s="3161" customFormat="1" ht="12.75"/>
    <row r="56458" s="3161" customFormat="1" ht="12.75"/>
    <row r="56459" s="3161" customFormat="1" ht="12.75"/>
    <row r="56460" s="3161" customFormat="1" ht="12.75"/>
    <row r="56461" s="3161" customFormat="1" ht="12.75"/>
    <row r="56462" s="3161" customFormat="1" ht="12.75"/>
    <row r="56463" s="3161" customFormat="1" ht="12.75"/>
    <row r="56464" s="3161" customFormat="1" ht="12.75"/>
    <row r="56465" s="3161" customFormat="1" ht="12.75"/>
    <row r="56466" s="3161" customFormat="1" ht="12.75"/>
    <row r="56467" s="3161" customFormat="1" ht="12.75"/>
    <row r="56468" s="3161" customFormat="1" ht="12.75"/>
    <row r="56469" s="3161" customFormat="1" ht="12.75"/>
    <row r="56470" s="3161" customFormat="1" ht="12.75"/>
    <row r="56471" s="3161" customFormat="1" ht="12.75"/>
    <row r="56472" s="3161" customFormat="1" ht="12.75"/>
    <row r="56473" s="3161" customFormat="1" ht="12.75"/>
    <row r="56474" s="3161" customFormat="1" ht="12.75"/>
    <row r="56475" s="3161" customFormat="1" ht="12.75"/>
    <row r="56476" s="3161" customFormat="1" ht="12.75"/>
    <row r="56477" s="3161" customFormat="1" ht="12.75"/>
    <row r="56478" s="3161" customFormat="1" ht="12.75"/>
    <row r="56479" s="3161" customFormat="1" ht="12.75"/>
    <row r="56480" s="3161" customFormat="1" ht="12.75"/>
    <row r="56481" s="3161" customFormat="1" ht="12.75"/>
    <row r="56482" s="3161" customFormat="1" ht="12.75"/>
    <row r="56483" s="3161" customFormat="1" ht="12.75"/>
    <row r="56484" s="3161" customFormat="1" ht="12.75"/>
    <row r="56485" s="3161" customFormat="1" ht="12.75"/>
    <row r="56486" s="3161" customFormat="1" ht="12.75"/>
    <row r="56487" s="3161" customFormat="1" ht="12.75"/>
    <row r="56488" s="3161" customFormat="1" ht="12.75"/>
    <row r="56489" s="3161" customFormat="1" ht="12.75"/>
    <row r="56490" s="3161" customFormat="1" ht="12.75"/>
    <row r="56491" s="3161" customFormat="1" ht="12.75"/>
    <row r="56492" s="3161" customFormat="1" ht="12.75"/>
    <row r="56493" s="3161" customFormat="1" ht="12.75"/>
    <row r="56494" s="3161" customFormat="1" ht="12.75"/>
    <row r="56495" s="3161" customFormat="1" ht="12.75"/>
    <row r="56496" s="3161" customFormat="1" ht="12.75"/>
    <row r="56497" s="3161" customFormat="1" ht="12.75"/>
    <row r="56498" s="3161" customFormat="1" ht="12.75"/>
    <row r="56499" s="3161" customFormat="1" ht="12.75"/>
    <row r="56500" s="3161" customFormat="1" ht="12.75"/>
    <row r="56501" s="3161" customFormat="1" ht="12.75"/>
    <row r="56502" s="3161" customFormat="1" ht="12.75"/>
    <row r="56503" s="3161" customFormat="1" ht="12.75"/>
    <row r="56504" s="3161" customFormat="1" ht="12.75"/>
    <row r="56505" s="3161" customFormat="1" ht="12.75"/>
    <row r="56506" s="3161" customFormat="1" ht="12.75"/>
    <row r="56507" s="3161" customFormat="1" ht="12.75"/>
    <row r="56508" s="3161" customFormat="1" ht="12.75"/>
    <row r="56509" s="3161" customFormat="1" ht="12.75"/>
    <row r="56510" s="3161" customFormat="1" ht="12.75"/>
    <row r="56511" s="3161" customFormat="1" ht="12.75"/>
    <row r="56512" s="3161" customFormat="1" ht="12.75"/>
    <row r="56513" s="3161" customFormat="1" ht="12.75"/>
    <row r="56514" s="3161" customFormat="1" ht="12.75"/>
    <row r="56515" s="3161" customFormat="1" ht="12.75"/>
    <row r="56516" s="3161" customFormat="1" ht="12.75"/>
    <row r="56517" s="3161" customFormat="1" ht="12.75"/>
    <row r="56518" s="3161" customFormat="1" ht="12.75"/>
    <row r="56519" s="3161" customFormat="1" ht="12.75"/>
    <row r="56520" s="3161" customFormat="1" ht="12.75"/>
    <row r="56521" s="3161" customFormat="1" ht="12.75"/>
    <row r="56522" s="3161" customFormat="1" ht="12.75"/>
    <row r="56523" s="3161" customFormat="1" ht="12.75"/>
    <row r="56524" s="3161" customFormat="1" ht="12.75"/>
    <row r="56525" s="3161" customFormat="1" ht="12.75"/>
    <row r="56526" s="3161" customFormat="1" ht="12.75"/>
    <row r="56527" s="3161" customFormat="1" ht="12.75"/>
    <row r="56528" s="3161" customFormat="1" ht="12.75"/>
    <row r="56529" s="3161" customFormat="1" ht="12.75"/>
    <row r="56530" s="3161" customFormat="1" ht="12.75"/>
    <row r="56531" s="3161" customFormat="1" ht="12.75"/>
    <row r="56532" s="3161" customFormat="1" ht="12.75"/>
    <row r="56533" s="3161" customFormat="1" ht="12.75"/>
    <row r="56534" s="3161" customFormat="1" ht="12.75"/>
    <row r="56535" s="3161" customFormat="1" ht="12.75"/>
    <row r="56536" s="3161" customFormat="1" ht="12.75"/>
    <row r="56537" s="3161" customFormat="1" ht="12.75"/>
    <row r="56538" s="3161" customFormat="1" ht="12.75"/>
    <row r="56539" s="3161" customFormat="1" ht="12.75"/>
    <row r="56540" s="3161" customFormat="1" ht="12.75"/>
    <row r="56541" s="3161" customFormat="1" ht="12.75"/>
    <row r="56542" s="3161" customFormat="1" ht="12.75"/>
    <row r="56543" s="3161" customFormat="1" ht="12.75"/>
    <row r="56544" s="3161" customFormat="1" ht="12.75"/>
    <row r="56545" s="3161" customFormat="1" ht="12.75"/>
    <row r="56546" s="3161" customFormat="1" ht="12.75"/>
    <row r="56547" s="3161" customFormat="1" ht="12.75"/>
    <row r="56548" s="3161" customFormat="1" ht="12.75"/>
    <row r="56549" s="3161" customFormat="1" ht="12.75"/>
    <row r="56550" s="3161" customFormat="1" ht="12.75"/>
    <row r="56551" s="3161" customFormat="1" ht="12.75"/>
    <row r="56552" s="3161" customFormat="1" ht="12.75"/>
    <row r="56553" s="3161" customFormat="1" ht="12.75"/>
    <row r="56554" s="3161" customFormat="1" ht="12.75"/>
    <row r="56555" s="3161" customFormat="1" ht="12.75"/>
    <row r="56556" s="3161" customFormat="1" ht="12.75"/>
    <row r="56557" s="3161" customFormat="1" ht="12.75"/>
    <row r="56558" s="3161" customFormat="1" ht="12.75"/>
    <row r="56559" s="3161" customFormat="1" ht="12.75"/>
    <row r="56560" s="3161" customFormat="1" ht="12.75"/>
    <row r="56561" s="3161" customFormat="1" ht="12.75"/>
    <row r="56562" s="3161" customFormat="1" ht="12.75"/>
    <row r="56563" s="3161" customFormat="1" ht="12.75"/>
    <row r="56564" s="3161" customFormat="1" ht="12.75"/>
    <row r="56565" s="3161" customFormat="1" ht="12.75"/>
    <row r="56566" s="3161" customFormat="1" ht="12.75"/>
    <row r="56567" s="3161" customFormat="1" ht="12.75"/>
    <row r="56568" s="3161" customFormat="1" ht="12.75"/>
    <row r="56569" s="3161" customFormat="1" ht="12.75"/>
    <row r="56570" s="3161" customFormat="1" ht="12.75"/>
    <row r="56571" s="3161" customFormat="1" ht="12.75"/>
    <row r="56572" s="3161" customFormat="1" ht="12.75"/>
    <row r="56573" s="3161" customFormat="1" ht="12.75"/>
    <row r="56574" s="3161" customFormat="1" ht="12.75"/>
    <row r="56575" s="3161" customFormat="1" ht="12.75"/>
    <row r="56576" s="3161" customFormat="1" ht="12.75"/>
    <row r="56577" s="3161" customFormat="1" ht="12.75"/>
    <row r="56578" s="3161" customFormat="1" ht="12.75"/>
    <row r="56579" s="3161" customFormat="1" ht="12.75"/>
    <row r="56580" s="3161" customFormat="1" ht="12.75"/>
    <row r="56581" s="3161" customFormat="1" ht="12.75"/>
    <row r="56582" s="3161" customFormat="1" ht="12.75"/>
    <row r="56583" s="3161" customFormat="1" ht="12.75"/>
    <row r="56584" s="3161" customFormat="1" ht="12.75"/>
    <row r="56585" s="3161" customFormat="1" ht="12.75"/>
    <row r="56586" s="3161" customFormat="1" ht="12.75"/>
    <row r="56587" s="3161" customFormat="1" ht="12.75"/>
    <row r="56588" s="3161" customFormat="1" ht="12.75"/>
    <row r="56589" s="3161" customFormat="1" ht="12.75"/>
    <row r="56590" s="3161" customFormat="1" ht="12.75"/>
    <row r="56591" s="3161" customFormat="1" ht="12.75"/>
    <row r="56592" s="3161" customFormat="1" ht="12.75"/>
    <row r="56593" s="3161" customFormat="1" ht="12.75"/>
    <row r="56594" s="3161" customFormat="1" ht="12.75"/>
    <row r="56595" s="3161" customFormat="1" ht="12.75"/>
    <row r="56596" s="3161" customFormat="1" ht="12.75"/>
    <row r="56597" s="3161" customFormat="1" ht="12.75"/>
    <row r="56598" s="3161" customFormat="1" ht="12.75"/>
    <row r="56599" s="3161" customFormat="1" ht="12.75"/>
    <row r="56600" s="3161" customFormat="1" ht="12.75"/>
    <row r="56601" s="3161" customFormat="1" ht="12.75"/>
    <row r="56602" s="3161" customFormat="1" ht="12.75"/>
    <row r="56603" s="3161" customFormat="1" ht="12.75"/>
    <row r="56604" s="3161" customFormat="1" ht="12.75"/>
    <row r="56605" s="3161" customFormat="1" ht="12.75"/>
    <row r="56606" s="3161" customFormat="1" ht="12.75"/>
    <row r="56607" s="3161" customFormat="1" ht="12.75"/>
    <row r="56608" s="3161" customFormat="1" ht="12.75"/>
    <row r="56609" s="3161" customFormat="1" ht="12.75"/>
    <row r="56610" s="3161" customFormat="1" ht="12.75"/>
    <row r="56611" s="3161" customFormat="1" ht="12.75"/>
    <row r="56612" s="3161" customFormat="1" ht="12.75"/>
    <row r="56613" s="3161" customFormat="1" ht="12.75"/>
    <row r="56614" s="3161" customFormat="1" ht="12.75"/>
    <row r="56615" s="3161" customFormat="1" ht="12.75"/>
    <row r="56616" s="3161" customFormat="1" ht="12.75"/>
    <row r="56617" s="3161" customFormat="1" ht="12.75"/>
    <row r="56618" s="3161" customFormat="1" ht="12.75"/>
    <row r="56619" s="3161" customFormat="1" ht="12.75"/>
    <row r="56620" s="3161" customFormat="1" ht="12.75"/>
    <row r="56621" s="3161" customFormat="1" ht="12.75"/>
    <row r="56622" s="3161" customFormat="1" ht="12.75"/>
    <row r="56623" s="3161" customFormat="1" ht="12.75"/>
    <row r="56624" s="3161" customFormat="1" ht="12.75"/>
    <row r="56625" s="3161" customFormat="1" ht="12.75"/>
    <row r="56626" s="3161" customFormat="1" ht="12.75"/>
    <row r="56627" s="3161" customFormat="1" ht="12.75"/>
    <row r="56628" s="3161" customFormat="1" ht="12.75"/>
    <row r="56629" s="3161" customFormat="1" ht="12.75"/>
    <row r="56630" s="3161" customFormat="1" ht="12.75"/>
    <row r="56631" s="3161" customFormat="1" ht="12.75"/>
    <row r="56632" s="3161" customFormat="1" ht="12.75"/>
    <row r="56633" s="3161" customFormat="1" ht="12.75"/>
    <row r="56634" s="3161" customFormat="1" ht="12.75"/>
    <row r="56635" s="3161" customFormat="1" ht="12.75"/>
    <row r="56636" s="3161" customFormat="1" ht="12.75"/>
    <row r="56637" s="3161" customFormat="1" ht="12.75"/>
    <row r="56638" s="3161" customFormat="1" ht="12.75"/>
    <row r="56639" s="3161" customFormat="1" ht="12.75"/>
    <row r="56640" s="3161" customFormat="1" ht="12.75"/>
    <row r="56641" s="3161" customFormat="1" ht="12.75"/>
    <row r="56642" s="3161" customFormat="1" ht="12.75"/>
    <row r="56643" s="3161" customFormat="1" ht="12.75"/>
    <row r="56644" s="3161" customFormat="1" ht="12.75"/>
    <row r="56645" s="3161" customFormat="1" ht="12.75"/>
    <row r="56646" s="3161" customFormat="1" ht="12.75"/>
    <row r="56647" s="3161" customFormat="1" ht="12.75"/>
    <row r="56648" s="3161" customFormat="1" ht="12.75"/>
    <row r="56649" s="3161" customFormat="1" ht="12.75"/>
    <row r="56650" s="3161" customFormat="1" ht="12.75"/>
    <row r="56651" s="3161" customFormat="1" ht="12.75"/>
    <row r="56652" s="3161" customFormat="1" ht="12.75"/>
    <row r="56653" s="3161" customFormat="1" ht="12.75"/>
    <row r="56654" s="3161" customFormat="1" ht="12.75"/>
    <row r="56655" s="3161" customFormat="1" ht="12.75"/>
    <row r="56656" s="3161" customFormat="1" ht="12.75"/>
    <row r="56657" s="3161" customFormat="1" ht="12.75"/>
    <row r="56658" s="3161" customFormat="1" ht="12.75"/>
    <row r="56659" s="3161" customFormat="1" ht="12.75"/>
    <row r="56660" s="3161" customFormat="1" ht="12.75"/>
    <row r="56661" s="3161" customFormat="1" ht="12.75"/>
    <row r="56662" s="3161" customFormat="1" ht="12.75"/>
    <row r="56663" s="3161" customFormat="1" ht="12.75"/>
    <row r="56664" s="3161" customFormat="1" ht="12.75"/>
    <row r="56665" s="3161" customFormat="1" ht="12.75"/>
    <row r="56666" s="3161" customFormat="1" ht="12.75"/>
    <row r="56667" s="3161" customFormat="1" ht="12.75"/>
    <row r="56668" s="3161" customFormat="1" ht="12.75"/>
    <row r="56669" s="3161" customFormat="1" ht="12.75"/>
    <row r="56670" s="3161" customFormat="1" ht="12.75"/>
    <row r="56671" s="3161" customFormat="1" ht="12.75"/>
    <row r="56672" s="3161" customFormat="1" ht="12.75"/>
    <row r="56673" s="3161" customFormat="1" ht="12.75"/>
    <row r="56674" s="3161" customFormat="1" ht="12.75"/>
    <row r="56675" s="3161" customFormat="1" ht="12.75"/>
    <row r="56676" s="3161" customFormat="1" ht="12.75"/>
    <row r="56677" s="3161" customFormat="1" ht="12.75"/>
    <row r="56678" s="3161" customFormat="1" ht="12.75"/>
    <row r="56679" s="3161" customFormat="1" ht="12.75"/>
    <row r="56680" s="3161" customFormat="1" ht="12.75"/>
    <row r="56681" s="3161" customFormat="1" ht="12.75"/>
    <row r="56682" s="3161" customFormat="1" ht="12.75"/>
    <row r="56683" s="3161" customFormat="1" ht="12.75"/>
    <row r="56684" s="3161" customFormat="1" ht="12.75"/>
    <row r="56685" s="3161" customFormat="1" ht="12.75"/>
    <row r="56686" s="3161" customFormat="1" ht="12.75"/>
    <row r="56687" s="3161" customFormat="1" ht="12.75"/>
    <row r="56688" s="3161" customFormat="1" ht="12.75"/>
    <row r="56689" s="3161" customFormat="1" ht="12.75"/>
    <row r="56690" s="3161" customFormat="1" ht="12.75"/>
    <row r="56691" s="3161" customFormat="1" ht="12.75"/>
    <row r="56692" s="3161" customFormat="1" ht="12.75"/>
    <row r="56693" s="3161" customFormat="1" ht="12.75"/>
    <row r="56694" s="3161" customFormat="1" ht="12.75"/>
    <row r="56695" s="3161" customFormat="1" ht="12.75"/>
    <row r="56696" s="3161" customFormat="1" ht="12.75"/>
    <row r="56697" s="3161" customFormat="1" ht="12.75"/>
    <row r="56698" s="3161" customFormat="1" ht="12.75"/>
    <row r="56699" s="3161" customFormat="1" ht="12.75"/>
    <row r="56700" s="3161" customFormat="1" ht="12.75"/>
    <row r="56701" s="3161" customFormat="1" ht="12.75"/>
    <row r="56702" s="3161" customFormat="1" ht="12.75"/>
    <row r="56703" s="3161" customFormat="1" ht="12.75"/>
    <row r="56704" s="3161" customFormat="1" ht="12.75"/>
    <row r="56705" s="3161" customFormat="1" ht="12.75"/>
    <row r="56706" s="3161" customFormat="1" ht="12.75"/>
    <row r="56707" s="3161" customFormat="1" ht="12.75"/>
    <row r="56708" s="3161" customFormat="1" ht="12.75"/>
    <row r="56709" s="3161" customFormat="1" ht="12.75"/>
    <row r="56710" s="3161" customFormat="1" ht="12.75"/>
    <row r="56711" s="3161" customFormat="1" ht="12.75"/>
    <row r="56712" s="3161" customFormat="1" ht="12.75"/>
    <row r="56713" s="3161" customFormat="1" ht="12.75"/>
    <row r="56714" s="3161" customFormat="1" ht="12.75"/>
    <row r="56715" s="3161" customFormat="1" ht="12.75"/>
    <row r="56716" s="3161" customFormat="1" ht="12.75"/>
    <row r="56717" s="3161" customFormat="1" ht="12.75"/>
    <row r="56718" s="3161" customFormat="1" ht="12.75"/>
    <row r="56719" s="3161" customFormat="1" ht="12.75"/>
    <row r="56720" s="3161" customFormat="1" ht="12.75"/>
    <row r="56721" s="3161" customFormat="1" ht="12.75"/>
    <row r="56722" s="3161" customFormat="1" ht="12.75"/>
    <row r="56723" s="3161" customFormat="1" ht="12.75"/>
    <row r="56724" s="3161" customFormat="1" ht="12.75"/>
    <row r="56725" s="3161" customFormat="1" ht="12.75"/>
    <row r="56726" s="3161" customFormat="1" ht="12.75"/>
    <row r="56727" s="3161" customFormat="1" ht="12.75"/>
    <row r="56728" s="3161" customFormat="1" ht="12.75"/>
    <row r="56729" s="3161" customFormat="1" ht="12.75"/>
    <row r="56730" s="3161" customFormat="1" ht="12.75"/>
    <row r="56731" s="3161" customFormat="1" ht="12.75"/>
    <row r="56732" s="3161" customFormat="1" ht="12.75"/>
    <row r="56733" s="3161" customFormat="1" ht="12.75"/>
    <row r="56734" s="3161" customFormat="1" ht="12.75"/>
    <row r="56735" s="3161" customFormat="1" ht="12.75"/>
    <row r="56736" s="3161" customFormat="1" ht="12.75"/>
    <row r="56737" s="3161" customFormat="1" ht="12.75"/>
    <row r="56738" s="3161" customFormat="1" ht="12.75"/>
    <row r="56739" s="3161" customFormat="1" ht="12.75"/>
    <row r="56740" s="3161" customFormat="1" ht="12.75"/>
    <row r="56741" s="3161" customFormat="1" ht="12.75"/>
    <row r="56742" s="3161" customFormat="1" ht="12.75"/>
    <row r="56743" s="3161" customFormat="1" ht="12.75"/>
    <row r="56744" s="3161" customFormat="1" ht="12.75"/>
    <row r="56745" s="3161" customFormat="1" ht="12.75"/>
    <row r="56746" s="3161" customFormat="1" ht="12.75"/>
    <row r="56747" s="3161" customFormat="1" ht="12.75"/>
    <row r="56748" s="3161" customFormat="1" ht="12.75"/>
    <row r="56749" s="3161" customFormat="1" ht="12.75"/>
    <row r="56750" s="3161" customFormat="1" ht="12.75"/>
    <row r="56751" s="3161" customFormat="1" ht="12.75"/>
    <row r="56752" s="3161" customFormat="1" ht="12.75"/>
    <row r="56753" s="3161" customFormat="1" ht="12.75"/>
    <row r="56754" s="3161" customFormat="1" ht="12.75"/>
    <row r="56755" s="3161" customFormat="1" ht="12.75"/>
    <row r="56756" s="3161" customFormat="1" ht="12.75"/>
    <row r="56757" s="3161" customFormat="1" ht="12.75"/>
    <row r="56758" s="3161" customFormat="1" ht="12.75"/>
    <row r="56759" s="3161" customFormat="1" ht="12.75"/>
    <row r="56760" s="3161" customFormat="1" ht="12.75"/>
    <row r="56761" s="3161" customFormat="1" ht="12.75"/>
    <row r="56762" s="3161" customFormat="1" ht="12.75"/>
    <row r="56763" s="3161" customFormat="1" ht="12.75"/>
    <row r="56764" s="3161" customFormat="1" ht="12.75"/>
    <row r="56765" s="3161" customFormat="1" ht="12.75"/>
    <row r="56766" s="3161" customFormat="1" ht="12.75"/>
    <row r="56767" s="3161" customFormat="1" ht="12.75"/>
    <row r="56768" s="3161" customFormat="1" ht="12.75"/>
    <row r="56769" s="3161" customFormat="1" ht="12.75"/>
    <row r="56770" s="3161" customFormat="1" ht="12.75"/>
    <row r="56771" s="3161" customFormat="1" ht="12.75"/>
    <row r="56772" s="3161" customFormat="1" ht="12.75"/>
    <row r="56773" s="3161" customFormat="1" ht="12.75"/>
    <row r="56774" s="3161" customFormat="1" ht="12.75"/>
    <row r="56775" s="3161" customFormat="1" ht="12.75"/>
    <row r="56776" s="3161" customFormat="1" ht="12.75"/>
    <row r="56777" s="3161" customFormat="1" ht="12.75"/>
    <row r="56778" s="3161" customFormat="1" ht="12.75"/>
    <row r="56779" s="3161" customFormat="1" ht="12.75"/>
    <row r="56780" s="3161" customFormat="1" ht="12.75"/>
    <row r="56781" s="3161" customFormat="1" ht="12.75"/>
    <row r="56782" s="3161" customFormat="1" ht="12.75"/>
    <row r="56783" s="3161" customFormat="1" ht="12.75"/>
    <row r="56784" s="3161" customFormat="1" ht="12.75"/>
    <row r="56785" s="3161" customFormat="1" ht="12.75"/>
    <row r="56786" s="3161" customFormat="1" ht="12.75"/>
    <row r="56787" s="3161" customFormat="1" ht="12.75"/>
    <row r="56788" s="3161" customFormat="1" ht="12.75"/>
    <row r="56789" s="3161" customFormat="1" ht="12.75"/>
    <row r="56790" s="3161" customFormat="1" ht="12.75"/>
    <row r="56791" s="3161" customFormat="1" ht="12.75"/>
    <row r="56792" s="3161" customFormat="1" ht="12.75"/>
    <row r="56793" s="3161" customFormat="1" ht="12.75"/>
    <row r="56794" s="3161" customFormat="1" ht="12.75"/>
    <row r="56795" s="3161" customFormat="1" ht="12.75"/>
    <row r="56796" s="3161" customFormat="1" ht="12.75"/>
    <row r="56797" s="3161" customFormat="1" ht="12.75"/>
    <row r="56798" s="3161" customFormat="1" ht="12.75"/>
    <row r="56799" s="3161" customFormat="1" ht="12.75"/>
    <row r="56800" s="3161" customFormat="1" ht="12.75"/>
    <row r="56801" s="3161" customFormat="1" ht="12.75"/>
    <row r="56802" s="3161" customFormat="1" ht="12.75"/>
    <row r="56803" s="3161" customFormat="1" ht="12.75"/>
    <row r="56804" s="3161" customFormat="1" ht="12.75"/>
    <row r="56805" s="3161" customFormat="1" ht="12.75"/>
    <row r="56806" s="3161" customFormat="1" ht="12.75"/>
    <row r="56807" s="3161" customFormat="1" ht="12.75"/>
    <row r="56808" s="3161" customFormat="1" ht="12.75"/>
    <row r="56809" s="3161" customFormat="1" ht="12.75"/>
    <row r="56810" s="3161" customFormat="1" ht="12.75"/>
    <row r="56811" s="3161" customFormat="1" ht="12.75"/>
    <row r="56812" s="3161" customFormat="1" ht="12.75"/>
    <row r="56813" s="3161" customFormat="1" ht="12.75"/>
    <row r="56814" s="3161" customFormat="1" ht="12.75"/>
    <row r="56815" s="3161" customFormat="1" ht="12.75"/>
    <row r="56816" s="3161" customFormat="1" ht="12.75"/>
    <row r="56817" s="3161" customFormat="1" ht="12.75"/>
    <row r="56818" s="3161" customFormat="1" ht="12.75"/>
    <row r="56819" s="3161" customFormat="1" ht="12.75"/>
    <row r="56820" s="3161" customFormat="1" ht="12.75"/>
    <row r="56821" s="3161" customFormat="1" ht="12.75"/>
    <row r="56822" s="3161" customFormat="1" ht="12.75"/>
    <row r="56823" s="3161" customFormat="1" ht="12.75"/>
    <row r="56824" s="3161" customFormat="1" ht="12.75"/>
    <row r="56825" s="3161" customFormat="1" ht="12.75"/>
    <row r="56826" s="3161" customFormat="1" ht="12.75"/>
    <row r="56827" s="3161" customFormat="1" ht="12.75"/>
    <row r="56828" s="3161" customFormat="1" ht="12.75"/>
    <row r="56829" s="3161" customFormat="1" ht="12.75"/>
    <row r="56830" s="3161" customFormat="1" ht="12.75"/>
    <row r="56831" s="3161" customFormat="1" ht="12.75"/>
    <row r="56832" s="3161" customFormat="1" ht="12.75"/>
    <row r="56833" s="3161" customFormat="1" ht="12.75"/>
    <row r="56834" s="3161" customFormat="1" ht="12.75"/>
    <row r="56835" s="3161" customFormat="1" ht="12.75"/>
    <row r="56836" s="3161" customFormat="1" ht="12.75"/>
    <row r="56837" s="3161" customFormat="1" ht="12.75"/>
    <row r="56838" s="3161" customFormat="1" ht="12.75"/>
    <row r="56839" s="3161" customFormat="1" ht="12.75"/>
    <row r="56840" s="3161" customFormat="1" ht="12.75"/>
    <row r="56841" s="3161" customFormat="1" ht="12.75"/>
    <row r="56842" s="3161" customFormat="1" ht="12.75"/>
    <row r="56843" s="3161" customFormat="1" ht="12.75"/>
    <row r="56844" s="3161" customFormat="1" ht="12.75"/>
    <row r="56845" s="3161" customFormat="1" ht="12.75"/>
    <row r="56846" s="3161" customFormat="1" ht="12.75"/>
    <row r="56847" s="3161" customFormat="1" ht="12.75"/>
    <row r="56848" s="3161" customFormat="1" ht="12.75"/>
    <row r="56849" s="3161" customFormat="1" ht="12.75"/>
    <row r="56850" s="3161" customFormat="1" ht="12.75"/>
    <row r="56851" s="3161" customFormat="1" ht="12.75"/>
    <row r="56852" s="3161" customFormat="1" ht="12.75"/>
    <row r="56853" s="3161" customFormat="1" ht="12.75"/>
    <row r="56854" s="3161" customFormat="1" ht="12.75"/>
    <row r="56855" s="3161" customFormat="1" ht="12.75"/>
    <row r="56856" s="3161" customFormat="1" ht="12.75"/>
    <row r="56857" s="3161" customFormat="1" ht="12.75"/>
    <row r="56858" s="3161" customFormat="1" ht="12.75"/>
    <row r="56859" s="3161" customFormat="1" ht="12.75"/>
    <row r="56860" s="3161" customFormat="1" ht="12.75"/>
    <row r="56861" s="3161" customFormat="1" ht="12.75"/>
    <row r="56862" s="3161" customFormat="1" ht="12.75"/>
    <row r="56863" s="3161" customFormat="1" ht="12.75"/>
    <row r="56864" s="3161" customFormat="1" ht="12.75"/>
    <row r="56865" s="3161" customFormat="1" ht="12.75"/>
    <row r="56866" s="3161" customFormat="1" ht="12.75"/>
    <row r="56867" s="3161" customFormat="1" ht="12.75"/>
    <row r="56868" s="3161" customFormat="1" ht="12.75"/>
    <row r="56869" s="3161" customFormat="1" ht="12.75"/>
    <row r="56870" s="3161" customFormat="1" ht="12.75"/>
    <row r="56871" s="3161" customFormat="1" ht="12.75"/>
    <row r="56872" s="3161" customFormat="1" ht="12.75"/>
    <row r="56873" s="3161" customFormat="1" ht="12.75"/>
    <row r="56874" s="3161" customFormat="1" ht="12.75"/>
    <row r="56875" s="3161" customFormat="1" ht="12.75"/>
    <row r="56876" s="3161" customFormat="1" ht="12.75"/>
    <row r="56877" s="3161" customFormat="1" ht="12.75"/>
    <row r="56878" s="3161" customFormat="1" ht="12.75"/>
    <row r="56879" s="3161" customFormat="1" ht="12.75"/>
    <row r="56880" s="3161" customFormat="1" ht="12.75"/>
    <row r="56881" s="3161" customFormat="1" ht="12.75"/>
    <row r="56882" s="3161" customFormat="1" ht="12.75"/>
    <row r="56883" s="3161" customFormat="1" ht="12.75"/>
    <row r="56884" s="3161" customFormat="1" ht="12.75"/>
    <row r="56885" s="3161" customFormat="1" ht="12.75"/>
    <row r="56886" s="3161" customFormat="1" ht="12.75"/>
    <row r="56887" s="3161" customFormat="1" ht="12.75"/>
    <row r="56888" s="3161" customFormat="1" ht="12.75"/>
    <row r="56889" s="3161" customFormat="1" ht="12.75"/>
    <row r="56890" s="3161" customFormat="1" ht="12.75"/>
    <row r="56891" s="3161" customFormat="1" ht="12.75"/>
    <row r="56892" s="3161" customFormat="1" ht="12.75"/>
    <row r="56893" s="3161" customFormat="1" ht="12.75"/>
    <row r="56894" s="3161" customFormat="1" ht="12.75"/>
    <row r="56895" s="3161" customFormat="1" ht="12.75"/>
    <row r="56896" s="3161" customFormat="1" ht="12.75"/>
    <row r="56897" s="3161" customFormat="1" ht="12.75"/>
    <row r="56898" s="3161" customFormat="1" ht="12.75"/>
    <row r="56899" s="3161" customFormat="1" ht="12.75"/>
    <row r="56900" s="3161" customFormat="1" ht="12.75"/>
    <row r="56901" s="3161" customFormat="1" ht="12.75"/>
    <row r="56902" s="3161" customFormat="1" ht="12.75"/>
    <row r="56903" s="3161" customFormat="1" ht="12.75"/>
    <row r="56904" s="3161" customFormat="1" ht="12.75"/>
    <row r="56905" s="3161" customFormat="1" ht="12.75"/>
    <row r="56906" s="3161" customFormat="1" ht="12.75"/>
    <row r="56907" s="3161" customFormat="1" ht="12.75"/>
    <row r="56908" s="3161" customFormat="1" ht="12.75"/>
    <row r="56909" s="3161" customFormat="1" ht="12.75"/>
    <row r="56910" s="3161" customFormat="1" ht="12.75"/>
    <row r="56911" s="3161" customFormat="1" ht="12.75"/>
    <row r="56912" s="3161" customFormat="1" ht="12.75"/>
    <row r="56913" s="3161" customFormat="1" ht="12.75"/>
    <row r="56914" s="3161" customFormat="1" ht="12.75"/>
    <row r="56915" s="3161" customFormat="1" ht="12.75"/>
    <row r="56916" s="3161" customFormat="1" ht="12.75"/>
    <row r="56917" s="3161" customFormat="1" ht="12.75"/>
    <row r="56918" s="3161" customFormat="1" ht="12.75"/>
    <row r="56919" s="3161" customFormat="1" ht="12.75"/>
    <row r="56920" s="3161" customFormat="1" ht="12.75"/>
    <row r="56921" s="3161" customFormat="1" ht="12.75"/>
    <row r="56922" s="3161" customFormat="1" ht="12.75"/>
    <row r="56923" s="3161" customFormat="1" ht="12.75"/>
    <row r="56924" s="3161" customFormat="1" ht="12.75"/>
    <row r="56925" s="3161" customFormat="1" ht="12.75"/>
    <row r="56926" s="3161" customFormat="1" ht="12.75"/>
    <row r="56927" s="3161" customFormat="1" ht="12.75"/>
    <row r="56928" s="3161" customFormat="1" ht="12.75"/>
    <row r="56929" s="3161" customFormat="1" ht="12.75"/>
    <row r="56930" s="3161" customFormat="1" ht="12.75"/>
    <row r="56931" s="3161" customFormat="1" ht="12.75"/>
    <row r="56932" s="3161" customFormat="1" ht="12.75"/>
    <row r="56933" s="3161" customFormat="1" ht="12.75"/>
    <row r="56934" s="3161" customFormat="1" ht="12.75"/>
    <row r="56935" s="3161" customFormat="1" ht="12.75"/>
    <row r="56936" s="3161" customFormat="1" ht="12.75"/>
    <row r="56937" s="3161" customFormat="1" ht="12.75"/>
    <row r="56938" s="3161" customFormat="1" ht="12.75"/>
    <row r="56939" s="3161" customFormat="1" ht="12.75"/>
    <row r="56940" s="3161" customFormat="1" ht="12.75"/>
    <row r="56941" s="3161" customFormat="1" ht="12.75"/>
    <row r="56942" s="3161" customFormat="1" ht="12.75"/>
    <row r="56943" s="3161" customFormat="1" ht="12.75"/>
    <row r="56944" s="3161" customFormat="1" ht="12.75"/>
    <row r="56945" s="3161" customFormat="1" ht="12.75"/>
    <row r="56946" s="3161" customFormat="1" ht="12.75"/>
    <row r="56947" s="3161" customFormat="1" ht="12.75"/>
    <row r="56948" s="3161" customFormat="1" ht="12.75"/>
    <row r="56949" s="3161" customFormat="1" ht="12.75"/>
    <row r="56950" s="3161" customFormat="1" ht="12.75"/>
    <row r="56951" s="3161" customFormat="1" ht="12.75"/>
    <row r="56952" s="3161" customFormat="1" ht="12.75"/>
    <row r="56953" s="3161" customFormat="1" ht="12.75"/>
    <row r="56954" s="3161" customFormat="1" ht="12.75"/>
    <row r="56955" s="3161" customFormat="1" ht="12.75"/>
    <row r="56956" s="3161" customFormat="1" ht="12.75"/>
    <row r="56957" s="3161" customFormat="1" ht="12.75"/>
    <row r="56958" s="3161" customFormat="1" ht="12.75"/>
    <row r="56959" s="3161" customFormat="1" ht="12.75"/>
    <row r="56960" s="3161" customFormat="1" ht="12.75"/>
    <row r="56961" s="3161" customFormat="1" ht="12.75"/>
    <row r="56962" s="3161" customFormat="1" ht="12.75"/>
    <row r="56963" s="3161" customFormat="1" ht="12.75"/>
    <row r="56964" s="3161" customFormat="1" ht="12.75"/>
    <row r="56965" s="3161" customFormat="1" ht="12.75"/>
    <row r="56966" s="3161" customFormat="1" ht="12.75"/>
    <row r="56967" s="3161" customFormat="1" ht="12.75"/>
    <row r="56968" s="3161" customFormat="1" ht="12.75"/>
    <row r="56969" s="3161" customFormat="1" ht="12.75"/>
    <row r="56970" s="3161" customFormat="1" ht="12.75"/>
    <row r="56971" s="3161" customFormat="1" ht="12.75"/>
    <row r="56972" s="3161" customFormat="1" ht="12.75"/>
    <row r="56973" s="3161" customFormat="1" ht="12.75"/>
    <row r="56974" s="3161" customFormat="1" ht="12.75"/>
    <row r="56975" s="3161" customFormat="1" ht="12.75"/>
    <row r="56976" s="3161" customFormat="1" ht="12.75"/>
    <row r="56977" s="3161" customFormat="1" ht="12.75"/>
    <row r="56978" s="3161" customFormat="1" ht="12.75"/>
    <row r="56979" s="3161" customFormat="1" ht="12.75"/>
    <row r="56980" s="3161" customFormat="1" ht="12.75"/>
    <row r="56981" s="3161" customFormat="1" ht="12.75"/>
    <row r="56982" s="3161" customFormat="1" ht="12.75"/>
    <row r="56983" s="3161" customFormat="1" ht="12.75"/>
    <row r="56984" s="3161" customFormat="1" ht="12.75"/>
    <row r="56985" s="3161" customFormat="1" ht="12.75"/>
    <row r="56986" s="3161" customFormat="1" ht="12.75"/>
    <row r="56987" s="3161" customFormat="1" ht="12.75"/>
    <row r="56988" s="3161" customFormat="1" ht="12.75"/>
    <row r="56989" s="3161" customFormat="1" ht="12.75"/>
    <row r="56990" s="3161" customFormat="1" ht="12.75"/>
    <row r="56991" s="3161" customFormat="1" ht="12.75"/>
    <row r="56992" s="3161" customFormat="1" ht="12.75"/>
    <row r="56993" s="3161" customFormat="1" ht="12.75"/>
    <row r="56994" s="3161" customFormat="1" ht="12.75"/>
    <row r="56995" s="3161" customFormat="1" ht="12.75"/>
    <row r="56996" s="3161" customFormat="1" ht="12.75"/>
    <row r="56997" s="3161" customFormat="1" ht="12.75"/>
    <row r="56998" s="3161" customFormat="1" ht="12.75"/>
    <row r="56999" s="3161" customFormat="1" ht="12.75"/>
    <row r="57000" s="3161" customFormat="1" ht="12.75"/>
    <row r="57001" s="3161" customFormat="1" ht="12.75"/>
    <row r="57002" s="3161" customFormat="1" ht="12.75"/>
    <row r="57003" s="3161" customFormat="1" ht="12.75"/>
    <row r="57004" s="3161" customFormat="1" ht="12.75"/>
    <row r="57005" s="3161" customFormat="1" ht="12.75"/>
    <row r="57006" s="3161" customFormat="1" ht="12.75"/>
    <row r="57007" s="3161" customFormat="1" ht="12.75"/>
    <row r="57008" s="3161" customFormat="1" ht="12.75"/>
    <row r="57009" s="3161" customFormat="1" ht="12.75"/>
    <row r="57010" s="3161" customFormat="1" ht="12.75"/>
    <row r="57011" s="3161" customFormat="1" ht="12.75"/>
    <row r="57012" s="3161" customFormat="1" ht="12.75"/>
    <row r="57013" s="3161" customFormat="1" ht="12.75"/>
    <row r="57014" s="3161" customFormat="1" ht="12.75"/>
    <row r="57015" s="3161" customFormat="1" ht="12.75"/>
    <row r="57016" s="3161" customFormat="1" ht="12.75"/>
    <row r="57017" s="3161" customFormat="1" ht="12.75"/>
    <row r="57018" s="3161" customFormat="1" ht="12.75"/>
    <row r="57019" s="3161" customFormat="1" ht="12.75"/>
    <row r="57020" s="3161" customFormat="1" ht="12.75"/>
    <row r="57021" s="3161" customFormat="1" ht="12.75"/>
    <row r="57022" s="3161" customFormat="1" ht="12.75"/>
    <row r="57023" s="3161" customFormat="1" ht="12.75"/>
    <row r="57024" s="3161" customFormat="1" ht="12.75"/>
    <row r="57025" s="3161" customFormat="1" ht="12.75"/>
    <row r="57026" s="3161" customFormat="1" ht="12.75"/>
    <row r="57027" s="3161" customFormat="1" ht="12.75"/>
    <row r="57028" s="3161" customFormat="1" ht="12.75"/>
    <row r="57029" s="3161" customFormat="1" ht="12.75"/>
    <row r="57030" s="3161" customFormat="1" ht="12.75"/>
    <row r="57031" s="3161" customFormat="1" ht="12.75"/>
    <row r="57032" s="3161" customFormat="1" ht="12.75"/>
    <row r="57033" s="3161" customFormat="1" ht="12.75"/>
    <row r="57034" s="3161" customFormat="1" ht="12.75"/>
    <row r="57035" s="3161" customFormat="1" ht="12.75"/>
    <row r="57036" s="3161" customFormat="1" ht="12.75"/>
    <row r="57037" s="3161" customFormat="1" ht="12.75"/>
    <row r="57038" s="3161" customFormat="1" ht="12.75"/>
    <row r="57039" s="3161" customFormat="1" ht="12.75"/>
    <row r="57040" s="3161" customFormat="1" ht="12.75"/>
    <row r="57041" s="3161" customFormat="1" ht="12.75"/>
    <row r="57042" s="3161" customFormat="1" ht="12.75"/>
    <row r="57043" s="3161" customFormat="1" ht="12.75"/>
    <row r="57044" s="3161" customFormat="1" ht="12.75"/>
    <row r="57045" s="3161" customFormat="1" ht="12.75"/>
    <row r="57046" s="3161" customFormat="1" ht="12.75"/>
    <row r="57047" s="3161" customFormat="1" ht="12.75"/>
    <row r="57048" s="3161" customFormat="1" ht="12.75"/>
    <row r="57049" s="3161" customFormat="1" ht="12.75"/>
    <row r="57050" s="3161" customFormat="1" ht="12.75"/>
    <row r="57051" s="3161" customFormat="1" ht="12.75"/>
    <row r="57052" s="3161" customFormat="1" ht="12.75"/>
    <row r="57053" s="3161" customFormat="1" ht="12.75"/>
    <row r="57054" s="3161" customFormat="1" ht="12.75"/>
    <row r="57055" s="3161" customFormat="1" ht="12.75"/>
    <row r="57056" s="3161" customFormat="1" ht="12.75"/>
    <row r="57057" s="3161" customFormat="1" ht="12.75"/>
    <row r="57058" s="3161" customFormat="1" ht="12.75"/>
    <row r="57059" s="3161" customFormat="1" ht="12.75"/>
    <row r="57060" s="3161" customFormat="1" ht="12.75"/>
    <row r="57061" s="3161" customFormat="1" ht="12.75"/>
    <row r="57062" s="3161" customFormat="1" ht="12.75"/>
    <row r="57063" s="3161" customFormat="1" ht="12.75"/>
    <row r="57064" s="3161" customFormat="1" ht="12.75"/>
    <row r="57065" s="3161" customFormat="1" ht="12.75"/>
    <row r="57066" s="3161" customFormat="1" ht="12.75"/>
    <row r="57067" s="3161" customFormat="1" ht="12.75"/>
    <row r="57068" s="3161" customFormat="1" ht="12.75"/>
    <row r="57069" s="3161" customFormat="1" ht="12.75"/>
    <row r="57070" s="3161" customFormat="1" ht="12.75"/>
    <row r="57071" s="3161" customFormat="1" ht="12.75"/>
    <row r="57072" s="3161" customFormat="1" ht="12.75"/>
    <row r="57073" s="3161" customFormat="1" ht="12.75"/>
    <row r="57074" s="3161" customFormat="1" ht="12.75"/>
    <row r="57075" s="3161" customFormat="1" ht="12.75"/>
    <row r="57076" s="3161" customFormat="1" ht="12.75"/>
    <row r="57077" s="3161" customFormat="1" ht="12.75"/>
    <row r="57078" s="3161" customFormat="1" ht="12.75"/>
    <row r="57079" s="3161" customFormat="1" ht="12.75"/>
    <row r="57080" s="3161" customFormat="1" ht="12.75"/>
    <row r="57081" s="3161" customFormat="1" ht="12.75"/>
    <row r="57082" s="3161" customFormat="1" ht="12.75"/>
    <row r="57083" s="3161" customFormat="1" ht="12.75"/>
    <row r="57084" s="3161" customFormat="1" ht="12.75"/>
    <row r="57085" s="3161" customFormat="1" ht="12.75"/>
    <row r="57086" s="3161" customFormat="1" ht="12.75"/>
    <row r="57087" s="3161" customFormat="1" ht="12.75"/>
    <row r="57088" s="3161" customFormat="1" ht="12.75"/>
    <row r="57089" s="3161" customFormat="1" ht="12.75"/>
    <row r="57090" s="3161" customFormat="1" ht="12.75"/>
    <row r="57091" s="3161" customFormat="1" ht="12.75"/>
    <row r="57092" s="3161" customFormat="1" ht="12.75"/>
    <row r="57093" s="3161" customFormat="1" ht="12.75"/>
    <row r="57094" s="3161" customFormat="1" ht="12.75"/>
    <row r="57095" s="3161" customFormat="1" ht="12.75"/>
    <row r="57096" s="3161" customFormat="1" ht="12.75"/>
    <row r="57097" s="3161" customFormat="1" ht="12.75"/>
    <row r="57098" s="3161" customFormat="1" ht="12.75"/>
    <row r="57099" s="3161" customFormat="1" ht="12.75"/>
    <row r="57100" s="3161" customFormat="1" ht="12.75"/>
    <row r="57101" s="3161" customFormat="1" ht="12.75"/>
    <row r="57102" s="3161" customFormat="1" ht="12.75"/>
    <row r="57103" s="3161" customFormat="1" ht="12.75"/>
    <row r="57104" s="3161" customFormat="1" ht="12.75"/>
    <row r="57105" s="3161" customFormat="1" ht="12.75"/>
    <row r="57106" s="3161" customFormat="1" ht="12.75"/>
    <row r="57107" s="3161" customFormat="1" ht="12.75"/>
    <row r="57108" s="3161" customFormat="1" ht="12.75"/>
    <row r="57109" s="3161" customFormat="1" ht="12.75"/>
    <row r="57110" s="3161" customFormat="1" ht="12.75"/>
    <row r="57111" s="3161" customFormat="1" ht="12.75"/>
    <row r="57112" s="3161" customFormat="1" ht="12.75"/>
    <row r="57113" s="3161" customFormat="1" ht="12.75"/>
    <row r="57114" s="3161" customFormat="1" ht="12.75"/>
    <row r="57115" s="3161" customFormat="1" ht="12.75"/>
    <row r="57116" s="3161" customFormat="1" ht="12.75"/>
    <row r="57117" s="3161" customFormat="1" ht="12.75"/>
    <row r="57118" s="3161" customFormat="1" ht="12.75"/>
    <row r="57119" s="3161" customFormat="1" ht="12.75"/>
    <row r="57120" s="3161" customFormat="1" ht="12.75"/>
    <row r="57121" s="3161" customFormat="1" ht="12.75"/>
    <row r="57122" s="3161" customFormat="1" ht="12.75"/>
    <row r="57123" s="3161" customFormat="1" ht="12.75"/>
    <row r="57124" s="3161" customFormat="1" ht="12.75"/>
    <row r="57125" s="3161" customFormat="1" ht="12.75"/>
    <row r="57126" s="3161" customFormat="1" ht="12.75"/>
    <row r="57127" s="3161" customFormat="1" ht="12.75"/>
    <row r="57128" s="3161" customFormat="1" ht="12.75"/>
    <row r="57129" s="3161" customFormat="1" ht="12.75"/>
    <row r="57130" s="3161" customFormat="1" ht="12.75"/>
    <row r="57131" s="3161" customFormat="1" ht="12.75"/>
    <row r="57132" s="3161" customFormat="1" ht="12.75"/>
    <row r="57133" s="3161" customFormat="1" ht="12.75"/>
    <row r="57134" s="3161" customFormat="1" ht="12.75"/>
    <row r="57135" s="3161" customFormat="1" ht="12.75"/>
    <row r="57136" s="3161" customFormat="1" ht="12.75"/>
    <row r="57137" s="3161" customFormat="1" ht="12.75"/>
    <row r="57138" s="3161" customFormat="1" ht="12.75"/>
    <row r="57139" s="3161" customFormat="1" ht="12.75"/>
    <row r="57140" s="3161" customFormat="1" ht="12.75"/>
    <row r="57141" s="3161" customFormat="1" ht="12.75"/>
    <row r="57142" s="3161" customFormat="1" ht="12.75"/>
    <row r="57143" s="3161" customFormat="1" ht="12.75"/>
    <row r="57144" s="3161" customFormat="1" ht="12.75"/>
    <row r="57145" s="3161" customFormat="1" ht="12.75"/>
    <row r="57146" s="3161" customFormat="1" ht="12.75"/>
    <row r="57147" s="3161" customFormat="1" ht="12.75"/>
    <row r="57148" s="3161" customFormat="1" ht="12.75"/>
    <row r="57149" s="3161" customFormat="1" ht="12.75"/>
    <row r="57150" s="3161" customFormat="1" ht="12.75"/>
    <row r="57151" s="3161" customFormat="1" ht="12.75"/>
    <row r="57152" s="3161" customFormat="1" ht="12.75"/>
    <row r="57153" s="3161" customFormat="1" ht="12.75"/>
    <row r="57154" s="3161" customFormat="1" ht="12.75"/>
    <row r="57155" s="3161" customFormat="1" ht="12.75"/>
    <row r="57156" s="3161" customFormat="1" ht="12.75"/>
    <row r="57157" s="3161" customFormat="1" ht="12.75"/>
    <row r="57158" s="3161" customFormat="1" ht="12.75"/>
    <row r="57159" s="3161" customFormat="1" ht="12.75"/>
    <row r="57160" s="3161" customFormat="1" ht="12.75"/>
    <row r="57161" s="3161" customFormat="1" ht="12.75"/>
    <row r="57162" s="3161" customFormat="1" ht="12.75"/>
    <row r="57163" s="3161" customFormat="1" ht="12.75"/>
    <row r="57164" s="3161" customFormat="1" ht="12.75"/>
    <row r="57165" s="3161" customFormat="1" ht="12.75"/>
    <row r="57166" s="3161" customFormat="1" ht="12.75"/>
    <row r="57167" s="3161" customFormat="1" ht="12.75"/>
    <row r="57168" s="3161" customFormat="1" ht="12.75"/>
    <row r="57169" s="3161" customFormat="1" ht="12.75"/>
    <row r="57170" s="3161" customFormat="1" ht="12.75"/>
    <row r="57171" s="3161" customFormat="1" ht="12.75"/>
    <row r="57172" s="3161" customFormat="1" ht="12.75"/>
    <row r="57173" s="3161" customFormat="1" ht="12.75"/>
    <row r="57174" s="3161" customFormat="1" ht="12.75"/>
    <row r="57175" s="3161" customFormat="1" ht="12.75"/>
    <row r="57176" s="3161" customFormat="1" ht="12.75"/>
    <row r="57177" s="3161" customFormat="1" ht="12.75"/>
    <row r="57178" s="3161" customFormat="1" ht="12.75"/>
    <row r="57179" s="3161" customFormat="1" ht="12.75"/>
    <row r="57180" s="3161" customFormat="1" ht="12.75"/>
    <row r="57181" s="3161" customFormat="1" ht="12.75"/>
    <row r="57182" s="3161" customFormat="1" ht="12.75"/>
    <row r="57183" s="3161" customFormat="1" ht="12.75"/>
    <row r="57184" s="3161" customFormat="1" ht="12.75"/>
    <row r="57185" s="3161" customFormat="1" ht="12.75"/>
    <row r="57186" s="3161" customFormat="1" ht="12.75"/>
    <row r="57187" s="3161" customFormat="1" ht="12.75"/>
    <row r="57188" s="3161" customFormat="1" ht="12.75"/>
    <row r="57189" s="3161" customFormat="1" ht="12.75"/>
    <row r="57190" s="3161" customFormat="1" ht="12.75"/>
    <row r="57191" s="3161" customFormat="1" ht="12.75"/>
    <row r="57192" s="3161" customFormat="1" ht="12.75"/>
    <row r="57193" s="3161" customFormat="1" ht="12.75"/>
    <row r="57194" s="3161" customFormat="1" ht="12.75"/>
    <row r="57195" s="3161" customFormat="1" ht="12.75"/>
    <row r="57196" s="3161" customFormat="1" ht="12.75"/>
    <row r="57197" s="3161" customFormat="1" ht="12.75"/>
    <row r="57198" s="3161" customFormat="1" ht="12.75"/>
    <row r="57199" s="3161" customFormat="1" ht="12.75"/>
    <row r="57200" s="3161" customFormat="1" ht="12.75"/>
    <row r="57201" s="3161" customFormat="1" ht="12.75"/>
    <row r="57202" s="3161" customFormat="1" ht="12.75"/>
    <row r="57203" s="3161" customFormat="1" ht="12.75"/>
    <row r="57204" s="3161" customFormat="1" ht="12.75"/>
    <row r="57205" s="3161" customFormat="1" ht="12.75"/>
    <row r="57206" s="3161" customFormat="1" ht="12.75"/>
    <row r="57207" s="3161" customFormat="1" ht="12.75"/>
    <row r="57208" s="3161" customFormat="1" ht="12.75"/>
    <row r="57209" s="3161" customFormat="1" ht="12.75"/>
    <row r="57210" s="3161" customFormat="1" ht="12.75"/>
    <row r="57211" s="3161" customFormat="1" ht="12.75"/>
    <row r="57212" s="3161" customFormat="1" ht="12.75"/>
    <row r="57213" s="3161" customFormat="1" ht="12.75"/>
    <row r="57214" s="3161" customFormat="1" ht="12.75"/>
    <row r="57215" s="3161" customFormat="1" ht="12.75"/>
    <row r="57216" s="3161" customFormat="1" ht="12.75"/>
    <row r="57217" s="3161" customFormat="1" ht="12.75"/>
    <row r="57218" s="3161" customFormat="1" ht="12.75"/>
    <row r="57219" s="3161" customFormat="1" ht="12.75"/>
    <row r="57220" s="3161" customFormat="1" ht="12.75"/>
    <row r="57221" s="3161" customFormat="1" ht="12.75"/>
    <row r="57222" s="3161" customFormat="1" ht="12.75"/>
    <row r="57223" s="3161" customFormat="1" ht="12.75"/>
    <row r="57224" s="3161" customFormat="1" ht="12.75"/>
    <row r="57225" s="3161" customFormat="1" ht="12.75"/>
    <row r="57226" s="3161" customFormat="1" ht="12.75"/>
    <row r="57227" s="3161" customFormat="1" ht="12.75"/>
    <row r="57228" s="3161" customFormat="1" ht="12.75"/>
    <row r="57229" s="3161" customFormat="1" ht="12.75"/>
    <row r="57230" s="3161" customFormat="1" ht="12.75"/>
    <row r="57231" s="3161" customFormat="1" ht="12.75"/>
    <row r="57232" s="3161" customFormat="1" ht="12.75"/>
    <row r="57233" s="3161" customFormat="1" ht="12.75"/>
    <row r="57234" s="3161" customFormat="1" ht="12.75"/>
    <row r="57235" s="3161" customFormat="1" ht="12.75"/>
    <row r="57236" s="3161" customFormat="1" ht="12.75"/>
    <row r="57237" s="3161" customFormat="1" ht="12.75"/>
    <row r="57238" s="3161" customFormat="1" ht="12.75"/>
    <row r="57239" s="3161" customFormat="1" ht="12.75"/>
    <row r="57240" s="3161" customFormat="1" ht="12.75"/>
    <row r="57241" s="3161" customFormat="1" ht="12.75"/>
    <row r="57242" s="3161" customFormat="1" ht="12.75"/>
    <row r="57243" s="3161" customFormat="1" ht="12.75"/>
    <row r="57244" s="3161" customFormat="1" ht="12.75"/>
    <row r="57245" s="3161" customFormat="1" ht="12.75"/>
    <row r="57246" s="3161" customFormat="1" ht="12.75"/>
    <row r="57247" s="3161" customFormat="1" ht="12.75"/>
    <row r="57248" s="3161" customFormat="1" ht="12.75"/>
    <row r="57249" s="3161" customFormat="1" ht="12.75"/>
    <row r="57250" s="3161" customFormat="1" ht="12.75"/>
    <row r="57251" s="3161" customFormat="1" ht="12.75"/>
    <row r="57252" s="3161" customFormat="1" ht="12.75"/>
    <row r="57253" s="3161" customFormat="1" ht="12.75"/>
    <row r="57254" s="3161" customFormat="1" ht="12.75"/>
    <row r="57255" s="3161" customFormat="1" ht="12.75"/>
    <row r="57256" s="3161" customFormat="1" ht="12.75"/>
    <row r="57257" s="3161" customFormat="1" ht="12.75"/>
    <row r="57258" s="3161" customFormat="1" ht="12.75"/>
    <row r="57259" s="3161" customFormat="1" ht="12.75"/>
    <row r="57260" s="3161" customFormat="1" ht="12.75"/>
    <row r="57261" s="3161" customFormat="1" ht="12.75"/>
    <row r="57262" s="3161" customFormat="1" ht="12.75"/>
    <row r="57263" s="3161" customFormat="1" ht="12.75"/>
    <row r="57264" s="3161" customFormat="1" ht="12.75"/>
    <row r="57265" s="3161" customFormat="1" ht="12.75"/>
    <row r="57266" s="3161" customFormat="1" ht="12.75"/>
    <row r="57267" s="3161" customFormat="1" ht="12.75"/>
    <row r="57268" s="3161" customFormat="1" ht="12.75"/>
    <row r="57269" s="3161" customFormat="1" ht="12.75"/>
    <row r="57270" s="3161" customFormat="1" ht="12.75"/>
    <row r="57271" s="3161" customFormat="1" ht="12.75"/>
    <row r="57272" s="3161" customFormat="1" ht="12.75"/>
    <row r="57273" s="3161" customFormat="1" ht="12.75"/>
    <row r="57274" s="3161" customFormat="1" ht="12.75"/>
    <row r="57275" s="3161" customFormat="1" ht="12.75"/>
    <row r="57276" s="3161" customFormat="1" ht="12.75"/>
    <row r="57277" s="3161" customFormat="1" ht="12.75"/>
    <row r="57278" s="3161" customFormat="1" ht="12.75"/>
    <row r="57279" s="3161" customFormat="1" ht="12.75"/>
    <row r="57280" s="3161" customFormat="1" ht="12.75"/>
    <row r="57281" s="3161" customFormat="1" ht="12.75"/>
    <row r="57282" s="3161" customFormat="1" ht="12.75"/>
    <row r="57283" s="3161" customFormat="1" ht="12.75"/>
    <row r="57284" s="3161" customFormat="1" ht="12.75"/>
    <row r="57285" s="3161" customFormat="1" ht="12.75"/>
    <row r="57286" s="3161" customFormat="1" ht="12.75"/>
    <row r="57287" s="3161" customFormat="1" ht="12.75"/>
    <row r="57288" s="3161" customFormat="1" ht="12.75"/>
    <row r="57289" s="3161" customFormat="1" ht="12.75"/>
    <row r="57290" s="3161" customFormat="1" ht="12.75"/>
    <row r="57291" s="3161" customFormat="1" ht="12.75"/>
    <row r="57292" s="3161" customFormat="1" ht="12.75"/>
    <row r="57293" s="3161" customFormat="1" ht="12.75"/>
    <row r="57294" s="3161" customFormat="1" ht="12.75"/>
    <row r="57295" s="3161" customFormat="1" ht="12.75"/>
    <row r="57296" s="3161" customFormat="1" ht="12.75"/>
    <row r="57297" s="3161" customFormat="1" ht="12.75"/>
    <row r="57298" s="3161" customFormat="1" ht="12.75"/>
    <row r="57299" s="3161" customFormat="1" ht="12.75"/>
    <row r="57300" s="3161" customFormat="1" ht="12.75"/>
    <row r="57301" s="3161" customFormat="1" ht="12.75"/>
    <row r="57302" s="3161" customFormat="1" ht="12.75"/>
    <row r="57303" s="3161" customFormat="1" ht="12.75"/>
    <row r="57304" s="3161" customFormat="1" ht="12.75"/>
    <row r="57305" s="3161" customFormat="1" ht="12.75"/>
    <row r="57306" s="3161" customFormat="1" ht="12.75"/>
    <row r="57307" s="3161" customFormat="1" ht="12.75"/>
    <row r="57308" s="3161" customFormat="1" ht="12.75"/>
    <row r="57309" s="3161" customFormat="1" ht="12.75"/>
    <row r="57310" s="3161" customFormat="1" ht="12.75"/>
    <row r="57311" s="3161" customFormat="1" ht="12.75"/>
    <row r="57312" s="3161" customFormat="1" ht="12.75"/>
    <row r="57313" s="3161" customFormat="1" ht="12.75"/>
    <row r="57314" s="3161" customFormat="1" ht="12.75"/>
    <row r="57315" s="3161" customFormat="1" ht="12.75"/>
    <row r="57316" s="3161" customFormat="1" ht="12.75"/>
    <row r="57317" s="3161" customFormat="1" ht="12.75"/>
    <row r="57318" s="3161" customFormat="1" ht="12.75"/>
    <row r="57319" s="3161" customFormat="1" ht="12.75"/>
    <row r="57320" s="3161" customFormat="1" ht="12.75"/>
    <row r="57321" s="3161" customFormat="1" ht="12.75"/>
    <row r="57322" s="3161" customFormat="1" ht="12.75"/>
    <row r="57323" s="3161" customFormat="1" ht="12.75"/>
    <row r="57324" s="3161" customFormat="1" ht="12.75"/>
    <row r="57325" s="3161" customFormat="1" ht="12.75"/>
    <row r="57326" s="3161" customFormat="1" ht="12.75"/>
    <row r="57327" s="3161" customFormat="1" ht="12.75"/>
    <row r="57328" s="3161" customFormat="1" ht="12.75"/>
    <row r="57329" s="3161" customFormat="1" ht="12.75"/>
    <row r="57330" s="3161" customFormat="1" ht="12.75"/>
    <row r="57331" s="3161" customFormat="1" ht="12.75"/>
    <row r="57332" s="3161" customFormat="1" ht="12.75"/>
    <row r="57333" s="3161" customFormat="1" ht="12.75"/>
    <row r="57334" s="3161" customFormat="1" ht="12.75"/>
    <row r="57335" s="3161" customFormat="1" ht="12.75"/>
    <row r="57336" s="3161" customFormat="1" ht="12.75"/>
    <row r="57337" s="3161" customFormat="1" ht="12.75"/>
    <row r="57338" s="3161" customFormat="1" ht="12.75"/>
    <row r="57339" s="3161" customFormat="1" ht="12.75"/>
    <row r="57340" s="3161" customFormat="1" ht="12.75"/>
    <row r="57341" s="3161" customFormat="1" ht="12.75"/>
    <row r="57342" s="3161" customFormat="1" ht="12.75"/>
    <row r="57343" s="3161" customFormat="1" ht="12.75"/>
    <row r="57344" s="3161" customFormat="1" ht="12.75"/>
    <row r="57345" s="3161" customFormat="1" ht="12.75"/>
    <row r="57346" s="3161" customFormat="1" ht="12.75"/>
    <row r="57347" s="3161" customFormat="1" ht="12.75"/>
    <row r="57348" s="3161" customFormat="1" ht="12.75"/>
    <row r="57349" s="3161" customFormat="1" ht="12.75"/>
    <row r="57350" s="3161" customFormat="1" ht="12.75"/>
    <row r="57351" s="3161" customFormat="1" ht="12.75"/>
    <row r="57352" s="3161" customFormat="1" ht="12.75"/>
    <row r="57353" s="3161" customFormat="1" ht="12.75"/>
    <row r="57354" s="3161" customFormat="1" ht="12.75"/>
    <row r="57355" s="3161" customFormat="1" ht="12.75"/>
    <row r="57356" s="3161" customFormat="1" ht="12.75"/>
    <row r="57357" s="3161" customFormat="1" ht="12.75"/>
    <row r="57358" s="3161" customFormat="1" ht="12.75"/>
    <row r="57359" s="3161" customFormat="1" ht="12.75"/>
    <row r="57360" s="3161" customFormat="1" ht="12.75"/>
    <row r="57361" s="3161" customFormat="1" ht="12.75"/>
    <row r="57362" s="3161" customFormat="1" ht="12.75"/>
    <row r="57363" s="3161" customFormat="1" ht="12.75"/>
    <row r="57364" s="3161" customFormat="1" ht="12.75"/>
    <row r="57365" s="3161" customFormat="1" ht="12.75"/>
    <row r="57366" s="3161" customFormat="1" ht="12.75"/>
    <row r="57367" s="3161" customFormat="1" ht="12.75"/>
    <row r="57368" s="3161" customFormat="1" ht="12.75"/>
    <row r="57369" s="3161" customFormat="1" ht="12.75"/>
    <row r="57370" s="3161" customFormat="1" ht="12.75"/>
    <row r="57371" s="3161" customFormat="1" ht="12.75"/>
    <row r="57372" s="3161" customFormat="1" ht="12.75"/>
    <row r="57373" s="3161" customFormat="1" ht="12.75"/>
    <row r="57374" s="3161" customFormat="1" ht="12.75"/>
    <row r="57375" s="3161" customFormat="1" ht="12.75"/>
    <row r="57376" s="3161" customFormat="1" ht="12.75"/>
    <row r="57377" s="3161" customFormat="1" ht="12.75"/>
    <row r="57378" s="3161" customFormat="1" ht="12.75"/>
    <row r="57379" s="3161" customFormat="1" ht="12.75"/>
    <row r="57380" s="3161" customFormat="1" ht="12.75"/>
    <row r="57381" s="3161" customFormat="1" ht="12.75"/>
    <row r="57382" s="3161" customFormat="1" ht="12.75"/>
    <row r="57383" s="3161" customFormat="1" ht="12.75"/>
    <row r="57384" s="3161" customFormat="1" ht="12.75"/>
    <row r="57385" s="3161" customFormat="1" ht="12.75"/>
    <row r="57386" s="3161" customFormat="1" ht="12.75"/>
    <row r="57387" s="3161" customFormat="1" ht="12.75"/>
    <row r="57388" s="3161" customFormat="1" ht="12.75"/>
    <row r="57389" s="3161" customFormat="1" ht="12.75"/>
    <row r="57390" s="3161" customFormat="1" ht="12.75"/>
    <row r="57391" s="3161" customFormat="1" ht="12.75"/>
    <row r="57392" s="3161" customFormat="1" ht="12.75"/>
    <row r="57393" s="3161" customFormat="1" ht="12.75"/>
    <row r="57394" s="3161" customFormat="1" ht="12.75"/>
    <row r="57395" s="3161" customFormat="1" ht="12.75"/>
    <row r="57396" s="3161" customFormat="1" ht="12.75"/>
    <row r="57397" s="3161" customFormat="1" ht="12.75"/>
    <row r="57398" s="3161" customFormat="1" ht="12.75"/>
    <row r="57399" s="3161" customFormat="1" ht="12.75"/>
    <row r="57400" s="3161" customFormat="1" ht="12.75"/>
    <row r="57401" s="3161" customFormat="1" ht="12.75"/>
    <row r="57402" s="3161" customFormat="1" ht="12.75"/>
    <row r="57403" s="3161" customFormat="1" ht="12.75"/>
    <row r="57404" s="3161" customFormat="1" ht="12.75"/>
    <row r="57405" s="3161" customFormat="1" ht="12.75"/>
    <row r="57406" s="3161" customFormat="1" ht="12.75"/>
    <row r="57407" s="3161" customFormat="1" ht="12.75"/>
    <row r="57408" s="3161" customFormat="1" ht="12.75"/>
    <row r="57409" s="3161" customFormat="1" ht="12.75"/>
    <row r="57410" s="3161" customFormat="1" ht="12.75"/>
    <row r="57411" s="3161" customFormat="1" ht="12.75"/>
    <row r="57412" s="3161" customFormat="1" ht="12.75"/>
    <row r="57413" s="3161" customFormat="1" ht="12.75"/>
    <row r="57414" s="3161" customFormat="1" ht="12.75"/>
    <row r="57415" s="3161" customFormat="1" ht="12.75"/>
    <row r="57416" s="3161" customFormat="1" ht="12.75"/>
    <row r="57417" s="3161" customFormat="1" ht="12.75"/>
    <row r="57418" s="3161" customFormat="1" ht="12.75"/>
    <row r="57419" s="3161" customFormat="1" ht="12.75"/>
    <row r="57420" s="3161" customFormat="1" ht="12.75"/>
    <row r="57421" s="3161" customFormat="1" ht="12.75"/>
    <row r="57422" s="3161" customFormat="1" ht="12.75"/>
    <row r="57423" s="3161" customFormat="1" ht="12.75"/>
    <row r="57424" s="3161" customFormat="1" ht="12.75"/>
    <row r="57425" s="3161" customFormat="1" ht="12.75"/>
    <row r="57426" s="3161" customFormat="1" ht="12.75"/>
    <row r="57427" s="3161" customFormat="1" ht="12.75"/>
    <row r="57428" s="3161" customFormat="1" ht="12.75"/>
    <row r="57429" s="3161" customFormat="1" ht="12.75"/>
    <row r="57430" s="3161" customFormat="1" ht="12.75"/>
    <row r="57431" s="3161" customFormat="1" ht="12.75"/>
    <row r="57432" s="3161" customFormat="1" ht="12.75"/>
    <row r="57433" s="3161" customFormat="1" ht="12.75"/>
    <row r="57434" s="3161" customFormat="1" ht="12.75"/>
    <row r="57435" s="3161" customFormat="1" ht="12.75"/>
    <row r="57436" s="3161" customFormat="1" ht="12.75"/>
    <row r="57437" s="3161" customFormat="1" ht="12.75"/>
    <row r="57438" s="3161" customFormat="1" ht="12.75"/>
    <row r="57439" s="3161" customFormat="1" ht="12.75"/>
    <row r="57440" s="3161" customFormat="1" ht="12.75"/>
    <row r="57441" s="3161" customFormat="1" ht="12.75"/>
    <row r="57442" s="3161" customFormat="1" ht="12.75"/>
    <row r="57443" s="3161" customFormat="1" ht="12.75"/>
    <row r="57444" s="3161" customFormat="1" ht="12.75"/>
    <row r="57445" s="3161" customFormat="1" ht="12.75"/>
    <row r="57446" s="3161" customFormat="1" ht="12.75"/>
    <row r="57447" s="3161" customFormat="1" ht="12.75"/>
    <row r="57448" s="3161" customFormat="1" ht="12.75"/>
    <row r="57449" s="3161" customFormat="1" ht="12.75"/>
    <row r="57450" s="3161" customFormat="1" ht="12.75"/>
    <row r="57451" s="3161" customFormat="1" ht="12.75"/>
    <row r="57452" s="3161" customFormat="1" ht="12.75"/>
    <row r="57453" s="3161" customFormat="1" ht="12.75"/>
    <row r="57454" s="3161" customFormat="1" ht="12.75"/>
    <row r="57455" s="3161" customFormat="1" ht="12.75"/>
    <row r="57456" s="3161" customFormat="1" ht="12.75"/>
    <row r="57457" s="3161" customFormat="1" ht="12.75"/>
    <row r="57458" s="3161" customFormat="1" ht="12.75"/>
    <row r="57459" s="3161" customFormat="1" ht="12.75"/>
    <row r="57460" s="3161" customFormat="1" ht="12.75"/>
    <row r="57461" s="3161" customFormat="1" ht="12.75"/>
    <row r="57462" s="3161" customFormat="1" ht="12.75"/>
    <row r="57463" s="3161" customFormat="1" ht="12.75"/>
    <row r="57464" s="3161" customFormat="1" ht="12.75"/>
    <row r="57465" s="3161" customFormat="1" ht="12.75"/>
    <row r="57466" s="3161" customFormat="1" ht="12.75"/>
    <row r="57467" s="3161" customFormat="1" ht="12.75"/>
    <row r="57468" s="3161" customFormat="1" ht="12.75"/>
    <row r="57469" s="3161" customFormat="1" ht="12.75"/>
    <row r="57470" s="3161" customFormat="1" ht="12.75"/>
    <row r="57471" s="3161" customFormat="1" ht="12.75"/>
    <row r="57472" s="3161" customFormat="1" ht="12.75"/>
    <row r="57473" s="3161" customFormat="1" ht="12.75"/>
    <row r="57474" s="3161" customFormat="1" ht="12.75"/>
    <row r="57475" s="3161" customFormat="1" ht="12.75"/>
    <row r="57476" s="3161" customFormat="1" ht="12.75"/>
    <row r="57477" s="3161" customFormat="1" ht="12.75"/>
    <row r="57478" s="3161" customFormat="1" ht="12.75"/>
    <row r="57479" s="3161" customFormat="1" ht="12.75"/>
    <row r="57480" s="3161" customFormat="1" ht="12.75"/>
    <row r="57481" s="3161" customFormat="1" ht="12.75"/>
    <row r="57482" s="3161" customFormat="1" ht="12.75"/>
    <row r="57483" s="3161" customFormat="1" ht="12.75"/>
    <row r="57484" s="3161" customFormat="1" ht="12.75"/>
    <row r="57485" s="3161" customFormat="1" ht="12.75"/>
    <row r="57486" s="3161" customFormat="1" ht="12.75"/>
    <row r="57487" s="3161" customFormat="1" ht="12.75"/>
    <row r="57488" s="3161" customFormat="1" ht="12.75"/>
    <row r="57489" s="3161" customFormat="1" ht="12.75"/>
    <row r="57490" s="3161" customFormat="1" ht="12.75"/>
    <row r="57491" s="3161" customFormat="1" ht="12.75"/>
    <row r="57492" s="3161" customFormat="1" ht="12.75"/>
    <row r="57493" s="3161" customFormat="1" ht="12.75"/>
    <row r="57494" s="3161" customFormat="1" ht="12.75"/>
    <row r="57495" s="3161" customFormat="1" ht="12.75"/>
    <row r="57496" s="3161" customFormat="1" ht="12.75"/>
    <row r="57497" s="3161" customFormat="1" ht="12.75"/>
    <row r="57498" s="3161" customFormat="1" ht="12.75"/>
    <row r="57499" s="3161" customFormat="1" ht="12.75"/>
    <row r="57500" s="3161" customFormat="1" ht="12.75"/>
    <row r="57501" s="3161" customFormat="1" ht="12.75"/>
    <row r="57502" s="3161" customFormat="1" ht="12.75"/>
    <row r="57503" s="3161" customFormat="1" ht="12.75"/>
    <row r="57504" s="3161" customFormat="1" ht="12.75"/>
    <row r="57505" s="3161" customFormat="1" ht="12.75"/>
    <row r="57506" s="3161" customFormat="1" ht="12.75"/>
    <row r="57507" s="3161" customFormat="1" ht="12.75"/>
    <row r="57508" s="3161" customFormat="1" ht="12.75"/>
    <row r="57509" s="3161" customFormat="1" ht="12.75"/>
    <row r="57510" s="3161" customFormat="1" ht="12.75"/>
    <row r="57511" s="3161" customFormat="1" ht="12.75"/>
    <row r="57512" s="3161" customFormat="1" ht="12.75"/>
    <row r="57513" s="3161" customFormat="1" ht="12.75"/>
    <row r="57514" s="3161" customFormat="1" ht="12.75"/>
    <row r="57515" s="3161" customFormat="1" ht="12.75"/>
    <row r="57516" s="3161" customFormat="1" ht="12.75"/>
    <row r="57517" s="3161" customFormat="1" ht="12.75"/>
    <row r="57518" s="3161" customFormat="1" ht="12.75"/>
    <row r="57519" s="3161" customFormat="1" ht="12.75"/>
    <row r="57520" s="3161" customFormat="1" ht="12.75"/>
    <row r="57521" s="3161" customFormat="1" ht="12.75"/>
    <row r="57522" s="3161" customFormat="1" ht="12.75"/>
    <row r="57523" s="3161" customFormat="1" ht="12.75"/>
    <row r="57524" s="3161" customFormat="1" ht="12.75"/>
    <row r="57525" s="3161" customFormat="1" ht="12.75"/>
    <row r="57526" s="3161" customFormat="1" ht="12.75"/>
    <row r="57527" s="3161" customFormat="1" ht="12.75"/>
    <row r="57528" s="3161" customFormat="1" ht="12.75"/>
    <row r="57529" s="3161" customFormat="1" ht="12.75"/>
    <row r="57530" s="3161" customFormat="1" ht="12.75"/>
    <row r="57531" s="3161" customFormat="1" ht="12.75"/>
    <row r="57532" s="3161" customFormat="1" ht="12.75"/>
    <row r="57533" s="3161" customFormat="1" ht="12.75"/>
    <row r="57534" s="3161" customFormat="1" ht="12.75"/>
    <row r="57535" s="3161" customFormat="1" ht="12.75"/>
    <row r="57536" s="3161" customFormat="1" ht="12.75"/>
    <row r="57537" s="3161" customFormat="1" ht="12.75"/>
    <row r="57538" s="3161" customFormat="1" ht="12.75"/>
    <row r="57539" s="3161" customFormat="1" ht="12.75"/>
    <row r="57540" s="3161" customFormat="1" ht="12.75"/>
    <row r="57541" s="3161" customFormat="1" ht="12.75"/>
    <row r="57542" s="3161" customFormat="1" ht="12.75"/>
    <row r="57543" s="3161" customFormat="1" ht="12.75"/>
    <row r="57544" s="3161" customFormat="1" ht="12.75"/>
    <row r="57545" s="3161" customFormat="1" ht="12.75"/>
    <row r="57546" s="3161" customFormat="1" ht="12.75"/>
    <row r="57547" s="3161" customFormat="1" ht="12.75"/>
    <row r="57548" s="3161" customFormat="1" ht="12.75"/>
    <row r="57549" s="3161" customFormat="1" ht="12.75"/>
    <row r="57550" s="3161" customFormat="1" ht="12.75"/>
    <row r="57551" s="3161" customFormat="1" ht="12.75"/>
    <row r="57552" s="3161" customFormat="1" ht="12.75"/>
    <row r="57553" s="3161" customFormat="1" ht="12.75"/>
    <row r="57554" s="3161" customFormat="1" ht="12.75"/>
    <row r="57555" s="3161" customFormat="1" ht="12.75"/>
    <row r="57556" s="3161" customFormat="1" ht="12.75"/>
    <row r="57557" s="3161" customFormat="1" ht="12.75"/>
    <row r="57558" s="3161" customFormat="1" ht="12.75"/>
    <row r="57559" s="3161" customFormat="1" ht="12.75"/>
    <row r="57560" s="3161" customFormat="1" ht="12.75"/>
    <row r="57561" s="3161" customFormat="1" ht="12.75"/>
    <row r="57562" s="3161" customFormat="1" ht="12.75"/>
    <row r="57563" s="3161" customFormat="1" ht="12.75"/>
    <row r="57564" s="3161" customFormat="1" ht="12.75"/>
    <row r="57565" s="3161" customFormat="1" ht="12.75"/>
    <row r="57566" s="3161" customFormat="1" ht="12.75"/>
    <row r="57567" s="3161" customFormat="1" ht="12.75"/>
    <row r="57568" s="3161" customFormat="1" ht="12.75"/>
    <row r="57569" s="3161" customFormat="1" ht="12.75"/>
    <row r="57570" s="3161" customFormat="1" ht="12.75"/>
    <row r="57571" s="3161" customFormat="1" ht="12.75"/>
    <row r="57572" s="3161" customFormat="1" ht="12.75"/>
    <row r="57573" s="3161" customFormat="1" ht="12.75"/>
    <row r="57574" s="3161" customFormat="1" ht="12.75"/>
    <row r="57575" s="3161" customFormat="1" ht="12.75"/>
    <row r="57576" s="3161" customFormat="1" ht="12.75"/>
    <row r="57577" s="3161" customFormat="1" ht="12.75"/>
    <row r="57578" s="3161" customFormat="1" ht="12.75"/>
    <row r="57579" s="3161" customFormat="1" ht="12.75"/>
    <row r="57580" s="3161" customFormat="1" ht="12.75"/>
    <row r="57581" s="3161" customFormat="1" ht="12.75"/>
    <row r="57582" s="3161" customFormat="1" ht="12.75"/>
    <row r="57583" s="3161" customFormat="1" ht="12.75"/>
    <row r="57584" s="3161" customFormat="1" ht="12.75"/>
    <row r="57585" s="3161" customFormat="1" ht="12.75"/>
    <row r="57586" s="3161" customFormat="1" ht="12.75"/>
    <row r="57587" s="3161" customFormat="1" ht="12.75"/>
    <row r="57588" s="3161" customFormat="1" ht="12.75"/>
    <row r="57589" s="3161" customFormat="1" ht="12.75"/>
    <row r="57590" s="3161" customFormat="1" ht="12.75"/>
    <row r="57591" s="3161" customFormat="1" ht="12.75"/>
    <row r="57592" s="3161" customFormat="1" ht="12.75"/>
    <row r="57593" s="3161" customFormat="1" ht="12.75"/>
    <row r="57594" s="3161" customFormat="1" ht="12.75"/>
    <row r="57595" s="3161" customFormat="1" ht="12.75"/>
    <row r="57596" s="3161" customFormat="1" ht="12.75"/>
    <row r="57597" s="3161" customFormat="1" ht="12.75"/>
    <row r="57598" s="3161" customFormat="1" ht="12.75"/>
    <row r="57599" s="3161" customFormat="1" ht="12.75"/>
    <row r="57600" s="3161" customFormat="1" ht="12.75"/>
    <row r="57601" s="3161" customFormat="1" ht="12.75"/>
    <row r="57602" s="3161" customFormat="1" ht="12.75"/>
    <row r="57603" s="3161" customFormat="1" ht="12.75"/>
    <row r="57604" s="3161" customFormat="1" ht="12.75"/>
    <row r="57605" s="3161" customFormat="1" ht="12.75"/>
    <row r="57606" s="3161" customFormat="1" ht="12.75"/>
    <row r="57607" s="3161" customFormat="1" ht="12.75"/>
    <row r="57608" s="3161" customFormat="1" ht="12.75"/>
    <row r="57609" s="3161" customFormat="1" ht="12.75"/>
    <row r="57610" s="3161" customFormat="1" ht="12.75"/>
    <row r="57611" s="3161" customFormat="1" ht="12.75"/>
    <row r="57612" s="3161" customFormat="1" ht="12.75"/>
    <row r="57613" s="3161" customFormat="1" ht="12.75"/>
    <row r="57614" s="3161" customFormat="1" ht="12.75"/>
    <row r="57615" s="3161" customFormat="1" ht="12.75"/>
    <row r="57616" s="3161" customFormat="1" ht="12.75"/>
    <row r="57617" s="3161" customFormat="1" ht="12.75"/>
    <row r="57618" s="3161" customFormat="1" ht="12.75"/>
    <row r="57619" s="3161" customFormat="1" ht="12.75"/>
    <row r="57620" s="3161" customFormat="1" ht="12.75"/>
    <row r="57621" s="3161" customFormat="1" ht="12.75"/>
    <row r="57622" s="3161" customFormat="1" ht="12.75"/>
    <row r="57623" s="3161" customFormat="1" ht="12.75"/>
    <row r="57624" s="3161" customFormat="1" ht="12.75"/>
    <row r="57625" s="3161" customFormat="1" ht="12.75"/>
    <row r="57626" s="3161" customFormat="1" ht="12.75"/>
    <row r="57627" s="3161" customFormat="1" ht="12.75"/>
    <row r="57628" s="3161" customFormat="1" ht="12.75"/>
    <row r="57629" s="3161" customFormat="1" ht="12.75"/>
    <row r="57630" s="3161" customFormat="1" ht="12.75"/>
    <row r="57631" s="3161" customFormat="1" ht="12.75"/>
    <row r="57632" s="3161" customFormat="1" ht="12.75"/>
    <row r="57633" s="3161" customFormat="1" ht="12.75"/>
    <row r="57634" s="3161" customFormat="1" ht="12.75"/>
    <row r="57635" s="3161" customFormat="1" ht="12.75"/>
    <row r="57636" s="3161" customFormat="1" ht="12.75"/>
    <row r="57637" s="3161" customFormat="1" ht="12.75"/>
    <row r="57638" s="3161" customFormat="1" ht="12.75"/>
    <row r="57639" s="3161" customFormat="1" ht="12.75"/>
    <row r="57640" s="3161" customFormat="1" ht="12.75"/>
    <row r="57641" s="3161" customFormat="1" ht="12.75"/>
    <row r="57642" s="3161" customFormat="1" ht="12.75"/>
    <row r="57643" s="3161" customFormat="1" ht="12.75"/>
    <row r="57644" s="3161" customFormat="1" ht="12.75"/>
    <row r="57645" s="3161" customFormat="1" ht="12.75"/>
    <row r="57646" s="3161" customFormat="1" ht="12.75"/>
    <row r="57647" s="3161" customFormat="1" ht="12.75"/>
    <row r="57648" s="3161" customFormat="1" ht="12.75"/>
    <row r="57649" s="3161" customFormat="1" ht="12.75"/>
    <row r="57650" s="3161" customFormat="1" ht="12.75"/>
    <row r="57651" s="3161" customFormat="1" ht="12.75"/>
    <row r="57652" s="3161" customFormat="1" ht="12.75"/>
    <row r="57653" s="3161" customFormat="1" ht="12.75"/>
    <row r="57654" s="3161" customFormat="1" ht="12.75"/>
    <row r="57655" s="3161" customFormat="1" ht="12.75"/>
    <row r="57656" s="3161" customFormat="1" ht="12.75"/>
    <row r="57657" s="3161" customFormat="1" ht="12.75"/>
    <row r="57658" s="3161" customFormat="1" ht="12.75"/>
    <row r="57659" s="3161" customFormat="1" ht="12.75"/>
    <row r="57660" s="3161" customFormat="1" ht="12.75"/>
    <row r="57661" s="3161" customFormat="1" ht="12.75"/>
    <row r="57662" s="3161" customFormat="1" ht="12.75"/>
    <row r="57663" s="3161" customFormat="1" ht="12.75"/>
    <row r="57664" s="3161" customFormat="1" ht="12.75"/>
    <row r="57665" s="3161" customFormat="1" ht="12.75"/>
    <row r="57666" s="3161" customFormat="1" ht="12.75"/>
    <row r="57667" s="3161" customFormat="1" ht="12.75"/>
    <row r="57668" s="3161" customFormat="1" ht="12.75"/>
    <row r="57669" s="3161" customFormat="1" ht="12.75"/>
    <row r="57670" s="3161" customFormat="1" ht="12.75"/>
    <row r="57671" s="3161" customFormat="1" ht="12.75"/>
    <row r="57672" s="3161" customFormat="1" ht="12.75"/>
    <row r="57673" s="3161" customFormat="1" ht="12.75"/>
    <row r="57674" s="3161" customFormat="1" ht="12.75"/>
    <row r="57675" s="3161" customFormat="1" ht="12.75"/>
    <row r="57676" s="3161" customFormat="1" ht="12.75"/>
    <row r="57677" s="3161" customFormat="1" ht="12.75"/>
    <row r="57678" s="3161" customFormat="1" ht="12.75"/>
    <row r="57679" s="3161" customFormat="1" ht="12.75"/>
    <row r="57680" s="3161" customFormat="1" ht="12.75"/>
    <row r="57681" s="3161" customFormat="1" ht="12.75"/>
    <row r="57682" s="3161" customFormat="1" ht="12.75"/>
    <row r="57683" s="3161" customFormat="1" ht="12.75"/>
    <row r="57684" s="3161" customFormat="1" ht="12.75"/>
    <row r="57685" s="3161" customFormat="1" ht="12.75"/>
    <row r="57686" s="3161" customFormat="1" ht="12.75"/>
    <row r="57687" s="3161" customFormat="1" ht="12.75"/>
    <row r="57688" s="3161" customFormat="1" ht="12.75"/>
    <row r="57689" s="3161" customFormat="1" ht="12.75"/>
    <row r="57690" s="3161" customFormat="1" ht="12.75"/>
    <row r="57691" s="3161" customFormat="1" ht="12.75"/>
    <row r="57692" s="3161" customFormat="1" ht="12.75"/>
    <row r="57693" s="3161" customFormat="1" ht="12.75"/>
    <row r="57694" s="3161" customFormat="1" ht="12.75"/>
    <row r="57695" s="3161" customFormat="1" ht="12.75"/>
    <row r="57696" s="3161" customFormat="1" ht="12.75"/>
    <row r="57697" s="3161" customFormat="1" ht="12.75"/>
    <row r="57698" s="3161" customFormat="1" ht="12.75"/>
    <row r="57699" s="3161" customFormat="1" ht="12.75"/>
    <row r="57700" s="3161" customFormat="1" ht="12.75"/>
    <row r="57701" s="3161" customFormat="1" ht="12.75"/>
    <row r="57702" s="3161" customFormat="1" ht="12.75"/>
    <row r="57703" s="3161" customFormat="1" ht="12.75"/>
    <row r="57704" s="3161" customFormat="1" ht="12.75"/>
    <row r="57705" s="3161" customFormat="1" ht="12.75"/>
    <row r="57706" s="3161" customFormat="1" ht="12.75"/>
    <row r="57707" s="3161" customFormat="1" ht="12.75"/>
    <row r="57708" s="3161" customFormat="1" ht="12.75"/>
    <row r="57709" s="3161" customFormat="1" ht="12.75"/>
    <row r="57710" s="3161" customFormat="1" ht="12.75"/>
    <row r="57711" s="3161" customFormat="1" ht="12.75"/>
    <row r="57712" s="3161" customFormat="1" ht="12.75"/>
    <row r="57713" s="3161" customFormat="1" ht="12.75"/>
    <row r="57714" s="3161" customFormat="1" ht="12.75"/>
    <row r="57715" s="3161" customFormat="1" ht="12.75"/>
    <row r="57716" s="3161" customFormat="1" ht="12.75"/>
    <row r="57717" s="3161" customFormat="1" ht="12.75"/>
    <row r="57718" s="3161" customFormat="1" ht="12.75"/>
    <row r="57719" s="3161" customFormat="1" ht="12.75"/>
    <row r="57720" s="3161" customFormat="1" ht="12.75"/>
    <row r="57721" s="3161" customFormat="1" ht="12.75"/>
    <row r="57722" s="3161" customFormat="1" ht="12.75"/>
    <row r="57723" s="3161" customFormat="1" ht="12.75"/>
    <row r="57724" s="3161" customFormat="1" ht="12.75"/>
    <row r="57725" s="3161" customFormat="1" ht="12.75"/>
    <row r="57726" s="3161" customFormat="1" ht="12.75"/>
    <row r="57727" s="3161" customFormat="1" ht="12.75"/>
    <row r="57728" s="3161" customFormat="1" ht="12.75"/>
    <row r="57729" s="3161" customFormat="1" ht="12.75"/>
    <row r="57730" s="3161" customFormat="1" ht="12.75"/>
    <row r="57731" s="3161" customFormat="1" ht="12.75"/>
    <row r="57732" s="3161" customFormat="1" ht="12.75"/>
    <row r="57733" s="3161" customFormat="1" ht="12.75"/>
    <row r="57734" s="3161" customFormat="1" ht="12.75"/>
    <row r="57735" s="3161" customFormat="1" ht="12.75"/>
    <row r="57736" s="3161" customFormat="1" ht="12.75"/>
    <row r="57737" s="3161" customFormat="1" ht="12.75"/>
    <row r="57738" s="3161" customFormat="1" ht="12.75"/>
    <row r="57739" s="3161" customFormat="1" ht="12.75"/>
    <row r="57740" s="3161" customFormat="1" ht="12.75"/>
    <row r="57741" s="3161" customFormat="1" ht="12.75"/>
    <row r="57742" s="3161" customFormat="1" ht="12.75"/>
    <row r="57743" s="3161" customFormat="1" ht="12.75"/>
    <row r="57744" s="3161" customFormat="1" ht="12.75"/>
    <row r="57745" s="3161" customFormat="1" ht="12.75"/>
    <row r="57746" s="3161" customFormat="1" ht="12.75"/>
    <row r="57747" s="3161" customFormat="1" ht="12.75"/>
    <row r="57748" s="3161" customFormat="1" ht="12.75"/>
    <row r="57749" s="3161" customFormat="1" ht="12.75"/>
    <row r="57750" s="3161" customFormat="1" ht="12.75"/>
    <row r="57751" s="3161" customFormat="1" ht="12.75"/>
    <row r="57752" s="3161" customFormat="1" ht="12.75"/>
    <row r="57753" s="3161" customFormat="1" ht="12.75"/>
    <row r="57754" s="3161" customFormat="1" ht="12.75"/>
    <row r="57755" s="3161" customFormat="1" ht="12.75"/>
    <row r="57756" s="3161" customFormat="1" ht="12.75"/>
    <row r="57757" s="3161" customFormat="1" ht="12.75"/>
    <row r="57758" s="3161" customFormat="1" ht="12.75"/>
    <row r="57759" s="3161" customFormat="1" ht="12.75"/>
    <row r="57760" s="3161" customFormat="1" ht="12.75"/>
    <row r="57761" s="3161" customFormat="1" ht="12.75"/>
    <row r="57762" s="3161" customFormat="1" ht="12.75"/>
    <row r="57763" s="3161" customFormat="1" ht="12.75"/>
    <row r="57764" s="3161" customFormat="1" ht="12.75"/>
    <row r="57765" s="3161" customFormat="1" ht="12.75"/>
    <row r="57766" s="3161" customFormat="1" ht="12.75"/>
    <row r="57767" s="3161" customFormat="1" ht="12.75"/>
    <row r="57768" s="3161" customFormat="1" ht="12.75"/>
    <row r="57769" s="3161" customFormat="1" ht="12.75"/>
    <row r="57770" s="3161" customFormat="1" ht="12.75"/>
    <row r="57771" s="3161" customFormat="1" ht="12.75"/>
    <row r="57772" s="3161" customFormat="1" ht="12.75"/>
    <row r="57773" s="3161" customFormat="1" ht="12.75"/>
    <row r="57774" s="3161" customFormat="1" ht="12.75"/>
    <row r="57775" s="3161" customFormat="1" ht="12.75"/>
    <row r="57776" s="3161" customFormat="1" ht="12.75"/>
    <row r="57777" s="3161" customFormat="1" ht="12.75"/>
    <row r="57778" s="3161" customFormat="1" ht="12.75"/>
    <row r="57779" s="3161" customFormat="1" ht="12.75"/>
    <row r="57780" s="3161" customFormat="1" ht="12.75"/>
    <row r="57781" s="3161" customFormat="1" ht="12.75"/>
    <row r="57782" s="3161" customFormat="1" ht="12.75"/>
    <row r="57783" s="3161" customFormat="1" ht="12.75"/>
    <row r="57784" s="3161" customFormat="1" ht="12.75"/>
    <row r="57785" s="3161" customFormat="1" ht="12.75"/>
    <row r="57786" s="3161" customFormat="1" ht="12.75"/>
    <row r="57787" s="3161" customFormat="1" ht="12.75"/>
    <row r="57788" s="3161" customFormat="1" ht="12.75"/>
    <row r="57789" s="3161" customFormat="1" ht="12.75"/>
    <row r="57790" s="3161" customFormat="1" ht="12.75"/>
    <row r="57791" s="3161" customFormat="1" ht="12.75"/>
    <row r="57792" s="3161" customFormat="1" ht="12.75"/>
    <row r="57793" s="3161" customFormat="1" ht="12.75"/>
    <row r="57794" s="3161" customFormat="1" ht="12.75"/>
    <row r="57795" s="3161" customFormat="1" ht="12.75"/>
    <row r="57796" s="3161" customFormat="1" ht="12.75"/>
    <row r="57797" s="3161" customFormat="1" ht="12.75"/>
    <row r="57798" s="3161" customFormat="1" ht="12.75"/>
    <row r="57799" s="3161" customFormat="1" ht="12.75"/>
    <row r="57800" s="3161" customFormat="1" ht="12.75"/>
    <row r="57801" s="3161" customFormat="1" ht="12.75"/>
    <row r="57802" s="3161" customFormat="1" ht="12.75"/>
    <row r="57803" s="3161" customFormat="1" ht="12.75"/>
    <row r="57804" s="3161" customFormat="1" ht="12.75"/>
    <row r="57805" s="3161" customFormat="1" ht="12.75"/>
    <row r="57806" s="3161" customFormat="1" ht="12.75"/>
    <row r="57807" s="3161" customFormat="1" ht="12.75"/>
    <row r="57808" s="3161" customFormat="1" ht="12.75"/>
    <row r="57809" s="3161" customFormat="1" ht="12.75"/>
    <row r="57810" s="3161" customFormat="1" ht="12.75"/>
    <row r="57811" s="3161" customFormat="1" ht="12.75"/>
    <row r="57812" s="3161" customFormat="1" ht="12.75"/>
    <row r="57813" s="3161" customFormat="1" ht="12.75"/>
    <row r="57814" s="3161" customFormat="1" ht="12.75"/>
    <row r="57815" s="3161" customFormat="1" ht="12.75"/>
    <row r="57816" s="3161" customFormat="1" ht="12.75"/>
    <row r="57817" s="3161" customFormat="1" ht="12.75"/>
    <row r="57818" s="3161" customFormat="1" ht="12.75"/>
    <row r="57819" s="3161" customFormat="1" ht="12.75"/>
    <row r="57820" s="3161" customFormat="1" ht="12.75"/>
    <row r="57821" s="3161" customFormat="1" ht="12.75"/>
    <row r="57822" s="3161" customFormat="1" ht="12.75"/>
    <row r="57823" s="3161" customFormat="1" ht="12.75"/>
    <row r="57824" s="3161" customFormat="1" ht="12.75"/>
    <row r="57825" s="3161" customFormat="1" ht="12.75"/>
    <row r="57826" s="3161" customFormat="1" ht="12.75"/>
    <row r="57827" s="3161" customFormat="1" ht="12.75"/>
    <row r="57828" s="3161" customFormat="1" ht="12.75"/>
    <row r="57829" s="3161" customFormat="1" ht="12.75"/>
    <row r="57830" s="3161" customFormat="1" ht="12.75"/>
    <row r="57831" s="3161" customFormat="1" ht="12.75"/>
    <row r="57832" s="3161" customFormat="1" ht="12.75"/>
    <row r="57833" s="3161" customFormat="1" ht="12.75"/>
    <row r="57834" s="3161" customFormat="1" ht="12.75"/>
    <row r="57835" s="3161" customFormat="1" ht="12.75"/>
    <row r="57836" s="3161" customFormat="1" ht="12.75"/>
    <row r="57837" s="3161" customFormat="1" ht="12.75"/>
    <row r="57838" s="3161" customFormat="1" ht="12.75"/>
    <row r="57839" s="3161" customFormat="1" ht="12.75"/>
    <row r="57840" s="3161" customFormat="1" ht="12.75"/>
    <row r="57841" s="3161" customFormat="1" ht="12.75"/>
    <row r="57842" s="3161" customFormat="1" ht="12.75"/>
    <row r="57843" s="3161" customFormat="1" ht="12.75"/>
    <row r="57844" s="3161" customFormat="1" ht="12.75"/>
    <row r="57845" s="3161" customFormat="1" ht="12.75"/>
    <row r="57846" s="3161" customFormat="1" ht="12.75"/>
    <row r="57847" s="3161" customFormat="1" ht="12.75"/>
    <row r="57848" s="3161" customFormat="1" ht="12.75"/>
    <row r="57849" s="3161" customFormat="1" ht="12.75"/>
    <row r="57850" s="3161" customFormat="1" ht="12.75"/>
    <row r="57851" s="3161" customFormat="1" ht="12.75"/>
    <row r="57852" s="3161" customFormat="1" ht="12.75"/>
    <row r="57853" s="3161" customFormat="1" ht="12.75"/>
    <row r="57854" s="3161" customFormat="1" ht="12.75"/>
    <row r="57855" s="3161" customFormat="1" ht="12.75"/>
    <row r="57856" s="3161" customFormat="1" ht="12.75"/>
    <row r="57857" s="3161" customFormat="1" ht="12.75"/>
    <row r="57858" s="3161" customFormat="1" ht="12.75"/>
    <row r="57859" s="3161" customFormat="1" ht="12.75"/>
    <row r="57860" s="3161" customFormat="1" ht="12.75"/>
    <row r="57861" s="3161" customFormat="1" ht="12.75"/>
    <row r="57862" s="3161" customFormat="1" ht="12.75"/>
    <row r="57863" s="3161" customFormat="1" ht="12.75"/>
    <row r="57864" s="3161" customFormat="1" ht="12.75"/>
    <row r="57865" s="3161" customFormat="1" ht="12.75"/>
    <row r="57866" s="3161" customFormat="1" ht="12.75"/>
    <row r="57867" s="3161" customFormat="1" ht="12.75"/>
    <row r="57868" s="3161" customFormat="1" ht="12.75"/>
    <row r="57869" s="3161" customFormat="1" ht="12.75"/>
    <row r="57870" s="3161" customFormat="1" ht="12.75"/>
    <row r="57871" s="3161" customFormat="1" ht="12.75"/>
    <row r="57872" s="3161" customFormat="1" ht="12.75"/>
    <row r="57873" s="3161" customFormat="1" ht="12.75"/>
    <row r="57874" s="3161" customFormat="1" ht="12.75"/>
    <row r="57875" s="3161" customFormat="1" ht="12.75"/>
    <row r="57876" s="3161" customFormat="1" ht="12.75"/>
    <row r="57877" s="3161" customFormat="1" ht="12.75"/>
    <row r="57878" s="3161" customFormat="1" ht="12.75"/>
    <row r="57879" s="3161" customFormat="1" ht="12.75"/>
    <row r="57880" s="3161" customFormat="1" ht="12.75"/>
    <row r="57881" s="3161" customFormat="1" ht="12.75"/>
    <row r="57882" s="3161" customFormat="1" ht="12.75"/>
    <row r="57883" s="3161" customFormat="1" ht="12.75"/>
    <row r="57884" s="3161" customFormat="1" ht="12.75"/>
    <row r="57885" s="3161" customFormat="1" ht="12.75"/>
    <row r="57886" s="3161" customFormat="1" ht="12.75"/>
    <row r="57887" s="3161" customFormat="1" ht="12.75"/>
    <row r="57888" s="3161" customFormat="1" ht="12.75"/>
    <row r="57889" s="3161" customFormat="1" ht="12.75"/>
    <row r="57890" s="3161" customFormat="1" ht="12.75"/>
    <row r="57891" s="3161" customFormat="1" ht="12.75"/>
    <row r="57892" s="3161" customFormat="1" ht="12.75"/>
    <row r="57893" s="3161" customFormat="1" ht="12.75"/>
    <row r="57894" s="3161" customFormat="1" ht="12.75"/>
    <row r="57895" s="3161" customFormat="1" ht="12.75"/>
    <row r="57896" s="3161" customFormat="1" ht="12.75"/>
    <row r="57897" s="3161" customFormat="1" ht="12.75"/>
    <row r="57898" s="3161" customFormat="1" ht="12.75"/>
    <row r="57899" s="3161" customFormat="1" ht="12.75"/>
    <row r="57900" s="3161" customFormat="1" ht="12.75"/>
    <row r="57901" s="3161" customFormat="1" ht="12.75"/>
    <row r="57902" s="3161" customFormat="1" ht="12.75"/>
    <row r="57903" s="3161" customFormat="1" ht="12.75"/>
    <row r="57904" s="3161" customFormat="1" ht="12.75"/>
    <row r="57905" s="3161" customFormat="1" ht="12.75"/>
    <row r="57906" s="3161" customFormat="1" ht="12.75"/>
    <row r="57907" s="3161" customFormat="1" ht="12.75"/>
    <row r="57908" s="3161" customFormat="1" ht="12.75"/>
    <row r="57909" s="3161" customFormat="1" ht="12.75"/>
    <row r="57910" s="3161" customFormat="1" ht="12.75"/>
    <row r="57911" s="3161" customFormat="1" ht="12.75"/>
    <row r="57912" s="3161" customFormat="1" ht="12.75"/>
    <row r="57913" s="3161" customFormat="1" ht="12.75"/>
    <row r="57914" s="3161" customFormat="1" ht="12.75"/>
    <row r="57915" s="3161" customFormat="1" ht="12.75"/>
    <row r="57916" s="3161" customFormat="1" ht="12.75"/>
    <row r="57917" s="3161" customFormat="1" ht="12.75"/>
    <row r="57918" s="3161" customFormat="1" ht="12.75"/>
    <row r="57919" s="3161" customFormat="1" ht="12.75"/>
    <row r="57920" s="3161" customFormat="1" ht="12.75"/>
    <row r="57921" s="3161" customFormat="1" ht="12.75"/>
    <row r="57922" s="3161" customFormat="1" ht="12.75"/>
    <row r="57923" s="3161" customFormat="1" ht="12.75"/>
    <row r="57924" s="3161" customFormat="1" ht="12.75"/>
    <row r="57925" s="3161" customFormat="1" ht="12.75"/>
    <row r="57926" s="3161" customFormat="1" ht="12.75"/>
    <row r="57927" s="3161" customFormat="1" ht="12.75"/>
    <row r="57928" s="3161" customFormat="1" ht="12.75"/>
    <row r="57929" s="3161" customFormat="1" ht="12.75"/>
    <row r="57930" s="3161" customFormat="1" ht="12.75"/>
    <row r="57931" s="3161" customFormat="1" ht="12.75"/>
    <row r="57932" s="3161" customFormat="1" ht="12.75"/>
    <row r="57933" s="3161" customFormat="1" ht="12.75"/>
    <row r="57934" s="3161" customFormat="1" ht="12.75"/>
    <row r="57935" s="3161" customFormat="1" ht="12.75"/>
    <row r="57936" s="3161" customFormat="1" ht="12.75"/>
    <row r="57937" s="3161" customFormat="1" ht="12.75"/>
    <row r="57938" s="3161" customFormat="1" ht="12.75"/>
    <row r="57939" s="3161" customFormat="1" ht="12.75"/>
    <row r="57940" s="3161" customFormat="1" ht="12.75"/>
    <row r="57941" s="3161" customFormat="1" ht="12.75"/>
    <row r="57942" s="3161" customFormat="1" ht="12.75"/>
    <row r="57943" s="3161" customFormat="1" ht="12.75"/>
    <row r="57944" s="3161" customFormat="1" ht="12.75"/>
    <row r="57945" s="3161" customFormat="1" ht="12.75"/>
    <row r="57946" s="3161" customFormat="1" ht="12.75"/>
    <row r="57947" s="3161" customFormat="1" ht="12.75"/>
    <row r="57948" s="3161" customFormat="1" ht="12.75"/>
    <row r="57949" s="3161" customFormat="1" ht="12.75"/>
    <row r="57950" s="3161" customFormat="1" ht="12.75"/>
    <row r="57951" s="3161" customFormat="1" ht="12.75"/>
    <row r="57952" s="3161" customFormat="1" ht="12.75"/>
    <row r="57953" s="3161" customFormat="1" ht="12.75"/>
    <row r="57954" s="3161" customFormat="1" ht="12.75"/>
    <row r="57955" s="3161" customFormat="1" ht="12.75"/>
    <row r="57956" s="3161" customFormat="1" ht="12.75"/>
    <row r="57957" s="3161" customFormat="1" ht="12.75"/>
    <row r="57958" s="3161" customFormat="1" ht="12.75"/>
    <row r="57959" s="3161" customFormat="1" ht="12.75"/>
    <row r="57960" s="3161" customFormat="1" ht="12.75"/>
    <row r="57961" s="3161" customFormat="1" ht="12.75"/>
    <row r="57962" s="3161" customFormat="1" ht="12.75"/>
    <row r="57963" s="3161" customFormat="1" ht="12.75"/>
    <row r="57964" s="3161" customFormat="1" ht="12.75"/>
    <row r="57965" s="3161" customFormat="1" ht="12.75"/>
    <row r="57966" s="3161" customFormat="1" ht="12.75"/>
    <row r="57967" s="3161" customFormat="1" ht="12.75"/>
    <row r="57968" s="3161" customFormat="1" ht="12.75"/>
    <row r="57969" s="3161" customFormat="1" ht="12.75"/>
    <row r="57970" s="3161" customFormat="1" ht="12.75"/>
    <row r="57971" s="3161" customFormat="1" ht="12.75"/>
    <row r="57972" s="3161" customFormat="1" ht="12.75"/>
    <row r="57973" s="3161" customFormat="1" ht="12.75"/>
    <row r="57974" s="3161" customFormat="1" ht="12.75"/>
    <row r="57975" s="3161" customFormat="1" ht="12.75"/>
    <row r="57976" s="3161" customFormat="1" ht="12.75"/>
    <row r="57977" s="3161" customFormat="1" ht="12.75"/>
    <row r="57978" s="3161" customFormat="1" ht="12.75"/>
    <row r="57979" s="3161" customFormat="1" ht="12.75"/>
    <row r="57980" s="3161" customFormat="1" ht="12.75"/>
    <row r="57981" s="3161" customFormat="1" ht="12.75"/>
    <row r="57982" s="3161" customFormat="1" ht="12.75"/>
    <row r="57983" s="3161" customFormat="1" ht="12.75"/>
    <row r="57984" s="3161" customFormat="1" ht="12.75"/>
    <row r="57985" s="3161" customFormat="1" ht="12.75"/>
    <row r="57986" s="3161" customFormat="1" ht="12.75"/>
    <row r="57987" s="3161" customFormat="1" ht="12.75"/>
    <row r="57988" s="3161" customFormat="1" ht="12.75"/>
    <row r="57989" s="3161" customFormat="1" ht="12.75"/>
    <row r="57990" s="3161" customFormat="1" ht="12.75"/>
    <row r="57991" s="3161" customFormat="1" ht="12.75"/>
    <row r="57992" s="3161" customFormat="1" ht="12.75"/>
    <row r="57993" s="3161" customFormat="1" ht="12.75"/>
    <row r="57994" s="3161" customFormat="1" ht="12.75"/>
    <row r="57995" s="3161" customFormat="1" ht="12.75"/>
    <row r="57996" s="3161" customFormat="1" ht="12.75"/>
    <row r="57997" s="3161" customFormat="1" ht="12.75"/>
    <row r="57998" s="3161" customFormat="1" ht="12.75"/>
    <row r="57999" s="3161" customFormat="1" ht="12.75"/>
    <row r="58000" s="3161" customFormat="1" ht="12.75"/>
    <row r="58001" s="3161" customFormat="1" ht="12.75"/>
    <row r="58002" s="3161" customFormat="1" ht="12.75"/>
    <row r="58003" s="3161" customFormat="1" ht="12.75"/>
    <row r="58004" s="3161" customFormat="1" ht="12.75"/>
    <row r="58005" s="3161" customFormat="1" ht="12.75"/>
    <row r="58006" s="3161" customFormat="1" ht="12.75"/>
    <row r="58007" s="3161" customFormat="1" ht="12.75"/>
    <row r="58008" s="3161" customFormat="1" ht="12.75"/>
    <row r="58009" s="3161" customFormat="1" ht="12.75"/>
    <row r="58010" s="3161" customFormat="1" ht="12.75"/>
    <row r="58011" s="3161" customFormat="1" ht="12.75"/>
    <row r="58012" s="3161" customFormat="1" ht="12.75"/>
    <row r="58013" s="3161" customFormat="1" ht="12.75"/>
    <row r="58014" s="3161" customFormat="1" ht="12.75"/>
    <row r="58015" s="3161" customFormat="1" ht="12.75"/>
    <row r="58016" s="3161" customFormat="1" ht="12.75"/>
    <row r="58017" s="3161" customFormat="1" ht="12.75"/>
    <row r="58018" s="3161" customFormat="1" ht="12.75"/>
    <row r="58019" s="3161" customFormat="1" ht="12.75"/>
    <row r="58020" s="3161" customFormat="1" ht="12.75"/>
    <row r="58021" s="3161" customFormat="1" ht="12.75"/>
    <row r="58022" s="3161" customFormat="1" ht="12.75"/>
    <row r="58023" s="3161" customFormat="1" ht="12.75"/>
    <row r="58024" s="3161" customFormat="1" ht="12.75"/>
    <row r="58025" s="3161" customFormat="1" ht="12.75"/>
    <row r="58026" s="3161" customFormat="1" ht="12.75"/>
    <row r="58027" s="3161" customFormat="1" ht="12.75"/>
    <row r="58028" s="3161" customFormat="1" ht="12.75"/>
    <row r="58029" s="3161" customFormat="1" ht="12.75"/>
    <row r="58030" s="3161" customFormat="1" ht="12.75"/>
    <row r="58031" s="3161" customFormat="1" ht="12.75"/>
    <row r="58032" s="3161" customFormat="1" ht="12.75"/>
    <row r="58033" s="3161" customFormat="1" ht="12.75"/>
    <row r="58034" s="3161" customFormat="1" ht="12.75"/>
    <row r="58035" s="3161" customFormat="1" ht="12.75"/>
    <row r="58036" s="3161" customFormat="1" ht="12.75"/>
    <row r="58037" s="3161" customFormat="1" ht="12.75"/>
    <row r="58038" s="3161" customFormat="1" ht="12.75"/>
    <row r="58039" s="3161" customFormat="1" ht="12.75"/>
    <row r="58040" s="3161" customFormat="1" ht="12.75"/>
    <row r="58041" s="3161" customFormat="1" ht="12.75"/>
    <row r="58042" s="3161" customFormat="1" ht="12.75"/>
    <row r="58043" s="3161" customFormat="1" ht="12.75"/>
    <row r="58044" s="3161" customFormat="1" ht="12.75"/>
    <row r="58045" s="3161" customFormat="1" ht="12.75"/>
    <row r="58046" s="3161" customFormat="1" ht="12.75"/>
    <row r="58047" s="3161" customFormat="1" ht="12.75"/>
    <row r="58048" s="3161" customFormat="1" ht="12.75"/>
    <row r="58049" s="3161" customFormat="1" ht="12.75"/>
    <row r="58050" s="3161" customFormat="1" ht="12.75"/>
    <row r="58051" s="3161" customFormat="1" ht="12.75"/>
    <row r="58052" s="3161" customFormat="1" ht="12.75"/>
    <row r="58053" s="3161" customFormat="1" ht="12.75"/>
    <row r="58054" s="3161" customFormat="1" ht="12.75"/>
    <row r="58055" s="3161" customFormat="1" ht="12.75"/>
    <row r="58056" s="3161" customFormat="1" ht="12.75"/>
    <row r="58057" s="3161" customFormat="1" ht="12.75"/>
    <row r="58058" s="3161" customFormat="1" ht="12.75"/>
    <row r="58059" s="3161" customFormat="1" ht="12.75"/>
    <row r="58060" s="3161" customFormat="1" ht="12.75"/>
    <row r="58061" s="3161" customFormat="1" ht="12.75"/>
    <row r="58062" s="3161" customFormat="1" ht="12.75"/>
    <row r="58063" s="3161" customFormat="1" ht="12.75"/>
    <row r="58064" s="3161" customFormat="1" ht="12.75"/>
    <row r="58065" s="3161" customFormat="1" ht="12.75"/>
    <row r="58066" s="3161" customFormat="1" ht="12.75"/>
    <row r="58067" s="3161" customFormat="1" ht="12.75"/>
    <row r="58068" s="3161" customFormat="1" ht="12.75"/>
    <row r="58069" s="3161" customFormat="1" ht="12.75"/>
    <row r="58070" s="3161" customFormat="1" ht="12.75"/>
    <row r="58071" s="3161" customFormat="1" ht="12.75"/>
    <row r="58072" s="3161" customFormat="1" ht="12.75"/>
    <row r="58073" s="3161" customFormat="1" ht="12.75"/>
    <row r="58074" s="3161" customFormat="1" ht="12.75"/>
    <row r="58075" s="3161" customFormat="1" ht="12.75"/>
    <row r="58076" s="3161" customFormat="1" ht="12.75"/>
    <row r="58077" s="3161" customFormat="1" ht="12.75"/>
    <row r="58078" s="3161" customFormat="1" ht="12.75"/>
    <row r="58079" s="3161" customFormat="1" ht="12.75"/>
    <row r="58080" s="3161" customFormat="1" ht="12.75"/>
    <row r="58081" s="3161" customFormat="1" ht="12.75"/>
    <row r="58082" s="3161" customFormat="1" ht="12.75"/>
    <row r="58083" s="3161" customFormat="1" ht="12.75"/>
    <row r="58084" s="3161" customFormat="1" ht="12.75"/>
    <row r="58085" s="3161" customFormat="1" ht="12.75"/>
    <row r="58086" s="3161" customFormat="1" ht="12.75"/>
    <row r="58087" s="3161" customFormat="1" ht="12.75"/>
    <row r="58088" s="3161" customFormat="1" ht="12.75"/>
    <row r="58089" s="3161" customFormat="1" ht="12.75"/>
    <row r="58090" s="3161" customFormat="1" ht="12.75"/>
    <row r="58091" s="3161" customFormat="1" ht="12.75"/>
    <row r="58092" s="3161" customFormat="1" ht="12.75"/>
    <row r="58093" s="3161" customFormat="1" ht="12.75"/>
    <row r="58094" s="3161" customFormat="1" ht="12.75"/>
    <row r="58095" s="3161" customFormat="1" ht="12.75"/>
    <row r="58096" s="3161" customFormat="1" ht="12.75"/>
    <row r="58097" s="3161" customFormat="1" ht="12.75"/>
    <row r="58098" s="3161" customFormat="1" ht="12.75"/>
    <row r="58099" s="3161" customFormat="1" ht="12.75"/>
    <row r="58100" s="3161" customFormat="1" ht="12.75"/>
    <row r="58101" s="3161" customFormat="1" ht="12.75"/>
    <row r="58102" s="3161" customFormat="1" ht="12.75"/>
    <row r="58103" s="3161" customFormat="1" ht="12.75"/>
    <row r="58104" s="3161" customFormat="1" ht="12.75"/>
    <row r="58105" s="3161" customFormat="1" ht="12.75"/>
    <row r="58106" s="3161" customFormat="1" ht="12.75"/>
    <row r="58107" s="3161" customFormat="1" ht="12.75"/>
    <row r="58108" s="3161" customFormat="1" ht="12.75"/>
    <row r="58109" s="3161" customFormat="1" ht="12.75"/>
    <row r="58110" s="3161" customFormat="1" ht="12.75"/>
    <row r="58111" s="3161" customFormat="1" ht="12.75"/>
    <row r="58112" s="3161" customFormat="1" ht="12.75"/>
    <row r="58113" s="3161" customFormat="1" ht="12.75"/>
    <row r="58114" s="3161" customFormat="1" ht="12.75"/>
    <row r="58115" s="3161" customFormat="1" ht="12.75"/>
    <row r="58116" s="3161" customFormat="1" ht="12.75"/>
    <row r="58117" s="3161" customFormat="1" ht="12.75"/>
    <row r="58118" s="3161" customFormat="1" ht="12.75"/>
    <row r="58119" s="3161" customFormat="1" ht="12.75"/>
    <row r="58120" s="3161" customFormat="1" ht="12.75"/>
    <row r="58121" s="3161" customFormat="1" ht="12.75"/>
    <row r="58122" s="3161" customFormat="1" ht="12.75"/>
    <row r="58123" s="3161" customFormat="1" ht="12.75"/>
    <row r="58124" s="3161" customFormat="1" ht="12.75"/>
    <row r="58125" s="3161" customFormat="1" ht="12.75"/>
    <row r="58126" s="3161" customFormat="1" ht="12.75"/>
    <row r="58127" s="3161" customFormat="1" ht="12.75"/>
    <row r="58128" s="3161" customFormat="1" ht="12.75"/>
    <row r="58129" s="3161" customFormat="1" ht="12.75"/>
    <row r="58130" s="3161" customFormat="1" ht="12.75"/>
    <row r="58131" s="3161" customFormat="1" ht="12.75"/>
    <row r="58132" s="3161" customFormat="1" ht="12.75"/>
    <row r="58133" s="3161" customFormat="1" ht="12.75"/>
    <row r="58134" s="3161" customFormat="1" ht="12.75"/>
    <row r="58135" s="3161" customFormat="1" ht="12.75"/>
    <row r="58136" s="3161" customFormat="1" ht="12.75"/>
    <row r="58137" s="3161" customFormat="1" ht="12.75"/>
    <row r="58138" s="3161" customFormat="1" ht="12.75"/>
    <row r="58139" s="3161" customFormat="1" ht="12.75"/>
    <row r="58140" s="3161" customFormat="1" ht="12.75"/>
    <row r="58141" s="3161" customFormat="1" ht="12.75"/>
    <row r="58142" s="3161" customFormat="1" ht="12.75"/>
    <row r="58143" s="3161" customFormat="1" ht="12.75"/>
    <row r="58144" s="3161" customFormat="1" ht="12.75"/>
    <row r="58145" s="3161" customFormat="1" ht="12.75"/>
    <row r="58146" s="3161" customFormat="1" ht="12.75"/>
    <row r="58147" s="3161" customFormat="1" ht="12.75"/>
    <row r="58148" s="3161" customFormat="1" ht="12.75"/>
    <row r="58149" s="3161" customFormat="1" ht="12.75"/>
    <row r="58150" s="3161" customFormat="1" ht="12.75"/>
    <row r="58151" s="3161" customFormat="1" ht="12.75"/>
    <row r="58152" s="3161" customFormat="1" ht="12.75"/>
    <row r="58153" s="3161" customFormat="1" ht="12.75"/>
    <row r="58154" s="3161" customFormat="1" ht="12.75"/>
    <row r="58155" s="3161" customFormat="1" ht="12.75"/>
    <row r="58156" s="3161" customFormat="1" ht="12.75"/>
    <row r="58157" s="3161" customFormat="1" ht="12.75"/>
    <row r="58158" s="3161" customFormat="1" ht="12.75"/>
    <row r="58159" s="3161" customFormat="1" ht="12.75"/>
    <row r="58160" s="3161" customFormat="1" ht="12.75"/>
    <row r="58161" s="3161" customFormat="1" ht="12.75"/>
    <row r="58162" s="3161" customFormat="1" ht="12.75"/>
    <row r="58163" s="3161" customFormat="1" ht="12.75"/>
    <row r="58164" s="3161" customFormat="1" ht="12.75"/>
    <row r="58165" s="3161" customFormat="1" ht="12.75"/>
    <row r="58166" s="3161" customFormat="1" ht="12.75"/>
    <row r="58167" s="3161" customFormat="1" ht="12.75"/>
    <row r="58168" s="3161" customFormat="1" ht="12.75"/>
    <row r="58169" s="3161" customFormat="1" ht="12.75"/>
    <row r="58170" s="3161" customFormat="1" ht="12.75"/>
    <row r="58171" s="3161" customFormat="1" ht="12.75"/>
    <row r="58172" s="3161" customFormat="1" ht="12.75"/>
    <row r="58173" s="3161" customFormat="1" ht="12.75"/>
    <row r="58174" s="3161" customFormat="1" ht="12.75"/>
    <row r="58175" s="3161" customFormat="1" ht="12.75"/>
    <row r="58176" s="3161" customFormat="1" ht="12.75"/>
    <row r="58177" s="3161" customFormat="1" ht="12.75"/>
    <row r="58178" s="3161" customFormat="1" ht="12.75"/>
    <row r="58179" s="3161" customFormat="1" ht="12.75"/>
    <row r="58180" s="3161" customFormat="1" ht="12.75"/>
    <row r="58181" s="3161" customFormat="1" ht="12.75"/>
    <row r="58182" s="3161" customFormat="1" ht="12.75"/>
    <row r="58183" s="3161" customFormat="1" ht="12.75"/>
    <row r="58184" s="3161" customFormat="1" ht="12.75"/>
    <row r="58185" s="3161" customFormat="1" ht="12.75"/>
    <row r="58186" s="3161" customFormat="1" ht="12.75"/>
    <row r="58187" s="3161" customFormat="1" ht="12.75"/>
    <row r="58188" s="3161" customFormat="1" ht="12.75"/>
    <row r="58189" s="3161" customFormat="1" ht="12.75"/>
    <row r="58190" s="3161" customFormat="1" ht="12.75"/>
    <row r="58191" s="3161" customFormat="1" ht="12.75"/>
    <row r="58192" s="3161" customFormat="1" ht="12.75"/>
    <row r="58193" s="3161" customFormat="1" ht="12.75"/>
    <row r="58194" s="3161" customFormat="1" ht="12.75"/>
    <row r="58195" s="3161" customFormat="1" ht="12.75"/>
    <row r="58196" s="3161" customFormat="1" ht="12.75"/>
    <row r="58197" s="3161" customFormat="1" ht="12.75"/>
    <row r="58198" s="3161" customFormat="1" ht="12.75"/>
    <row r="58199" s="3161" customFormat="1" ht="12.75"/>
    <row r="58200" s="3161" customFormat="1" ht="12.75"/>
    <row r="58201" s="3161" customFormat="1" ht="12.75"/>
    <row r="58202" s="3161" customFormat="1" ht="12.75"/>
    <row r="58203" s="3161" customFormat="1" ht="12.75"/>
    <row r="58204" s="3161" customFormat="1" ht="12.75"/>
    <row r="58205" s="3161" customFormat="1" ht="12.75"/>
    <row r="58206" s="3161" customFormat="1" ht="12.75"/>
    <row r="58207" s="3161" customFormat="1" ht="12.75"/>
    <row r="58208" s="3161" customFormat="1" ht="12.75"/>
    <row r="58209" s="3161" customFormat="1" ht="12.75"/>
    <row r="58210" s="3161" customFormat="1" ht="12.75"/>
    <row r="58211" s="3161" customFormat="1" ht="12.75"/>
    <row r="58212" s="3161" customFormat="1" ht="12.75"/>
    <row r="58213" s="3161" customFormat="1" ht="12.75"/>
    <row r="58214" s="3161" customFormat="1" ht="12.75"/>
    <row r="58215" s="3161" customFormat="1" ht="12.75"/>
    <row r="58216" s="3161" customFormat="1" ht="12.75"/>
    <row r="58217" s="3161" customFormat="1" ht="12.75"/>
    <row r="58218" s="3161" customFormat="1" ht="12.75"/>
    <row r="58219" s="3161" customFormat="1" ht="12.75"/>
    <row r="58220" s="3161" customFormat="1" ht="12.75"/>
    <row r="58221" s="3161" customFormat="1" ht="12.75"/>
    <row r="58222" s="3161" customFormat="1" ht="12.75"/>
    <row r="58223" s="3161" customFormat="1" ht="12.75"/>
    <row r="58224" s="3161" customFormat="1" ht="12.75"/>
    <row r="58225" s="3161" customFormat="1" ht="12.75"/>
    <row r="58226" s="3161" customFormat="1" ht="12.75"/>
    <row r="58227" s="3161" customFormat="1" ht="12.75"/>
    <row r="58228" s="3161" customFormat="1" ht="12.75"/>
    <row r="58229" s="3161" customFormat="1" ht="12.75"/>
    <row r="58230" s="3161" customFormat="1" ht="12.75"/>
    <row r="58231" s="3161" customFormat="1" ht="12.75"/>
    <row r="58232" s="3161" customFormat="1" ht="12.75"/>
    <row r="58233" s="3161" customFormat="1" ht="12.75"/>
    <row r="58234" s="3161" customFormat="1" ht="12.75"/>
    <row r="58235" s="3161" customFormat="1" ht="12.75"/>
    <row r="58236" s="3161" customFormat="1" ht="12.75"/>
    <row r="58237" s="3161" customFormat="1" ht="12.75"/>
    <row r="58238" s="3161" customFormat="1" ht="12.75"/>
    <row r="58239" s="3161" customFormat="1" ht="12.75"/>
    <row r="58240" s="3161" customFormat="1" ht="12.75"/>
    <row r="58241" s="3161" customFormat="1" ht="12.75"/>
    <row r="58242" s="3161" customFormat="1" ht="12.75"/>
    <row r="58243" s="3161" customFormat="1" ht="12.75"/>
    <row r="58244" s="3161" customFormat="1" ht="12.75"/>
    <row r="58245" s="3161" customFormat="1" ht="12.75"/>
    <row r="58246" s="3161" customFormat="1" ht="12.75"/>
    <row r="58247" s="3161" customFormat="1" ht="12.75"/>
    <row r="58248" s="3161" customFormat="1" ht="12.75"/>
    <row r="58249" s="3161" customFormat="1" ht="12.75"/>
    <row r="58250" s="3161" customFormat="1" ht="12.75"/>
    <row r="58251" s="3161" customFormat="1" ht="12.75"/>
    <row r="58252" s="3161" customFormat="1" ht="12.75"/>
    <row r="58253" s="3161" customFormat="1" ht="12.75"/>
    <row r="58254" s="3161" customFormat="1" ht="12.75"/>
    <row r="58255" s="3161" customFormat="1" ht="12.75"/>
    <row r="58256" s="3161" customFormat="1" ht="12.75"/>
    <row r="58257" s="3161" customFormat="1" ht="12.75"/>
    <row r="58258" s="3161" customFormat="1" ht="12.75"/>
    <row r="58259" s="3161" customFormat="1" ht="12.75"/>
    <row r="58260" s="3161" customFormat="1" ht="12.75"/>
    <row r="58261" s="3161" customFormat="1" ht="12.75"/>
    <row r="58262" s="3161" customFormat="1" ht="12.75"/>
    <row r="58263" s="3161" customFormat="1" ht="12.75"/>
    <row r="58264" s="3161" customFormat="1" ht="12.75"/>
    <row r="58265" s="3161" customFormat="1" ht="12.75"/>
    <row r="58266" s="3161" customFormat="1" ht="12.75"/>
    <row r="58267" s="3161" customFormat="1" ht="12.75"/>
    <row r="58268" s="3161" customFormat="1" ht="12.75"/>
    <row r="58269" s="3161" customFormat="1" ht="12.75"/>
    <row r="58270" s="3161" customFormat="1" ht="12.75"/>
    <row r="58271" s="3161" customFormat="1" ht="12.75"/>
    <row r="58272" s="3161" customFormat="1" ht="12.75"/>
    <row r="58273" s="3161" customFormat="1" ht="12.75"/>
    <row r="58274" s="3161" customFormat="1" ht="12.75"/>
    <row r="58275" s="3161" customFormat="1" ht="12.75"/>
    <row r="58276" s="3161" customFormat="1" ht="12.75"/>
    <row r="58277" s="3161" customFormat="1" ht="12.75"/>
    <row r="58278" s="3161" customFormat="1" ht="12.75"/>
    <row r="58279" s="3161" customFormat="1" ht="12.75"/>
    <row r="58280" s="3161" customFormat="1" ht="12.75"/>
    <row r="58281" s="3161" customFormat="1" ht="12.75"/>
    <row r="58282" s="3161" customFormat="1" ht="12.75"/>
    <row r="58283" s="3161" customFormat="1" ht="12.75"/>
    <row r="58284" s="3161" customFormat="1" ht="12.75"/>
    <row r="58285" s="3161" customFormat="1" ht="12.75"/>
    <row r="58286" s="3161" customFormat="1" ht="12.75"/>
    <row r="58287" s="3161" customFormat="1" ht="12.75"/>
    <row r="58288" s="3161" customFormat="1" ht="12.75"/>
    <row r="58289" s="3161" customFormat="1" ht="12.75"/>
    <row r="58290" s="3161" customFormat="1" ht="12.75"/>
    <row r="58291" s="3161" customFormat="1" ht="12.75"/>
    <row r="58292" s="3161" customFormat="1" ht="12.75"/>
    <row r="58293" s="3161" customFormat="1" ht="12.75"/>
    <row r="58294" s="3161" customFormat="1" ht="12.75"/>
    <row r="58295" s="3161" customFormat="1" ht="12.75"/>
    <row r="58296" s="3161" customFormat="1" ht="12.75"/>
    <row r="58297" s="3161" customFormat="1" ht="12.75"/>
    <row r="58298" s="3161" customFormat="1" ht="12.75"/>
    <row r="58299" s="3161" customFormat="1" ht="12.75"/>
    <row r="58300" s="3161" customFormat="1" ht="12.75"/>
    <row r="58301" s="3161" customFormat="1" ht="12.75"/>
    <row r="58302" s="3161" customFormat="1" ht="12.75"/>
    <row r="58303" s="3161" customFormat="1" ht="12.75"/>
    <row r="58304" s="3161" customFormat="1" ht="12.75"/>
    <row r="58305" s="3161" customFormat="1" ht="12.75"/>
    <row r="58306" s="3161" customFormat="1" ht="12.75"/>
    <row r="58307" s="3161" customFormat="1" ht="12.75"/>
    <row r="58308" s="3161" customFormat="1" ht="12.75"/>
    <row r="58309" s="3161" customFormat="1" ht="12.75"/>
    <row r="58310" s="3161" customFormat="1" ht="12.75"/>
    <row r="58311" s="3161" customFormat="1" ht="12.75"/>
    <row r="58312" s="3161" customFormat="1" ht="12.75"/>
    <row r="58313" s="3161" customFormat="1" ht="12.75"/>
    <row r="58314" s="3161" customFormat="1" ht="12.75"/>
    <row r="58315" s="3161" customFormat="1" ht="12.75"/>
    <row r="58316" s="3161" customFormat="1" ht="12.75"/>
    <row r="58317" s="3161" customFormat="1" ht="12.75"/>
    <row r="58318" s="3161" customFormat="1" ht="12.75"/>
    <row r="58319" s="3161" customFormat="1" ht="12.75"/>
    <row r="58320" s="3161" customFormat="1" ht="12.75"/>
    <row r="58321" s="3161" customFormat="1" ht="12.75"/>
    <row r="58322" s="3161" customFormat="1" ht="12.75"/>
    <row r="58323" s="3161" customFormat="1" ht="12.75"/>
    <row r="58324" s="3161" customFormat="1" ht="12.75"/>
    <row r="58325" s="3161" customFormat="1" ht="12.75"/>
    <row r="58326" s="3161" customFormat="1" ht="12.75"/>
    <row r="58327" s="3161" customFormat="1" ht="12.75"/>
    <row r="58328" s="3161" customFormat="1" ht="12.75"/>
    <row r="58329" s="3161" customFormat="1" ht="12.75"/>
    <row r="58330" s="3161" customFormat="1" ht="12.75"/>
    <row r="58331" s="3161" customFormat="1" ht="12.75"/>
    <row r="58332" s="3161" customFormat="1" ht="12.75"/>
    <row r="58333" s="3161" customFormat="1" ht="12.75"/>
    <row r="58334" s="3161" customFormat="1" ht="12.75"/>
    <row r="58335" s="3161" customFormat="1" ht="12.75"/>
    <row r="58336" s="3161" customFormat="1" ht="12.75"/>
    <row r="58337" s="3161" customFormat="1" ht="12.75"/>
    <row r="58338" s="3161" customFormat="1" ht="12.75"/>
    <row r="58339" s="3161" customFormat="1" ht="12.75"/>
    <row r="58340" s="3161" customFormat="1" ht="12.75"/>
    <row r="58341" s="3161" customFormat="1" ht="12.75"/>
    <row r="58342" s="3161" customFormat="1" ht="12.75"/>
    <row r="58343" s="3161" customFormat="1" ht="12.75"/>
    <row r="58344" s="3161" customFormat="1" ht="12.75"/>
    <row r="58345" s="3161" customFormat="1" ht="12.75"/>
    <row r="58346" s="3161" customFormat="1" ht="12.75"/>
    <row r="58347" s="3161" customFormat="1" ht="12.75"/>
    <row r="58348" s="3161" customFormat="1" ht="12.75"/>
    <row r="58349" s="3161" customFormat="1" ht="12.75"/>
    <row r="58350" s="3161" customFormat="1" ht="12.75"/>
    <row r="58351" s="3161" customFormat="1" ht="12.75"/>
    <row r="58352" s="3161" customFormat="1" ht="12.75"/>
    <row r="58353" s="3161" customFormat="1" ht="12.75"/>
    <row r="58354" s="3161" customFormat="1" ht="12.75"/>
    <row r="58355" s="3161" customFormat="1" ht="12.75"/>
    <row r="58356" s="3161" customFormat="1" ht="12.75"/>
    <row r="58357" s="3161" customFormat="1" ht="12.75"/>
    <row r="58358" s="3161" customFormat="1" ht="12.75"/>
    <row r="58359" s="3161" customFormat="1" ht="12.75"/>
    <row r="58360" s="3161" customFormat="1" ht="12.75"/>
    <row r="58361" s="3161" customFormat="1" ht="12.75"/>
    <row r="58362" s="3161" customFormat="1" ht="12.75"/>
    <row r="58363" s="3161" customFormat="1" ht="12.75"/>
    <row r="58364" s="3161" customFormat="1" ht="12.75"/>
    <row r="58365" s="3161" customFormat="1" ht="12.75"/>
    <row r="58366" s="3161" customFormat="1" ht="12.75"/>
    <row r="58367" s="3161" customFormat="1" ht="12.75"/>
    <row r="58368" s="3161" customFormat="1" ht="12.75"/>
    <row r="58369" s="3161" customFormat="1" ht="12.75"/>
    <row r="58370" s="3161" customFormat="1" ht="12.75"/>
    <row r="58371" s="3161" customFormat="1" ht="12.75"/>
    <row r="58372" s="3161" customFormat="1" ht="12.75"/>
    <row r="58373" s="3161" customFormat="1" ht="12.75"/>
    <row r="58374" s="3161" customFormat="1" ht="12.75"/>
    <row r="58375" s="3161" customFormat="1" ht="12.75"/>
    <row r="58376" s="3161" customFormat="1" ht="12.75"/>
    <row r="58377" s="3161" customFormat="1" ht="12.75"/>
    <row r="58378" s="3161" customFormat="1" ht="12.75"/>
    <row r="58379" s="3161" customFormat="1" ht="12.75"/>
    <row r="58380" s="3161" customFormat="1" ht="12.75"/>
    <row r="58381" s="3161" customFormat="1" ht="12.75"/>
    <row r="58382" s="3161" customFormat="1" ht="12.75"/>
    <row r="58383" s="3161" customFormat="1" ht="12.75"/>
    <row r="58384" s="3161" customFormat="1" ht="12.75"/>
    <row r="58385" s="3161" customFormat="1" ht="12.75"/>
    <row r="58386" s="3161" customFormat="1" ht="12.75"/>
    <row r="58387" s="3161" customFormat="1" ht="12.75"/>
    <row r="58388" s="3161" customFormat="1" ht="12.75"/>
    <row r="58389" s="3161" customFormat="1" ht="12.75"/>
    <row r="58390" s="3161" customFormat="1" ht="12.75"/>
    <row r="58391" s="3161" customFormat="1" ht="12.75"/>
    <row r="58392" s="3161" customFormat="1" ht="12.75"/>
    <row r="58393" s="3161" customFormat="1" ht="12.75"/>
    <row r="58394" s="3161" customFormat="1" ht="12.75"/>
    <row r="58395" s="3161" customFormat="1" ht="12.75"/>
    <row r="58396" s="3161" customFormat="1" ht="12.75"/>
    <row r="58397" s="3161" customFormat="1" ht="12.75"/>
    <row r="58398" s="3161" customFormat="1" ht="12.75"/>
    <row r="58399" s="3161" customFormat="1" ht="12.75"/>
    <row r="58400" s="3161" customFormat="1" ht="12.75"/>
    <row r="58401" s="3161" customFormat="1" ht="12.75"/>
    <row r="58402" s="3161" customFormat="1" ht="12.75"/>
    <row r="58403" s="3161" customFormat="1" ht="12.75"/>
    <row r="58404" s="3161" customFormat="1" ht="12.75"/>
    <row r="58405" s="3161" customFormat="1" ht="12.75"/>
    <row r="58406" s="3161" customFormat="1" ht="12.75"/>
    <row r="58407" s="3161" customFormat="1" ht="12.75"/>
    <row r="58408" s="3161" customFormat="1" ht="12.75"/>
    <row r="58409" s="3161" customFormat="1" ht="12.75"/>
    <row r="58410" s="3161" customFormat="1" ht="12.75"/>
    <row r="58411" s="3161" customFormat="1" ht="12.75"/>
    <row r="58412" s="3161" customFormat="1" ht="12.75"/>
    <row r="58413" s="3161" customFormat="1" ht="12.75"/>
    <row r="58414" s="3161" customFormat="1" ht="12.75"/>
    <row r="58415" s="3161" customFormat="1" ht="12.75"/>
    <row r="58416" s="3161" customFormat="1" ht="12.75"/>
    <row r="58417" s="3161" customFormat="1" ht="12.75"/>
    <row r="58418" s="3161" customFormat="1" ht="12.75"/>
    <row r="58419" s="3161" customFormat="1" ht="12.75"/>
    <row r="58420" s="3161" customFormat="1" ht="12.75"/>
    <row r="58421" s="3161" customFormat="1" ht="12.75"/>
    <row r="58422" s="3161" customFormat="1" ht="12.75"/>
    <row r="58423" s="3161" customFormat="1" ht="12.75"/>
    <row r="58424" s="3161" customFormat="1" ht="12.75"/>
    <row r="58425" s="3161" customFormat="1" ht="12.75"/>
    <row r="58426" s="3161" customFormat="1" ht="12.75"/>
    <row r="58427" s="3161" customFormat="1" ht="12.75"/>
    <row r="58428" s="3161" customFormat="1" ht="12.75"/>
    <row r="58429" s="3161" customFormat="1" ht="12.75"/>
    <row r="58430" s="3161" customFormat="1" ht="12.75"/>
    <row r="58431" s="3161" customFormat="1" ht="12.75"/>
    <row r="58432" s="3161" customFormat="1" ht="12.75"/>
    <row r="58433" s="3161" customFormat="1" ht="12.75"/>
    <row r="58434" s="3161" customFormat="1" ht="12.75"/>
    <row r="58435" s="3161" customFormat="1" ht="12.75"/>
    <row r="58436" s="3161" customFormat="1" ht="12.75"/>
    <row r="58437" s="3161" customFormat="1" ht="12.75"/>
    <row r="58438" s="3161" customFormat="1" ht="12.75"/>
    <row r="58439" s="3161" customFormat="1" ht="12.75"/>
    <row r="58440" s="3161" customFormat="1" ht="12.75"/>
    <row r="58441" s="3161" customFormat="1" ht="12.75"/>
    <row r="58442" s="3161" customFormat="1" ht="12.75"/>
    <row r="58443" s="3161" customFormat="1" ht="12.75"/>
    <row r="58444" s="3161" customFormat="1" ht="12.75"/>
    <row r="58445" s="3161" customFormat="1" ht="12.75"/>
    <row r="58446" s="3161" customFormat="1" ht="12.75"/>
    <row r="58447" s="3161" customFormat="1" ht="12.75"/>
    <row r="58448" s="3161" customFormat="1" ht="12.75"/>
    <row r="58449" s="3161" customFormat="1" ht="12.75"/>
    <row r="58450" s="3161" customFormat="1" ht="12.75"/>
    <row r="58451" s="3161" customFormat="1" ht="12.75"/>
    <row r="58452" s="3161" customFormat="1" ht="12.75"/>
    <row r="58453" s="3161" customFormat="1" ht="12.75"/>
    <row r="58454" s="3161" customFormat="1" ht="12.75"/>
    <row r="58455" s="3161" customFormat="1" ht="12.75"/>
    <row r="58456" s="3161" customFormat="1" ht="12.75"/>
    <row r="58457" s="3161" customFormat="1" ht="12.75"/>
    <row r="58458" s="3161" customFormat="1" ht="12.75"/>
    <row r="58459" s="3161" customFormat="1" ht="12.75"/>
    <row r="58460" s="3161" customFormat="1" ht="12.75"/>
    <row r="58461" s="3161" customFormat="1" ht="12.75"/>
    <row r="58462" s="3161" customFormat="1" ht="12.75"/>
    <row r="58463" s="3161" customFormat="1" ht="12.75"/>
    <row r="58464" s="3161" customFormat="1" ht="12.75"/>
    <row r="58465" s="3161" customFormat="1" ht="12.75"/>
    <row r="58466" s="3161" customFormat="1" ht="12.75"/>
    <row r="58467" s="3161" customFormat="1" ht="12.75"/>
    <row r="58468" s="3161" customFormat="1" ht="12.75"/>
    <row r="58469" s="3161" customFormat="1" ht="12.75"/>
    <row r="58470" s="3161" customFormat="1" ht="12.75"/>
    <row r="58471" s="3161" customFormat="1" ht="12.75"/>
    <row r="58472" s="3161" customFormat="1" ht="12.75"/>
    <row r="58473" s="3161" customFormat="1" ht="12.75"/>
    <row r="58474" s="3161" customFormat="1" ht="12.75"/>
    <row r="58475" s="3161" customFormat="1" ht="12.75"/>
    <row r="58476" s="3161" customFormat="1" ht="12.75"/>
    <row r="58477" s="3161" customFormat="1" ht="12.75"/>
    <row r="58478" s="3161" customFormat="1" ht="12.75"/>
    <row r="58479" s="3161" customFormat="1" ht="12.75"/>
    <row r="58480" s="3161" customFormat="1" ht="12.75"/>
    <row r="58481" s="3161" customFormat="1" ht="12.75"/>
    <row r="58482" s="3161" customFormat="1" ht="12.75"/>
    <row r="58483" s="3161" customFormat="1" ht="12.75"/>
    <row r="58484" s="3161" customFormat="1" ht="12.75"/>
    <row r="58485" s="3161" customFormat="1" ht="12.75"/>
    <row r="58486" s="3161" customFormat="1" ht="12.75"/>
    <row r="58487" s="3161" customFormat="1" ht="12.75"/>
    <row r="58488" s="3161" customFormat="1" ht="12.75"/>
    <row r="58489" s="3161" customFormat="1" ht="12.75"/>
    <row r="58490" s="3161" customFormat="1" ht="12.75"/>
    <row r="58491" s="3161" customFormat="1" ht="12.75"/>
    <row r="58492" s="3161" customFormat="1" ht="12.75"/>
    <row r="58493" s="3161" customFormat="1" ht="12.75"/>
    <row r="58494" s="3161" customFormat="1" ht="12.75"/>
    <row r="58495" s="3161" customFormat="1" ht="12.75"/>
    <row r="58496" s="3161" customFormat="1" ht="12.75"/>
    <row r="58497" s="3161" customFormat="1" ht="12.75"/>
    <row r="58498" s="3161" customFormat="1" ht="12.75"/>
    <row r="58499" s="3161" customFormat="1" ht="12.75"/>
    <row r="58500" s="3161" customFormat="1" ht="12.75"/>
    <row r="58501" s="3161" customFormat="1" ht="12.75"/>
    <row r="58502" s="3161" customFormat="1" ht="12.75"/>
    <row r="58503" s="3161" customFormat="1" ht="12.75"/>
    <row r="58504" s="3161" customFormat="1" ht="12.75"/>
    <row r="58505" s="3161" customFormat="1" ht="12.75"/>
    <row r="58506" s="3161" customFormat="1" ht="12.75"/>
    <row r="58507" s="3161" customFormat="1" ht="12.75"/>
    <row r="58508" s="3161" customFormat="1" ht="12.75"/>
    <row r="58509" s="3161" customFormat="1" ht="12.75"/>
    <row r="58510" s="3161" customFormat="1" ht="12.75"/>
    <row r="58511" s="3161" customFormat="1" ht="12.75"/>
    <row r="58512" s="3161" customFormat="1" ht="12.75"/>
    <row r="58513" s="3161" customFormat="1" ht="12.75"/>
    <row r="58514" s="3161" customFormat="1" ht="12.75"/>
    <row r="58515" s="3161" customFormat="1" ht="12.75"/>
    <row r="58516" s="3161" customFormat="1" ht="12.75"/>
    <row r="58517" s="3161" customFormat="1" ht="12.75"/>
    <row r="58518" s="3161" customFormat="1" ht="12.75"/>
    <row r="58519" s="3161" customFormat="1" ht="12.75"/>
    <row r="58520" s="3161" customFormat="1" ht="12.75"/>
    <row r="58521" s="3161" customFormat="1" ht="12.75"/>
    <row r="58522" s="3161" customFormat="1" ht="12.75"/>
    <row r="58523" s="3161" customFormat="1" ht="12.75"/>
    <row r="58524" s="3161" customFormat="1" ht="12.75"/>
    <row r="58525" s="3161" customFormat="1" ht="12.75"/>
    <row r="58526" s="3161" customFormat="1" ht="12.75"/>
    <row r="58527" s="3161" customFormat="1" ht="12.75"/>
    <row r="58528" s="3161" customFormat="1" ht="12.75"/>
    <row r="58529" s="3161" customFormat="1" ht="12.75"/>
    <row r="58530" s="3161" customFormat="1" ht="12.75"/>
    <row r="58531" s="3161" customFormat="1" ht="12.75"/>
    <row r="58532" s="3161" customFormat="1" ht="12.75"/>
    <row r="58533" s="3161" customFormat="1" ht="12.75"/>
    <row r="58534" s="3161" customFormat="1" ht="12.75"/>
    <row r="58535" s="3161" customFormat="1" ht="12.75"/>
    <row r="58536" s="3161" customFormat="1" ht="12.75"/>
    <row r="58537" s="3161" customFormat="1" ht="12.75"/>
    <row r="58538" s="3161" customFormat="1" ht="12.75"/>
    <row r="58539" s="3161" customFormat="1" ht="12.75"/>
    <row r="58540" s="3161" customFormat="1" ht="12.75"/>
    <row r="58541" s="3161" customFormat="1" ht="12.75"/>
    <row r="58542" s="3161" customFormat="1" ht="12.75"/>
    <row r="58543" s="3161" customFormat="1" ht="12.75"/>
    <row r="58544" s="3161" customFormat="1" ht="12.75"/>
    <row r="58545" s="3161" customFormat="1" ht="12.75"/>
    <row r="58546" s="3161" customFormat="1" ht="12.75"/>
    <row r="58547" s="3161" customFormat="1" ht="12.75"/>
    <row r="58548" s="3161" customFormat="1" ht="12.75"/>
    <row r="58549" s="3161" customFormat="1" ht="12.75"/>
    <row r="58550" s="3161" customFormat="1" ht="12.75"/>
    <row r="58551" s="3161" customFormat="1" ht="12.75"/>
    <row r="58552" s="3161" customFormat="1" ht="12.75"/>
    <row r="58553" s="3161" customFormat="1" ht="12.75"/>
    <row r="58554" s="3161" customFormat="1" ht="12.75"/>
    <row r="58555" s="3161" customFormat="1" ht="12.75"/>
    <row r="58556" s="3161" customFormat="1" ht="12.75"/>
    <row r="58557" s="3161" customFormat="1" ht="12.75"/>
    <row r="58558" s="3161" customFormat="1" ht="12.75"/>
    <row r="58559" s="3161" customFormat="1" ht="12.75"/>
    <row r="58560" s="3161" customFormat="1" ht="12.75"/>
    <row r="58561" s="3161" customFormat="1" ht="12.75"/>
    <row r="58562" s="3161" customFormat="1" ht="12.75"/>
    <row r="58563" s="3161" customFormat="1" ht="12.75"/>
    <row r="58564" s="3161" customFormat="1" ht="12.75"/>
    <row r="58565" s="3161" customFormat="1" ht="12.75"/>
    <row r="58566" s="3161" customFormat="1" ht="12.75"/>
    <row r="58567" s="3161" customFormat="1" ht="12.75"/>
    <row r="58568" s="3161" customFormat="1" ht="12.75"/>
    <row r="58569" s="3161" customFormat="1" ht="12.75"/>
    <row r="58570" s="3161" customFormat="1" ht="12.75"/>
    <row r="58571" s="3161" customFormat="1" ht="12.75"/>
    <row r="58572" s="3161" customFormat="1" ht="12.75"/>
    <row r="58573" s="3161" customFormat="1" ht="12.75"/>
    <row r="58574" s="3161" customFormat="1" ht="12.75"/>
    <row r="58575" s="3161" customFormat="1" ht="12.75"/>
    <row r="58576" s="3161" customFormat="1" ht="12.75"/>
    <row r="58577" s="3161" customFormat="1" ht="12.75"/>
    <row r="58578" s="3161" customFormat="1" ht="12.75"/>
    <row r="58579" s="3161" customFormat="1" ht="12.75"/>
    <row r="58580" s="3161" customFormat="1" ht="12.75"/>
    <row r="58581" s="3161" customFormat="1" ht="12.75"/>
    <row r="58582" s="3161" customFormat="1" ht="12.75"/>
    <row r="58583" s="3161" customFormat="1" ht="12.75"/>
    <row r="58584" s="3161" customFormat="1" ht="12.75"/>
    <row r="58585" s="3161" customFormat="1" ht="12.75"/>
    <row r="58586" s="3161" customFormat="1" ht="12.75"/>
    <row r="58587" s="3161" customFormat="1" ht="12.75"/>
    <row r="58588" s="3161" customFormat="1" ht="12.75"/>
    <row r="58589" s="3161" customFormat="1" ht="12.75"/>
    <row r="58590" s="3161" customFormat="1" ht="12.75"/>
    <row r="58591" s="3161" customFormat="1" ht="12.75"/>
    <row r="58592" s="3161" customFormat="1" ht="12.75"/>
    <row r="58593" s="3161" customFormat="1" ht="12.75"/>
    <row r="58594" s="3161" customFormat="1" ht="12.75"/>
    <row r="58595" s="3161" customFormat="1" ht="12.75"/>
    <row r="58596" s="3161" customFormat="1" ht="12.75"/>
    <row r="58597" s="3161" customFormat="1" ht="12.75"/>
    <row r="58598" s="3161" customFormat="1" ht="12.75"/>
    <row r="58599" s="3161" customFormat="1" ht="12.75"/>
    <row r="58600" s="3161" customFormat="1" ht="12.75"/>
    <row r="58601" s="3161" customFormat="1" ht="12.75"/>
    <row r="58602" s="3161" customFormat="1" ht="12.75"/>
    <row r="58603" s="3161" customFormat="1" ht="12.75"/>
    <row r="58604" s="3161" customFormat="1" ht="12.75"/>
    <row r="58605" s="3161" customFormat="1" ht="12.75"/>
    <row r="58606" s="3161" customFormat="1" ht="12.75"/>
    <row r="58607" s="3161" customFormat="1" ht="12.75"/>
    <row r="58608" s="3161" customFormat="1" ht="12.75"/>
    <row r="58609" s="3161" customFormat="1" ht="12.75"/>
    <row r="58610" s="3161" customFormat="1" ht="12.75"/>
    <row r="58611" s="3161" customFormat="1" ht="12.75"/>
    <row r="58612" s="3161" customFormat="1" ht="12.75"/>
    <row r="58613" s="3161" customFormat="1" ht="12.75"/>
    <row r="58614" s="3161" customFormat="1" ht="12.75"/>
    <row r="58615" s="3161" customFormat="1" ht="12.75"/>
    <row r="58616" s="3161" customFormat="1" ht="12.75"/>
    <row r="58617" s="3161" customFormat="1" ht="12.75"/>
    <row r="58618" s="3161" customFormat="1" ht="12.75"/>
    <row r="58619" s="3161" customFormat="1" ht="12.75"/>
    <row r="58620" s="3161" customFormat="1" ht="12.75"/>
    <row r="58621" s="3161" customFormat="1" ht="12.75"/>
    <row r="58622" s="3161" customFormat="1" ht="12.75"/>
    <row r="58623" s="3161" customFormat="1" ht="12.75"/>
    <row r="58624" s="3161" customFormat="1" ht="12.75"/>
    <row r="58625" s="3161" customFormat="1" ht="12.75"/>
    <row r="58626" s="3161" customFormat="1" ht="12.75"/>
    <row r="58627" s="3161" customFormat="1" ht="12.75"/>
    <row r="58628" s="3161" customFormat="1" ht="12.75"/>
    <row r="58629" s="3161" customFormat="1" ht="12.75"/>
    <row r="58630" s="3161" customFormat="1" ht="12.75"/>
    <row r="58631" s="3161" customFormat="1" ht="12.75"/>
    <row r="58632" s="3161" customFormat="1" ht="12.75"/>
    <row r="58633" s="3161" customFormat="1" ht="12.75"/>
    <row r="58634" s="3161" customFormat="1" ht="12.75"/>
    <row r="58635" s="3161" customFormat="1" ht="12.75"/>
    <row r="58636" s="3161" customFormat="1" ht="12.75"/>
    <row r="58637" s="3161" customFormat="1" ht="12.75"/>
    <row r="58638" s="3161" customFormat="1" ht="12.75"/>
    <row r="58639" s="3161" customFormat="1" ht="12.75"/>
    <row r="58640" s="3161" customFormat="1" ht="12.75"/>
    <row r="58641" s="3161" customFormat="1" ht="12.75"/>
    <row r="58642" s="3161" customFormat="1" ht="12.75"/>
    <row r="58643" s="3161" customFormat="1" ht="12.75"/>
    <row r="58644" s="3161" customFormat="1" ht="12.75"/>
    <row r="58645" s="3161" customFormat="1" ht="12.75"/>
    <row r="58646" s="3161" customFormat="1" ht="12.75"/>
    <row r="58647" s="3161" customFormat="1" ht="12.75"/>
    <row r="58648" s="3161" customFormat="1" ht="12.75"/>
    <row r="58649" s="3161" customFormat="1" ht="12.75"/>
    <row r="58650" s="3161" customFormat="1" ht="12.75"/>
    <row r="58651" s="3161" customFormat="1" ht="12.75"/>
    <row r="58652" s="3161" customFormat="1" ht="12.75"/>
    <row r="58653" s="3161" customFormat="1" ht="12.75"/>
    <row r="58654" s="3161" customFormat="1" ht="12.75"/>
    <row r="58655" s="3161" customFormat="1" ht="12.75"/>
    <row r="58656" s="3161" customFormat="1" ht="12.75"/>
    <row r="58657" s="3161" customFormat="1" ht="12.75"/>
    <row r="58658" s="3161" customFormat="1" ht="12.75"/>
    <row r="58659" s="3161" customFormat="1" ht="12.75"/>
    <row r="58660" s="3161" customFormat="1" ht="12.75"/>
    <row r="58661" s="3161" customFormat="1" ht="12.75"/>
    <row r="58662" s="3161" customFormat="1" ht="12.75"/>
    <row r="58663" s="3161" customFormat="1" ht="12.75"/>
    <row r="58664" s="3161" customFormat="1" ht="12.75"/>
    <row r="58665" s="3161" customFormat="1" ht="12.75"/>
    <row r="58666" s="3161" customFormat="1" ht="12.75"/>
    <row r="58667" s="3161" customFormat="1" ht="12.75"/>
    <row r="58668" s="3161" customFormat="1" ht="12.75"/>
    <row r="58669" s="3161" customFormat="1" ht="12.75"/>
    <row r="58670" s="3161" customFormat="1" ht="12.75"/>
    <row r="58671" s="3161" customFormat="1" ht="12.75"/>
    <row r="58672" s="3161" customFormat="1" ht="12.75"/>
    <row r="58673" s="3161" customFormat="1" ht="12.75"/>
    <row r="58674" s="3161" customFormat="1" ht="12.75"/>
    <row r="58675" s="3161" customFormat="1" ht="12.75"/>
    <row r="58676" s="3161" customFormat="1" ht="12.75"/>
    <row r="58677" s="3161" customFormat="1" ht="12.75"/>
    <row r="58678" s="3161" customFormat="1" ht="12.75"/>
    <row r="58679" s="3161" customFormat="1" ht="12.75"/>
    <row r="58680" s="3161" customFormat="1" ht="12.75"/>
    <row r="58681" s="3161" customFormat="1" ht="12.75"/>
    <row r="58682" s="3161" customFormat="1" ht="12.75"/>
    <row r="58683" s="3161" customFormat="1" ht="12.75"/>
    <row r="58684" s="3161" customFormat="1" ht="12.75"/>
    <row r="58685" s="3161" customFormat="1" ht="12.75"/>
    <row r="58686" s="3161" customFormat="1" ht="12.75"/>
    <row r="58687" s="3161" customFormat="1" ht="12.75"/>
    <row r="58688" s="3161" customFormat="1" ht="12.75"/>
    <row r="58689" s="3161" customFormat="1" ht="12.75"/>
    <row r="58690" s="3161" customFormat="1" ht="12.75"/>
    <row r="58691" s="3161" customFormat="1" ht="12.75"/>
    <row r="58692" s="3161" customFormat="1" ht="12.75"/>
    <row r="58693" s="3161" customFormat="1" ht="12.75"/>
    <row r="58694" s="3161" customFormat="1" ht="12.75"/>
    <row r="58695" s="3161" customFormat="1" ht="12.75"/>
    <row r="58696" s="3161" customFormat="1" ht="12.75"/>
    <row r="58697" s="3161" customFormat="1" ht="12.75"/>
    <row r="58698" s="3161" customFormat="1" ht="12.75"/>
    <row r="58699" s="3161" customFormat="1" ht="12.75"/>
    <row r="58700" s="3161" customFormat="1" ht="12.75"/>
    <row r="58701" s="3161" customFormat="1" ht="12.75"/>
    <row r="58702" s="3161" customFormat="1" ht="12.75"/>
    <row r="58703" s="3161" customFormat="1" ht="12.75"/>
    <row r="58704" s="3161" customFormat="1" ht="12.75"/>
    <row r="58705" s="3161" customFormat="1" ht="12.75"/>
    <row r="58706" s="3161" customFormat="1" ht="12.75"/>
    <row r="58707" s="3161" customFormat="1" ht="12.75"/>
    <row r="58708" s="3161" customFormat="1" ht="12.75"/>
    <row r="58709" s="3161" customFormat="1" ht="12.75"/>
    <row r="58710" s="3161" customFormat="1" ht="12.75"/>
    <row r="58711" s="3161" customFormat="1" ht="12.75"/>
    <row r="58712" s="3161" customFormat="1" ht="12.75"/>
    <row r="58713" s="3161" customFormat="1" ht="12.75"/>
    <row r="58714" s="3161" customFormat="1" ht="12.75"/>
    <row r="58715" s="3161" customFormat="1" ht="12.75"/>
    <row r="58716" s="3161" customFormat="1" ht="12.75"/>
    <row r="58717" s="3161" customFormat="1" ht="12.75"/>
    <row r="58718" s="3161" customFormat="1" ht="12.75"/>
    <row r="58719" s="3161" customFormat="1" ht="12.75"/>
    <row r="58720" s="3161" customFormat="1" ht="12.75"/>
    <row r="58721" s="3161" customFormat="1" ht="12.75"/>
    <row r="58722" s="3161" customFormat="1" ht="12.75"/>
    <row r="58723" s="3161" customFormat="1" ht="12.75"/>
    <row r="58724" s="3161" customFormat="1" ht="12.75"/>
    <row r="58725" s="3161" customFormat="1" ht="12.75"/>
    <row r="58726" s="3161" customFormat="1" ht="12.75"/>
    <row r="58727" s="3161" customFormat="1" ht="12.75"/>
    <row r="58728" s="3161" customFormat="1" ht="12.75"/>
    <row r="58729" s="3161" customFormat="1" ht="12.75"/>
    <row r="58730" s="3161" customFormat="1" ht="12.75"/>
    <row r="58731" s="3161" customFormat="1" ht="12.75"/>
    <row r="58732" s="3161" customFormat="1" ht="12.75"/>
    <row r="58733" s="3161" customFormat="1" ht="12.75"/>
    <row r="58734" s="3161" customFormat="1" ht="12.75"/>
    <row r="58735" s="3161" customFormat="1" ht="12.75"/>
    <row r="58736" s="3161" customFormat="1" ht="12.75"/>
    <row r="58737" s="3161" customFormat="1" ht="12.75"/>
    <row r="58738" s="3161" customFormat="1" ht="12.75"/>
    <row r="58739" s="3161" customFormat="1" ht="12.75"/>
    <row r="58740" s="3161" customFormat="1" ht="12.75"/>
    <row r="58741" s="3161" customFormat="1" ht="12.75"/>
    <row r="58742" s="3161" customFormat="1" ht="12.75"/>
    <row r="58743" s="3161" customFormat="1" ht="12.75"/>
    <row r="58744" s="3161" customFormat="1" ht="12.75"/>
    <row r="58745" s="3161" customFormat="1" ht="12.75"/>
    <row r="58746" s="3161" customFormat="1" ht="12.75"/>
    <row r="58747" s="3161" customFormat="1" ht="12.75"/>
    <row r="58748" s="3161" customFormat="1" ht="12.75"/>
    <row r="58749" s="3161" customFormat="1" ht="12.75"/>
    <row r="58750" s="3161" customFormat="1" ht="12.75"/>
    <row r="58751" s="3161" customFormat="1" ht="12.75"/>
    <row r="58752" s="3161" customFormat="1" ht="12.75"/>
    <row r="58753" s="3161" customFormat="1" ht="12.75"/>
    <row r="58754" s="3161" customFormat="1" ht="12.75"/>
    <row r="58755" s="3161" customFormat="1" ht="12.75"/>
    <row r="58756" s="3161" customFormat="1" ht="12.75"/>
    <row r="58757" s="3161" customFormat="1" ht="12.75"/>
    <row r="58758" s="3161" customFormat="1" ht="12.75"/>
    <row r="58759" s="3161" customFormat="1" ht="12.75"/>
    <row r="58760" s="3161" customFormat="1" ht="12.75"/>
    <row r="58761" s="3161" customFormat="1" ht="12.75"/>
    <row r="58762" s="3161" customFormat="1" ht="12.75"/>
    <row r="58763" s="3161" customFormat="1" ht="12.75"/>
    <row r="58764" s="3161" customFormat="1" ht="12.75"/>
    <row r="58765" s="3161" customFormat="1" ht="12.75"/>
    <row r="58766" s="3161" customFormat="1" ht="12.75"/>
    <row r="58767" s="3161" customFormat="1" ht="12.75"/>
    <row r="58768" s="3161" customFormat="1" ht="12.75"/>
    <row r="58769" s="3161" customFormat="1" ht="12.75"/>
    <row r="58770" s="3161" customFormat="1" ht="12.75"/>
    <row r="58771" s="3161" customFormat="1" ht="12.75"/>
    <row r="58772" s="3161" customFormat="1" ht="12.75"/>
    <row r="58773" s="3161" customFormat="1" ht="12.75"/>
    <row r="58774" s="3161" customFormat="1" ht="12.75"/>
    <row r="58775" s="3161" customFormat="1" ht="12.75"/>
    <row r="58776" s="3161" customFormat="1" ht="12.75"/>
    <row r="58777" s="3161" customFormat="1" ht="12.75"/>
    <row r="58778" s="3161" customFormat="1" ht="12.75"/>
    <row r="58779" s="3161" customFormat="1" ht="12.75"/>
    <row r="58780" s="3161" customFormat="1" ht="12.75"/>
    <row r="58781" s="3161" customFormat="1" ht="12.75"/>
    <row r="58782" s="3161" customFormat="1" ht="12.75"/>
    <row r="58783" s="3161" customFormat="1" ht="12.75"/>
    <row r="58784" s="3161" customFormat="1" ht="12.75"/>
    <row r="58785" s="3161" customFormat="1" ht="12.75"/>
    <row r="58786" s="3161" customFormat="1" ht="12.75"/>
    <row r="58787" s="3161" customFormat="1" ht="12.75"/>
    <row r="58788" s="3161" customFormat="1" ht="12.75"/>
    <row r="58789" s="3161" customFormat="1" ht="12.75"/>
    <row r="58790" s="3161" customFormat="1" ht="12.75"/>
    <row r="58791" s="3161" customFormat="1" ht="12.75"/>
    <row r="58792" s="3161" customFormat="1" ht="12.75"/>
    <row r="58793" s="3161" customFormat="1" ht="12.75"/>
    <row r="58794" s="3161" customFormat="1" ht="12.75"/>
    <row r="58795" s="3161" customFormat="1" ht="12.75"/>
    <row r="58796" s="3161" customFormat="1" ht="12.75"/>
    <row r="58797" s="3161" customFormat="1" ht="12.75"/>
    <row r="58798" s="3161" customFormat="1" ht="12.75"/>
    <row r="58799" s="3161" customFormat="1" ht="12.75"/>
    <row r="58800" s="3161" customFormat="1" ht="12.75"/>
    <row r="58801" s="3161" customFormat="1" ht="12.75"/>
    <row r="58802" s="3161" customFormat="1" ht="12.75"/>
    <row r="58803" s="3161" customFormat="1" ht="12.75"/>
    <row r="58804" s="3161" customFormat="1" ht="12.75"/>
    <row r="58805" s="3161" customFormat="1" ht="12.75"/>
    <row r="58806" s="3161" customFormat="1" ht="12.75"/>
    <row r="58807" s="3161" customFormat="1" ht="12.75"/>
    <row r="58808" s="3161" customFormat="1" ht="12.75"/>
    <row r="58809" s="3161" customFormat="1" ht="12.75"/>
    <row r="58810" s="3161" customFormat="1" ht="12.75"/>
    <row r="58811" s="3161" customFormat="1" ht="12.75"/>
    <row r="58812" s="3161" customFormat="1" ht="12.75"/>
    <row r="58813" s="3161" customFormat="1" ht="12.75"/>
    <row r="58814" s="3161" customFormat="1" ht="12.75"/>
    <row r="58815" s="3161" customFormat="1" ht="12.75"/>
    <row r="58816" s="3161" customFormat="1" ht="12.75"/>
    <row r="58817" s="3161" customFormat="1" ht="12.75"/>
    <row r="58818" s="3161" customFormat="1" ht="12.75"/>
    <row r="58819" s="3161" customFormat="1" ht="12.75"/>
    <row r="58820" s="3161" customFormat="1" ht="12.75"/>
    <row r="58821" s="3161" customFormat="1" ht="12.75"/>
    <row r="58822" s="3161" customFormat="1" ht="12.75"/>
    <row r="58823" s="3161" customFormat="1" ht="12.75"/>
    <row r="58824" s="3161" customFormat="1" ht="12.75"/>
    <row r="58825" s="3161" customFormat="1" ht="12.75"/>
    <row r="58826" s="3161" customFormat="1" ht="12.75"/>
    <row r="58827" s="3161" customFormat="1" ht="12.75"/>
    <row r="58828" s="3161" customFormat="1" ht="12.75"/>
    <row r="58829" s="3161" customFormat="1" ht="12.75"/>
    <row r="58830" s="3161" customFormat="1" ht="12.75"/>
    <row r="58831" s="3161" customFormat="1" ht="12.75"/>
    <row r="58832" s="3161" customFormat="1" ht="12.75"/>
    <row r="58833" s="3161" customFormat="1" ht="12.75"/>
    <row r="58834" s="3161" customFormat="1" ht="12.75"/>
    <row r="58835" s="3161" customFormat="1" ht="12.75"/>
    <row r="58836" s="3161" customFormat="1" ht="12.75"/>
    <row r="58837" s="3161" customFormat="1" ht="12.75"/>
    <row r="58838" s="3161" customFormat="1" ht="12.75"/>
    <row r="58839" s="3161" customFormat="1" ht="12.75"/>
    <row r="58840" s="3161" customFormat="1" ht="12.75"/>
    <row r="58841" s="3161" customFormat="1" ht="12.75"/>
    <row r="58842" s="3161" customFormat="1" ht="12.75"/>
    <row r="58843" s="3161" customFormat="1" ht="12.75"/>
    <row r="58844" s="3161" customFormat="1" ht="12.75"/>
    <row r="58845" s="3161" customFormat="1" ht="12.75"/>
    <row r="58846" s="3161" customFormat="1" ht="12.75"/>
    <row r="58847" s="3161" customFormat="1" ht="12.75"/>
    <row r="58848" s="3161" customFormat="1" ht="12.75"/>
    <row r="58849" s="3161" customFormat="1" ht="12.75"/>
    <row r="58850" s="3161" customFormat="1" ht="12.75"/>
    <row r="58851" s="3161" customFormat="1" ht="12.75"/>
    <row r="58852" s="3161" customFormat="1" ht="12.75"/>
    <row r="58853" s="3161" customFormat="1" ht="12.75"/>
    <row r="58854" s="3161" customFormat="1" ht="12.75"/>
    <row r="58855" s="3161" customFormat="1" ht="12.75"/>
    <row r="58856" s="3161" customFormat="1" ht="12.75"/>
    <row r="58857" s="3161" customFormat="1" ht="12.75"/>
    <row r="58858" s="3161" customFormat="1" ht="12.75"/>
    <row r="58859" s="3161" customFormat="1" ht="12.75"/>
    <row r="58860" s="3161" customFormat="1" ht="12.75"/>
    <row r="58861" s="3161" customFormat="1" ht="12.75"/>
    <row r="58862" s="3161" customFormat="1" ht="12.75"/>
    <row r="58863" s="3161" customFormat="1" ht="12.75"/>
    <row r="58864" s="3161" customFormat="1" ht="12.75"/>
    <row r="58865" s="3161" customFormat="1" ht="12.75"/>
    <row r="58866" s="3161" customFormat="1" ht="12.75"/>
    <row r="58867" s="3161" customFormat="1" ht="12.75"/>
    <row r="58868" s="3161" customFormat="1" ht="12.75"/>
    <row r="58869" s="3161" customFormat="1" ht="12.75"/>
    <row r="58870" s="3161" customFormat="1" ht="12.75"/>
    <row r="58871" s="3161" customFormat="1" ht="12.75"/>
    <row r="58872" s="3161" customFormat="1" ht="12.75"/>
    <row r="58873" s="3161" customFormat="1" ht="12.75"/>
    <row r="58874" s="3161" customFormat="1" ht="12.75"/>
    <row r="58875" s="3161" customFormat="1" ht="12.75"/>
    <row r="58876" s="3161" customFormat="1" ht="12.75"/>
    <row r="58877" s="3161" customFormat="1" ht="12.75"/>
    <row r="58878" s="3161" customFormat="1" ht="12.75"/>
    <row r="58879" s="3161" customFormat="1" ht="12.75"/>
    <row r="58880" s="3161" customFormat="1" ht="12.75"/>
    <row r="58881" s="3161" customFormat="1" ht="12.75"/>
    <row r="58882" s="3161" customFormat="1" ht="12.75"/>
    <row r="58883" s="3161" customFormat="1" ht="12.75"/>
    <row r="58884" s="3161" customFormat="1" ht="12.75"/>
    <row r="58885" s="3161" customFormat="1" ht="12.75"/>
    <row r="58886" s="3161" customFormat="1" ht="12.75"/>
    <row r="58887" s="3161" customFormat="1" ht="12.75"/>
    <row r="58888" s="3161" customFormat="1" ht="12.75"/>
    <row r="58889" s="3161" customFormat="1" ht="12.75"/>
    <row r="58890" s="3161" customFormat="1" ht="12.75"/>
    <row r="58891" s="3161" customFormat="1" ht="12.75"/>
    <row r="58892" s="3161" customFormat="1" ht="12.75"/>
    <row r="58893" s="3161" customFormat="1" ht="12.75"/>
    <row r="58894" s="3161" customFormat="1" ht="12.75"/>
    <row r="58895" s="3161" customFormat="1" ht="12.75"/>
    <row r="58896" s="3161" customFormat="1" ht="12.75"/>
    <row r="58897" s="3161" customFormat="1" ht="12.75"/>
    <row r="58898" s="3161" customFormat="1" ht="12.75"/>
    <row r="58899" s="3161" customFormat="1" ht="12.75"/>
    <row r="58900" s="3161" customFormat="1" ht="12.75"/>
    <row r="58901" s="3161" customFormat="1" ht="12.75"/>
    <row r="58902" s="3161" customFormat="1" ht="12.75"/>
    <row r="58903" s="3161" customFormat="1" ht="12.75"/>
    <row r="58904" s="3161" customFormat="1" ht="12.75"/>
    <row r="58905" s="3161" customFormat="1" ht="12.75"/>
    <row r="58906" s="3161" customFormat="1" ht="12.75"/>
    <row r="58907" s="3161" customFormat="1" ht="12.75"/>
    <row r="58908" s="3161" customFormat="1" ht="12.75"/>
    <row r="58909" s="3161" customFormat="1" ht="12.75"/>
    <row r="58910" s="3161" customFormat="1" ht="12.75"/>
    <row r="58911" s="3161" customFormat="1" ht="12.75"/>
    <row r="58912" s="3161" customFormat="1" ht="12.75"/>
    <row r="58913" s="3161" customFormat="1" ht="12.75"/>
    <row r="58914" s="3161" customFormat="1" ht="12.75"/>
    <row r="58915" s="3161" customFormat="1" ht="12.75"/>
    <row r="58916" s="3161" customFormat="1" ht="12.75"/>
    <row r="58917" s="3161" customFormat="1" ht="12.75"/>
    <row r="58918" s="3161" customFormat="1" ht="12.75"/>
    <row r="58919" s="3161" customFormat="1" ht="12.75"/>
    <row r="58920" s="3161" customFormat="1" ht="12.75"/>
    <row r="58921" s="3161" customFormat="1" ht="12.75"/>
    <row r="58922" s="3161" customFormat="1" ht="12.75"/>
    <row r="58923" s="3161" customFormat="1" ht="12.75"/>
    <row r="58924" s="3161" customFormat="1" ht="12.75"/>
    <row r="58925" s="3161" customFormat="1" ht="12.75"/>
    <row r="58926" s="3161" customFormat="1" ht="12.75"/>
    <row r="58927" s="3161" customFormat="1" ht="12.75"/>
    <row r="58928" s="3161" customFormat="1" ht="12.75"/>
    <row r="58929" s="3161" customFormat="1" ht="12.75"/>
    <row r="58930" s="3161" customFormat="1" ht="12.75"/>
    <row r="58931" s="3161" customFormat="1" ht="12.75"/>
    <row r="58932" s="3161" customFormat="1" ht="12.75"/>
    <row r="58933" s="3161" customFormat="1" ht="12.75"/>
    <row r="58934" s="3161" customFormat="1" ht="12.75"/>
    <row r="58935" s="3161" customFormat="1" ht="12.75"/>
    <row r="58936" s="3161" customFormat="1" ht="12.75"/>
    <row r="58937" s="3161" customFormat="1" ht="12.75"/>
    <row r="58938" s="3161" customFormat="1" ht="12.75"/>
    <row r="58939" s="3161" customFormat="1" ht="12.75"/>
    <row r="58940" s="3161" customFormat="1" ht="12.75"/>
    <row r="58941" s="3161" customFormat="1" ht="12.75"/>
    <row r="58942" s="3161" customFormat="1" ht="12.75"/>
    <row r="58943" s="3161" customFormat="1" ht="12.75"/>
    <row r="58944" s="3161" customFormat="1" ht="12.75"/>
    <row r="58945" s="3161" customFormat="1" ht="12.75"/>
    <row r="58946" s="3161" customFormat="1" ht="12.75"/>
    <row r="58947" s="3161" customFormat="1" ht="12.75"/>
    <row r="58948" s="3161" customFormat="1" ht="12.75"/>
    <row r="58949" s="3161" customFormat="1" ht="12.75"/>
    <row r="58950" s="3161" customFormat="1" ht="12.75"/>
    <row r="58951" s="3161" customFormat="1" ht="12.75"/>
    <row r="58952" s="3161" customFormat="1" ht="12.75"/>
    <row r="58953" s="3161" customFormat="1" ht="12.75"/>
    <row r="58954" s="3161" customFormat="1" ht="12.75"/>
    <row r="58955" s="3161" customFormat="1" ht="12.75"/>
    <row r="58956" s="3161" customFormat="1" ht="12.75"/>
    <row r="58957" s="3161" customFormat="1" ht="12.75"/>
    <row r="58958" s="3161" customFormat="1" ht="12.75"/>
    <row r="58959" s="3161" customFormat="1" ht="12.75"/>
    <row r="58960" s="3161" customFormat="1" ht="12.75"/>
    <row r="58961" s="3161" customFormat="1" ht="12.75"/>
    <row r="58962" s="3161" customFormat="1" ht="12.75"/>
    <row r="58963" s="3161" customFormat="1" ht="12.75"/>
    <row r="58964" s="3161" customFormat="1" ht="12.75"/>
    <row r="58965" s="3161" customFormat="1" ht="12.75"/>
    <row r="58966" s="3161" customFormat="1" ht="12.75"/>
    <row r="58967" s="3161" customFormat="1" ht="12.75"/>
    <row r="58968" s="3161" customFormat="1" ht="12.75"/>
    <row r="58969" s="3161" customFormat="1" ht="12.75"/>
    <row r="58970" s="3161" customFormat="1" ht="12.75"/>
    <row r="58971" s="3161" customFormat="1" ht="12.75"/>
    <row r="58972" s="3161" customFormat="1" ht="12.75"/>
    <row r="58973" s="3161" customFormat="1" ht="12.75"/>
    <row r="58974" s="3161" customFormat="1" ht="12.75"/>
    <row r="58975" s="3161" customFormat="1" ht="12.75"/>
    <row r="58976" s="3161" customFormat="1" ht="12.75"/>
    <row r="58977" s="3161" customFormat="1" ht="12.75"/>
    <row r="58978" s="3161" customFormat="1" ht="12.75"/>
    <row r="58979" s="3161" customFormat="1" ht="12.75"/>
    <row r="58980" s="3161" customFormat="1" ht="12.75"/>
    <row r="58981" s="3161" customFormat="1" ht="12.75"/>
    <row r="58982" s="3161" customFormat="1" ht="12.75"/>
    <row r="58983" s="3161" customFormat="1" ht="12.75"/>
    <row r="58984" s="3161" customFormat="1" ht="12.75"/>
    <row r="58985" s="3161" customFormat="1" ht="12.75"/>
    <row r="58986" s="3161" customFormat="1" ht="12.75"/>
    <row r="58987" s="3161" customFormat="1" ht="12.75"/>
    <row r="58988" s="3161" customFormat="1" ht="12.75"/>
    <row r="58989" s="3161" customFormat="1" ht="12.75"/>
    <row r="58990" s="3161" customFormat="1" ht="12.75"/>
    <row r="58991" s="3161" customFormat="1" ht="12.75"/>
    <row r="58992" s="3161" customFormat="1" ht="12.75"/>
    <row r="58993" s="3161" customFormat="1" ht="12.75"/>
    <row r="58994" s="3161" customFormat="1" ht="12.75"/>
    <row r="58995" s="3161" customFormat="1" ht="12.75"/>
    <row r="58996" s="3161" customFormat="1" ht="12.75"/>
    <row r="58997" s="3161" customFormat="1" ht="12.75"/>
    <row r="58998" s="3161" customFormat="1" ht="12.75"/>
    <row r="58999" s="3161" customFormat="1" ht="12.75"/>
    <row r="59000" s="3161" customFormat="1" ht="12.75"/>
    <row r="59001" s="3161" customFormat="1" ht="12.75"/>
    <row r="59002" s="3161" customFormat="1" ht="12.75"/>
    <row r="59003" s="3161" customFormat="1" ht="12.75"/>
    <row r="59004" s="3161" customFormat="1" ht="12.75"/>
    <row r="59005" s="3161" customFormat="1" ht="12.75"/>
    <row r="59006" s="3161" customFormat="1" ht="12.75"/>
    <row r="59007" s="3161" customFormat="1" ht="12.75"/>
    <row r="59008" s="3161" customFormat="1" ht="12.75"/>
    <row r="59009" s="3161" customFormat="1" ht="12.75"/>
    <row r="59010" s="3161" customFormat="1" ht="12.75"/>
    <row r="59011" s="3161" customFormat="1" ht="12.75"/>
    <row r="59012" s="3161" customFormat="1" ht="12.75"/>
    <row r="59013" s="3161" customFormat="1" ht="12.75"/>
    <row r="59014" s="3161" customFormat="1" ht="12.75"/>
    <row r="59015" s="3161" customFormat="1" ht="12.75"/>
    <row r="59016" s="3161" customFormat="1" ht="12.75"/>
    <row r="59017" s="3161" customFormat="1" ht="12.75"/>
    <row r="59018" s="3161" customFormat="1" ht="12.75"/>
    <row r="59019" s="3161" customFormat="1" ht="12.75"/>
    <row r="59020" s="3161" customFormat="1" ht="12.75"/>
    <row r="59021" s="3161" customFormat="1" ht="12.75"/>
    <row r="59022" s="3161" customFormat="1" ht="12.75"/>
    <row r="59023" s="3161" customFormat="1" ht="12.75"/>
    <row r="59024" s="3161" customFormat="1" ht="12.75"/>
    <row r="59025" s="3161" customFormat="1" ht="12.75"/>
    <row r="59026" s="3161" customFormat="1" ht="12.75"/>
    <row r="59027" s="3161" customFormat="1" ht="12.75"/>
    <row r="59028" s="3161" customFormat="1" ht="12.75"/>
    <row r="59029" s="3161" customFormat="1" ht="12.75"/>
    <row r="59030" s="3161" customFormat="1" ht="12.75"/>
    <row r="59031" s="3161" customFormat="1" ht="12.75"/>
    <row r="59032" s="3161" customFormat="1" ht="12.75"/>
    <row r="59033" s="3161" customFormat="1" ht="12.75"/>
    <row r="59034" s="3161" customFormat="1" ht="12.75"/>
    <row r="59035" s="3161" customFormat="1" ht="12.75"/>
    <row r="59036" s="3161" customFormat="1" ht="12.75"/>
    <row r="59037" s="3161" customFormat="1" ht="12.75"/>
    <row r="59038" s="3161" customFormat="1" ht="12.75"/>
    <row r="59039" s="3161" customFormat="1" ht="12.75"/>
    <row r="59040" s="3161" customFormat="1" ht="12.75"/>
    <row r="59041" s="3161" customFormat="1" ht="12.75"/>
    <row r="59042" s="3161" customFormat="1" ht="12.75"/>
    <row r="59043" s="3161" customFormat="1" ht="12.75"/>
    <row r="59044" s="3161" customFormat="1" ht="12.75"/>
    <row r="59045" s="3161" customFormat="1" ht="12.75"/>
    <row r="59046" s="3161" customFormat="1" ht="12.75"/>
    <row r="59047" s="3161" customFormat="1" ht="12.75"/>
    <row r="59048" s="3161" customFormat="1" ht="12.75"/>
    <row r="59049" s="3161" customFormat="1" ht="12.75"/>
    <row r="59050" s="3161" customFormat="1" ht="12.75"/>
    <row r="59051" s="3161" customFormat="1" ht="12.75"/>
    <row r="59052" s="3161" customFormat="1" ht="12.75"/>
    <row r="59053" s="3161" customFormat="1" ht="12.75"/>
    <row r="59054" s="3161" customFormat="1" ht="12.75"/>
    <row r="59055" s="3161" customFormat="1" ht="12.75"/>
    <row r="59056" s="3161" customFormat="1" ht="12.75"/>
    <row r="59057" s="3161" customFormat="1" ht="12.75"/>
    <row r="59058" s="3161" customFormat="1" ht="12.75"/>
    <row r="59059" s="3161" customFormat="1" ht="12.75"/>
    <row r="59060" s="3161" customFormat="1" ht="12.75"/>
    <row r="59061" s="3161" customFormat="1" ht="12.75"/>
    <row r="59062" s="3161" customFormat="1" ht="12.75"/>
    <row r="59063" s="3161" customFormat="1" ht="12.75"/>
    <row r="59064" s="3161" customFormat="1" ht="12.75"/>
    <row r="59065" s="3161" customFormat="1" ht="12.75"/>
    <row r="59066" s="3161" customFormat="1" ht="12.75"/>
    <row r="59067" s="3161" customFormat="1" ht="12.75"/>
    <row r="59068" s="3161" customFormat="1" ht="12.75"/>
    <row r="59069" s="3161" customFormat="1" ht="12.75"/>
    <row r="59070" s="3161" customFormat="1" ht="12.75"/>
    <row r="59071" s="3161" customFormat="1" ht="12.75"/>
    <row r="59072" s="3161" customFormat="1" ht="12.75"/>
    <row r="59073" s="3161" customFormat="1" ht="12.75"/>
    <row r="59074" s="3161" customFormat="1" ht="12.75"/>
    <row r="59075" s="3161" customFormat="1" ht="12.75"/>
    <row r="59076" s="3161" customFormat="1" ht="12.75"/>
    <row r="59077" s="3161" customFormat="1" ht="12.75"/>
    <row r="59078" s="3161" customFormat="1" ht="12.75"/>
    <row r="59079" s="3161" customFormat="1" ht="12.75"/>
    <row r="59080" s="3161" customFormat="1" ht="12.75"/>
    <row r="59081" s="3161" customFormat="1" ht="12.75"/>
    <row r="59082" s="3161" customFormat="1" ht="12.75"/>
    <row r="59083" s="3161" customFormat="1" ht="12.75"/>
    <row r="59084" s="3161" customFormat="1" ht="12.75"/>
    <row r="59085" s="3161" customFormat="1" ht="12.75"/>
    <row r="59086" s="3161" customFormat="1" ht="12.75"/>
    <row r="59087" s="3161" customFormat="1" ht="12.75"/>
    <row r="59088" s="3161" customFormat="1" ht="12.75"/>
    <row r="59089" s="3161" customFormat="1" ht="12.75"/>
    <row r="59090" s="3161" customFormat="1" ht="12.75"/>
    <row r="59091" s="3161" customFormat="1" ht="12.75"/>
    <row r="59092" s="3161" customFormat="1" ht="12.75"/>
    <row r="59093" s="3161" customFormat="1" ht="12.75"/>
    <row r="59094" s="3161" customFormat="1" ht="12.75"/>
    <row r="59095" s="3161" customFormat="1" ht="12.75"/>
    <row r="59096" s="3161" customFormat="1" ht="12.75"/>
    <row r="59097" s="3161" customFormat="1" ht="12.75"/>
    <row r="59098" s="3161" customFormat="1" ht="12.75"/>
    <row r="59099" s="3161" customFormat="1" ht="12.75"/>
    <row r="59100" s="3161" customFormat="1" ht="12.75"/>
    <row r="59101" s="3161" customFormat="1" ht="12.75"/>
    <row r="59102" s="3161" customFormat="1" ht="12.75"/>
    <row r="59103" s="3161" customFormat="1" ht="12.75"/>
    <row r="59104" s="3161" customFormat="1" ht="12.75"/>
    <row r="59105" s="3161" customFormat="1" ht="12.75"/>
    <row r="59106" s="3161" customFormat="1" ht="12.75"/>
    <row r="59107" s="3161" customFormat="1" ht="12.75"/>
    <row r="59108" s="3161" customFormat="1" ht="12.75"/>
    <row r="59109" s="3161" customFormat="1" ht="12.75"/>
    <row r="59110" s="3161" customFormat="1" ht="12.75"/>
    <row r="59111" s="3161" customFormat="1" ht="12.75"/>
    <row r="59112" s="3161" customFormat="1" ht="12.75"/>
    <row r="59113" s="3161" customFormat="1" ht="12.75"/>
    <row r="59114" s="3161" customFormat="1" ht="12.75"/>
    <row r="59115" s="3161" customFormat="1" ht="12.75"/>
    <row r="59116" s="3161" customFormat="1" ht="12.75"/>
    <row r="59117" s="3161" customFormat="1" ht="12.75"/>
    <row r="59118" s="3161" customFormat="1" ht="12.75"/>
    <row r="59119" s="3161" customFormat="1" ht="12.75"/>
    <row r="59120" s="3161" customFormat="1" ht="12.75"/>
    <row r="59121" s="3161" customFormat="1" ht="12.75"/>
    <row r="59122" s="3161" customFormat="1" ht="12.75"/>
    <row r="59123" s="3161" customFormat="1" ht="12.75"/>
    <row r="59124" s="3161" customFormat="1" ht="12.75"/>
    <row r="59125" s="3161" customFormat="1" ht="12.75"/>
    <row r="59126" s="3161" customFormat="1" ht="12.75"/>
    <row r="59127" s="3161" customFormat="1" ht="12.75"/>
    <row r="59128" s="3161" customFormat="1" ht="12.75"/>
    <row r="59129" s="3161" customFormat="1" ht="12.75"/>
    <row r="59130" s="3161" customFormat="1" ht="12.75"/>
    <row r="59131" s="3161" customFormat="1" ht="12.75"/>
    <row r="59132" s="3161" customFormat="1" ht="12.75"/>
    <row r="59133" s="3161" customFormat="1" ht="12.75"/>
    <row r="59134" s="3161" customFormat="1" ht="12.75"/>
    <row r="59135" s="3161" customFormat="1" ht="12.75"/>
    <row r="59136" s="3161" customFormat="1" ht="12.75"/>
    <row r="59137" s="3161" customFormat="1" ht="12.75"/>
    <row r="59138" s="3161" customFormat="1" ht="12.75"/>
    <row r="59139" s="3161" customFormat="1" ht="12.75"/>
    <row r="59140" s="3161" customFormat="1" ht="12.75"/>
    <row r="59141" s="3161" customFormat="1" ht="12.75"/>
    <row r="59142" s="3161" customFormat="1" ht="12.75"/>
    <row r="59143" s="3161" customFormat="1" ht="12.75"/>
    <row r="59144" s="3161" customFormat="1" ht="12.75"/>
    <row r="59145" s="3161" customFormat="1" ht="12.75"/>
    <row r="59146" s="3161" customFormat="1" ht="12.75"/>
    <row r="59147" s="3161" customFormat="1" ht="12.75"/>
    <row r="59148" s="3161" customFormat="1" ht="12.75"/>
    <row r="59149" s="3161" customFormat="1" ht="12.75"/>
    <row r="59150" s="3161" customFormat="1" ht="12.75"/>
    <row r="59151" s="3161" customFormat="1" ht="12.75"/>
    <row r="59152" s="3161" customFormat="1" ht="12.75"/>
    <row r="59153" s="3161" customFormat="1" ht="12.75"/>
    <row r="59154" s="3161" customFormat="1" ht="12.75"/>
    <row r="59155" s="3161" customFormat="1" ht="12.75"/>
    <row r="59156" s="3161" customFormat="1" ht="12.75"/>
    <row r="59157" s="3161" customFormat="1" ht="12.75"/>
    <row r="59158" s="3161" customFormat="1" ht="12.75"/>
    <row r="59159" s="3161" customFormat="1" ht="12.75"/>
    <row r="59160" s="3161" customFormat="1" ht="12.75"/>
    <row r="59161" s="3161" customFormat="1" ht="12.75"/>
    <row r="59162" s="3161" customFormat="1" ht="12.75"/>
    <row r="59163" s="3161" customFormat="1" ht="12.75"/>
    <row r="59164" s="3161" customFormat="1" ht="12.75"/>
    <row r="59165" s="3161" customFormat="1" ht="12.75"/>
    <row r="59166" s="3161" customFormat="1" ht="12.75"/>
    <row r="59167" s="3161" customFormat="1" ht="12.75"/>
    <row r="59168" s="3161" customFormat="1" ht="12.75"/>
    <row r="59169" s="3161" customFormat="1" ht="12.75"/>
    <row r="59170" s="3161" customFormat="1" ht="12.75"/>
    <row r="59171" s="3161" customFormat="1" ht="12.75"/>
    <row r="59172" s="3161" customFormat="1" ht="12.75"/>
    <row r="59173" s="3161" customFormat="1" ht="12.75"/>
    <row r="59174" s="3161" customFormat="1" ht="12.75"/>
    <row r="59175" s="3161" customFormat="1" ht="12.75"/>
    <row r="59176" s="3161" customFormat="1" ht="12.75"/>
    <row r="59177" s="3161" customFormat="1" ht="12.75"/>
    <row r="59178" s="3161" customFormat="1" ht="12.75"/>
    <row r="59179" s="3161" customFormat="1" ht="12.75"/>
    <row r="59180" s="3161" customFormat="1" ht="12.75"/>
    <row r="59181" s="3161" customFormat="1" ht="12.75"/>
    <row r="59182" s="3161" customFormat="1" ht="12.75"/>
    <row r="59183" s="3161" customFormat="1" ht="12.75"/>
    <row r="59184" s="3161" customFormat="1" ht="12.75"/>
    <row r="59185" s="3161" customFormat="1" ht="12.75"/>
    <row r="59186" s="3161" customFormat="1" ht="12.75"/>
    <row r="59187" s="3161" customFormat="1" ht="12.75"/>
    <row r="59188" s="3161" customFormat="1" ht="12.75"/>
    <row r="59189" s="3161" customFormat="1" ht="12.75"/>
    <row r="59190" s="3161" customFormat="1" ht="12.75"/>
    <row r="59191" s="3161" customFormat="1" ht="12.75"/>
    <row r="59192" s="3161" customFormat="1" ht="12.75"/>
    <row r="59193" s="3161" customFormat="1" ht="12.75"/>
    <row r="59194" s="3161" customFormat="1" ht="12.75"/>
    <row r="59195" s="3161" customFormat="1" ht="12.75"/>
    <row r="59196" s="3161" customFormat="1" ht="12.75"/>
    <row r="59197" s="3161" customFormat="1" ht="12.75"/>
    <row r="59198" s="3161" customFormat="1" ht="12.75"/>
    <row r="59199" s="3161" customFormat="1" ht="12.75"/>
    <row r="59200" s="3161" customFormat="1" ht="12.75"/>
    <row r="59201" s="3161" customFormat="1" ht="12.75"/>
    <row r="59202" s="3161" customFormat="1" ht="12.75"/>
    <row r="59203" s="3161" customFormat="1" ht="12.75"/>
    <row r="59204" s="3161" customFormat="1" ht="12.75"/>
    <row r="59205" s="3161" customFormat="1" ht="12.75"/>
    <row r="59206" s="3161" customFormat="1" ht="12.75"/>
    <row r="59207" s="3161" customFormat="1" ht="12.75"/>
    <row r="59208" s="3161" customFormat="1" ht="12.75"/>
    <row r="59209" s="3161" customFormat="1" ht="12.75"/>
    <row r="59210" s="3161" customFormat="1" ht="12.75"/>
    <row r="59211" s="3161" customFormat="1" ht="12.75"/>
    <row r="59212" s="3161" customFormat="1" ht="12.75"/>
    <row r="59213" s="3161" customFormat="1" ht="12.75"/>
    <row r="59214" s="3161" customFormat="1" ht="12.75"/>
    <row r="59215" s="3161" customFormat="1" ht="12.75"/>
    <row r="59216" s="3161" customFormat="1" ht="12.75"/>
    <row r="59217" s="3161" customFormat="1" ht="12.75"/>
    <row r="59218" s="3161" customFormat="1" ht="12.75"/>
    <row r="59219" s="3161" customFormat="1" ht="12.75"/>
    <row r="59220" s="3161" customFormat="1" ht="12.75"/>
    <row r="59221" s="3161" customFormat="1" ht="12.75"/>
    <row r="59222" s="3161" customFormat="1" ht="12.75"/>
    <row r="59223" s="3161" customFormat="1" ht="12.75"/>
    <row r="59224" s="3161" customFormat="1" ht="12.75"/>
    <row r="59225" s="3161" customFormat="1" ht="12.75"/>
    <row r="59226" s="3161" customFormat="1" ht="12.75"/>
    <row r="59227" s="3161" customFormat="1" ht="12.75"/>
    <row r="59228" s="3161" customFormat="1" ht="12.75"/>
    <row r="59229" s="3161" customFormat="1" ht="12.75"/>
    <row r="59230" s="3161" customFormat="1" ht="12.75"/>
    <row r="59231" s="3161" customFormat="1" ht="12.75"/>
    <row r="59232" s="3161" customFormat="1" ht="12.75"/>
    <row r="59233" s="3161" customFormat="1" ht="12.75"/>
    <row r="59234" s="3161" customFormat="1" ht="12.75"/>
    <row r="59235" s="3161" customFormat="1" ht="12.75"/>
    <row r="59236" s="3161" customFormat="1" ht="12.75"/>
    <row r="59237" s="3161" customFormat="1" ht="12.75"/>
    <row r="59238" s="3161" customFormat="1" ht="12.75"/>
    <row r="59239" s="3161" customFormat="1" ht="12.75"/>
    <row r="59240" s="3161" customFormat="1" ht="12.75"/>
    <row r="59241" s="3161" customFormat="1" ht="12.75"/>
    <row r="59242" s="3161" customFormat="1" ht="12.75"/>
    <row r="59243" s="3161" customFormat="1" ht="12.75"/>
    <row r="59244" s="3161" customFormat="1" ht="12.75"/>
    <row r="59245" s="3161" customFormat="1" ht="12.75"/>
    <row r="59246" s="3161" customFormat="1" ht="12.75"/>
    <row r="59247" s="3161" customFormat="1" ht="12.75"/>
    <row r="59248" s="3161" customFormat="1" ht="12.75"/>
    <row r="59249" s="3161" customFormat="1" ht="12.75"/>
    <row r="59250" s="3161" customFormat="1" ht="12.75"/>
    <row r="59251" s="3161" customFormat="1" ht="12.75"/>
    <row r="59252" s="3161" customFormat="1" ht="12.75"/>
    <row r="59253" s="3161" customFormat="1" ht="12.75"/>
    <row r="59254" s="3161" customFormat="1" ht="12.75"/>
    <row r="59255" s="3161" customFormat="1" ht="12.75"/>
    <row r="59256" s="3161" customFormat="1" ht="12.75"/>
    <row r="59257" s="3161" customFormat="1" ht="12.75"/>
    <row r="59258" s="3161" customFormat="1" ht="12.75"/>
    <row r="59259" s="3161" customFormat="1" ht="12.75"/>
    <row r="59260" s="3161" customFormat="1" ht="12.75"/>
    <row r="59261" s="3161" customFormat="1" ht="12.75"/>
    <row r="59262" s="3161" customFormat="1" ht="12.75"/>
    <row r="59263" s="3161" customFormat="1" ht="12.75"/>
    <row r="59264" s="3161" customFormat="1" ht="12.75"/>
    <row r="59265" s="3161" customFormat="1" ht="12.75"/>
    <row r="59266" s="3161" customFormat="1" ht="12.75"/>
    <row r="59267" s="3161" customFormat="1" ht="12.75"/>
    <row r="59268" s="3161" customFormat="1" ht="12.75"/>
    <row r="59269" s="3161" customFormat="1" ht="12.75"/>
    <row r="59270" s="3161" customFormat="1" ht="12.75"/>
    <row r="59271" s="3161" customFormat="1" ht="12.75"/>
    <row r="59272" s="3161" customFormat="1" ht="12.75"/>
    <row r="59273" s="3161" customFormat="1" ht="12.75"/>
    <row r="59274" s="3161" customFormat="1" ht="12.75"/>
    <row r="59275" s="3161" customFormat="1" ht="12.75"/>
    <row r="59276" s="3161" customFormat="1" ht="12.75"/>
    <row r="59277" s="3161" customFormat="1" ht="12.75"/>
    <row r="59278" s="3161" customFormat="1" ht="12.75"/>
    <row r="59279" s="3161" customFormat="1" ht="12.75"/>
    <row r="59280" s="3161" customFormat="1" ht="12.75"/>
    <row r="59281" s="3161" customFormat="1" ht="12.75"/>
    <row r="59282" s="3161" customFormat="1" ht="12.75"/>
    <row r="59283" s="3161" customFormat="1" ht="12.75"/>
    <row r="59284" s="3161" customFormat="1" ht="12.75"/>
    <row r="59285" s="3161" customFormat="1" ht="12.75"/>
    <row r="59286" s="3161" customFormat="1" ht="12.75"/>
    <row r="59287" s="3161" customFormat="1" ht="12.75"/>
    <row r="59288" s="3161" customFormat="1" ht="12.75"/>
    <row r="59289" s="3161" customFormat="1" ht="12.75"/>
    <row r="59290" s="3161" customFormat="1" ht="12.75"/>
    <row r="59291" s="3161" customFormat="1" ht="12.75"/>
    <row r="59292" s="3161" customFormat="1" ht="12.75"/>
    <row r="59293" s="3161" customFormat="1" ht="12.75"/>
    <row r="59294" s="3161" customFormat="1" ht="12.75"/>
    <row r="59295" s="3161" customFormat="1" ht="12.75"/>
    <row r="59296" s="3161" customFormat="1" ht="12.75"/>
    <row r="59297" s="3161" customFormat="1" ht="12.75"/>
    <row r="59298" s="3161" customFormat="1" ht="12.75"/>
    <row r="59299" s="3161" customFormat="1" ht="12.75"/>
    <row r="59300" s="3161" customFormat="1" ht="12.75"/>
    <row r="59301" s="3161" customFormat="1" ht="12.75"/>
    <row r="59302" s="3161" customFormat="1" ht="12.75"/>
    <row r="59303" s="3161" customFormat="1" ht="12.75"/>
    <row r="59304" s="3161" customFormat="1" ht="12.75"/>
    <row r="59305" s="3161" customFormat="1" ht="12.75"/>
    <row r="59306" s="3161" customFormat="1" ht="12.75"/>
    <row r="59307" s="3161" customFormat="1" ht="12.75"/>
    <row r="59308" s="3161" customFormat="1" ht="12.75"/>
    <row r="59309" s="3161" customFormat="1" ht="12.75"/>
    <row r="59310" s="3161" customFormat="1" ht="12.75"/>
    <row r="59311" s="3161" customFormat="1" ht="12.75"/>
    <row r="59312" s="3161" customFormat="1" ht="12.75"/>
    <row r="59313" s="3161" customFormat="1" ht="12.75"/>
    <row r="59314" s="3161" customFormat="1" ht="12.75"/>
    <row r="59315" s="3161" customFormat="1" ht="12.75"/>
    <row r="59316" s="3161" customFormat="1" ht="12.75"/>
    <row r="59317" s="3161" customFormat="1" ht="12.75"/>
    <row r="59318" s="3161" customFormat="1" ht="12.75"/>
    <row r="59319" s="3161" customFormat="1" ht="12.75"/>
    <row r="59320" s="3161" customFormat="1" ht="12.75"/>
    <row r="59321" s="3161" customFormat="1" ht="12.75"/>
    <row r="59322" s="3161" customFormat="1" ht="12.75"/>
    <row r="59323" s="3161" customFormat="1" ht="12.75"/>
    <row r="59324" s="3161" customFormat="1" ht="12.75"/>
    <row r="59325" s="3161" customFormat="1" ht="12.75"/>
    <row r="59326" s="3161" customFormat="1" ht="12.75"/>
    <row r="59327" s="3161" customFormat="1" ht="12.75"/>
    <row r="59328" s="3161" customFormat="1" ht="12.75"/>
    <row r="59329" s="3161" customFormat="1" ht="12.75"/>
    <row r="59330" s="3161" customFormat="1" ht="12.75"/>
    <row r="59331" s="3161" customFormat="1" ht="12.75"/>
    <row r="59332" s="3161" customFormat="1" ht="12.75"/>
    <row r="59333" s="3161" customFormat="1" ht="12.75"/>
    <row r="59334" s="3161" customFormat="1" ht="12.75"/>
    <row r="59335" s="3161" customFormat="1" ht="12.75"/>
    <row r="59336" s="3161" customFormat="1" ht="12.75"/>
    <row r="59337" s="3161" customFormat="1" ht="12.75"/>
    <row r="59338" s="3161" customFormat="1" ht="12.75"/>
    <row r="59339" s="3161" customFormat="1" ht="12.75"/>
    <row r="59340" s="3161" customFormat="1" ht="12.75"/>
    <row r="59341" s="3161" customFormat="1" ht="12.75"/>
    <row r="59342" s="3161" customFormat="1" ht="12.75"/>
    <row r="59343" s="3161" customFormat="1" ht="12.75"/>
    <row r="59344" s="3161" customFormat="1" ht="12.75"/>
    <row r="59345" s="3161" customFormat="1" ht="12.75"/>
    <row r="59346" s="3161" customFormat="1" ht="12.75"/>
    <row r="59347" s="3161" customFormat="1" ht="12.75"/>
    <row r="59348" s="3161" customFormat="1" ht="12.75"/>
    <row r="59349" s="3161" customFormat="1" ht="12.75"/>
    <row r="59350" s="3161" customFormat="1" ht="12.75"/>
    <row r="59351" s="3161" customFormat="1" ht="12.75"/>
    <row r="59352" s="3161" customFormat="1" ht="12.75"/>
    <row r="59353" s="3161" customFormat="1" ht="12.75"/>
    <row r="59354" s="3161" customFormat="1" ht="12.75"/>
    <row r="59355" s="3161" customFormat="1" ht="12.75"/>
    <row r="59356" s="3161" customFormat="1" ht="12.75"/>
    <row r="59357" s="3161" customFormat="1" ht="12.75"/>
    <row r="59358" s="3161" customFormat="1" ht="12.75"/>
    <row r="59359" s="3161" customFormat="1" ht="12.75"/>
    <row r="59360" s="3161" customFormat="1" ht="12.75"/>
    <row r="59361" s="3161" customFormat="1" ht="12.75"/>
    <row r="59362" s="3161" customFormat="1" ht="12.75"/>
    <row r="59363" s="3161" customFormat="1" ht="12.75"/>
    <row r="59364" s="3161" customFormat="1" ht="12.75"/>
    <row r="59365" s="3161" customFormat="1" ht="12.75"/>
    <row r="59366" s="3161" customFormat="1" ht="12.75"/>
    <row r="59367" s="3161" customFormat="1" ht="12.75"/>
    <row r="59368" s="3161" customFormat="1" ht="12.75"/>
    <row r="59369" s="3161" customFormat="1" ht="12.75"/>
    <row r="59370" s="3161" customFormat="1" ht="12.75"/>
    <row r="59371" s="3161" customFormat="1" ht="12.75"/>
    <row r="59372" s="3161" customFormat="1" ht="12.75"/>
    <row r="59373" s="3161" customFormat="1" ht="12.75"/>
    <row r="59374" s="3161" customFormat="1" ht="12.75"/>
    <row r="59375" s="3161" customFormat="1" ht="12.75"/>
    <row r="59376" s="3161" customFormat="1" ht="12.75"/>
    <row r="59377" s="3161" customFormat="1" ht="12.75"/>
    <row r="59378" s="3161" customFormat="1" ht="12.75"/>
    <row r="59379" s="3161" customFormat="1" ht="12.75"/>
    <row r="59380" s="3161" customFormat="1" ht="12.75"/>
    <row r="59381" s="3161" customFormat="1" ht="12.75"/>
    <row r="59382" s="3161" customFormat="1" ht="12.75"/>
    <row r="59383" s="3161" customFormat="1" ht="12.75"/>
    <row r="59384" s="3161" customFormat="1" ht="12.75"/>
    <row r="59385" s="3161" customFormat="1" ht="12.75"/>
    <row r="59386" s="3161" customFormat="1" ht="12.75"/>
    <row r="59387" s="3161" customFormat="1" ht="12.75"/>
    <row r="59388" s="3161" customFormat="1" ht="12.75"/>
    <row r="59389" s="3161" customFormat="1" ht="12.75"/>
    <row r="59390" s="3161" customFormat="1" ht="12.75"/>
    <row r="59391" s="3161" customFormat="1" ht="12.75"/>
    <row r="59392" s="3161" customFormat="1" ht="12.75"/>
    <row r="59393" s="3161" customFormat="1" ht="12.75"/>
    <row r="59394" s="3161" customFormat="1" ht="12.75"/>
    <row r="59395" s="3161" customFormat="1" ht="12.75"/>
    <row r="59396" s="3161" customFormat="1" ht="12.75"/>
    <row r="59397" s="3161" customFormat="1" ht="12.75"/>
    <row r="59398" s="3161" customFormat="1" ht="12.75"/>
    <row r="59399" s="3161" customFormat="1" ht="12.75"/>
    <row r="59400" s="3161" customFormat="1" ht="12.75"/>
    <row r="59401" s="3161" customFormat="1" ht="12.75"/>
    <row r="59402" s="3161" customFormat="1" ht="12.75"/>
    <row r="59403" s="3161" customFormat="1" ht="12.75"/>
    <row r="59404" s="3161" customFormat="1" ht="12.75"/>
    <row r="59405" s="3161" customFormat="1" ht="12.75"/>
    <row r="59406" s="3161" customFormat="1" ht="12.75"/>
    <row r="59407" s="3161" customFormat="1" ht="12.75"/>
    <row r="59408" s="3161" customFormat="1" ht="12.75"/>
    <row r="59409" s="3161" customFormat="1" ht="12.75"/>
    <row r="59410" s="3161" customFormat="1" ht="12.75"/>
    <row r="59411" s="3161" customFormat="1" ht="12.75"/>
    <row r="59412" s="3161" customFormat="1" ht="12.75"/>
    <row r="59413" s="3161" customFormat="1" ht="12.75"/>
    <row r="59414" s="3161" customFormat="1" ht="12.75"/>
    <row r="59415" s="3161" customFormat="1" ht="12.75"/>
    <row r="59416" s="3161" customFormat="1" ht="12.75"/>
    <row r="59417" s="3161" customFormat="1" ht="12.75"/>
    <row r="59418" s="3161" customFormat="1" ht="12.75"/>
    <row r="59419" s="3161" customFormat="1" ht="12.75"/>
    <row r="59420" s="3161" customFormat="1" ht="12.75"/>
    <row r="59421" s="3161" customFormat="1" ht="12.75"/>
    <row r="59422" s="3161" customFormat="1" ht="12.75"/>
    <row r="59423" s="3161" customFormat="1" ht="12.75"/>
    <row r="59424" s="3161" customFormat="1" ht="12.75"/>
    <row r="59425" s="3161" customFormat="1" ht="12.75"/>
    <row r="59426" s="3161" customFormat="1" ht="12.75"/>
    <row r="59427" s="3161" customFormat="1" ht="12.75"/>
    <row r="59428" s="3161" customFormat="1" ht="12.75"/>
    <row r="59429" s="3161" customFormat="1" ht="12.75"/>
    <row r="59430" s="3161" customFormat="1" ht="12.75"/>
    <row r="59431" s="3161" customFormat="1" ht="12.75"/>
    <row r="59432" s="3161" customFormat="1" ht="12.75"/>
    <row r="59433" s="3161" customFormat="1" ht="12.75"/>
    <row r="59434" s="3161" customFormat="1" ht="12.75"/>
    <row r="59435" s="3161" customFormat="1" ht="12.75"/>
    <row r="59436" s="3161" customFormat="1" ht="12.75"/>
    <row r="59437" s="3161" customFormat="1" ht="12.75"/>
    <row r="59438" s="3161" customFormat="1" ht="12.75"/>
    <row r="59439" s="3161" customFormat="1" ht="12.75"/>
    <row r="59440" s="3161" customFormat="1" ht="12.75"/>
    <row r="59441" s="3161" customFormat="1" ht="12.75"/>
    <row r="59442" s="3161" customFormat="1" ht="12.75"/>
    <row r="59443" s="3161" customFormat="1" ht="12.75"/>
    <row r="59444" s="3161" customFormat="1" ht="12.75"/>
    <row r="59445" s="3161" customFormat="1" ht="12.75"/>
    <row r="59446" s="3161" customFormat="1" ht="12.75"/>
    <row r="59447" s="3161" customFormat="1" ht="12.75"/>
    <row r="59448" s="3161" customFormat="1" ht="12.75"/>
    <row r="59449" s="3161" customFormat="1" ht="12.75"/>
    <row r="59450" s="3161" customFormat="1" ht="12.75"/>
    <row r="59451" s="3161" customFormat="1" ht="12.75"/>
    <row r="59452" s="3161" customFormat="1" ht="12.75"/>
    <row r="59453" s="3161" customFormat="1" ht="12.75"/>
    <row r="59454" s="3161" customFormat="1" ht="12.75"/>
    <row r="59455" s="3161" customFormat="1" ht="12.75"/>
    <row r="59456" s="3161" customFormat="1" ht="12.75"/>
    <row r="59457" s="3161" customFormat="1" ht="12.75"/>
    <row r="59458" s="3161" customFormat="1" ht="12.75"/>
    <row r="59459" s="3161" customFormat="1" ht="12.75"/>
    <row r="59460" s="3161" customFormat="1" ht="12.75"/>
    <row r="59461" s="3161" customFormat="1" ht="12.75"/>
    <row r="59462" s="3161" customFormat="1" ht="12.75"/>
    <row r="59463" s="3161" customFormat="1" ht="12.75"/>
    <row r="59464" s="3161" customFormat="1" ht="12.75"/>
    <row r="59465" s="3161" customFormat="1" ht="12.75"/>
    <row r="59466" s="3161" customFormat="1" ht="12.75"/>
    <row r="59467" s="3161" customFormat="1" ht="12.75"/>
    <row r="59468" s="3161" customFormat="1" ht="12.75"/>
    <row r="59469" s="3161" customFormat="1" ht="12.75"/>
    <row r="59470" s="3161" customFormat="1" ht="12.75"/>
    <row r="59471" s="3161" customFormat="1" ht="12.75"/>
    <row r="59472" s="3161" customFormat="1" ht="12.75"/>
    <row r="59473" s="3161" customFormat="1" ht="12.75"/>
    <row r="59474" s="3161" customFormat="1" ht="12.75"/>
    <row r="59475" s="3161" customFormat="1" ht="12.75"/>
    <row r="59476" s="3161" customFormat="1" ht="12.75"/>
    <row r="59477" s="3161" customFormat="1" ht="12.75"/>
    <row r="59478" s="3161" customFormat="1" ht="12.75"/>
    <row r="59479" s="3161" customFormat="1" ht="12.75"/>
    <row r="59480" s="3161" customFormat="1" ht="12.75"/>
    <row r="59481" s="3161" customFormat="1" ht="12.75"/>
    <row r="59482" s="3161" customFormat="1" ht="12.75"/>
    <row r="59483" s="3161" customFormat="1" ht="12.75"/>
    <row r="59484" s="3161" customFormat="1" ht="12.75"/>
    <row r="59485" s="3161" customFormat="1" ht="12.75"/>
    <row r="59486" s="3161" customFormat="1" ht="12.75"/>
    <row r="59487" s="3161" customFormat="1" ht="12.75"/>
    <row r="59488" s="3161" customFormat="1" ht="12.75"/>
    <row r="59489" s="3161" customFormat="1" ht="12.75"/>
    <row r="59490" s="3161" customFormat="1" ht="12.75"/>
    <row r="59491" s="3161" customFormat="1" ht="12.75"/>
    <row r="59492" s="3161" customFormat="1" ht="12.75"/>
    <row r="59493" s="3161" customFormat="1" ht="12.75"/>
    <row r="59494" s="3161" customFormat="1" ht="12.75"/>
    <row r="59495" s="3161" customFormat="1" ht="12.75"/>
    <row r="59496" s="3161" customFormat="1" ht="12.75"/>
    <row r="59497" s="3161" customFormat="1" ht="12.75"/>
    <row r="59498" s="3161" customFormat="1" ht="12.75"/>
    <row r="59499" s="3161" customFormat="1" ht="12.75"/>
    <row r="59500" s="3161" customFormat="1" ht="12.75"/>
    <row r="59501" s="3161" customFormat="1" ht="12.75"/>
    <row r="59502" s="3161" customFormat="1" ht="12.75"/>
    <row r="59503" s="3161" customFormat="1" ht="12.75"/>
    <row r="59504" s="3161" customFormat="1" ht="12.75"/>
    <row r="59505" s="3161" customFormat="1" ht="12.75"/>
    <row r="59506" s="3161" customFormat="1" ht="12.75"/>
    <row r="59507" s="3161" customFormat="1" ht="12.75"/>
    <row r="59508" s="3161" customFormat="1" ht="12.75"/>
    <row r="59509" s="3161" customFormat="1" ht="12.75"/>
    <row r="59510" s="3161" customFormat="1" ht="12.75"/>
    <row r="59511" s="3161" customFormat="1" ht="12.75"/>
    <row r="59512" s="3161" customFormat="1" ht="12.75"/>
    <row r="59513" s="3161" customFormat="1" ht="12.75"/>
    <row r="59514" s="3161" customFormat="1" ht="12.75"/>
    <row r="59515" s="3161" customFormat="1" ht="12.75"/>
    <row r="59516" s="3161" customFormat="1" ht="12.75"/>
    <row r="59517" s="3161" customFormat="1" ht="12.75"/>
    <row r="59518" s="3161" customFormat="1" ht="12.75"/>
    <row r="59519" s="3161" customFormat="1" ht="12.75"/>
    <row r="59520" s="3161" customFormat="1" ht="12.75"/>
    <row r="59521" s="3161" customFormat="1" ht="12.75"/>
    <row r="59522" s="3161" customFormat="1" ht="12.75"/>
    <row r="59523" s="3161" customFormat="1" ht="12.75"/>
    <row r="59524" s="3161" customFormat="1" ht="12.75"/>
    <row r="59525" s="3161" customFormat="1" ht="12.75"/>
    <row r="59526" s="3161" customFormat="1" ht="12.75"/>
    <row r="59527" s="3161" customFormat="1" ht="12.75"/>
    <row r="59528" s="3161" customFormat="1" ht="12.75"/>
    <row r="59529" s="3161" customFormat="1" ht="12.75"/>
    <row r="59530" s="3161" customFormat="1" ht="12.75"/>
    <row r="59531" s="3161" customFormat="1" ht="12.75"/>
    <row r="59532" s="3161" customFormat="1" ht="12.75"/>
    <row r="59533" s="3161" customFormat="1" ht="12.75"/>
    <row r="59534" s="3161" customFormat="1" ht="12.75"/>
    <row r="59535" s="3161" customFormat="1" ht="12.75"/>
    <row r="59536" s="3161" customFormat="1" ht="12.75"/>
    <row r="59537" s="3161" customFormat="1" ht="12.75"/>
    <row r="59538" s="3161" customFormat="1" ht="12.75"/>
    <row r="59539" s="3161" customFormat="1" ht="12.75"/>
    <row r="59540" s="3161" customFormat="1" ht="12.75"/>
    <row r="59541" s="3161" customFormat="1" ht="12.75"/>
    <row r="59542" s="3161" customFormat="1" ht="12.75"/>
    <row r="59543" s="3161" customFormat="1" ht="12.75"/>
    <row r="59544" s="3161" customFormat="1" ht="12.75"/>
    <row r="59545" s="3161" customFormat="1" ht="12.75"/>
    <row r="59546" s="3161" customFormat="1" ht="12.75"/>
    <row r="59547" s="3161" customFormat="1" ht="12.75"/>
    <row r="59548" s="3161" customFormat="1" ht="12.75"/>
    <row r="59549" s="3161" customFormat="1" ht="12.75"/>
    <row r="59550" s="3161" customFormat="1" ht="12.75"/>
    <row r="59551" s="3161" customFormat="1" ht="12.75"/>
    <row r="59552" s="3161" customFormat="1" ht="12.75"/>
    <row r="59553" s="3161" customFormat="1" ht="12.75"/>
    <row r="59554" s="3161" customFormat="1" ht="12.75"/>
    <row r="59555" s="3161" customFormat="1" ht="12.75"/>
    <row r="59556" s="3161" customFormat="1" ht="12.75"/>
    <row r="59557" s="3161" customFormat="1" ht="12.75"/>
    <row r="59558" s="3161" customFormat="1" ht="12.75"/>
    <row r="59559" s="3161" customFormat="1" ht="12.75"/>
    <row r="59560" s="3161" customFormat="1" ht="12.75"/>
    <row r="59561" s="3161" customFormat="1" ht="12.75"/>
    <row r="59562" s="3161" customFormat="1" ht="12.75"/>
    <row r="59563" s="3161" customFormat="1" ht="12.75"/>
    <row r="59564" s="3161" customFormat="1" ht="12.75"/>
    <row r="59565" s="3161" customFormat="1" ht="12.75"/>
    <row r="59566" s="3161" customFormat="1" ht="12.75"/>
    <row r="59567" s="3161" customFormat="1" ht="12.75"/>
    <row r="59568" s="3161" customFormat="1" ht="12.75"/>
    <row r="59569" s="3161" customFormat="1" ht="12.75"/>
    <row r="59570" s="3161" customFormat="1" ht="12.75"/>
    <row r="59571" s="3161" customFormat="1" ht="12.75"/>
    <row r="59572" s="3161" customFormat="1" ht="12.75"/>
    <row r="59573" s="3161" customFormat="1" ht="12.75"/>
    <row r="59574" s="3161" customFormat="1" ht="12.75"/>
    <row r="59575" s="3161" customFormat="1" ht="12.75"/>
    <row r="59576" s="3161" customFormat="1" ht="12.75"/>
    <row r="59577" s="3161" customFormat="1" ht="12.75"/>
    <row r="59578" s="3161" customFormat="1" ht="12.75"/>
    <row r="59579" s="3161" customFormat="1" ht="12.75"/>
    <row r="59580" s="3161" customFormat="1" ht="12.75"/>
    <row r="59581" s="3161" customFormat="1" ht="12.75"/>
    <row r="59582" s="3161" customFormat="1" ht="12.75"/>
    <row r="59583" s="3161" customFormat="1" ht="12.75"/>
    <row r="59584" s="3161" customFormat="1" ht="12.75"/>
    <row r="59585" s="3161" customFormat="1" ht="12.75"/>
    <row r="59586" s="3161" customFormat="1" ht="12.75"/>
    <row r="59587" s="3161" customFormat="1" ht="12.75"/>
    <row r="59588" s="3161" customFormat="1" ht="12.75"/>
    <row r="59589" s="3161" customFormat="1" ht="12.75"/>
    <row r="59590" s="3161" customFormat="1" ht="12.75"/>
    <row r="59591" s="3161" customFormat="1" ht="12.75"/>
    <row r="59592" s="3161" customFormat="1" ht="12.75"/>
    <row r="59593" s="3161" customFormat="1" ht="12.75"/>
    <row r="59594" s="3161" customFormat="1" ht="12.75"/>
    <row r="59595" s="3161" customFormat="1" ht="12.75"/>
    <row r="59596" s="3161" customFormat="1" ht="12.75"/>
    <row r="59597" s="3161" customFormat="1" ht="12.75"/>
    <row r="59598" s="3161" customFormat="1" ht="12.75"/>
    <row r="59599" s="3161" customFormat="1" ht="12.75"/>
    <row r="59600" s="3161" customFormat="1" ht="12.75"/>
    <row r="59601" s="3161" customFormat="1" ht="12.75"/>
    <row r="59602" s="3161" customFormat="1" ht="12.75"/>
    <row r="59603" s="3161" customFormat="1" ht="12.75"/>
    <row r="59604" s="3161" customFormat="1" ht="12.75"/>
    <row r="59605" s="3161" customFormat="1" ht="12.75"/>
    <row r="59606" s="3161" customFormat="1" ht="12.75"/>
    <row r="59607" s="3161" customFormat="1" ht="12.75"/>
    <row r="59608" s="3161" customFormat="1" ht="12.75"/>
    <row r="59609" s="3161" customFormat="1" ht="12.75"/>
    <row r="59610" s="3161" customFormat="1" ht="12.75"/>
    <row r="59611" s="3161" customFormat="1" ht="12.75"/>
    <row r="59612" s="3161" customFormat="1" ht="12.75"/>
    <row r="59613" s="3161" customFormat="1" ht="12.75"/>
    <row r="59614" s="3161" customFormat="1" ht="12.75"/>
    <row r="59615" s="3161" customFormat="1" ht="12.75"/>
    <row r="59616" s="3161" customFormat="1" ht="12.75"/>
    <row r="59617" s="3161" customFormat="1" ht="12.75"/>
    <row r="59618" s="3161" customFormat="1" ht="12.75"/>
    <row r="59619" s="3161" customFormat="1" ht="12.75"/>
    <row r="59620" s="3161" customFormat="1" ht="12.75"/>
    <row r="59621" s="3161" customFormat="1" ht="12.75"/>
    <row r="59622" s="3161" customFormat="1" ht="12.75"/>
    <row r="59623" s="3161" customFormat="1" ht="12.75"/>
    <row r="59624" s="3161" customFormat="1" ht="12.75"/>
    <row r="59625" s="3161" customFormat="1" ht="12.75"/>
    <row r="59626" s="3161" customFormat="1" ht="12.75"/>
    <row r="59627" s="3161" customFormat="1" ht="12.75"/>
    <row r="59628" s="3161" customFormat="1" ht="12.75"/>
    <row r="59629" s="3161" customFormat="1" ht="12.75"/>
    <row r="59630" s="3161" customFormat="1" ht="12.75"/>
    <row r="59631" s="3161" customFormat="1" ht="12.75"/>
    <row r="59632" s="3161" customFormat="1" ht="12.75"/>
    <row r="59633" s="3161" customFormat="1" ht="12.75"/>
    <row r="59634" s="3161" customFormat="1" ht="12.75"/>
    <row r="59635" s="3161" customFormat="1" ht="12.75"/>
    <row r="59636" s="3161" customFormat="1" ht="12.75"/>
    <row r="59637" s="3161" customFormat="1" ht="12.75"/>
    <row r="59638" s="3161" customFormat="1" ht="12.75"/>
    <row r="59639" s="3161" customFormat="1" ht="12.75"/>
    <row r="59640" s="3161" customFormat="1" ht="12.75"/>
    <row r="59641" s="3161" customFormat="1" ht="12.75"/>
    <row r="59642" s="3161" customFormat="1" ht="12.75"/>
    <row r="59643" s="3161" customFormat="1" ht="12.75"/>
    <row r="59644" s="3161" customFormat="1" ht="12.75"/>
    <row r="59645" s="3161" customFormat="1" ht="12.75"/>
    <row r="59646" s="3161" customFormat="1" ht="12.75"/>
    <row r="59647" s="3161" customFormat="1" ht="12.75"/>
    <row r="59648" s="3161" customFormat="1" ht="12.75"/>
    <row r="59649" s="3161" customFormat="1" ht="12.75"/>
    <row r="59650" s="3161" customFormat="1" ht="12.75"/>
    <row r="59651" s="3161" customFormat="1" ht="12.75"/>
    <row r="59652" s="3161" customFormat="1" ht="12.75"/>
    <row r="59653" s="3161" customFormat="1" ht="12.75"/>
    <row r="59654" s="3161" customFormat="1" ht="12.75"/>
    <row r="59655" s="3161" customFormat="1" ht="12.75"/>
    <row r="59656" s="3161" customFormat="1" ht="12.75"/>
    <row r="59657" s="3161" customFormat="1" ht="12.75"/>
    <row r="59658" s="3161" customFormat="1" ht="12.75"/>
    <row r="59659" s="3161" customFormat="1" ht="12.75"/>
    <row r="59660" s="3161" customFormat="1" ht="12.75"/>
    <row r="59661" s="3161" customFormat="1" ht="12.75"/>
    <row r="59662" s="3161" customFormat="1" ht="12.75"/>
    <row r="59663" s="3161" customFormat="1" ht="12.75"/>
    <row r="59664" s="3161" customFormat="1" ht="12.75"/>
    <row r="59665" s="3161" customFormat="1" ht="12.75"/>
    <row r="59666" s="3161" customFormat="1" ht="12.75"/>
    <row r="59667" s="3161" customFormat="1" ht="12.75"/>
    <row r="59668" s="3161" customFormat="1" ht="12.75"/>
    <row r="59669" s="3161" customFormat="1" ht="12.75"/>
    <row r="59670" s="3161" customFormat="1" ht="12.75"/>
    <row r="59671" s="3161" customFormat="1" ht="12.75"/>
    <row r="59672" s="3161" customFormat="1" ht="12.75"/>
    <row r="59673" s="3161" customFormat="1" ht="12.75"/>
    <row r="59674" s="3161" customFormat="1" ht="12.75"/>
    <row r="59675" s="3161" customFormat="1" ht="12.75"/>
    <row r="59676" s="3161" customFormat="1" ht="12.75"/>
    <row r="59677" s="3161" customFormat="1" ht="12.75"/>
    <row r="59678" s="3161" customFormat="1" ht="12.75"/>
    <row r="59679" s="3161" customFormat="1" ht="12.75"/>
    <row r="59680" s="3161" customFormat="1" ht="12.75"/>
    <row r="59681" s="3161" customFormat="1" ht="12.75"/>
    <row r="59682" s="3161" customFormat="1" ht="12.75"/>
    <row r="59683" s="3161" customFormat="1" ht="12.75"/>
    <row r="59684" s="3161" customFormat="1" ht="12.75"/>
    <row r="59685" s="3161" customFormat="1" ht="12.75"/>
    <row r="59686" s="3161" customFormat="1" ht="12.75"/>
    <row r="59687" s="3161" customFormat="1" ht="12.75"/>
    <row r="59688" s="3161" customFormat="1" ht="12.75"/>
    <row r="59689" s="3161" customFormat="1" ht="12.75"/>
    <row r="59690" s="3161" customFormat="1" ht="12.75"/>
    <row r="59691" s="3161" customFormat="1" ht="12.75"/>
    <row r="59692" s="3161" customFormat="1" ht="12.75"/>
    <row r="59693" s="3161" customFormat="1" ht="12.75"/>
    <row r="59694" s="3161" customFormat="1" ht="12.75"/>
    <row r="59695" s="3161" customFormat="1" ht="12.75"/>
    <row r="59696" s="3161" customFormat="1" ht="12.75"/>
    <row r="59697" s="3161" customFormat="1" ht="12.75"/>
    <row r="59698" s="3161" customFormat="1" ht="12.75"/>
    <row r="59699" s="3161" customFormat="1" ht="12.75"/>
    <row r="59700" s="3161" customFormat="1" ht="12.75"/>
    <row r="59701" s="3161" customFormat="1" ht="12.75"/>
    <row r="59702" s="3161" customFormat="1" ht="12.75"/>
    <row r="59703" s="3161" customFormat="1" ht="12.75"/>
    <row r="59704" s="3161" customFormat="1" ht="12.75"/>
    <row r="59705" s="3161" customFormat="1" ht="12.75"/>
    <row r="59706" s="3161" customFormat="1" ht="12.75"/>
    <row r="59707" s="3161" customFormat="1" ht="12.75"/>
    <row r="59708" s="3161" customFormat="1" ht="12.75"/>
    <row r="59709" s="3161" customFormat="1" ht="12.75"/>
    <row r="59710" s="3161" customFormat="1" ht="12.75"/>
    <row r="59711" s="3161" customFormat="1" ht="12.75"/>
    <row r="59712" s="3161" customFormat="1" ht="12.75"/>
    <row r="59713" s="3161" customFormat="1" ht="12.75"/>
    <row r="59714" s="3161" customFormat="1" ht="12.75"/>
    <row r="59715" s="3161" customFormat="1" ht="12.75"/>
    <row r="59716" s="3161" customFormat="1" ht="12.75"/>
    <row r="59717" s="3161" customFormat="1" ht="12.75"/>
    <row r="59718" s="3161" customFormat="1" ht="12.75"/>
    <row r="59719" s="3161" customFormat="1" ht="12.75"/>
    <row r="59720" s="3161" customFormat="1" ht="12.75"/>
    <row r="59721" s="3161" customFormat="1" ht="12.75"/>
    <row r="59722" s="3161" customFormat="1" ht="12.75"/>
    <row r="59723" s="3161" customFormat="1" ht="12.75"/>
    <row r="59724" s="3161" customFormat="1" ht="12.75"/>
    <row r="59725" s="3161" customFormat="1" ht="12.75"/>
    <row r="59726" s="3161" customFormat="1" ht="12.75"/>
    <row r="59727" s="3161" customFormat="1" ht="12.75"/>
    <row r="59728" s="3161" customFormat="1" ht="12.75"/>
    <row r="59729" s="3161" customFormat="1" ht="12.75"/>
    <row r="59730" s="3161" customFormat="1" ht="12.75"/>
    <row r="59731" s="3161" customFormat="1" ht="12.75"/>
    <row r="59732" s="3161" customFormat="1" ht="12.75"/>
    <row r="59733" s="3161" customFormat="1" ht="12.75"/>
    <row r="59734" s="3161" customFormat="1" ht="12.75"/>
    <row r="59735" s="3161" customFormat="1" ht="12.75"/>
    <row r="59736" s="3161" customFormat="1" ht="12.75"/>
    <row r="59737" s="3161" customFormat="1" ht="12.75"/>
    <row r="59738" s="3161" customFormat="1" ht="12.75"/>
    <row r="59739" s="3161" customFormat="1" ht="12.75"/>
    <row r="59740" s="3161" customFormat="1" ht="12.75"/>
    <row r="59741" s="3161" customFormat="1" ht="12.75"/>
    <row r="59742" s="3161" customFormat="1" ht="12.75"/>
    <row r="59743" s="3161" customFormat="1" ht="12.75"/>
    <row r="59744" s="3161" customFormat="1" ht="12.75"/>
    <row r="59745" s="3161" customFormat="1" ht="12.75"/>
    <row r="59746" s="3161" customFormat="1" ht="12.75"/>
    <row r="59747" s="3161" customFormat="1" ht="12.75"/>
    <row r="59748" s="3161" customFormat="1" ht="12.75"/>
    <row r="59749" s="3161" customFormat="1" ht="12.75"/>
    <row r="59750" s="3161" customFormat="1" ht="12.75"/>
    <row r="59751" s="3161" customFormat="1" ht="12.75"/>
    <row r="59752" s="3161" customFormat="1" ht="12.75"/>
    <row r="59753" s="3161" customFormat="1" ht="12.75"/>
    <row r="59754" s="3161" customFormat="1" ht="12.75"/>
    <row r="59755" s="3161" customFormat="1" ht="12.75"/>
    <row r="59756" s="3161" customFormat="1" ht="12.75"/>
    <row r="59757" s="3161" customFormat="1" ht="12.75"/>
    <row r="59758" s="3161" customFormat="1" ht="12.75"/>
    <row r="59759" s="3161" customFormat="1" ht="12.75"/>
    <row r="59760" s="3161" customFormat="1" ht="12.75"/>
    <row r="59761" s="3161" customFormat="1" ht="12.75"/>
    <row r="59762" s="3161" customFormat="1" ht="12.75"/>
    <row r="59763" s="3161" customFormat="1" ht="12.75"/>
    <row r="59764" s="3161" customFormat="1" ht="12.75"/>
    <row r="59765" s="3161" customFormat="1" ht="12.75"/>
    <row r="59766" s="3161" customFormat="1" ht="12.75"/>
    <row r="59767" s="3161" customFormat="1" ht="12.75"/>
    <row r="59768" s="3161" customFormat="1" ht="12.75"/>
    <row r="59769" s="3161" customFormat="1" ht="12.75"/>
    <row r="59770" s="3161" customFormat="1" ht="12.75"/>
    <row r="59771" s="3161" customFormat="1" ht="12.75"/>
    <row r="59772" s="3161" customFormat="1" ht="12.75"/>
    <row r="59773" s="3161" customFormat="1" ht="12.75"/>
    <row r="59774" s="3161" customFormat="1" ht="12.75"/>
    <row r="59775" s="3161" customFormat="1" ht="12.75"/>
    <row r="59776" s="3161" customFormat="1" ht="12.75"/>
    <row r="59777" s="3161" customFormat="1" ht="12.75"/>
    <row r="59778" s="3161" customFormat="1" ht="12.75"/>
    <row r="59779" s="3161" customFormat="1" ht="12.75"/>
    <row r="59780" s="3161" customFormat="1" ht="12.75"/>
    <row r="59781" s="3161" customFormat="1" ht="12.75"/>
    <row r="59782" s="3161" customFormat="1" ht="12.75"/>
    <row r="59783" s="3161" customFormat="1" ht="12.75"/>
    <row r="59784" s="3161" customFormat="1" ht="12.75"/>
    <row r="59785" s="3161" customFormat="1" ht="12.75"/>
    <row r="59786" s="3161" customFormat="1" ht="12.75"/>
    <row r="59787" s="3161" customFormat="1" ht="12.75"/>
    <row r="59788" s="3161" customFormat="1" ht="12.75"/>
    <row r="59789" s="3161" customFormat="1" ht="12.75"/>
    <row r="59790" s="3161" customFormat="1" ht="12.75"/>
    <row r="59791" s="3161" customFormat="1" ht="12.75"/>
    <row r="59792" s="3161" customFormat="1" ht="12.75"/>
    <row r="59793" s="3161" customFormat="1" ht="12.75"/>
    <row r="59794" s="3161" customFormat="1" ht="12.75"/>
    <row r="59795" s="3161" customFormat="1" ht="12.75"/>
    <row r="59796" s="3161" customFormat="1" ht="12.75"/>
    <row r="59797" s="3161" customFormat="1" ht="12.75"/>
    <row r="59798" s="3161" customFormat="1" ht="12.75"/>
    <row r="59799" s="3161" customFormat="1" ht="12.75"/>
    <row r="59800" s="3161" customFormat="1" ht="12.75"/>
    <row r="59801" s="3161" customFormat="1" ht="12.75"/>
    <row r="59802" s="3161" customFormat="1" ht="12.75"/>
    <row r="59803" s="3161" customFormat="1" ht="12.75"/>
    <row r="59804" s="3161" customFormat="1" ht="12.75"/>
    <row r="59805" s="3161" customFormat="1" ht="12.75"/>
    <row r="59806" s="3161" customFormat="1" ht="12.75"/>
    <row r="59807" s="3161" customFormat="1" ht="12.75"/>
    <row r="59808" s="3161" customFormat="1" ht="12.75"/>
    <row r="59809" s="3161" customFormat="1" ht="12.75"/>
    <row r="59810" s="3161" customFormat="1" ht="12.75"/>
    <row r="59811" s="3161" customFormat="1" ht="12.75"/>
    <row r="59812" s="3161" customFormat="1" ht="12.75"/>
    <row r="59813" s="3161" customFormat="1" ht="12.75"/>
    <row r="59814" s="3161" customFormat="1" ht="12.75"/>
    <row r="59815" s="3161" customFormat="1" ht="12.75"/>
    <row r="59816" s="3161" customFormat="1" ht="12.75"/>
    <row r="59817" s="3161" customFormat="1" ht="12.75"/>
    <row r="59818" s="3161" customFormat="1" ht="12.75"/>
    <row r="59819" s="3161" customFormat="1" ht="12.75"/>
    <row r="59820" s="3161" customFormat="1" ht="12.75"/>
    <row r="59821" s="3161" customFormat="1" ht="12.75"/>
    <row r="59822" s="3161" customFormat="1" ht="12.75"/>
    <row r="59823" s="3161" customFormat="1" ht="12.75"/>
    <row r="59824" s="3161" customFormat="1" ht="12.75"/>
    <row r="59825" s="3161" customFormat="1" ht="12.75"/>
    <row r="59826" s="3161" customFormat="1" ht="12.75"/>
    <row r="59827" s="3161" customFormat="1" ht="12.75"/>
    <row r="59828" s="3161" customFormat="1" ht="12.75"/>
    <row r="59829" s="3161" customFormat="1" ht="12.75"/>
    <row r="59830" s="3161" customFormat="1" ht="12.75"/>
    <row r="59831" s="3161" customFormat="1" ht="12.75"/>
    <row r="59832" s="3161" customFormat="1" ht="12.75"/>
    <row r="59833" s="3161" customFormat="1" ht="12.75"/>
    <row r="59834" s="3161" customFormat="1" ht="12.75"/>
    <row r="59835" s="3161" customFormat="1" ht="12.75"/>
    <row r="59836" s="3161" customFormat="1" ht="12.75"/>
    <row r="59837" s="3161" customFormat="1" ht="12.75"/>
    <row r="59838" s="3161" customFormat="1" ht="12.75"/>
    <row r="59839" s="3161" customFormat="1" ht="12.75"/>
    <row r="59840" s="3161" customFormat="1" ht="12.75"/>
    <row r="59841" s="3161" customFormat="1" ht="12.75"/>
    <row r="59842" s="3161" customFormat="1" ht="12.75"/>
    <row r="59843" s="3161" customFormat="1" ht="12.75"/>
    <row r="59844" s="3161" customFormat="1" ht="12.75"/>
    <row r="59845" s="3161" customFormat="1" ht="12.75"/>
    <row r="59846" s="3161" customFormat="1" ht="12.75"/>
    <row r="59847" s="3161" customFormat="1" ht="12.75"/>
    <row r="59848" s="3161" customFormat="1" ht="12.75"/>
    <row r="59849" s="3161" customFormat="1" ht="12.75"/>
    <row r="59850" s="3161" customFormat="1" ht="12.75"/>
    <row r="59851" s="3161" customFormat="1" ht="12.75"/>
    <row r="59852" s="3161" customFormat="1" ht="12.75"/>
    <row r="59853" s="3161" customFormat="1" ht="12.75"/>
    <row r="59854" s="3161" customFormat="1" ht="12.75"/>
    <row r="59855" s="3161" customFormat="1" ht="12.75"/>
    <row r="59856" s="3161" customFormat="1" ht="12.75"/>
    <row r="59857" s="3161" customFormat="1" ht="12.75"/>
    <row r="59858" s="3161" customFormat="1" ht="12.75"/>
    <row r="59859" s="3161" customFormat="1" ht="12.75"/>
    <row r="59860" s="3161" customFormat="1" ht="12.75"/>
    <row r="59861" s="3161" customFormat="1" ht="12.75"/>
    <row r="59862" s="3161" customFormat="1" ht="12.75"/>
    <row r="59863" s="3161" customFormat="1" ht="12.75"/>
    <row r="59864" s="3161" customFormat="1" ht="12.75"/>
    <row r="59865" s="3161" customFormat="1" ht="12.75"/>
    <row r="59866" s="3161" customFormat="1" ht="12.75"/>
    <row r="59867" s="3161" customFormat="1" ht="12.75"/>
    <row r="59868" s="3161" customFormat="1" ht="12.75"/>
    <row r="59869" s="3161" customFormat="1" ht="12.75"/>
    <row r="59870" s="3161" customFormat="1" ht="12.75"/>
    <row r="59871" s="3161" customFormat="1" ht="12.75"/>
    <row r="59872" s="3161" customFormat="1" ht="12.75"/>
    <row r="59873" s="3161" customFormat="1" ht="12.75"/>
    <row r="59874" s="3161" customFormat="1" ht="12.75"/>
    <row r="59875" s="3161" customFormat="1" ht="12.75"/>
    <row r="59876" s="3161" customFormat="1" ht="12.75"/>
    <row r="59877" s="3161" customFormat="1" ht="12.75"/>
    <row r="59878" s="3161" customFormat="1" ht="12.75"/>
    <row r="59879" s="3161" customFormat="1" ht="12.75"/>
    <row r="59880" s="3161" customFormat="1" ht="12.75"/>
    <row r="59881" s="3161" customFormat="1" ht="12.75"/>
    <row r="59882" s="3161" customFormat="1" ht="12.75"/>
    <row r="59883" s="3161" customFormat="1" ht="12.75"/>
    <row r="59884" s="3161" customFormat="1" ht="12.75"/>
    <row r="59885" s="3161" customFormat="1" ht="12.75"/>
    <row r="59886" s="3161" customFormat="1" ht="12.75"/>
    <row r="59887" s="3161" customFormat="1" ht="12.75"/>
    <row r="59888" s="3161" customFormat="1" ht="12.75"/>
    <row r="59889" s="3161" customFormat="1" ht="12.75"/>
    <row r="59890" s="3161" customFormat="1" ht="12.75"/>
    <row r="59891" s="3161" customFormat="1" ht="12.75"/>
    <row r="59892" s="3161" customFormat="1" ht="12.75"/>
    <row r="59893" s="3161" customFormat="1" ht="12.75"/>
    <row r="59894" s="3161" customFormat="1" ht="12.75"/>
    <row r="59895" s="3161" customFormat="1" ht="12.75"/>
    <row r="59896" s="3161" customFormat="1" ht="12.75"/>
    <row r="59897" s="3161" customFormat="1" ht="12.75"/>
    <row r="59898" s="3161" customFormat="1" ht="12.75"/>
    <row r="59899" s="3161" customFormat="1" ht="12.75"/>
    <row r="59900" s="3161" customFormat="1" ht="12.75"/>
    <row r="59901" s="3161" customFormat="1" ht="12.75"/>
    <row r="59902" s="3161" customFormat="1" ht="12.75"/>
    <row r="59903" s="3161" customFormat="1" ht="12.75"/>
    <row r="59904" s="3161" customFormat="1" ht="12.75"/>
    <row r="59905" s="3161" customFormat="1" ht="12.75"/>
    <row r="59906" s="3161" customFormat="1" ht="12.75"/>
    <row r="59907" s="3161" customFormat="1" ht="12.75"/>
    <row r="59908" s="3161" customFormat="1" ht="12.75"/>
    <row r="59909" s="3161" customFormat="1" ht="12.75"/>
    <row r="59910" s="3161" customFormat="1" ht="12.75"/>
    <row r="59911" s="3161" customFormat="1" ht="12.75"/>
    <row r="59912" s="3161" customFormat="1" ht="12.75"/>
    <row r="59913" s="3161" customFormat="1" ht="12.75"/>
    <row r="59914" s="3161" customFormat="1" ht="12.75"/>
    <row r="59915" s="3161" customFormat="1" ht="12.75"/>
    <row r="59916" s="3161" customFormat="1" ht="12.75"/>
    <row r="59917" s="3161" customFormat="1" ht="12.75"/>
    <row r="59918" s="3161" customFormat="1" ht="12.75"/>
    <row r="59919" s="3161" customFormat="1" ht="12.75"/>
    <row r="59920" s="3161" customFormat="1" ht="12.75"/>
    <row r="59921" s="3161" customFormat="1" ht="12.75"/>
    <row r="59922" s="3161" customFormat="1" ht="12.75"/>
    <row r="59923" s="3161" customFormat="1" ht="12.75"/>
    <row r="59924" s="3161" customFormat="1" ht="12.75"/>
    <row r="59925" s="3161" customFormat="1" ht="12.75"/>
    <row r="59926" s="3161" customFormat="1" ht="12.75"/>
    <row r="59927" s="3161" customFormat="1" ht="12.75"/>
    <row r="59928" s="3161" customFormat="1" ht="12.75"/>
    <row r="59929" s="3161" customFormat="1" ht="12.75"/>
    <row r="59930" s="3161" customFormat="1" ht="12.75"/>
    <row r="59931" s="3161" customFormat="1" ht="12.75"/>
    <row r="59932" s="3161" customFormat="1" ht="12.75"/>
    <row r="59933" s="3161" customFormat="1" ht="12.75"/>
    <row r="59934" s="3161" customFormat="1" ht="12.75"/>
    <row r="59935" s="3161" customFormat="1" ht="12.75"/>
    <row r="59936" s="3161" customFormat="1" ht="12.75"/>
    <row r="59937" s="3161" customFormat="1" ht="12.75"/>
    <row r="59938" s="3161" customFormat="1" ht="12.75"/>
    <row r="59939" s="3161" customFormat="1" ht="12.75"/>
    <row r="59940" s="3161" customFormat="1" ht="12.75"/>
    <row r="59941" s="3161" customFormat="1" ht="12.75"/>
    <row r="59942" s="3161" customFormat="1" ht="12.75"/>
    <row r="59943" s="3161" customFormat="1" ht="12.75"/>
    <row r="59944" s="3161" customFormat="1" ht="12.75"/>
    <row r="59945" s="3161" customFormat="1" ht="12.75"/>
    <row r="59946" s="3161" customFormat="1" ht="12.75"/>
    <row r="59947" s="3161" customFormat="1" ht="12.75"/>
    <row r="59948" s="3161" customFormat="1" ht="12.75"/>
    <row r="59949" s="3161" customFormat="1" ht="12.75"/>
    <row r="59950" s="3161" customFormat="1" ht="12.75"/>
    <row r="59951" s="3161" customFormat="1" ht="12.75"/>
    <row r="59952" s="3161" customFormat="1" ht="12.75"/>
    <row r="59953" s="3161" customFormat="1" ht="12.75"/>
    <row r="59954" s="3161" customFormat="1" ht="12.75"/>
    <row r="59955" s="3161" customFormat="1" ht="12.75"/>
    <row r="59956" s="3161" customFormat="1" ht="12.75"/>
    <row r="59957" s="3161" customFormat="1" ht="12.75"/>
    <row r="59958" s="3161" customFormat="1" ht="12.75"/>
    <row r="59959" s="3161" customFormat="1" ht="12.75"/>
    <row r="59960" s="3161" customFormat="1" ht="12.75"/>
    <row r="59961" s="3161" customFormat="1" ht="12.75"/>
    <row r="59962" s="3161" customFormat="1" ht="12.75"/>
    <row r="59963" s="3161" customFormat="1" ht="12.75"/>
    <row r="59964" s="3161" customFormat="1" ht="12.75"/>
    <row r="59965" s="3161" customFormat="1" ht="12.75"/>
    <row r="59966" s="3161" customFormat="1" ht="12.75"/>
    <row r="59967" s="3161" customFormat="1" ht="12.75"/>
    <row r="59968" s="3161" customFormat="1" ht="12.75"/>
    <row r="59969" s="3161" customFormat="1" ht="12.75"/>
    <row r="59970" s="3161" customFormat="1" ht="12.75"/>
    <row r="59971" s="3161" customFormat="1" ht="12.75"/>
    <row r="59972" s="3161" customFormat="1" ht="12.75"/>
    <row r="59973" s="3161" customFormat="1" ht="12.75"/>
    <row r="59974" s="3161" customFormat="1" ht="12.75"/>
    <row r="59975" s="3161" customFormat="1" ht="12.75"/>
    <row r="59976" s="3161" customFormat="1" ht="12.75"/>
    <row r="59977" s="3161" customFormat="1" ht="12.75"/>
    <row r="59978" s="3161" customFormat="1" ht="12.75"/>
    <row r="59979" s="3161" customFormat="1" ht="12.75"/>
    <row r="59980" s="3161" customFormat="1" ht="12.75"/>
    <row r="59981" s="3161" customFormat="1" ht="12.75"/>
    <row r="59982" s="3161" customFormat="1" ht="12.75"/>
    <row r="59983" s="3161" customFormat="1" ht="12.75"/>
    <row r="59984" s="3161" customFormat="1" ht="12.75"/>
    <row r="59985" s="3161" customFormat="1" ht="12.75"/>
    <row r="59986" s="3161" customFormat="1" ht="12.75"/>
    <row r="59987" s="3161" customFormat="1" ht="12.75"/>
    <row r="59988" s="3161" customFormat="1" ht="12.75"/>
    <row r="59989" s="3161" customFormat="1" ht="12.75"/>
    <row r="59990" s="3161" customFormat="1" ht="12.75"/>
    <row r="59991" s="3161" customFormat="1" ht="12.75"/>
    <row r="59992" s="3161" customFormat="1" ht="12.75"/>
    <row r="59993" s="3161" customFormat="1" ht="12.75"/>
    <row r="59994" s="3161" customFormat="1" ht="12.75"/>
    <row r="59995" s="3161" customFormat="1" ht="12.75"/>
    <row r="59996" s="3161" customFormat="1" ht="12.75"/>
    <row r="59997" s="3161" customFormat="1" ht="12.75"/>
    <row r="59998" s="3161" customFormat="1" ht="12.75"/>
    <row r="59999" s="3161" customFormat="1" ht="12.75"/>
    <row r="60000" s="3161" customFormat="1" ht="12.75"/>
    <row r="60001" s="3161" customFormat="1" ht="12.75"/>
    <row r="60002" s="3161" customFormat="1" ht="12.75"/>
    <row r="60003" s="3161" customFormat="1" ht="12.75"/>
    <row r="60004" s="3161" customFormat="1" ht="12.75"/>
    <row r="60005" s="3161" customFormat="1" ht="12.75"/>
    <row r="60006" s="3161" customFormat="1" ht="12.75"/>
    <row r="60007" s="3161" customFormat="1" ht="12.75"/>
    <row r="60008" s="3161" customFormat="1" ht="12.75"/>
    <row r="60009" s="3161" customFormat="1" ht="12.75"/>
    <row r="60010" s="3161" customFormat="1" ht="12.75"/>
    <row r="60011" s="3161" customFormat="1" ht="12.75"/>
    <row r="60012" s="3161" customFormat="1" ht="12.75"/>
    <row r="60013" s="3161" customFormat="1" ht="12.75"/>
    <row r="60014" s="3161" customFormat="1" ht="12.75"/>
    <row r="60015" s="3161" customFormat="1" ht="12.75"/>
    <row r="60016" s="3161" customFormat="1" ht="12.75"/>
    <row r="60017" s="3161" customFormat="1" ht="12.75"/>
    <row r="60018" s="3161" customFormat="1" ht="12.75"/>
    <row r="60019" s="3161" customFormat="1" ht="12.75"/>
    <row r="60020" s="3161" customFormat="1" ht="12.75"/>
    <row r="60021" s="3161" customFormat="1" ht="12.75"/>
    <row r="60022" s="3161" customFormat="1" ht="12.75"/>
    <row r="60023" s="3161" customFormat="1" ht="12.75"/>
    <row r="60024" s="3161" customFormat="1" ht="12.75"/>
    <row r="60025" s="3161" customFormat="1" ht="12.75"/>
    <row r="60026" s="3161" customFormat="1" ht="12.75"/>
    <row r="60027" s="3161" customFormat="1" ht="12.75"/>
    <row r="60028" s="3161" customFormat="1" ht="12.75"/>
    <row r="60029" s="3161" customFormat="1" ht="12.75"/>
    <row r="60030" s="3161" customFormat="1" ht="12.75"/>
    <row r="60031" s="3161" customFormat="1" ht="12.75"/>
    <row r="60032" s="3161" customFormat="1" ht="12.75"/>
    <row r="60033" s="3161" customFormat="1" ht="12.75"/>
    <row r="60034" s="3161" customFormat="1" ht="12.75"/>
    <row r="60035" s="3161" customFormat="1" ht="12.75"/>
    <row r="60036" s="3161" customFormat="1" ht="12.75"/>
    <row r="60037" s="3161" customFormat="1" ht="12.75"/>
    <row r="60038" s="3161" customFormat="1" ht="12.75"/>
    <row r="60039" s="3161" customFormat="1" ht="12.75"/>
    <row r="60040" s="3161" customFormat="1" ht="12.75"/>
    <row r="60041" s="3161" customFormat="1" ht="12.75"/>
    <row r="60042" s="3161" customFormat="1" ht="12.75"/>
    <row r="60043" s="3161" customFormat="1" ht="12.75"/>
    <row r="60044" s="3161" customFormat="1" ht="12.75"/>
    <row r="60045" s="3161" customFormat="1" ht="12.75"/>
    <row r="60046" s="3161" customFormat="1" ht="12.75"/>
    <row r="60047" s="3161" customFormat="1" ht="12.75"/>
    <row r="60048" s="3161" customFormat="1" ht="12.75"/>
    <row r="60049" s="3161" customFormat="1" ht="12.75"/>
    <row r="60050" s="3161" customFormat="1" ht="12.75"/>
    <row r="60051" s="3161" customFormat="1" ht="12.75"/>
    <row r="60052" s="3161" customFormat="1" ht="12.75"/>
    <row r="60053" s="3161" customFormat="1" ht="12.75"/>
    <row r="60054" s="3161" customFormat="1" ht="12.75"/>
    <row r="60055" s="3161" customFormat="1" ht="12.75"/>
    <row r="60056" s="3161" customFormat="1" ht="12.75"/>
    <row r="60057" s="3161" customFormat="1" ht="12.75"/>
    <row r="60058" s="3161" customFormat="1" ht="12.75"/>
    <row r="60059" s="3161" customFormat="1" ht="12.75"/>
    <row r="60060" s="3161" customFormat="1" ht="12.75"/>
    <row r="60061" s="3161" customFormat="1" ht="12.75"/>
    <row r="60062" s="3161" customFormat="1" ht="12.75"/>
    <row r="60063" s="3161" customFormat="1" ht="12.75"/>
    <row r="60064" s="3161" customFormat="1" ht="12.75"/>
    <row r="60065" s="3161" customFormat="1" ht="12.75"/>
    <row r="60066" s="3161" customFormat="1" ht="12.75"/>
    <row r="60067" s="3161" customFormat="1" ht="12.75"/>
    <row r="60068" s="3161" customFormat="1" ht="12.75"/>
    <row r="60069" s="3161" customFormat="1" ht="12.75"/>
    <row r="60070" s="3161" customFormat="1" ht="12.75"/>
    <row r="60071" s="3161" customFormat="1" ht="12.75"/>
    <row r="60072" s="3161" customFormat="1" ht="12.75"/>
    <row r="60073" s="3161" customFormat="1" ht="12.75"/>
    <row r="60074" s="3161" customFormat="1" ht="12.75"/>
    <row r="60075" s="3161" customFormat="1" ht="12.75"/>
    <row r="60076" s="3161" customFormat="1" ht="12.75"/>
    <row r="60077" s="3161" customFormat="1" ht="12.75"/>
    <row r="60078" s="3161" customFormat="1" ht="12.75"/>
    <row r="60079" s="3161" customFormat="1" ht="12.75"/>
    <row r="60080" s="3161" customFormat="1" ht="12.75"/>
    <row r="60081" s="3161" customFormat="1" ht="12.75"/>
    <row r="60082" s="3161" customFormat="1" ht="12.75"/>
    <row r="60083" s="3161" customFormat="1" ht="12.75"/>
    <row r="60084" s="3161" customFormat="1" ht="12.75"/>
    <row r="60085" s="3161" customFormat="1" ht="12.75"/>
    <row r="60086" s="3161" customFormat="1" ht="12.75"/>
    <row r="60087" s="3161" customFormat="1" ht="12.75"/>
    <row r="60088" s="3161" customFormat="1" ht="12.75"/>
    <row r="60089" s="3161" customFormat="1" ht="12.75"/>
    <row r="60090" s="3161" customFormat="1" ht="12.75"/>
    <row r="60091" s="3161" customFormat="1" ht="12.75"/>
    <row r="60092" s="3161" customFormat="1" ht="12.75"/>
    <row r="60093" s="3161" customFormat="1" ht="12.75"/>
    <row r="60094" s="3161" customFormat="1" ht="12.75"/>
    <row r="60095" s="3161" customFormat="1" ht="12.75"/>
    <row r="60096" s="3161" customFormat="1" ht="12.75"/>
    <row r="60097" s="3161" customFormat="1" ht="12.75"/>
    <row r="60098" s="3161" customFormat="1" ht="12.75"/>
    <row r="60099" s="3161" customFormat="1" ht="12.75"/>
    <row r="60100" s="3161" customFormat="1" ht="12.75"/>
    <row r="60101" s="3161" customFormat="1" ht="12.75"/>
    <row r="60102" s="3161" customFormat="1" ht="12.75"/>
    <row r="60103" s="3161" customFormat="1" ht="12.75"/>
    <row r="60104" s="3161" customFormat="1" ht="12.75"/>
    <row r="60105" s="3161" customFormat="1" ht="12.75"/>
    <row r="60106" s="3161" customFormat="1" ht="12.75"/>
    <row r="60107" s="3161" customFormat="1" ht="12.75"/>
    <row r="60108" s="3161" customFormat="1" ht="12.75"/>
    <row r="60109" s="3161" customFormat="1" ht="12.75"/>
    <row r="60110" s="3161" customFormat="1" ht="12.75"/>
    <row r="60111" s="3161" customFormat="1" ht="12.75"/>
    <row r="60112" s="3161" customFormat="1" ht="12.75"/>
    <row r="60113" s="3161" customFormat="1" ht="12.75"/>
    <row r="60114" s="3161" customFormat="1" ht="12.75"/>
    <row r="60115" s="3161" customFormat="1" ht="12.75"/>
    <row r="60116" s="3161" customFormat="1" ht="12.75"/>
    <row r="60117" s="3161" customFormat="1" ht="12.75"/>
    <row r="60118" s="3161" customFormat="1" ht="12.75"/>
    <row r="60119" s="3161" customFormat="1" ht="12.75"/>
    <row r="60120" s="3161" customFormat="1" ht="12.75"/>
    <row r="60121" s="3161" customFormat="1" ht="12.75"/>
    <row r="60122" s="3161" customFormat="1" ht="12.75"/>
    <row r="60123" s="3161" customFormat="1" ht="12.75"/>
    <row r="60124" s="3161" customFormat="1" ht="12.75"/>
    <row r="60125" s="3161" customFormat="1" ht="12.75"/>
    <row r="60126" s="3161" customFormat="1" ht="12.75"/>
    <row r="60127" s="3161" customFormat="1" ht="12.75"/>
    <row r="60128" s="3161" customFormat="1" ht="12.75"/>
    <row r="60129" s="3161" customFormat="1" ht="12.75"/>
    <row r="60130" s="3161" customFormat="1" ht="12.75"/>
    <row r="60131" s="3161" customFormat="1" ht="12.75"/>
    <row r="60132" s="3161" customFormat="1" ht="12.75"/>
    <row r="60133" s="3161" customFormat="1" ht="12.75"/>
    <row r="60134" s="3161" customFormat="1" ht="12.75"/>
    <row r="60135" s="3161" customFormat="1" ht="12.75"/>
    <row r="60136" s="3161" customFormat="1" ht="12.75"/>
    <row r="60137" s="3161" customFormat="1" ht="12.75"/>
    <row r="60138" s="3161" customFormat="1" ht="12.75"/>
    <row r="60139" s="3161" customFormat="1" ht="12.75"/>
    <row r="60140" s="3161" customFormat="1" ht="12.75"/>
    <row r="60141" s="3161" customFormat="1" ht="12.75"/>
    <row r="60142" s="3161" customFormat="1" ht="12.75"/>
    <row r="60143" s="3161" customFormat="1" ht="12.75"/>
    <row r="60144" s="3161" customFormat="1" ht="12.75"/>
    <row r="60145" s="3161" customFormat="1" ht="12.75"/>
    <row r="60146" s="3161" customFormat="1" ht="12.75"/>
    <row r="60147" s="3161" customFormat="1" ht="12.75"/>
    <row r="60148" s="3161" customFormat="1" ht="12.75"/>
    <row r="60149" s="3161" customFormat="1" ht="12.75"/>
    <row r="60150" s="3161" customFormat="1" ht="12.75"/>
    <row r="60151" s="3161" customFormat="1" ht="12.75"/>
    <row r="60152" s="3161" customFormat="1" ht="12.75"/>
    <row r="60153" s="3161" customFormat="1" ht="12.75"/>
    <row r="60154" s="3161" customFormat="1" ht="12.75"/>
    <row r="60155" s="3161" customFormat="1" ht="12.75"/>
    <row r="60156" s="3161" customFormat="1" ht="12.75"/>
    <row r="60157" s="3161" customFormat="1" ht="12.75"/>
    <row r="60158" s="3161" customFormat="1" ht="12.75"/>
    <row r="60159" s="3161" customFormat="1" ht="12.75"/>
    <row r="60160" s="3161" customFormat="1" ht="12.75"/>
    <row r="60161" s="3161" customFormat="1" ht="12.75"/>
    <row r="60162" s="3161" customFormat="1" ht="12.75"/>
    <row r="60163" s="3161" customFormat="1" ht="12.75"/>
    <row r="60164" s="3161" customFormat="1" ht="12.75"/>
    <row r="60165" s="3161" customFormat="1" ht="12.75"/>
    <row r="60166" s="3161" customFormat="1" ht="12.75"/>
    <row r="60167" s="3161" customFormat="1" ht="12.75"/>
    <row r="60168" s="3161" customFormat="1" ht="12.75"/>
    <row r="60169" s="3161" customFormat="1" ht="12.75"/>
    <row r="60170" s="3161" customFormat="1" ht="12.75"/>
    <row r="60171" s="3161" customFormat="1" ht="12.75"/>
    <row r="60172" s="3161" customFormat="1" ht="12.75"/>
    <row r="60173" s="3161" customFormat="1" ht="12.75"/>
    <row r="60174" s="3161" customFormat="1" ht="12.75"/>
    <row r="60175" s="3161" customFormat="1" ht="12.75"/>
    <row r="60176" s="3161" customFormat="1" ht="12.75"/>
    <row r="60177" s="3161" customFormat="1" ht="12.75"/>
    <row r="60178" s="3161" customFormat="1" ht="12.75"/>
    <row r="60179" s="3161" customFormat="1" ht="12.75"/>
    <row r="60180" s="3161" customFormat="1" ht="12.75"/>
    <row r="60181" s="3161" customFormat="1" ht="12.75"/>
    <row r="60182" s="3161" customFormat="1" ht="12.75"/>
    <row r="60183" s="3161" customFormat="1" ht="12.75"/>
    <row r="60184" s="3161" customFormat="1" ht="12.75"/>
    <row r="60185" s="3161" customFormat="1" ht="12.75"/>
    <row r="60186" s="3161" customFormat="1" ht="12.75"/>
    <row r="60187" s="3161" customFormat="1" ht="12.75"/>
    <row r="60188" s="3161" customFormat="1" ht="12.75"/>
    <row r="60189" s="3161" customFormat="1" ht="12.75"/>
    <row r="60190" s="3161" customFormat="1" ht="12.75"/>
    <row r="60191" s="3161" customFormat="1" ht="12.75"/>
    <row r="60192" s="3161" customFormat="1" ht="12.75"/>
    <row r="60193" s="3161" customFormat="1" ht="12.75"/>
    <row r="60194" s="3161" customFormat="1" ht="12.75"/>
    <row r="60195" s="3161" customFormat="1" ht="12.75"/>
    <row r="60196" s="3161" customFormat="1" ht="12.75"/>
    <row r="60197" s="3161" customFormat="1" ht="12.75"/>
    <row r="60198" s="3161" customFormat="1" ht="12.75"/>
    <row r="60199" s="3161" customFormat="1" ht="12.75"/>
    <row r="60200" s="3161" customFormat="1" ht="12.75"/>
    <row r="60201" s="3161" customFormat="1" ht="12.75"/>
    <row r="60202" s="3161" customFormat="1" ht="12.75"/>
    <row r="60203" s="3161" customFormat="1" ht="12.75"/>
    <row r="60204" s="3161" customFormat="1" ht="12.75"/>
    <row r="60205" s="3161" customFormat="1" ht="12.75"/>
    <row r="60206" s="3161" customFormat="1" ht="12.75"/>
    <row r="60207" s="3161" customFormat="1" ht="12.75"/>
    <row r="60208" s="3161" customFormat="1" ht="12.75"/>
    <row r="60209" s="3161" customFormat="1" ht="12.75"/>
    <row r="60210" s="3161" customFormat="1" ht="12.75"/>
    <row r="60211" s="3161" customFormat="1" ht="12.75"/>
    <row r="60212" s="3161" customFormat="1" ht="12.75"/>
    <row r="60213" s="3161" customFormat="1" ht="12.75"/>
    <row r="60214" s="3161" customFormat="1" ht="12.75"/>
    <row r="60215" s="3161" customFormat="1" ht="12.75"/>
    <row r="60216" s="3161" customFormat="1" ht="12.75"/>
    <row r="60217" s="3161" customFormat="1" ht="12.75"/>
    <row r="60218" s="3161" customFormat="1" ht="12.75"/>
    <row r="60219" s="3161" customFormat="1" ht="12.75"/>
    <row r="60220" s="3161" customFormat="1" ht="12.75"/>
    <row r="60221" s="3161" customFormat="1" ht="12.75"/>
    <row r="60222" s="3161" customFormat="1" ht="12.75"/>
    <row r="60223" s="3161" customFormat="1" ht="12.75"/>
    <row r="60224" s="3161" customFormat="1" ht="12.75"/>
    <row r="60225" s="3161" customFormat="1" ht="12.75"/>
    <row r="60226" s="3161" customFormat="1" ht="12.75"/>
    <row r="60227" s="3161" customFormat="1" ht="12.75"/>
    <row r="60228" s="3161" customFormat="1" ht="12.75"/>
    <row r="60229" s="3161" customFormat="1" ht="12.75"/>
    <row r="60230" s="3161" customFormat="1" ht="12.75"/>
    <row r="60231" s="3161" customFormat="1" ht="12.75"/>
    <row r="60232" s="3161" customFormat="1" ht="12.75"/>
    <row r="60233" s="3161" customFormat="1" ht="12.75"/>
    <row r="60234" s="3161" customFormat="1" ht="12.75"/>
    <row r="60235" s="3161" customFormat="1" ht="12.75"/>
    <row r="60236" s="3161" customFormat="1" ht="12.75"/>
    <row r="60237" s="3161" customFormat="1" ht="12.75"/>
    <row r="60238" s="3161" customFormat="1" ht="12.75"/>
    <row r="60239" s="3161" customFormat="1" ht="12.75"/>
    <row r="60240" s="3161" customFormat="1" ht="12.75"/>
    <row r="60241" s="3161" customFormat="1" ht="12.75"/>
    <row r="60242" s="3161" customFormat="1" ht="12.75"/>
    <row r="60243" s="3161" customFormat="1" ht="12.75"/>
    <row r="60244" s="3161" customFormat="1" ht="12.75"/>
    <row r="60245" s="3161" customFormat="1" ht="12.75"/>
    <row r="60246" s="3161" customFormat="1" ht="12.75"/>
    <row r="60247" s="3161" customFormat="1" ht="12.75"/>
    <row r="60248" s="3161" customFormat="1" ht="12.75"/>
    <row r="60249" s="3161" customFormat="1" ht="12.75"/>
    <row r="60250" s="3161" customFormat="1" ht="12.75"/>
    <row r="60251" s="3161" customFormat="1" ht="12.75"/>
    <row r="60252" s="3161" customFormat="1" ht="12.75"/>
    <row r="60253" s="3161" customFormat="1" ht="12.75"/>
    <row r="60254" s="3161" customFormat="1" ht="12.75"/>
    <row r="60255" s="3161" customFormat="1" ht="12.75"/>
    <row r="60256" s="3161" customFormat="1" ht="12.75"/>
    <row r="60257" s="3161" customFormat="1" ht="12.75"/>
    <row r="60258" s="3161" customFormat="1" ht="12.75"/>
    <row r="60259" s="3161" customFormat="1" ht="12.75"/>
    <row r="60260" s="3161" customFormat="1" ht="12.75"/>
    <row r="60261" s="3161" customFormat="1" ht="12.75"/>
    <row r="60262" s="3161" customFormat="1" ht="12.75"/>
    <row r="60263" s="3161" customFormat="1" ht="12.75"/>
    <row r="60264" s="3161" customFormat="1" ht="12.75"/>
    <row r="60265" s="3161" customFormat="1" ht="12.75"/>
    <row r="60266" s="3161" customFormat="1" ht="12.75"/>
    <row r="60267" s="3161" customFormat="1" ht="12.75"/>
    <row r="60268" s="3161" customFormat="1" ht="12.75"/>
    <row r="60269" s="3161" customFormat="1" ht="12.75"/>
    <row r="60270" s="3161" customFormat="1" ht="12.75"/>
    <row r="60271" s="3161" customFormat="1" ht="12.75"/>
    <row r="60272" s="3161" customFormat="1" ht="12.75"/>
    <row r="60273" s="3161" customFormat="1" ht="12.75"/>
    <row r="60274" s="3161" customFormat="1" ht="12.75"/>
    <row r="60275" s="3161" customFormat="1" ht="12.75"/>
    <row r="60276" s="3161" customFormat="1" ht="12.75"/>
    <row r="60277" s="3161" customFormat="1" ht="12.75"/>
    <row r="60278" s="3161" customFormat="1" ht="12.75"/>
    <row r="60279" s="3161" customFormat="1" ht="12.75"/>
    <row r="60280" s="3161" customFormat="1" ht="12.75"/>
    <row r="60281" s="3161" customFormat="1" ht="12.75"/>
    <row r="60282" s="3161" customFormat="1" ht="12.75"/>
    <row r="60283" s="3161" customFormat="1" ht="12.75"/>
    <row r="60284" s="3161" customFormat="1" ht="12.75"/>
    <row r="60285" s="3161" customFormat="1" ht="12.75"/>
    <row r="60286" s="3161" customFormat="1" ht="12.75"/>
    <row r="60287" s="3161" customFormat="1" ht="12.75"/>
    <row r="60288" s="3161" customFormat="1" ht="12.75"/>
    <row r="60289" s="3161" customFormat="1" ht="12.75"/>
    <row r="60290" s="3161" customFormat="1" ht="12.75"/>
    <row r="60291" s="3161" customFormat="1" ht="12.75"/>
    <row r="60292" s="3161" customFormat="1" ht="12.75"/>
    <row r="60293" s="3161" customFormat="1" ht="12.75"/>
    <row r="60294" s="3161" customFormat="1" ht="12.75"/>
    <row r="60295" s="3161" customFormat="1" ht="12.75"/>
    <row r="60296" s="3161" customFormat="1" ht="12.75"/>
    <row r="60297" s="3161" customFormat="1" ht="12.75"/>
    <row r="60298" s="3161" customFormat="1" ht="12.75"/>
    <row r="60299" s="3161" customFormat="1" ht="12.75"/>
    <row r="60300" s="3161" customFormat="1" ht="12.75"/>
    <row r="60301" s="3161" customFormat="1" ht="12.75"/>
    <row r="60302" s="3161" customFormat="1" ht="12.75"/>
    <row r="60303" s="3161" customFormat="1" ht="12.75"/>
    <row r="60304" s="3161" customFormat="1" ht="12.75"/>
    <row r="60305" s="3161" customFormat="1" ht="12.75"/>
    <row r="60306" s="3161" customFormat="1" ht="12.75"/>
    <row r="60307" s="3161" customFormat="1" ht="12.75"/>
    <row r="60308" s="3161" customFormat="1" ht="12.75"/>
    <row r="60309" s="3161" customFormat="1" ht="12.75"/>
    <row r="60310" s="3161" customFormat="1" ht="12.75"/>
    <row r="60311" s="3161" customFormat="1" ht="12.75"/>
    <row r="60312" s="3161" customFormat="1" ht="12.75"/>
    <row r="60313" s="3161" customFormat="1" ht="12.75"/>
    <row r="60314" s="3161" customFormat="1" ht="12.75"/>
    <row r="60315" s="3161" customFormat="1" ht="12.75"/>
    <row r="60316" s="3161" customFormat="1" ht="12.75"/>
    <row r="60317" s="3161" customFormat="1" ht="12.75"/>
    <row r="60318" s="3161" customFormat="1" ht="12.75"/>
    <row r="60319" s="3161" customFormat="1" ht="12.75"/>
    <row r="60320" s="3161" customFormat="1" ht="12.75"/>
    <row r="60321" s="3161" customFormat="1" ht="12.75"/>
    <row r="60322" s="3161" customFormat="1" ht="12.75"/>
    <row r="60323" s="3161" customFormat="1" ht="12.75"/>
    <row r="60324" s="3161" customFormat="1" ht="12.75"/>
    <row r="60325" s="3161" customFormat="1" ht="12.75"/>
    <row r="60326" s="3161" customFormat="1" ht="12.75"/>
    <row r="60327" s="3161" customFormat="1" ht="12.75"/>
    <row r="60328" s="3161" customFormat="1" ht="12.75"/>
    <row r="60329" s="3161" customFormat="1" ht="12.75"/>
    <row r="60330" s="3161" customFormat="1" ht="12.75"/>
    <row r="60331" s="3161" customFormat="1" ht="12.75"/>
    <row r="60332" s="3161" customFormat="1" ht="12.75"/>
    <row r="60333" s="3161" customFormat="1" ht="12.75"/>
    <row r="60334" s="3161" customFormat="1" ht="12.75"/>
    <row r="60335" s="3161" customFormat="1" ht="12.75"/>
    <row r="60336" s="3161" customFormat="1" ht="12.75"/>
    <row r="60337" s="3161" customFormat="1" ht="12.75"/>
    <row r="60338" s="3161" customFormat="1" ht="12.75"/>
    <row r="60339" s="3161" customFormat="1" ht="12.75"/>
    <row r="60340" s="3161" customFormat="1" ht="12.75"/>
    <row r="60341" s="3161" customFormat="1" ht="12.75"/>
    <row r="60342" s="3161" customFormat="1" ht="12.75"/>
    <row r="60343" s="3161" customFormat="1" ht="12.75"/>
    <row r="60344" s="3161" customFormat="1" ht="12.75"/>
    <row r="60345" s="3161" customFormat="1" ht="12.75"/>
    <row r="60346" s="3161" customFormat="1" ht="12.75"/>
    <row r="60347" s="3161" customFormat="1" ht="12.75"/>
    <row r="60348" s="3161" customFormat="1" ht="12.75"/>
    <row r="60349" s="3161" customFormat="1" ht="12.75"/>
    <row r="60350" s="3161" customFormat="1" ht="12.75"/>
    <row r="60351" s="3161" customFormat="1" ht="12.75"/>
    <row r="60352" s="3161" customFormat="1" ht="12.75"/>
    <row r="60353" s="3161" customFormat="1" ht="12.75"/>
    <row r="60354" s="3161" customFormat="1" ht="12.75"/>
    <row r="60355" s="3161" customFormat="1" ht="12.75"/>
    <row r="60356" s="3161" customFormat="1" ht="12.75"/>
    <row r="60357" s="3161" customFormat="1" ht="12.75"/>
    <row r="60358" s="3161" customFormat="1" ht="12.75"/>
    <row r="60359" s="3161" customFormat="1" ht="12.75"/>
    <row r="60360" s="3161" customFormat="1" ht="12.75"/>
    <row r="60361" s="3161" customFormat="1" ht="12.75"/>
    <row r="60362" s="3161" customFormat="1" ht="12.75"/>
    <row r="60363" s="3161" customFormat="1" ht="12.75"/>
    <row r="60364" s="3161" customFormat="1" ht="12.75"/>
    <row r="60365" s="3161" customFormat="1" ht="12.75"/>
    <row r="60366" s="3161" customFormat="1" ht="12.75"/>
    <row r="60367" s="3161" customFormat="1" ht="12.75"/>
    <row r="60368" s="3161" customFormat="1" ht="12.75"/>
    <row r="60369" s="3161" customFormat="1" ht="12.75"/>
    <row r="60370" s="3161" customFormat="1" ht="12.75"/>
    <row r="60371" s="3161" customFormat="1" ht="12.75"/>
    <row r="60372" s="3161" customFormat="1" ht="12.75"/>
    <row r="60373" s="3161" customFormat="1" ht="12.75"/>
    <row r="60374" s="3161" customFormat="1" ht="12.75"/>
    <row r="60375" s="3161" customFormat="1" ht="12.75"/>
    <row r="60376" s="3161" customFormat="1" ht="12.75"/>
    <row r="60377" s="3161" customFormat="1" ht="12.75"/>
    <row r="60378" s="3161" customFormat="1" ht="12.75"/>
    <row r="60379" s="3161" customFormat="1" ht="12.75"/>
    <row r="60380" s="3161" customFormat="1" ht="12.75"/>
    <row r="60381" s="3161" customFormat="1" ht="12.75"/>
    <row r="60382" s="3161" customFormat="1" ht="12.75"/>
    <row r="60383" s="3161" customFormat="1" ht="12.75"/>
    <row r="60384" s="3161" customFormat="1" ht="12.75"/>
    <row r="60385" s="3161" customFormat="1" ht="12.75"/>
    <row r="60386" s="3161" customFormat="1" ht="12.75"/>
    <row r="60387" s="3161" customFormat="1" ht="12.75"/>
    <row r="60388" s="3161" customFormat="1" ht="12.75"/>
    <row r="60389" s="3161" customFormat="1" ht="12.75"/>
    <row r="60390" s="3161" customFormat="1" ht="12.75"/>
    <row r="60391" s="3161" customFormat="1" ht="12.75"/>
    <row r="60392" s="3161" customFormat="1" ht="12.75"/>
    <row r="60393" s="3161" customFormat="1" ht="12.75"/>
    <row r="60394" s="3161" customFormat="1" ht="12.75"/>
    <row r="60395" s="3161" customFormat="1" ht="12.75"/>
    <row r="60396" s="3161" customFormat="1" ht="12.75"/>
    <row r="60397" s="3161" customFormat="1" ht="12.75"/>
    <row r="60398" s="3161" customFormat="1" ht="12.75"/>
    <row r="60399" s="3161" customFormat="1" ht="12.75"/>
    <row r="60400" s="3161" customFormat="1" ht="12.75"/>
    <row r="60401" s="3161" customFormat="1" ht="12.75"/>
    <row r="60402" s="3161" customFormat="1" ht="12.75"/>
    <row r="60403" s="3161" customFormat="1" ht="12.75"/>
    <row r="60404" s="3161" customFormat="1" ht="12.75"/>
    <row r="60405" s="3161" customFormat="1" ht="12.75"/>
    <row r="60406" s="3161" customFormat="1" ht="12.75"/>
    <row r="60407" s="3161" customFormat="1" ht="12.75"/>
    <row r="60408" s="3161" customFormat="1" ht="12.75"/>
    <row r="60409" s="3161" customFormat="1" ht="12.75"/>
    <row r="60410" s="3161" customFormat="1" ht="12.75"/>
    <row r="60411" s="3161" customFormat="1" ht="12.75"/>
    <row r="60412" s="3161" customFormat="1" ht="12.75"/>
    <row r="60413" s="3161" customFormat="1" ht="12.75"/>
    <row r="60414" s="3161" customFormat="1" ht="12.75"/>
    <row r="60415" s="3161" customFormat="1" ht="12.75"/>
    <row r="60416" s="3161" customFormat="1" ht="12.75"/>
    <row r="60417" s="3161" customFormat="1" ht="12.75"/>
    <row r="60418" s="3161" customFormat="1" ht="12.75"/>
    <row r="60419" s="3161" customFormat="1" ht="12.75"/>
    <row r="60420" s="3161" customFormat="1" ht="12.75"/>
    <row r="60421" s="3161" customFormat="1" ht="12.75"/>
    <row r="60422" s="3161" customFormat="1" ht="12.75"/>
    <row r="60423" s="3161" customFormat="1" ht="12.75"/>
    <row r="60424" s="3161" customFormat="1" ht="12.75"/>
    <row r="60425" s="3161" customFormat="1" ht="12.75"/>
    <row r="60426" s="3161" customFormat="1" ht="12.75"/>
    <row r="60427" s="3161" customFormat="1" ht="12.75"/>
    <row r="60428" s="3161" customFormat="1" ht="12.75"/>
    <row r="60429" s="3161" customFormat="1" ht="12.75"/>
    <row r="60430" s="3161" customFormat="1" ht="12.75"/>
    <row r="60431" s="3161" customFormat="1" ht="12.75"/>
    <row r="60432" s="3161" customFormat="1" ht="12.75"/>
    <row r="60433" s="3161" customFormat="1" ht="12.75"/>
    <row r="60434" s="3161" customFormat="1" ht="12.75"/>
    <row r="60435" s="3161" customFormat="1" ht="12.75"/>
    <row r="60436" s="3161" customFormat="1" ht="12.75"/>
    <row r="60437" s="3161" customFormat="1" ht="12.75"/>
    <row r="60438" s="3161" customFormat="1" ht="12.75"/>
    <row r="60439" s="3161" customFormat="1" ht="12.75"/>
    <row r="60440" s="3161" customFormat="1" ht="12.75"/>
    <row r="60441" s="3161" customFormat="1" ht="12.75"/>
    <row r="60442" s="3161" customFormat="1" ht="12.75"/>
    <row r="60443" s="3161" customFormat="1" ht="12.75"/>
    <row r="60444" s="3161" customFormat="1" ht="12.75"/>
    <row r="60445" s="3161" customFormat="1" ht="12.75"/>
    <row r="60446" s="3161" customFormat="1" ht="12.75"/>
    <row r="60447" s="3161" customFormat="1" ht="12.75"/>
    <row r="60448" s="3161" customFormat="1" ht="12.75"/>
    <row r="60449" s="3161" customFormat="1" ht="12.75"/>
    <row r="60450" s="3161" customFormat="1" ht="12.75"/>
    <row r="60451" s="3161" customFormat="1" ht="12.75"/>
    <row r="60452" s="3161" customFormat="1" ht="12.75"/>
    <row r="60453" s="3161" customFormat="1" ht="12.75"/>
    <row r="60454" s="3161" customFormat="1" ht="12.75"/>
    <row r="60455" s="3161" customFormat="1" ht="12.75"/>
    <row r="60456" s="3161" customFormat="1" ht="12.75"/>
    <row r="60457" s="3161" customFormat="1" ht="12.75"/>
    <row r="60458" s="3161" customFormat="1" ht="12.75"/>
    <row r="60459" s="3161" customFormat="1" ht="12.75"/>
    <row r="60460" s="3161" customFormat="1" ht="12.75"/>
    <row r="60461" s="3161" customFormat="1" ht="12.75"/>
    <row r="60462" s="3161" customFormat="1" ht="12.75"/>
    <row r="60463" s="3161" customFormat="1" ht="12.75"/>
    <row r="60464" s="3161" customFormat="1" ht="12.75"/>
    <row r="60465" s="3161" customFormat="1" ht="12.75"/>
    <row r="60466" s="3161" customFormat="1" ht="12.75"/>
    <row r="60467" s="3161" customFormat="1" ht="12.75"/>
    <row r="60468" s="3161" customFormat="1" ht="12.75"/>
    <row r="60469" s="3161" customFormat="1" ht="12.75"/>
    <row r="60470" s="3161" customFormat="1" ht="12.75"/>
    <row r="60471" s="3161" customFormat="1" ht="12.75"/>
    <row r="60472" s="3161" customFormat="1" ht="12.75"/>
    <row r="60473" s="3161" customFormat="1" ht="12.75"/>
    <row r="60474" s="3161" customFormat="1" ht="12.75"/>
    <row r="60475" s="3161" customFormat="1" ht="12.75"/>
    <row r="60476" s="3161" customFormat="1" ht="12.75"/>
    <row r="60477" s="3161" customFormat="1" ht="12.75"/>
    <row r="60478" s="3161" customFormat="1" ht="12.75"/>
    <row r="60479" s="3161" customFormat="1" ht="12.75"/>
    <row r="60480" s="3161" customFormat="1" ht="12.75"/>
    <row r="60481" s="3161" customFormat="1" ht="12.75"/>
    <row r="60482" s="3161" customFormat="1" ht="12.75"/>
    <row r="60483" s="3161" customFormat="1" ht="12.75"/>
    <row r="60484" s="3161" customFormat="1" ht="12.75"/>
    <row r="60485" s="3161" customFormat="1" ht="12.75"/>
    <row r="60486" s="3161" customFormat="1" ht="12.75"/>
    <row r="60487" s="3161" customFormat="1" ht="12.75"/>
    <row r="60488" s="3161" customFormat="1" ht="12.75"/>
    <row r="60489" s="3161" customFormat="1" ht="12.75"/>
    <row r="60490" s="3161" customFormat="1" ht="12.75"/>
    <row r="60491" s="3161" customFormat="1" ht="12.75"/>
    <row r="60492" s="3161" customFormat="1" ht="12.75"/>
    <row r="60493" s="3161" customFormat="1" ht="12.75"/>
    <row r="60494" s="3161" customFormat="1" ht="12.75"/>
    <row r="60495" s="3161" customFormat="1" ht="12.75"/>
    <row r="60496" s="3161" customFormat="1" ht="12.75"/>
    <row r="60497" s="3161" customFormat="1" ht="12.75"/>
    <row r="60498" s="3161" customFormat="1" ht="12.75"/>
    <row r="60499" s="3161" customFormat="1" ht="12.75"/>
    <row r="60500" s="3161" customFormat="1" ht="12.75"/>
    <row r="60501" s="3161" customFormat="1" ht="12.75"/>
    <row r="60502" s="3161" customFormat="1" ht="12.75"/>
    <row r="60503" s="3161" customFormat="1" ht="12.75"/>
    <row r="60504" s="3161" customFormat="1" ht="12.75"/>
    <row r="60505" s="3161" customFormat="1" ht="12.75"/>
    <row r="60506" s="3161" customFormat="1" ht="12.75"/>
    <row r="60507" s="3161" customFormat="1" ht="12.75"/>
    <row r="60508" s="3161" customFormat="1" ht="12.75"/>
    <row r="60509" s="3161" customFormat="1" ht="12.75"/>
    <row r="60510" s="3161" customFormat="1" ht="12.75"/>
    <row r="60511" s="3161" customFormat="1" ht="12.75"/>
    <row r="60512" s="3161" customFormat="1" ht="12.75"/>
    <row r="60513" s="3161" customFormat="1" ht="12.75"/>
    <row r="60514" s="3161" customFormat="1" ht="12.75"/>
    <row r="60515" s="3161" customFormat="1" ht="12.75"/>
    <row r="60516" s="3161" customFormat="1" ht="12.75"/>
    <row r="60517" s="3161" customFormat="1" ht="12.75"/>
    <row r="60518" s="3161" customFormat="1" ht="12.75"/>
    <row r="60519" s="3161" customFormat="1" ht="12.75"/>
    <row r="60520" s="3161" customFormat="1" ht="12.75"/>
    <row r="60521" s="3161" customFormat="1" ht="12.75"/>
    <row r="60522" s="3161" customFormat="1" ht="12.75"/>
    <row r="60523" s="3161" customFormat="1" ht="12.75"/>
    <row r="60524" s="3161" customFormat="1" ht="12.75"/>
    <row r="60525" s="3161" customFormat="1" ht="12.75"/>
    <row r="60526" s="3161" customFormat="1" ht="12.75"/>
    <row r="60527" s="3161" customFormat="1" ht="12.75"/>
    <row r="60528" s="3161" customFormat="1" ht="12.75"/>
    <row r="60529" s="3161" customFormat="1" ht="12.75"/>
    <row r="60530" s="3161" customFormat="1" ht="12.75"/>
    <row r="60531" s="3161" customFormat="1" ht="12.75"/>
    <row r="60532" s="3161" customFormat="1" ht="12.75"/>
    <row r="60533" s="3161" customFormat="1" ht="12.75"/>
    <row r="60534" s="3161" customFormat="1" ht="12.75"/>
    <row r="60535" s="3161" customFormat="1" ht="12.75"/>
    <row r="60536" s="3161" customFormat="1" ht="12.75"/>
    <row r="60537" s="3161" customFormat="1" ht="12.75"/>
    <row r="60538" s="3161" customFormat="1" ht="12.75"/>
    <row r="60539" s="3161" customFormat="1" ht="12.75"/>
    <row r="60540" s="3161" customFormat="1" ht="12.75"/>
    <row r="60541" s="3161" customFormat="1" ht="12.75"/>
    <row r="60542" s="3161" customFormat="1" ht="12.75"/>
    <row r="60543" s="3161" customFormat="1" ht="12.75"/>
    <row r="60544" s="3161" customFormat="1" ht="12.75"/>
    <row r="60545" s="3161" customFormat="1" ht="12.75"/>
    <row r="60546" s="3161" customFormat="1" ht="12.75"/>
    <row r="60547" s="3161" customFormat="1" ht="12.75"/>
    <row r="60548" s="3161" customFormat="1" ht="12.75"/>
    <row r="60549" s="3161" customFormat="1" ht="12.75"/>
    <row r="60550" s="3161" customFormat="1" ht="12.75"/>
    <row r="60551" s="3161" customFormat="1" ht="12.75"/>
    <row r="60552" s="3161" customFormat="1" ht="12.75"/>
    <row r="60553" s="3161" customFormat="1" ht="12.75"/>
    <row r="60554" s="3161" customFormat="1" ht="12.75"/>
    <row r="60555" s="3161" customFormat="1" ht="12.75"/>
    <row r="60556" s="3161" customFormat="1" ht="12.75"/>
    <row r="60557" s="3161" customFormat="1" ht="12.75"/>
    <row r="60558" s="3161" customFormat="1" ht="12.75"/>
    <row r="60559" s="3161" customFormat="1" ht="12.75"/>
    <row r="60560" s="3161" customFormat="1" ht="12.75"/>
    <row r="60561" s="3161" customFormat="1" ht="12.75"/>
    <row r="60562" s="3161" customFormat="1" ht="12.75"/>
    <row r="60563" s="3161" customFormat="1" ht="12.75"/>
    <row r="60564" s="3161" customFormat="1" ht="12.75"/>
    <row r="60565" s="3161" customFormat="1" ht="12.75"/>
    <row r="60566" s="3161" customFormat="1" ht="12.75"/>
    <row r="60567" s="3161" customFormat="1" ht="12.75"/>
    <row r="60568" s="3161" customFormat="1" ht="12.75"/>
    <row r="60569" s="3161" customFormat="1" ht="12.75"/>
    <row r="60570" s="3161" customFormat="1" ht="12.75"/>
    <row r="60571" s="3161" customFormat="1" ht="12.75"/>
    <row r="60572" s="3161" customFormat="1" ht="12.75"/>
    <row r="60573" s="3161" customFormat="1" ht="12.75"/>
    <row r="60574" s="3161" customFormat="1" ht="12.75"/>
    <row r="60575" s="3161" customFormat="1" ht="12.75"/>
    <row r="60576" s="3161" customFormat="1" ht="12.75"/>
    <row r="60577" s="3161" customFormat="1" ht="12.75"/>
    <row r="60578" s="3161" customFormat="1" ht="12.75"/>
    <row r="60579" s="3161" customFormat="1" ht="12.75"/>
    <row r="60580" s="3161" customFormat="1" ht="12.75"/>
    <row r="60581" s="3161" customFormat="1" ht="12.75"/>
    <row r="60582" s="3161" customFormat="1" ht="12.75"/>
    <row r="60583" s="3161" customFormat="1" ht="12.75"/>
    <row r="60584" s="3161" customFormat="1" ht="12.75"/>
    <row r="60585" s="3161" customFormat="1" ht="12.75"/>
    <row r="60586" s="3161" customFormat="1" ht="12.75"/>
    <row r="60587" s="3161" customFormat="1" ht="12.75"/>
    <row r="60588" s="3161" customFormat="1" ht="12.75"/>
    <row r="60589" s="3161" customFormat="1" ht="12.75"/>
    <row r="60590" s="3161" customFormat="1" ht="12.75"/>
    <row r="60591" s="3161" customFormat="1" ht="12.75"/>
    <row r="60592" s="3161" customFormat="1" ht="12.75"/>
    <row r="60593" s="3161" customFormat="1" ht="12.75"/>
    <row r="60594" s="3161" customFormat="1" ht="12.75"/>
    <row r="60595" s="3161" customFormat="1" ht="12.75"/>
    <row r="60596" s="3161" customFormat="1" ht="12.75"/>
    <row r="60597" s="3161" customFormat="1" ht="12.75"/>
    <row r="60598" s="3161" customFormat="1" ht="12.75"/>
    <row r="60599" s="3161" customFormat="1" ht="12.75"/>
    <row r="60600" s="3161" customFormat="1" ht="12.75"/>
    <row r="60601" s="3161" customFormat="1" ht="12.75"/>
    <row r="60602" s="3161" customFormat="1" ht="12.75"/>
    <row r="60603" s="3161" customFormat="1" ht="12.75"/>
    <row r="60604" s="3161" customFormat="1" ht="12.75"/>
    <row r="60605" s="3161" customFormat="1" ht="12.75"/>
    <row r="60606" s="3161" customFormat="1" ht="12.75"/>
    <row r="60607" s="3161" customFormat="1" ht="12.75"/>
    <row r="60608" s="3161" customFormat="1" ht="12.75"/>
    <row r="60609" s="3161" customFormat="1" ht="12.75"/>
    <row r="60610" s="3161" customFormat="1" ht="12.75"/>
    <row r="60611" s="3161" customFormat="1" ht="12.75"/>
    <row r="60612" s="3161" customFormat="1" ht="12.75"/>
    <row r="60613" s="3161" customFormat="1" ht="12.75"/>
    <row r="60614" s="3161" customFormat="1" ht="12.75"/>
    <row r="60615" s="3161" customFormat="1" ht="12.75"/>
    <row r="60616" s="3161" customFormat="1" ht="12.75"/>
    <row r="60617" s="3161" customFormat="1" ht="12.75"/>
    <row r="60618" s="3161" customFormat="1" ht="12.75"/>
    <row r="60619" s="3161" customFormat="1" ht="12.75"/>
    <row r="60620" s="3161" customFormat="1" ht="12.75"/>
    <row r="60621" s="3161" customFormat="1" ht="12.75"/>
    <row r="60622" s="3161" customFormat="1" ht="12.75"/>
    <row r="60623" s="3161" customFormat="1" ht="12.75"/>
    <row r="60624" s="3161" customFormat="1" ht="12.75"/>
    <row r="60625" s="3161" customFormat="1" ht="12.75"/>
    <row r="60626" s="3161" customFormat="1" ht="12.75"/>
    <row r="60627" s="3161" customFormat="1" ht="12.75"/>
    <row r="60628" s="3161" customFormat="1" ht="12.75"/>
    <row r="60629" s="3161" customFormat="1" ht="12.75"/>
    <row r="60630" s="3161" customFormat="1" ht="12.75"/>
    <row r="60631" s="3161" customFormat="1" ht="12.75"/>
    <row r="60632" s="3161" customFormat="1" ht="12.75"/>
    <row r="60633" s="3161" customFormat="1" ht="12.75"/>
    <row r="60634" s="3161" customFormat="1" ht="12.75"/>
    <row r="60635" s="3161" customFormat="1" ht="12.75"/>
    <row r="60636" s="3161" customFormat="1" ht="12.75"/>
    <row r="60637" s="3161" customFormat="1" ht="12.75"/>
    <row r="60638" s="3161" customFormat="1" ht="12.75"/>
    <row r="60639" s="3161" customFormat="1" ht="12.75"/>
    <row r="60640" s="3161" customFormat="1" ht="12.75"/>
    <row r="60641" s="3161" customFormat="1" ht="12.75"/>
    <row r="60642" s="3161" customFormat="1" ht="12.75"/>
    <row r="60643" s="3161" customFormat="1" ht="12.75"/>
    <row r="60644" s="3161" customFormat="1" ht="12.75"/>
    <row r="60645" s="3161" customFormat="1" ht="12.75"/>
    <row r="60646" s="3161" customFormat="1" ht="12.75"/>
    <row r="60647" s="3161" customFormat="1" ht="12.75"/>
    <row r="60648" s="3161" customFormat="1" ht="12.75"/>
    <row r="60649" s="3161" customFormat="1" ht="12.75"/>
    <row r="60650" s="3161" customFormat="1" ht="12.75"/>
    <row r="60651" s="3161" customFormat="1" ht="12.75"/>
    <row r="60652" s="3161" customFormat="1" ht="12.75"/>
    <row r="60653" s="3161" customFormat="1" ht="12.75"/>
    <row r="60654" s="3161" customFormat="1" ht="12.75"/>
    <row r="60655" s="3161" customFormat="1" ht="12.75"/>
    <row r="60656" s="3161" customFormat="1" ht="12.75"/>
    <row r="60657" s="3161" customFormat="1" ht="12.75"/>
    <row r="60658" s="3161" customFormat="1" ht="12.75"/>
    <row r="60659" s="3161" customFormat="1" ht="12.75"/>
    <row r="60660" s="3161" customFormat="1" ht="12.75"/>
    <row r="60661" s="3161" customFormat="1" ht="12.75"/>
    <row r="60662" s="3161" customFormat="1" ht="12.75"/>
    <row r="60663" s="3161" customFormat="1" ht="12.75"/>
    <row r="60664" s="3161" customFormat="1" ht="12.75"/>
    <row r="60665" s="3161" customFormat="1" ht="12.75"/>
    <row r="60666" s="3161" customFormat="1" ht="12.75"/>
    <row r="60667" s="3161" customFormat="1" ht="12.75"/>
    <row r="60668" s="3161" customFormat="1" ht="12.75"/>
    <row r="60669" s="3161" customFormat="1" ht="12.75"/>
    <row r="60670" s="3161" customFormat="1" ht="12.75"/>
    <row r="60671" s="3161" customFormat="1" ht="12.75"/>
    <row r="60672" s="3161" customFormat="1" ht="12.75"/>
    <row r="60673" s="3161" customFormat="1" ht="12.75"/>
    <row r="60674" s="3161" customFormat="1" ht="12.75"/>
    <row r="60675" s="3161" customFormat="1" ht="12.75"/>
    <row r="60676" s="3161" customFormat="1" ht="12.75"/>
    <row r="60677" s="3161" customFormat="1" ht="12.75"/>
    <row r="60678" s="3161" customFormat="1" ht="12.75"/>
    <row r="60679" s="3161" customFormat="1" ht="12.75"/>
    <row r="60680" s="3161" customFormat="1" ht="12.75"/>
    <row r="60681" s="3161" customFormat="1" ht="12.75"/>
    <row r="60682" s="3161" customFormat="1" ht="12.75"/>
    <row r="60683" s="3161" customFormat="1" ht="12.75"/>
    <row r="60684" s="3161" customFormat="1" ht="12.75"/>
    <row r="60685" s="3161" customFormat="1" ht="12.75"/>
    <row r="60686" s="3161" customFormat="1" ht="12.75"/>
    <row r="60687" s="3161" customFormat="1" ht="12.75"/>
    <row r="60688" s="3161" customFormat="1" ht="12.75"/>
    <row r="60689" s="3161" customFormat="1" ht="12.75"/>
    <row r="60690" s="3161" customFormat="1" ht="12.75"/>
    <row r="60691" s="3161" customFormat="1" ht="12.75"/>
    <row r="60692" s="3161" customFormat="1" ht="12.75"/>
    <row r="60693" s="3161" customFormat="1" ht="12.75"/>
    <row r="60694" s="3161" customFormat="1" ht="12.75"/>
    <row r="60695" s="3161" customFormat="1" ht="12.75"/>
    <row r="60696" s="3161" customFormat="1" ht="12.75"/>
    <row r="60697" s="3161" customFormat="1" ht="12.75"/>
    <row r="60698" s="3161" customFormat="1" ht="12.75"/>
    <row r="60699" s="3161" customFormat="1" ht="12.75"/>
    <row r="60700" s="3161" customFormat="1" ht="12.75"/>
    <row r="60701" s="3161" customFormat="1" ht="12.75"/>
    <row r="60702" s="3161" customFormat="1" ht="12.75"/>
    <row r="60703" s="3161" customFormat="1" ht="12.75"/>
    <row r="60704" s="3161" customFormat="1" ht="12.75"/>
    <row r="60705" s="3161" customFormat="1" ht="12.75"/>
    <row r="60706" s="3161" customFormat="1" ht="12.75"/>
    <row r="60707" s="3161" customFormat="1" ht="12.75"/>
    <row r="60708" s="3161" customFormat="1" ht="12.75"/>
    <row r="60709" s="3161" customFormat="1" ht="12.75"/>
    <row r="60710" s="3161" customFormat="1" ht="12.75"/>
    <row r="60711" s="3161" customFormat="1" ht="12.75"/>
    <row r="60712" s="3161" customFormat="1" ht="12.75"/>
    <row r="60713" s="3161" customFormat="1" ht="12.75"/>
    <row r="60714" s="3161" customFormat="1" ht="12.75"/>
    <row r="60715" s="3161" customFormat="1" ht="12.75"/>
    <row r="60716" s="3161" customFormat="1" ht="12.75"/>
    <row r="60717" s="3161" customFormat="1" ht="12.75"/>
    <row r="60718" s="3161" customFormat="1" ht="12.75"/>
    <row r="60719" s="3161" customFormat="1" ht="12.75"/>
    <row r="60720" s="3161" customFormat="1" ht="12.75"/>
    <row r="60721" s="3161" customFormat="1" ht="12.75"/>
    <row r="60722" s="3161" customFormat="1" ht="12.75"/>
    <row r="60723" s="3161" customFormat="1" ht="12.75"/>
    <row r="60724" s="3161" customFormat="1" ht="12.75"/>
    <row r="60725" s="3161" customFormat="1" ht="12.75"/>
    <row r="60726" s="3161" customFormat="1" ht="12.75"/>
    <row r="60727" s="3161" customFormat="1" ht="12.75"/>
    <row r="60728" s="3161" customFormat="1" ht="12.75"/>
    <row r="60729" s="3161" customFormat="1" ht="12.75"/>
    <row r="60730" s="3161" customFormat="1" ht="12.75"/>
    <row r="60731" s="3161" customFormat="1" ht="12.75"/>
    <row r="60732" s="3161" customFormat="1" ht="12.75"/>
    <row r="60733" s="3161" customFormat="1" ht="12.75"/>
    <row r="60734" s="3161" customFormat="1" ht="12.75"/>
    <row r="60735" s="3161" customFormat="1" ht="12.75"/>
    <row r="60736" s="3161" customFormat="1" ht="12.75"/>
    <row r="60737" s="3161" customFormat="1" ht="12.75"/>
    <row r="60738" s="3161" customFormat="1" ht="12.75"/>
    <row r="60739" s="3161" customFormat="1" ht="12.75"/>
    <row r="60740" s="3161" customFormat="1" ht="12.75"/>
    <row r="60741" s="3161" customFormat="1" ht="12.75"/>
    <row r="60742" s="3161" customFormat="1" ht="12.75"/>
    <row r="60743" s="3161" customFormat="1" ht="12.75"/>
    <row r="60744" s="3161" customFormat="1" ht="12.75"/>
    <row r="60745" s="3161" customFormat="1" ht="12.75"/>
    <row r="60746" s="3161" customFormat="1" ht="12.75"/>
    <row r="60747" s="3161" customFormat="1" ht="12.75"/>
    <row r="60748" s="3161" customFormat="1" ht="12.75"/>
    <row r="60749" s="3161" customFormat="1" ht="12.75"/>
    <row r="60750" s="3161" customFormat="1" ht="12.75"/>
    <row r="60751" s="3161" customFormat="1" ht="12.75"/>
    <row r="60752" s="3161" customFormat="1" ht="12.75"/>
    <row r="60753" s="3161" customFormat="1" ht="12.75"/>
    <row r="60754" s="3161" customFormat="1" ht="12.75"/>
    <row r="60755" s="3161" customFormat="1" ht="12.75"/>
    <row r="60756" s="3161" customFormat="1" ht="12.75"/>
    <row r="60757" s="3161" customFormat="1" ht="12.75"/>
    <row r="60758" s="3161" customFormat="1" ht="12.75"/>
    <row r="60759" s="3161" customFormat="1" ht="12.75"/>
    <row r="60760" s="3161" customFormat="1" ht="12.75"/>
    <row r="60761" s="3161" customFormat="1" ht="12.75"/>
    <row r="60762" s="3161" customFormat="1" ht="12.75"/>
    <row r="60763" s="3161" customFormat="1" ht="12.75"/>
    <row r="60764" s="3161" customFormat="1" ht="12.75"/>
    <row r="60765" s="3161" customFormat="1" ht="12.75"/>
    <row r="60766" s="3161" customFormat="1" ht="12.75"/>
    <row r="60767" s="3161" customFormat="1" ht="12.75"/>
    <row r="60768" s="3161" customFormat="1" ht="12.75"/>
    <row r="60769" s="3161" customFormat="1" ht="12.75"/>
    <row r="60770" s="3161" customFormat="1" ht="12.75"/>
    <row r="60771" s="3161" customFormat="1" ht="12.75"/>
    <row r="60772" s="3161" customFormat="1" ht="12.75"/>
    <row r="60773" s="3161" customFormat="1" ht="12.75"/>
    <row r="60774" s="3161" customFormat="1" ht="12.75"/>
    <row r="60775" s="3161" customFormat="1" ht="12.75"/>
    <row r="60776" s="3161" customFormat="1" ht="12.75"/>
    <row r="60777" s="3161" customFormat="1" ht="12.75"/>
    <row r="60778" s="3161" customFormat="1" ht="12.75"/>
    <row r="60779" s="3161" customFormat="1" ht="12.75"/>
    <row r="60780" s="3161" customFormat="1" ht="12.75"/>
    <row r="60781" s="3161" customFormat="1" ht="12.75"/>
    <row r="60782" s="3161" customFormat="1" ht="12.75"/>
    <row r="60783" s="3161" customFormat="1" ht="12.75"/>
    <row r="60784" s="3161" customFormat="1" ht="12.75"/>
    <row r="60785" s="3161" customFormat="1" ht="12.75"/>
    <row r="60786" s="3161" customFormat="1" ht="12.75"/>
    <row r="60787" s="3161" customFormat="1" ht="12.75"/>
    <row r="60788" s="3161" customFormat="1" ht="12.75"/>
    <row r="60789" s="3161" customFormat="1" ht="12.75"/>
    <row r="60790" s="3161" customFormat="1" ht="12.75"/>
    <row r="60791" s="3161" customFormat="1" ht="12.75"/>
    <row r="60792" s="3161" customFormat="1" ht="12.75"/>
    <row r="60793" s="3161" customFormat="1" ht="12.75"/>
    <row r="60794" s="3161" customFormat="1" ht="12.75"/>
    <row r="60795" s="3161" customFormat="1" ht="12.75"/>
    <row r="60796" s="3161" customFormat="1" ht="12.75"/>
    <row r="60797" s="3161" customFormat="1" ht="12.75"/>
    <row r="60798" s="3161" customFormat="1" ht="12.75"/>
    <row r="60799" s="3161" customFormat="1" ht="12.75"/>
    <row r="60800" s="3161" customFormat="1" ht="12.75"/>
    <row r="60801" s="3161" customFormat="1" ht="12.75"/>
    <row r="60802" s="3161" customFormat="1" ht="12.75"/>
    <row r="60803" s="3161" customFormat="1" ht="12.75"/>
    <row r="60804" s="3161" customFormat="1" ht="12.75"/>
    <row r="60805" s="3161" customFormat="1" ht="12.75"/>
    <row r="60806" s="3161" customFormat="1" ht="12.75"/>
    <row r="60807" s="3161" customFormat="1" ht="12.75"/>
    <row r="60808" s="3161" customFormat="1" ht="12.75"/>
    <row r="60809" s="3161" customFormat="1" ht="12.75"/>
    <row r="60810" s="3161" customFormat="1" ht="12.75"/>
    <row r="60811" s="3161" customFormat="1" ht="12.75"/>
    <row r="60812" s="3161" customFormat="1" ht="12.75"/>
    <row r="60813" s="3161" customFormat="1" ht="12.75"/>
    <row r="60814" s="3161" customFormat="1" ht="12.75"/>
    <row r="60815" s="3161" customFormat="1" ht="12.75"/>
    <row r="60816" s="3161" customFormat="1" ht="12.75"/>
    <row r="60817" s="3161" customFormat="1" ht="12.75"/>
    <row r="60818" s="3161" customFormat="1" ht="12.75"/>
    <row r="60819" s="3161" customFormat="1" ht="12.75"/>
    <row r="60820" s="3161" customFormat="1" ht="12.75"/>
    <row r="60821" s="3161" customFormat="1" ht="12.75"/>
    <row r="60822" s="3161" customFormat="1" ht="12.75"/>
    <row r="60823" s="3161" customFormat="1" ht="12.75"/>
    <row r="60824" s="3161" customFormat="1" ht="12.75"/>
    <row r="60825" s="3161" customFormat="1" ht="12.75"/>
    <row r="60826" s="3161" customFormat="1" ht="12.75"/>
    <row r="60827" s="3161" customFormat="1" ht="12.75"/>
    <row r="60828" s="3161" customFormat="1" ht="12.75"/>
    <row r="60829" s="3161" customFormat="1" ht="12.75"/>
    <row r="60830" s="3161" customFormat="1" ht="12.75"/>
    <row r="60831" s="3161" customFormat="1" ht="12.75"/>
    <row r="60832" s="3161" customFormat="1" ht="12.75"/>
    <row r="60833" s="3161" customFormat="1" ht="12.75"/>
    <row r="60834" s="3161" customFormat="1" ht="12.75"/>
    <row r="60835" s="3161" customFormat="1" ht="12.75"/>
    <row r="60836" s="3161" customFormat="1" ht="12.75"/>
    <row r="60837" s="3161" customFormat="1" ht="12.75"/>
    <row r="60838" s="3161" customFormat="1" ht="12.75"/>
    <row r="60839" s="3161" customFormat="1" ht="12.75"/>
    <row r="60840" s="3161" customFormat="1" ht="12.75"/>
    <row r="60841" s="3161" customFormat="1" ht="12.75"/>
    <row r="60842" s="3161" customFormat="1" ht="12.75"/>
    <row r="60843" s="3161" customFormat="1" ht="12.75"/>
    <row r="60844" s="3161" customFormat="1" ht="12.75"/>
    <row r="60845" s="3161" customFormat="1" ht="12.75"/>
    <row r="60846" s="3161" customFormat="1" ht="12.75"/>
    <row r="60847" s="3161" customFormat="1" ht="12.75"/>
    <row r="60848" s="3161" customFormat="1" ht="12.75"/>
    <row r="60849" s="3161" customFormat="1" ht="12.75"/>
    <row r="60850" s="3161" customFormat="1" ht="12.75"/>
    <row r="60851" s="3161" customFormat="1" ht="12.75"/>
    <row r="60852" s="3161" customFormat="1" ht="12.75"/>
    <row r="60853" s="3161" customFormat="1" ht="12.75"/>
    <row r="60854" s="3161" customFormat="1" ht="12.75"/>
    <row r="60855" s="3161" customFormat="1" ht="12.75"/>
    <row r="60856" s="3161" customFormat="1" ht="12.75"/>
    <row r="60857" s="3161" customFormat="1" ht="12.75"/>
    <row r="60858" s="3161" customFormat="1" ht="12.75"/>
    <row r="60859" s="3161" customFormat="1" ht="12.75"/>
    <row r="60860" s="3161" customFormat="1" ht="12.75"/>
    <row r="60861" s="3161" customFormat="1" ht="12.75"/>
    <row r="60862" s="3161" customFormat="1" ht="12.75"/>
    <row r="60863" s="3161" customFormat="1" ht="12.75"/>
    <row r="60864" s="3161" customFormat="1" ht="12.75"/>
    <row r="60865" s="3161" customFormat="1" ht="12.75"/>
    <row r="60866" s="3161" customFormat="1" ht="12.75"/>
    <row r="60867" s="3161" customFormat="1" ht="12.75"/>
    <row r="60868" s="3161" customFormat="1" ht="12.75"/>
    <row r="60869" s="3161" customFormat="1" ht="12.75"/>
    <row r="60870" s="3161" customFormat="1" ht="12.75"/>
    <row r="60871" s="3161" customFormat="1" ht="12.75"/>
    <row r="60872" s="3161" customFormat="1" ht="12.75"/>
    <row r="60873" s="3161" customFormat="1" ht="12.75"/>
    <row r="60874" s="3161" customFormat="1" ht="12.75"/>
    <row r="60875" s="3161" customFormat="1" ht="12.75"/>
    <row r="60876" s="3161" customFormat="1" ht="12.75"/>
    <row r="60877" s="3161" customFormat="1" ht="12.75"/>
    <row r="60878" s="3161" customFormat="1" ht="12.75"/>
    <row r="60879" s="3161" customFormat="1" ht="12.75"/>
    <row r="60880" s="3161" customFormat="1" ht="12.75"/>
    <row r="60881" s="3161" customFormat="1" ht="12.75"/>
    <row r="60882" s="3161" customFormat="1" ht="12.75"/>
    <row r="60883" s="3161" customFormat="1" ht="12.75"/>
    <row r="60884" s="3161" customFormat="1" ht="12.75"/>
    <row r="60885" s="3161" customFormat="1" ht="12.75"/>
    <row r="60886" s="3161" customFormat="1" ht="12.75"/>
    <row r="60887" s="3161" customFormat="1" ht="12.75"/>
    <row r="60888" s="3161" customFormat="1" ht="12.75"/>
    <row r="60889" s="3161" customFormat="1" ht="12.75"/>
    <row r="60890" s="3161" customFormat="1" ht="12.75"/>
    <row r="60891" s="3161" customFormat="1" ht="12.75"/>
    <row r="60892" s="3161" customFormat="1" ht="12.75"/>
    <row r="60893" s="3161" customFormat="1" ht="12.75"/>
    <row r="60894" s="3161" customFormat="1" ht="12.75"/>
    <row r="60895" s="3161" customFormat="1" ht="12.75"/>
    <row r="60896" s="3161" customFormat="1" ht="12.75"/>
    <row r="60897" s="3161" customFormat="1" ht="12.75"/>
    <row r="60898" s="3161" customFormat="1" ht="12.75"/>
    <row r="60899" s="3161" customFormat="1" ht="12.75"/>
    <row r="60900" s="3161" customFormat="1" ht="12.75"/>
    <row r="60901" s="3161" customFormat="1" ht="12.75"/>
    <row r="60902" s="3161" customFormat="1" ht="12.75"/>
    <row r="60903" s="3161" customFormat="1" ht="12.75"/>
    <row r="60904" s="3161" customFormat="1" ht="12.75"/>
    <row r="60905" s="3161" customFormat="1" ht="12.75"/>
    <row r="60906" s="3161" customFormat="1" ht="12.75"/>
    <row r="60907" s="3161" customFormat="1" ht="12.75"/>
    <row r="60908" s="3161" customFormat="1" ht="12.75"/>
    <row r="60909" s="3161" customFormat="1" ht="12.75"/>
    <row r="60910" s="3161" customFormat="1" ht="12.75"/>
    <row r="60911" s="3161" customFormat="1" ht="12.75"/>
    <row r="60912" s="3161" customFormat="1" ht="12.75"/>
    <row r="60913" s="3161" customFormat="1" ht="12.75"/>
    <row r="60914" s="3161" customFormat="1" ht="12.75"/>
    <row r="60915" s="3161" customFormat="1" ht="12.75"/>
    <row r="60916" s="3161" customFormat="1" ht="12.75"/>
    <row r="60917" s="3161" customFormat="1" ht="12.75"/>
    <row r="60918" s="3161" customFormat="1" ht="12.75"/>
    <row r="60919" s="3161" customFormat="1" ht="12.75"/>
    <row r="60920" s="3161" customFormat="1" ht="12.75"/>
    <row r="60921" s="3161" customFormat="1" ht="12.75"/>
    <row r="60922" s="3161" customFormat="1" ht="12.75"/>
    <row r="60923" s="3161" customFormat="1" ht="12.75"/>
    <row r="60924" s="3161" customFormat="1" ht="12.75"/>
    <row r="60925" s="3161" customFormat="1" ht="12.75"/>
    <row r="60926" s="3161" customFormat="1" ht="12.75"/>
    <row r="60927" s="3161" customFormat="1" ht="12.75"/>
    <row r="60928" s="3161" customFormat="1" ht="12.75"/>
    <row r="60929" s="3161" customFormat="1" ht="12.75"/>
    <row r="60930" s="3161" customFormat="1" ht="12.75"/>
    <row r="60931" s="3161" customFormat="1" ht="12.75"/>
    <row r="60932" s="3161" customFormat="1" ht="12.75"/>
    <row r="60933" s="3161" customFormat="1" ht="12.75"/>
    <row r="60934" s="3161" customFormat="1" ht="12.75"/>
    <row r="60935" s="3161" customFormat="1" ht="12.75"/>
    <row r="60936" s="3161" customFormat="1" ht="12.75"/>
    <row r="60937" s="3161" customFormat="1" ht="12.75"/>
    <row r="60938" s="3161" customFormat="1" ht="12.75"/>
    <row r="60939" s="3161" customFormat="1" ht="12.75"/>
    <row r="60940" s="3161" customFormat="1" ht="12.75"/>
    <row r="60941" s="3161" customFormat="1" ht="12.75"/>
    <row r="60942" s="3161" customFormat="1" ht="12.75"/>
    <row r="60943" s="3161" customFormat="1" ht="12.75"/>
    <row r="60944" s="3161" customFormat="1" ht="12.75"/>
    <row r="60945" s="3161" customFormat="1" ht="12.75"/>
    <row r="60946" s="3161" customFormat="1" ht="12.75"/>
    <row r="60947" s="3161" customFormat="1" ht="12.75"/>
    <row r="60948" s="3161" customFormat="1" ht="12.75"/>
    <row r="60949" s="3161" customFormat="1" ht="12.75"/>
    <row r="60950" s="3161" customFormat="1" ht="12.75"/>
    <row r="60951" s="3161" customFormat="1" ht="12.75"/>
    <row r="60952" s="3161" customFormat="1" ht="12.75"/>
    <row r="60953" s="3161" customFormat="1" ht="12.75"/>
    <row r="60954" s="3161" customFormat="1" ht="12.75"/>
    <row r="60955" s="3161" customFormat="1" ht="12.75"/>
    <row r="60956" s="3161" customFormat="1" ht="12.75"/>
    <row r="60957" s="3161" customFormat="1" ht="12.75"/>
    <row r="60958" s="3161" customFormat="1" ht="12.75"/>
    <row r="60959" s="3161" customFormat="1" ht="12.75"/>
    <row r="60960" s="3161" customFormat="1" ht="12.75"/>
    <row r="60961" s="3161" customFormat="1" ht="12.75"/>
    <row r="60962" s="3161" customFormat="1" ht="12.75"/>
    <row r="60963" s="3161" customFormat="1" ht="12.75"/>
    <row r="60964" s="3161" customFormat="1" ht="12.75"/>
    <row r="60965" s="3161" customFormat="1" ht="12.75"/>
    <row r="60966" s="3161" customFormat="1" ht="12.75"/>
    <row r="60967" s="3161" customFormat="1" ht="12.75"/>
    <row r="60968" s="3161" customFormat="1" ht="12.75"/>
    <row r="60969" s="3161" customFormat="1" ht="12.75"/>
    <row r="60970" s="3161" customFormat="1" ht="12.75"/>
    <row r="60971" s="3161" customFormat="1" ht="12.75"/>
    <row r="60972" s="3161" customFormat="1" ht="12.75"/>
    <row r="60973" s="3161" customFormat="1" ht="12.75"/>
    <row r="60974" s="3161" customFormat="1" ht="12.75"/>
    <row r="60975" s="3161" customFormat="1" ht="12.75"/>
    <row r="60976" s="3161" customFormat="1" ht="12.75"/>
    <row r="60977" s="3161" customFormat="1" ht="12.75"/>
    <row r="60978" s="3161" customFormat="1" ht="12.75"/>
    <row r="60979" s="3161" customFormat="1" ht="12.75"/>
    <row r="60980" s="3161" customFormat="1" ht="12.75"/>
    <row r="60981" s="3161" customFormat="1" ht="12.75"/>
    <row r="60982" s="3161" customFormat="1" ht="12.75"/>
    <row r="60983" s="3161" customFormat="1" ht="12.75"/>
    <row r="60984" s="3161" customFormat="1" ht="12.75"/>
    <row r="60985" s="3161" customFormat="1" ht="12.75"/>
    <row r="60986" s="3161" customFormat="1" ht="12.75"/>
    <row r="60987" s="3161" customFormat="1" ht="12.75"/>
    <row r="60988" s="3161" customFormat="1" ht="12.75"/>
    <row r="60989" s="3161" customFormat="1" ht="12.75"/>
    <row r="60990" s="3161" customFormat="1" ht="12.75"/>
    <row r="60991" s="3161" customFormat="1" ht="12.75"/>
    <row r="60992" s="3161" customFormat="1" ht="12.75"/>
    <row r="60993" s="3161" customFormat="1" ht="12.75"/>
    <row r="60994" s="3161" customFormat="1" ht="12.75"/>
    <row r="60995" s="3161" customFormat="1" ht="12.75"/>
    <row r="60996" s="3161" customFormat="1" ht="12.75"/>
    <row r="60997" s="3161" customFormat="1" ht="12.75"/>
    <row r="60998" s="3161" customFormat="1" ht="12.75"/>
    <row r="60999" s="3161" customFormat="1" ht="12.75"/>
    <row r="61000" s="3161" customFormat="1" ht="12.75"/>
    <row r="61001" s="3161" customFormat="1" ht="12.75"/>
    <row r="61002" s="3161" customFormat="1" ht="12.75"/>
    <row r="61003" s="3161" customFormat="1" ht="12.75"/>
    <row r="61004" s="3161" customFormat="1" ht="12.75"/>
    <row r="61005" s="3161" customFormat="1" ht="12.75"/>
    <row r="61006" s="3161" customFormat="1" ht="12.75"/>
    <row r="61007" s="3161" customFormat="1" ht="12.75"/>
    <row r="61008" s="3161" customFormat="1" ht="12.75"/>
    <row r="61009" s="3161" customFormat="1" ht="12.75"/>
    <row r="61010" s="3161" customFormat="1" ht="12.75"/>
    <row r="61011" s="3161" customFormat="1" ht="12.75"/>
    <row r="61012" s="3161" customFormat="1" ht="12.75"/>
    <row r="61013" s="3161" customFormat="1" ht="12.75"/>
    <row r="61014" s="3161" customFormat="1" ht="12.75"/>
    <row r="61015" s="3161" customFormat="1" ht="12.75"/>
    <row r="61016" s="3161" customFormat="1" ht="12.75"/>
    <row r="61017" s="3161" customFormat="1" ht="12.75"/>
    <row r="61018" s="3161" customFormat="1" ht="12.75"/>
    <row r="61019" s="3161" customFormat="1" ht="12.75"/>
    <row r="61020" s="3161" customFormat="1" ht="12.75"/>
    <row r="61021" s="3161" customFormat="1" ht="12.75"/>
    <row r="61022" s="3161" customFormat="1" ht="12.75"/>
    <row r="61023" s="3161" customFormat="1" ht="12.75"/>
    <row r="61024" s="3161" customFormat="1" ht="12.75"/>
    <row r="61025" s="3161" customFormat="1" ht="12.75"/>
    <row r="61026" s="3161" customFormat="1" ht="12.75"/>
    <row r="61027" s="3161" customFormat="1" ht="12.75"/>
    <row r="61028" s="3161" customFormat="1" ht="12.75"/>
    <row r="61029" s="3161" customFormat="1" ht="12.75"/>
    <row r="61030" s="3161" customFormat="1" ht="12.75"/>
    <row r="61031" s="3161" customFormat="1" ht="12.75"/>
    <row r="61032" s="3161" customFormat="1" ht="12.75"/>
    <row r="61033" s="3161" customFormat="1" ht="12.75"/>
    <row r="61034" s="3161" customFormat="1" ht="12.75"/>
    <row r="61035" s="3161" customFormat="1" ht="12.75"/>
    <row r="61036" s="3161" customFormat="1" ht="12.75"/>
    <row r="61037" s="3161" customFormat="1" ht="12.75"/>
    <row r="61038" s="3161" customFormat="1" ht="12.75"/>
    <row r="61039" s="3161" customFormat="1" ht="12.75"/>
    <row r="61040" s="3161" customFormat="1" ht="12.75"/>
    <row r="61041" s="3161" customFormat="1" ht="12.75"/>
    <row r="61042" s="3161" customFormat="1" ht="12.75"/>
    <row r="61043" s="3161" customFormat="1" ht="12.75"/>
    <row r="61044" s="3161" customFormat="1" ht="12.75"/>
    <row r="61045" s="3161" customFormat="1" ht="12.75"/>
    <row r="61046" s="3161" customFormat="1" ht="12.75"/>
    <row r="61047" s="3161" customFormat="1" ht="12.75"/>
    <row r="61048" s="3161" customFormat="1" ht="12.75"/>
    <row r="61049" s="3161" customFormat="1" ht="12.75"/>
    <row r="61050" s="3161" customFormat="1" ht="12.75"/>
    <row r="61051" s="3161" customFormat="1" ht="12.75"/>
    <row r="61052" s="3161" customFormat="1" ht="12.75"/>
    <row r="61053" s="3161" customFormat="1" ht="12.75"/>
    <row r="61054" s="3161" customFormat="1" ht="12.75"/>
    <row r="61055" s="3161" customFormat="1" ht="12.75"/>
    <row r="61056" s="3161" customFormat="1" ht="12.75"/>
    <row r="61057" s="3161" customFormat="1" ht="12.75"/>
    <row r="61058" s="3161" customFormat="1" ht="12.75"/>
    <row r="61059" s="3161" customFormat="1" ht="12.75"/>
    <row r="61060" s="3161" customFormat="1" ht="12.75"/>
    <row r="61061" s="3161" customFormat="1" ht="12.75"/>
    <row r="61062" s="3161" customFormat="1" ht="12.75"/>
    <row r="61063" s="3161" customFormat="1" ht="12.75"/>
    <row r="61064" s="3161" customFormat="1" ht="12.75"/>
    <row r="61065" s="3161" customFormat="1" ht="12.75"/>
    <row r="61066" s="3161" customFormat="1" ht="12.75"/>
    <row r="61067" s="3161" customFormat="1" ht="12.75"/>
    <row r="61068" s="3161" customFormat="1" ht="12.75"/>
    <row r="61069" s="3161" customFormat="1" ht="12.75"/>
    <row r="61070" s="3161" customFormat="1" ht="12.75"/>
    <row r="61071" s="3161" customFormat="1" ht="12.75"/>
    <row r="61072" s="3161" customFormat="1" ht="12.75"/>
    <row r="61073" s="3161" customFormat="1" ht="12.75"/>
    <row r="61074" s="3161" customFormat="1" ht="12.75"/>
    <row r="61075" s="3161" customFormat="1" ht="12.75"/>
    <row r="61076" s="3161" customFormat="1" ht="12.75"/>
    <row r="61077" s="3161" customFormat="1" ht="12.75"/>
    <row r="61078" s="3161" customFormat="1" ht="12.75"/>
    <row r="61079" s="3161" customFormat="1" ht="12.75"/>
    <row r="61080" s="3161" customFormat="1" ht="12.75"/>
    <row r="61081" s="3161" customFormat="1" ht="12.75"/>
    <row r="61082" s="3161" customFormat="1" ht="12.75"/>
    <row r="61083" s="3161" customFormat="1" ht="12.75"/>
    <row r="61084" s="3161" customFormat="1" ht="12.75"/>
    <row r="61085" s="3161" customFormat="1" ht="12.75"/>
    <row r="61086" s="3161" customFormat="1" ht="12.75"/>
    <row r="61087" s="3161" customFormat="1" ht="12.75"/>
    <row r="61088" s="3161" customFormat="1" ht="12.75"/>
    <row r="61089" s="3161" customFormat="1" ht="12.75"/>
    <row r="61090" s="3161" customFormat="1" ht="12.75"/>
    <row r="61091" s="3161" customFormat="1" ht="12.75"/>
    <row r="61092" s="3161" customFormat="1" ht="12.75"/>
    <row r="61093" s="3161" customFormat="1" ht="12.75"/>
    <row r="61094" s="3161" customFormat="1" ht="12.75"/>
    <row r="61095" s="3161" customFormat="1" ht="12.75"/>
    <row r="61096" s="3161" customFormat="1" ht="12.75"/>
    <row r="61097" s="3161" customFormat="1" ht="12.75"/>
    <row r="61098" s="3161" customFormat="1" ht="12.75"/>
    <row r="61099" s="3161" customFormat="1" ht="12.75"/>
    <row r="61100" s="3161" customFormat="1" ht="12.75"/>
    <row r="61101" s="3161" customFormat="1" ht="12.75"/>
    <row r="61102" s="3161" customFormat="1" ht="12.75"/>
    <row r="61103" s="3161" customFormat="1" ht="12.75"/>
    <row r="61104" s="3161" customFormat="1" ht="12.75"/>
    <row r="61105" s="3161" customFormat="1" ht="12.75"/>
    <row r="61106" s="3161" customFormat="1" ht="12.75"/>
    <row r="61107" s="3161" customFormat="1" ht="12.75"/>
    <row r="61108" s="3161" customFormat="1" ht="12.75"/>
    <row r="61109" s="3161" customFormat="1" ht="12.75"/>
    <row r="61110" s="3161" customFormat="1" ht="12.75"/>
    <row r="61111" s="3161" customFormat="1" ht="12.75"/>
    <row r="61112" s="3161" customFormat="1" ht="12.75"/>
    <row r="61113" s="3161" customFormat="1" ht="12.75"/>
    <row r="61114" s="3161" customFormat="1" ht="12.75"/>
    <row r="61115" s="3161" customFormat="1" ht="12.75"/>
    <row r="61116" s="3161" customFormat="1" ht="12.75"/>
    <row r="61117" s="3161" customFormat="1" ht="12.75"/>
    <row r="61118" s="3161" customFormat="1" ht="12.75"/>
    <row r="61119" s="3161" customFormat="1" ht="12.75"/>
    <row r="61120" s="3161" customFormat="1" ht="12.75"/>
    <row r="61121" s="3161" customFormat="1" ht="12.75"/>
    <row r="61122" s="3161" customFormat="1" ht="12.75"/>
    <row r="61123" s="3161" customFormat="1" ht="12.75"/>
    <row r="61124" s="3161" customFormat="1" ht="12.75"/>
    <row r="61125" s="3161" customFormat="1" ht="12.75"/>
    <row r="61126" s="3161" customFormat="1" ht="12.75"/>
    <row r="61127" s="3161" customFormat="1" ht="12.75"/>
    <row r="61128" s="3161" customFormat="1" ht="12.75"/>
    <row r="61129" s="3161" customFormat="1" ht="12.75"/>
    <row r="61130" s="3161" customFormat="1" ht="12.75"/>
    <row r="61131" s="3161" customFormat="1" ht="12.75"/>
    <row r="61132" s="3161" customFormat="1" ht="12.75"/>
    <row r="61133" s="3161" customFormat="1" ht="12.75"/>
    <row r="61134" s="3161" customFormat="1" ht="12.75"/>
    <row r="61135" s="3161" customFormat="1" ht="12.75"/>
    <row r="61136" s="3161" customFormat="1" ht="12.75"/>
    <row r="61137" s="3161" customFormat="1" ht="12.75"/>
    <row r="61138" s="3161" customFormat="1" ht="12.75"/>
    <row r="61139" s="3161" customFormat="1" ht="12.75"/>
    <row r="61140" s="3161" customFormat="1" ht="12.75"/>
    <row r="61141" s="3161" customFormat="1" ht="12.75"/>
    <row r="61142" s="3161" customFormat="1" ht="12.75"/>
    <row r="61143" s="3161" customFormat="1" ht="12.75"/>
    <row r="61144" s="3161" customFormat="1" ht="12.75"/>
    <row r="61145" s="3161" customFormat="1" ht="12.75"/>
    <row r="61146" s="3161" customFormat="1" ht="12.75"/>
    <row r="61147" s="3161" customFormat="1" ht="12.75"/>
    <row r="61148" s="3161" customFormat="1" ht="12.75"/>
    <row r="61149" s="3161" customFormat="1" ht="12.75"/>
    <row r="61150" s="3161" customFormat="1" ht="12.75"/>
    <row r="61151" s="3161" customFormat="1" ht="12.75"/>
    <row r="61152" s="3161" customFormat="1" ht="12.75"/>
    <row r="61153" s="3161" customFormat="1" ht="12.75"/>
    <row r="61154" s="3161" customFormat="1" ht="12.75"/>
    <row r="61155" s="3161" customFormat="1" ht="12.75"/>
    <row r="61156" s="3161" customFormat="1" ht="12.75"/>
    <row r="61157" s="3161" customFormat="1" ht="12.75"/>
    <row r="61158" s="3161" customFormat="1" ht="12.75"/>
    <row r="61159" s="3161" customFormat="1" ht="12.75"/>
    <row r="61160" s="3161" customFormat="1" ht="12.75"/>
    <row r="61161" s="3161" customFormat="1" ht="12.75"/>
    <row r="61162" s="3161" customFormat="1" ht="12.75"/>
    <row r="61163" s="3161" customFormat="1" ht="12.75"/>
    <row r="61164" s="3161" customFormat="1" ht="12.75"/>
    <row r="61165" s="3161" customFormat="1" ht="12.75"/>
    <row r="61166" s="3161" customFormat="1" ht="12.75"/>
    <row r="61167" s="3161" customFormat="1" ht="12.75"/>
    <row r="61168" s="3161" customFormat="1" ht="12.75"/>
    <row r="61169" s="3161" customFormat="1" ht="12.75"/>
    <row r="61170" s="3161" customFormat="1" ht="12.75"/>
    <row r="61171" s="3161" customFormat="1" ht="12.75"/>
    <row r="61172" s="3161" customFormat="1" ht="12.75"/>
    <row r="61173" s="3161" customFormat="1" ht="12.75"/>
    <row r="61174" s="3161" customFormat="1" ht="12.75"/>
    <row r="61175" s="3161" customFormat="1" ht="12.75"/>
    <row r="61176" s="3161" customFormat="1" ht="12.75"/>
    <row r="61177" s="3161" customFormat="1" ht="12.75"/>
    <row r="61178" s="3161" customFormat="1" ht="12.75"/>
    <row r="61179" s="3161" customFormat="1" ht="12.75"/>
    <row r="61180" s="3161" customFormat="1" ht="12.75"/>
    <row r="61181" s="3161" customFormat="1" ht="12.75"/>
    <row r="61182" s="3161" customFormat="1" ht="12.75"/>
    <row r="61183" s="3161" customFormat="1" ht="12.75"/>
    <row r="61184" s="3161" customFormat="1" ht="12.75"/>
    <row r="61185" s="3161" customFormat="1" ht="12.75"/>
    <row r="61186" s="3161" customFormat="1" ht="12.75"/>
    <row r="61187" s="3161" customFormat="1" ht="12.75"/>
    <row r="61188" s="3161" customFormat="1" ht="12.75"/>
    <row r="61189" s="3161" customFormat="1" ht="12.75"/>
    <row r="61190" s="3161" customFormat="1" ht="12.75"/>
    <row r="61191" s="3161" customFormat="1" ht="12.75"/>
    <row r="61192" s="3161" customFormat="1" ht="12.75"/>
    <row r="61193" s="3161" customFormat="1" ht="12.75"/>
    <row r="61194" s="3161" customFormat="1" ht="12.75"/>
    <row r="61195" s="3161" customFormat="1" ht="12.75"/>
    <row r="61196" s="3161" customFormat="1" ht="12.75"/>
    <row r="61197" s="3161" customFormat="1" ht="12.75"/>
    <row r="61198" s="3161" customFormat="1" ht="12.75"/>
    <row r="61199" s="3161" customFormat="1" ht="12.75"/>
    <row r="61200" s="3161" customFormat="1" ht="12.75"/>
    <row r="61201" s="3161" customFormat="1" ht="12.75"/>
    <row r="61202" s="3161" customFormat="1" ht="12.75"/>
    <row r="61203" s="3161" customFormat="1" ht="12.75"/>
    <row r="61204" s="3161" customFormat="1" ht="12.75"/>
    <row r="61205" s="3161" customFormat="1" ht="12.75"/>
    <row r="61206" s="3161" customFormat="1" ht="12.75"/>
    <row r="61207" s="3161" customFormat="1" ht="12.75"/>
    <row r="61208" s="3161" customFormat="1" ht="12.75"/>
    <row r="61209" s="3161" customFormat="1" ht="12.75"/>
    <row r="61210" s="3161" customFormat="1" ht="12.75"/>
    <row r="61211" s="3161" customFormat="1" ht="12.75"/>
    <row r="61212" s="3161" customFormat="1" ht="12.75"/>
    <row r="61213" s="3161" customFormat="1" ht="12.75"/>
    <row r="61214" s="3161" customFormat="1" ht="12.75"/>
    <row r="61215" s="3161" customFormat="1" ht="12.75"/>
    <row r="61216" s="3161" customFormat="1" ht="12.75"/>
    <row r="61217" s="3161" customFormat="1" ht="12.75"/>
    <row r="61218" s="3161" customFormat="1" ht="12.75"/>
    <row r="61219" s="3161" customFormat="1" ht="12.75"/>
    <row r="61220" s="3161" customFormat="1" ht="12.75"/>
    <row r="61221" s="3161" customFormat="1" ht="12.75"/>
    <row r="61222" s="3161" customFormat="1" ht="12.75"/>
    <row r="61223" s="3161" customFormat="1" ht="12.75"/>
    <row r="61224" s="3161" customFormat="1" ht="12.75"/>
    <row r="61225" s="3161" customFormat="1" ht="12.75"/>
    <row r="61226" s="3161" customFormat="1" ht="12.75"/>
    <row r="61227" s="3161" customFormat="1" ht="12.75"/>
    <row r="61228" s="3161" customFormat="1" ht="12.75"/>
    <row r="61229" s="3161" customFormat="1" ht="12.75"/>
    <row r="61230" s="3161" customFormat="1" ht="12.75"/>
    <row r="61231" s="3161" customFormat="1" ht="12.75"/>
    <row r="61232" s="3161" customFormat="1" ht="12.75"/>
    <row r="61233" s="3161" customFormat="1" ht="12.75"/>
    <row r="61234" s="3161" customFormat="1" ht="12.75"/>
    <row r="61235" s="3161" customFormat="1" ht="12.75"/>
    <row r="61236" s="3161" customFormat="1" ht="12.75"/>
    <row r="61237" s="3161" customFormat="1" ht="12.75"/>
    <row r="61238" s="3161" customFormat="1" ht="12.75"/>
    <row r="61239" s="3161" customFormat="1" ht="12.75"/>
    <row r="61240" s="3161" customFormat="1" ht="12.75"/>
    <row r="61241" s="3161" customFormat="1" ht="12.75"/>
    <row r="61242" s="3161" customFormat="1" ht="12.75"/>
    <row r="61243" s="3161" customFormat="1" ht="12.75"/>
    <row r="61244" s="3161" customFormat="1" ht="12.75"/>
    <row r="61245" s="3161" customFormat="1" ht="12.75"/>
    <row r="61246" s="3161" customFormat="1" ht="12.75"/>
    <row r="61247" s="3161" customFormat="1" ht="12.75"/>
    <row r="61248" s="3161" customFormat="1" ht="12.75"/>
    <row r="61249" s="3161" customFormat="1" ht="12.75"/>
    <row r="61250" s="3161" customFormat="1" ht="12.75"/>
    <row r="61251" s="3161" customFormat="1" ht="12.75"/>
    <row r="61252" s="3161" customFormat="1" ht="12.75"/>
    <row r="61253" s="3161" customFormat="1" ht="12.75"/>
    <row r="61254" s="3161" customFormat="1" ht="12.75"/>
    <row r="61255" s="3161" customFormat="1" ht="12.75"/>
    <row r="61256" s="3161" customFormat="1" ht="12.75"/>
    <row r="61257" s="3161" customFormat="1" ht="12.75"/>
    <row r="61258" s="3161" customFormat="1" ht="12.75"/>
    <row r="61259" s="3161" customFormat="1" ht="12.75"/>
    <row r="61260" s="3161" customFormat="1" ht="12.75"/>
    <row r="61261" s="3161" customFormat="1" ht="12.75"/>
    <row r="61262" s="3161" customFormat="1" ht="12.75"/>
    <row r="61263" s="3161" customFormat="1" ht="12.75"/>
    <row r="61264" s="3161" customFormat="1" ht="12.75"/>
    <row r="61265" s="3161" customFormat="1" ht="12.75"/>
    <row r="61266" s="3161" customFormat="1" ht="12.75"/>
    <row r="61267" s="3161" customFormat="1" ht="12.75"/>
    <row r="61268" s="3161" customFormat="1" ht="12.75"/>
    <row r="61269" s="3161" customFormat="1" ht="12.75"/>
    <row r="61270" s="3161" customFormat="1" ht="12.75"/>
    <row r="61271" s="3161" customFormat="1" ht="12.75"/>
    <row r="61272" s="3161" customFormat="1" ht="12.75"/>
    <row r="61273" s="3161" customFormat="1" ht="12.75"/>
    <row r="61274" s="3161" customFormat="1" ht="12.75"/>
    <row r="61275" s="3161" customFormat="1" ht="12.75"/>
    <row r="61276" s="3161" customFormat="1" ht="12.75"/>
    <row r="61277" s="3161" customFormat="1" ht="12.75"/>
    <row r="61278" s="3161" customFormat="1" ht="12.75"/>
    <row r="61279" s="3161" customFormat="1" ht="12.75"/>
    <row r="61280" s="3161" customFormat="1" ht="12.75"/>
    <row r="61281" s="3161" customFormat="1" ht="12.75"/>
    <row r="61282" s="3161" customFormat="1" ht="12.75"/>
    <row r="61283" s="3161" customFormat="1" ht="12.75"/>
    <row r="61284" s="3161" customFormat="1" ht="12.75"/>
    <row r="61285" s="3161" customFormat="1" ht="12.75"/>
    <row r="61286" s="3161" customFormat="1" ht="12.75"/>
    <row r="61287" s="3161" customFormat="1" ht="12.75"/>
    <row r="61288" s="3161" customFormat="1" ht="12.75"/>
    <row r="61289" s="3161" customFormat="1" ht="12.75"/>
    <row r="61290" s="3161" customFormat="1" ht="12.75"/>
    <row r="61291" s="3161" customFormat="1" ht="12.75"/>
    <row r="61292" s="3161" customFormat="1" ht="12.75"/>
    <row r="61293" s="3161" customFormat="1" ht="12.75"/>
    <row r="61294" s="3161" customFormat="1" ht="12.75"/>
    <row r="61295" s="3161" customFormat="1" ht="12.75"/>
    <row r="61296" s="3161" customFormat="1" ht="12.75"/>
    <row r="61297" s="3161" customFormat="1" ht="12.75"/>
    <row r="61298" s="3161" customFormat="1" ht="12.75"/>
    <row r="61299" s="3161" customFormat="1" ht="12.75"/>
    <row r="61300" s="3161" customFormat="1" ht="12.75"/>
    <row r="61301" s="3161" customFormat="1" ht="12.75"/>
    <row r="61302" s="3161" customFormat="1" ht="12.75"/>
    <row r="61303" s="3161" customFormat="1" ht="12.75"/>
    <row r="61304" s="3161" customFormat="1" ht="12.75"/>
    <row r="61305" s="3161" customFormat="1" ht="12.75"/>
    <row r="61306" s="3161" customFormat="1" ht="12.75"/>
    <row r="61307" s="3161" customFormat="1" ht="12.75"/>
    <row r="61308" s="3161" customFormat="1" ht="12.75"/>
    <row r="61309" s="3161" customFormat="1" ht="12.75"/>
    <row r="61310" s="3161" customFormat="1" ht="12.75"/>
    <row r="61311" s="3161" customFormat="1" ht="12.75"/>
    <row r="61312" s="3161" customFormat="1" ht="12.75"/>
    <row r="61313" s="3161" customFormat="1" ht="12.75"/>
    <row r="61314" s="3161" customFormat="1" ht="12.75"/>
    <row r="61315" s="3161" customFormat="1" ht="12.75"/>
    <row r="61316" s="3161" customFormat="1" ht="12.75"/>
    <row r="61317" s="3161" customFormat="1" ht="12.75"/>
    <row r="61318" s="3161" customFormat="1" ht="12.75"/>
    <row r="61319" s="3161" customFormat="1" ht="12.75"/>
    <row r="61320" s="3161" customFormat="1" ht="12.75"/>
    <row r="61321" s="3161" customFormat="1" ht="12.75"/>
    <row r="61322" s="3161" customFormat="1" ht="12.75"/>
    <row r="61323" s="3161" customFormat="1" ht="12.75"/>
    <row r="61324" s="3161" customFormat="1" ht="12.75"/>
    <row r="61325" s="3161" customFormat="1" ht="12.75"/>
    <row r="61326" s="3161" customFormat="1" ht="12.75"/>
    <row r="61327" s="3161" customFormat="1" ht="12.75"/>
    <row r="61328" s="3161" customFormat="1" ht="12.75"/>
    <row r="61329" s="3161" customFormat="1" ht="12.75"/>
    <row r="61330" s="3161" customFormat="1" ht="12.75"/>
    <row r="61331" s="3161" customFormat="1" ht="12.75"/>
    <row r="61332" s="3161" customFormat="1" ht="12.75"/>
    <row r="61333" s="3161" customFormat="1" ht="12.75"/>
    <row r="61334" s="3161" customFormat="1" ht="12.75"/>
    <row r="61335" s="3161" customFormat="1" ht="12.75"/>
    <row r="61336" s="3161" customFormat="1" ht="12.75"/>
    <row r="61337" s="3161" customFormat="1" ht="12.75"/>
    <row r="61338" s="3161" customFormat="1" ht="12.75"/>
    <row r="61339" s="3161" customFormat="1" ht="12.75"/>
    <row r="61340" s="3161" customFormat="1" ht="12.75"/>
    <row r="61341" s="3161" customFormat="1" ht="12.75"/>
    <row r="61342" s="3161" customFormat="1" ht="12.75"/>
    <row r="61343" s="3161" customFormat="1" ht="12.75"/>
    <row r="61344" s="3161" customFormat="1" ht="12.75"/>
    <row r="61345" s="3161" customFormat="1" ht="12.75"/>
    <row r="61346" s="3161" customFormat="1" ht="12.75"/>
    <row r="61347" s="3161" customFormat="1" ht="12.75"/>
    <row r="61348" s="3161" customFormat="1" ht="12.75"/>
    <row r="61349" s="3161" customFormat="1" ht="12.75"/>
    <row r="61350" s="3161" customFormat="1" ht="12.75"/>
    <row r="61351" s="3161" customFormat="1" ht="12.75"/>
    <row r="61352" s="3161" customFormat="1" ht="12.75"/>
    <row r="61353" s="3161" customFormat="1" ht="12.75"/>
    <row r="61354" s="3161" customFormat="1" ht="12.75"/>
    <row r="61355" s="3161" customFormat="1" ht="12.75"/>
    <row r="61356" s="3161" customFormat="1" ht="12.75"/>
    <row r="61357" s="3161" customFormat="1" ht="12.75"/>
    <row r="61358" s="3161" customFormat="1" ht="12.75"/>
    <row r="61359" s="3161" customFormat="1" ht="12.75"/>
    <row r="61360" s="3161" customFormat="1" ht="12.75"/>
    <row r="61361" s="3161" customFormat="1" ht="12.75"/>
    <row r="61362" s="3161" customFormat="1" ht="12.75"/>
    <row r="61363" s="3161" customFormat="1" ht="12.75"/>
    <row r="61364" s="3161" customFormat="1" ht="12.75"/>
    <row r="61365" s="3161" customFormat="1" ht="12.75"/>
    <row r="61366" s="3161" customFormat="1" ht="12.75"/>
    <row r="61367" s="3161" customFormat="1" ht="12.75"/>
    <row r="61368" s="3161" customFormat="1" ht="12.75"/>
    <row r="61369" s="3161" customFormat="1" ht="12.75"/>
    <row r="61370" s="3161" customFormat="1" ht="12.75"/>
    <row r="61371" s="3161" customFormat="1" ht="12.75"/>
    <row r="61372" s="3161" customFormat="1" ht="12.75"/>
    <row r="61373" s="3161" customFormat="1" ht="12.75"/>
    <row r="61374" s="3161" customFormat="1" ht="12.75"/>
    <row r="61375" s="3161" customFormat="1" ht="12.75"/>
    <row r="61376" s="3161" customFormat="1" ht="12.75"/>
    <row r="61377" s="3161" customFormat="1" ht="12.75"/>
    <row r="61378" s="3161" customFormat="1" ht="12.75"/>
    <row r="61379" s="3161" customFormat="1" ht="12.75"/>
    <row r="61380" s="3161" customFormat="1" ht="12.75"/>
    <row r="61381" s="3161" customFormat="1" ht="12.75"/>
    <row r="61382" s="3161" customFormat="1" ht="12.75"/>
    <row r="61383" s="3161" customFormat="1" ht="12.75"/>
    <row r="61384" s="3161" customFormat="1" ht="12.75"/>
    <row r="61385" s="3161" customFormat="1" ht="12.75"/>
    <row r="61386" s="3161" customFormat="1" ht="12.75"/>
    <row r="61387" s="3161" customFormat="1" ht="12.75"/>
    <row r="61388" s="3161" customFormat="1" ht="12.75"/>
    <row r="61389" s="3161" customFormat="1" ht="12.75"/>
    <row r="61390" s="3161" customFormat="1" ht="12.75"/>
    <row r="61391" s="3161" customFormat="1" ht="12.75"/>
    <row r="61392" s="3161" customFormat="1" ht="12.75"/>
    <row r="61393" s="3161" customFormat="1" ht="12.75"/>
    <row r="61394" s="3161" customFormat="1" ht="12.75"/>
    <row r="61395" s="3161" customFormat="1" ht="12.75"/>
    <row r="61396" s="3161" customFormat="1" ht="12.75"/>
    <row r="61397" s="3161" customFormat="1" ht="12.75"/>
    <row r="61398" s="3161" customFormat="1" ht="12.75"/>
    <row r="61399" s="3161" customFormat="1" ht="12.75"/>
    <row r="61400" s="3161" customFormat="1" ht="12.75"/>
    <row r="61401" s="3161" customFormat="1" ht="12.75"/>
    <row r="61402" s="3161" customFormat="1" ht="12.75"/>
    <row r="61403" s="3161" customFormat="1" ht="12.75"/>
    <row r="61404" s="3161" customFormat="1" ht="12.75"/>
    <row r="61405" s="3161" customFormat="1" ht="12.75"/>
    <row r="61406" s="3161" customFormat="1" ht="12.75"/>
    <row r="61407" s="3161" customFormat="1" ht="12.75"/>
    <row r="61408" s="3161" customFormat="1" ht="12.75"/>
    <row r="61409" s="3161" customFormat="1" ht="12.75"/>
    <row r="61410" s="3161" customFormat="1" ht="12.75"/>
    <row r="61411" s="3161" customFormat="1" ht="12.75"/>
    <row r="61412" s="3161" customFormat="1" ht="12.75"/>
    <row r="61413" s="3161" customFormat="1" ht="12.75"/>
    <row r="61414" s="3161" customFormat="1" ht="12.75"/>
    <row r="61415" s="3161" customFormat="1" ht="12.75"/>
    <row r="61416" s="3161" customFormat="1" ht="12.75"/>
    <row r="61417" s="3161" customFormat="1" ht="12.75"/>
    <row r="61418" s="3161" customFormat="1" ht="12.75"/>
    <row r="61419" s="3161" customFormat="1" ht="12.75"/>
    <row r="61420" s="3161" customFormat="1" ht="12.75"/>
    <row r="61421" s="3161" customFormat="1" ht="12.75"/>
    <row r="61422" s="3161" customFormat="1" ht="12.75"/>
    <row r="61423" s="3161" customFormat="1" ht="12.75"/>
    <row r="61424" s="3161" customFormat="1" ht="12.75"/>
    <row r="61425" s="3161" customFormat="1" ht="12.75"/>
    <row r="61426" s="3161" customFormat="1" ht="12.75"/>
    <row r="61427" s="3161" customFormat="1" ht="12.75"/>
    <row r="61428" s="3161" customFormat="1" ht="12.75"/>
    <row r="61429" s="3161" customFormat="1" ht="12.75"/>
    <row r="61430" s="3161" customFormat="1" ht="12.75"/>
    <row r="61431" s="3161" customFormat="1" ht="12.75"/>
    <row r="61432" s="3161" customFormat="1" ht="12.75"/>
    <row r="61433" s="3161" customFormat="1" ht="12.75"/>
    <row r="61434" s="3161" customFormat="1" ht="12.75"/>
    <row r="61435" s="3161" customFormat="1" ht="12.75"/>
    <row r="61436" s="3161" customFormat="1" ht="12.75"/>
    <row r="61437" s="3161" customFormat="1" ht="12.75"/>
    <row r="61438" s="3161" customFormat="1" ht="12.75"/>
    <row r="61439" s="3161" customFormat="1" ht="12.75"/>
    <row r="61440" s="3161" customFormat="1" ht="12.75"/>
    <row r="61441" s="3161" customFormat="1" ht="12.75"/>
    <row r="61442" s="3161" customFormat="1" ht="12.75"/>
    <row r="61443" s="3161" customFormat="1" ht="12.75"/>
    <row r="61444" s="3161" customFormat="1" ht="12.75"/>
    <row r="61445" s="3161" customFormat="1" ht="12.75"/>
    <row r="61446" s="3161" customFormat="1" ht="12.75"/>
    <row r="61447" s="3161" customFormat="1" ht="12.75"/>
    <row r="61448" s="3161" customFormat="1" ht="12.75"/>
    <row r="61449" s="3161" customFormat="1" ht="12.75"/>
    <row r="61450" s="3161" customFormat="1" ht="12.75"/>
    <row r="61451" s="3161" customFormat="1" ht="12.75"/>
    <row r="61452" s="3161" customFormat="1" ht="12.75"/>
    <row r="61453" s="3161" customFormat="1" ht="12.75"/>
    <row r="61454" s="3161" customFormat="1" ht="12.75"/>
    <row r="61455" s="3161" customFormat="1" ht="12.75"/>
    <row r="61456" s="3161" customFormat="1" ht="12.75"/>
    <row r="61457" s="3161" customFormat="1" ht="12.75"/>
    <row r="61458" s="3161" customFormat="1" ht="12.75"/>
    <row r="61459" s="3161" customFormat="1" ht="12.75"/>
    <row r="61460" s="3161" customFormat="1" ht="12.75"/>
    <row r="61461" s="3161" customFormat="1" ht="12.75"/>
    <row r="61462" s="3161" customFormat="1" ht="12.75"/>
    <row r="61463" s="3161" customFormat="1" ht="12.75"/>
    <row r="61464" s="3161" customFormat="1" ht="12.75"/>
    <row r="61465" s="3161" customFormat="1" ht="12.75"/>
    <row r="61466" s="3161" customFormat="1" ht="12.75"/>
    <row r="61467" s="3161" customFormat="1" ht="12.75"/>
    <row r="61468" s="3161" customFormat="1" ht="12.75"/>
    <row r="61469" s="3161" customFormat="1" ht="12.75"/>
    <row r="61470" s="3161" customFormat="1" ht="12.75"/>
    <row r="61471" s="3161" customFormat="1" ht="12.75"/>
    <row r="61472" s="3161" customFormat="1" ht="12.75"/>
    <row r="61473" s="3161" customFormat="1" ht="12.75"/>
    <row r="61474" s="3161" customFormat="1" ht="12.75"/>
    <row r="61475" s="3161" customFormat="1" ht="12.75"/>
    <row r="61476" s="3161" customFormat="1" ht="12.75"/>
    <row r="61477" s="3161" customFormat="1" ht="12.75"/>
    <row r="61478" s="3161" customFormat="1" ht="12.75"/>
    <row r="61479" s="3161" customFormat="1" ht="12.75"/>
    <row r="61480" s="3161" customFormat="1" ht="12.75"/>
    <row r="61481" s="3161" customFormat="1" ht="12.75"/>
    <row r="61482" s="3161" customFormat="1" ht="12.75"/>
    <row r="61483" s="3161" customFormat="1" ht="12.75"/>
    <row r="61484" s="3161" customFormat="1" ht="12.75"/>
    <row r="61485" s="3161" customFormat="1" ht="12.75"/>
    <row r="61486" s="3161" customFormat="1" ht="12.75"/>
    <row r="61487" s="3161" customFormat="1" ht="12.75"/>
    <row r="61488" s="3161" customFormat="1" ht="12.75"/>
    <row r="61489" s="3161" customFormat="1" ht="12.75"/>
    <row r="61490" s="3161" customFormat="1" ht="12.75"/>
    <row r="61491" s="3161" customFormat="1" ht="12.75"/>
    <row r="61492" s="3161" customFormat="1" ht="12.75"/>
    <row r="61493" s="3161" customFormat="1" ht="12.75"/>
    <row r="61494" s="3161" customFormat="1" ht="12.75"/>
    <row r="61495" s="3161" customFormat="1" ht="12.75"/>
    <row r="61496" s="3161" customFormat="1" ht="12.75"/>
    <row r="61497" s="3161" customFormat="1" ht="12.75"/>
    <row r="61498" s="3161" customFormat="1" ht="12.75"/>
    <row r="61499" s="3161" customFormat="1" ht="12.75"/>
    <row r="61500" s="3161" customFormat="1" ht="12.75"/>
    <row r="61501" s="3161" customFormat="1" ht="12.75"/>
    <row r="61502" s="3161" customFormat="1" ht="12.75"/>
    <row r="61503" s="3161" customFormat="1" ht="12.75"/>
    <row r="61504" s="3161" customFormat="1" ht="12.75"/>
    <row r="61505" s="3161" customFormat="1" ht="12.75"/>
    <row r="61506" s="3161" customFormat="1" ht="12.75"/>
    <row r="61507" s="3161" customFormat="1" ht="12.75"/>
    <row r="61508" s="3161" customFormat="1" ht="12.75"/>
    <row r="61509" s="3161" customFormat="1" ht="12.75"/>
    <row r="61510" s="3161" customFormat="1" ht="12.75"/>
    <row r="61511" s="3161" customFormat="1" ht="12.75"/>
    <row r="61512" s="3161" customFormat="1" ht="12.75"/>
    <row r="61513" s="3161" customFormat="1" ht="12.75"/>
    <row r="61514" s="3161" customFormat="1" ht="12.75"/>
    <row r="61515" s="3161" customFormat="1" ht="12.75"/>
    <row r="61516" s="3161" customFormat="1" ht="12.75"/>
    <row r="61517" s="3161" customFormat="1" ht="12.75"/>
    <row r="61518" s="3161" customFormat="1" ht="12.75"/>
    <row r="61519" s="3161" customFormat="1" ht="12.75"/>
    <row r="61520" s="3161" customFormat="1" ht="12.75"/>
    <row r="61521" s="3161" customFormat="1" ht="12.75"/>
    <row r="61522" s="3161" customFormat="1" ht="12.75"/>
    <row r="61523" s="3161" customFormat="1" ht="12.75"/>
    <row r="61524" s="3161" customFormat="1" ht="12.75"/>
    <row r="61525" s="3161" customFormat="1" ht="12.75"/>
    <row r="61526" s="3161" customFormat="1" ht="12.75"/>
    <row r="61527" s="3161" customFormat="1" ht="12.75"/>
    <row r="61528" s="3161" customFormat="1" ht="12.75"/>
    <row r="61529" s="3161" customFormat="1" ht="12.75"/>
    <row r="61530" s="3161" customFormat="1" ht="12.75"/>
    <row r="61531" s="3161" customFormat="1" ht="12.75"/>
    <row r="61532" s="3161" customFormat="1" ht="12.75"/>
    <row r="61533" s="3161" customFormat="1" ht="12.75"/>
    <row r="61534" s="3161" customFormat="1" ht="12.75"/>
    <row r="61535" s="3161" customFormat="1" ht="12.75"/>
    <row r="61536" s="3161" customFormat="1" ht="12.75"/>
    <row r="61537" s="3161" customFormat="1" ht="12.75"/>
    <row r="61538" s="3161" customFormat="1" ht="12.75"/>
    <row r="61539" s="3161" customFormat="1" ht="12.75"/>
    <row r="61540" s="3161" customFormat="1" ht="12.75"/>
    <row r="61541" s="3161" customFormat="1" ht="12.75"/>
    <row r="61542" s="3161" customFormat="1" ht="12.75"/>
    <row r="61543" s="3161" customFormat="1" ht="12.75"/>
    <row r="61544" s="3161" customFormat="1" ht="12.75"/>
    <row r="61545" s="3161" customFormat="1" ht="12.75"/>
    <row r="61546" s="3161" customFormat="1" ht="12.75"/>
    <row r="61547" s="3161" customFormat="1" ht="12.75"/>
    <row r="61548" s="3161" customFormat="1" ht="12.75"/>
    <row r="61549" s="3161" customFormat="1" ht="12.75"/>
    <row r="61550" s="3161" customFormat="1" ht="12.75"/>
    <row r="61551" s="3161" customFormat="1" ht="12.75"/>
    <row r="61552" s="3161" customFormat="1" ht="12.75"/>
    <row r="61553" s="3161" customFormat="1" ht="12.75"/>
    <row r="61554" s="3161" customFormat="1" ht="12.75"/>
    <row r="61555" s="3161" customFormat="1" ht="12.75"/>
    <row r="61556" s="3161" customFormat="1" ht="12.75"/>
    <row r="61557" s="3161" customFormat="1" ht="12.75"/>
    <row r="61558" s="3161" customFormat="1" ht="12.75"/>
    <row r="61559" s="3161" customFormat="1" ht="12.75"/>
    <row r="61560" s="3161" customFormat="1" ht="12.75"/>
    <row r="61561" s="3161" customFormat="1" ht="12.75"/>
    <row r="61562" s="3161" customFormat="1" ht="12.75"/>
    <row r="61563" s="3161" customFormat="1" ht="12.75"/>
    <row r="61564" s="3161" customFormat="1" ht="12.75"/>
    <row r="61565" s="3161" customFormat="1" ht="12.75"/>
    <row r="61566" s="3161" customFormat="1" ht="12.75"/>
    <row r="61567" s="3161" customFormat="1" ht="12.75"/>
    <row r="61568" s="3161" customFormat="1" ht="12.75"/>
    <row r="61569" s="3161" customFormat="1" ht="12.75"/>
    <row r="61570" s="3161" customFormat="1" ht="12.75"/>
    <row r="61571" s="3161" customFormat="1" ht="12.75"/>
    <row r="61572" s="3161" customFormat="1" ht="12.75"/>
    <row r="61573" s="3161" customFormat="1" ht="12.75"/>
    <row r="61574" s="3161" customFormat="1" ht="12.75"/>
    <row r="61575" s="3161" customFormat="1" ht="12.75"/>
    <row r="61576" s="3161" customFormat="1" ht="12.75"/>
    <row r="61577" s="3161" customFormat="1" ht="12.75"/>
    <row r="61578" s="3161" customFormat="1" ht="12.75"/>
    <row r="61579" s="3161" customFormat="1" ht="12.75"/>
    <row r="61580" s="3161" customFormat="1" ht="12.75"/>
    <row r="61581" s="3161" customFormat="1" ht="12.75"/>
    <row r="61582" s="3161" customFormat="1" ht="12.75"/>
    <row r="61583" s="3161" customFormat="1" ht="12.75"/>
    <row r="61584" s="3161" customFormat="1" ht="12.75"/>
    <row r="61585" s="3161" customFormat="1" ht="12.75"/>
    <row r="61586" s="3161" customFormat="1" ht="12.75"/>
    <row r="61587" s="3161" customFormat="1" ht="12.75"/>
    <row r="61588" s="3161" customFormat="1" ht="12.75"/>
    <row r="61589" s="3161" customFormat="1" ht="12.75"/>
    <row r="61590" s="3161" customFormat="1" ht="12.75"/>
    <row r="61591" s="3161" customFormat="1" ht="12.75"/>
    <row r="61592" s="3161" customFormat="1" ht="12.75"/>
    <row r="61593" s="3161" customFormat="1" ht="12.75"/>
    <row r="61594" s="3161" customFormat="1" ht="12.75"/>
    <row r="61595" s="3161" customFormat="1" ht="12.75"/>
    <row r="61596" s="3161" customFormat="1" ht="12.75"/>
    <row r="61597" s="3161" customFormat="1" ht="12.75"/>
    <row r="61598" s="3161" customFormat="1" ht="12.75"/>
    <row r="61599" s="3161" customFormat="1" ht="12.75"/>
    <row r="61600" s="3161" customFormat="1" ht="12.75"/>
    <row r="61601" s="3161" customFormat="1" ht="12.75"/>
    <row r="61602" s="3161" customFormat="1" ht="12.75"/>
    <row r="61603" s="3161" customFormat="1" ht="12.75"/>
    <row r="61604" s="3161" customFormat="1" ht="12.75"/>
    <row r="61605" s="3161" customFormat="1" ht="12.75"/>
    <row r="61606" s="3161" customFormat="1" ht="12.75"/>
    <row r="61607" s="3161" customFormat="1" ht="12.75"/>
    <row r="61608" s="3161" customFormat="1" ht="12.75"/>
    <row r="61609" s="3161" customFormat="1" ht="12.75"/>
    <row r="61610" s="3161" customFormat="1" ht="12.75"/>
    <row r="61611" s="3161" customFormat="1" ht="12.75"/>
    <row r="61612" s="3161" customFormat="1" ht="12.75"/>
    <row r="61613" s="3161" customFormat="1" ht="12.75"/>
    <row r="61614" s="3161" customFormat="1" ht="12.75"/>
    <row r="61615" s="3161" customFormat="1" ht="12.75"/>
    <row r="61616" s="3161" customFormat="1" ht="12.75"/>
    <row r="61617" s="3161" customFormat="1" ht="12.75"/>
    <row r="61618" s="3161" customFormat="1" ht="12.75"/>
    <row r="61619" s="3161" customFormat="1" ht="12.75"/>
    <row r="61620" s="3161" customFormat="1" ht="12.75"/>
    <row r="61621" s="3161" customFormat="1" ht="12.75"/>
    <row r="61622" s="3161" customFormat="1" ht="12.75"/>
    <row r="61623" s="3161" customFormat="1" ht="12.75"/>
    <row r="61624" s="3161" customFormat="1" ht="12.75"/>
    <row r="61625" s="3161" customFormat="1" ht="12.75"/>
    <row r="61626" s="3161" customFormat="1" ht="12.75"/>
    <row r="61627" s="3161" customFormat="1" ht="12.75"/>
    <row r="61628" s="3161" customFormat="1" ht="12.75"/>
    <row r="61629" s="3161" customFormat="1" ht="12.75"/>
    <row r="61630" s="3161" customFormat="1" ht="12.75"/>
    <row r="61631" s="3161" customFormat="1" ht="12.75"/>
    <row r="61632" s="3161" customFormat="1" ht="12.75"/>
    <row r="61633" s="3161" customFormat="1" ht="12.75"/>
    <row r="61634" s="3161" customFormat="1" ht="12.75"/>
    <row r="61635" s="3161" customFormat="1" ht="12.75"/>
    <row r="61636" s="3161" customFormat="1" ht="12.75"/>
    <row r="61637" s="3161" customFormat="1" ht="12.75"/>
    <row r="61638" s="3161" customFormat="1" ht="12.75"/>
    <row r="61639" s="3161" customFormat="1" ht="12.75"/>
    <row r="61640" s="3161" customFormat="1" ht="12.75"/>
    <row r="61641" s="3161" customFormat="1" ht="12.75"/>
    <row r="61642" s="3161" customFormat="1" ht="12.75"/>
    <row r="61643" s="3161" customFormat="1" ht="12.75"/>
    <row r="61644" s="3161" customFormat="1" ht="12.75"/>
    <row r="61645" s="3161" customFormat="1" ht="12.75"/>
    <row r="61646" s="3161" customFormat="1" ht="12.75"/>
    <row r="61647" s="3161" customFormat="1" ht="12.75"/>
    <row r="61648" s="3161" customFormat="1" ht="12.75"/>
    <row r="61649" s="3161" customFormat="1" ht="12.75"/>
    <row r="61650" s="3161" customFormat="1" ht="12.75"/>
    <row r="61651" s="3161" customFormat="1" ht="12.75"/>
    <row r="61652" s="3161" customFormat="1" ht="12.75"/>
    <row r="61653" s="3161" customFormat="1" ht="12.75"/>
    <row r="61654" s="3161" customFormat="1" ht="12.75"/>
    <row r="61655" s="3161" customFormat="1" ht="12.75"/>
    <row r="61656" s="3161" customFormat="1" ht="12.75"/>
    <row r="61657" s="3161" customFormat="1" ht="12.75"/>
    <row r="61658" s="3161" customFormat="1" ht="12.75"/>
    <row r="61659" s="3161" customFormat="1" ht="12.75"/>
    <row r="61660" s="3161" customFormat="1" ht="12.75"/>
    <row r="61661" s="3161" customFormat="1" ht="12.75"/>
    <row r="61662" s="3161" customFormat="1" ht="12.75"/>
    <row r="61663" s="3161" customFormat="1" ht="12.75"/>
    <row r="61664" s="3161" customFormat="1" ht="12.75"/>
    <row r="61665" s="3161" customFormat="1" ht="12.75"/>
    <row r="61666" s="3161" customFormat="1" ht="12.75"/>
    <row r="61667" s="3161" customFormat="1" ht="12.75"/>
    <row r="61668" s="3161" customFormat="1" ht="12.75"/>
    <row r="61669" s="3161" customFormat="1" ht="12.75"/>
    <row r="61670" s="3161" customFormat="1" ht="12.75"/>
    <row r="61671" s="3161" customFormat="1" ht="12.75"/>
    <row r="61672" s="3161" customFormat="1" ht="12.75"/>
    <row r="61673" s="3161" customFormat="1" ht="12.75"/>
    <row r="61674" s="3161" customFormat="1" ht="12.75"/>
    <row r="61675" s="3161" customFormat="1" ht="12.75"/>
    <row r="61676" s="3161" customFormat="1" ht="12.75"/>
    <row r="61677" s="3161" customFormat="1" ht="12.75"/>
    <row r="61678" s="3161" customFormat="1" ht="12.75"/>
    <row r="61679" s="3161" customFormat="1" ht="12.75"/>
    <row r="61680" s="3161" customFormat="1" ht="12.75"/>
    <row r="61681" s="3161" customFormat="1" ht="12.75"/>
    <row r="61682" s="3161" customFormat="1" ht="12.75"/>
    <row r="61683" s="3161" customFormat="1" ht="12.75"/>
    <row r="61684" s="3161" customFormat="1" ht="12.75"/>
    <row r="61685" s="3161" customFormat="1" ht="12.75"/>
    <row r="61686" s="3161" customFormat="1" ht="12.75"/>
    <row r="61687" s="3161" customFormat="1" ht="12.75"/>
    <row r="61688" s="3161" customFormat="1" ht="12.75"/>
    <row r="61689" s="3161" customFormat="1" ht="12.75"/>
    <row r="61690" s="3161" customFormat="1" ht="12.75"/>
    <row r="61691" s="3161" customFormat="1" ht="12.75"/>
    <row r="61692" s="3161" customFormat="1" ht="12.75"/>
    <row r="61693" s="3161" customFormat="1" ht="12.75"/>
    <row r="61694" s="3161" customFormat="1" ht="12.75"/>
    <row r="61695" s="3161" customFormat="1" ht="12.75"/>
    <row r="61696" s="3161" customFormat="1" ht="12.75"/>
    <row r="61697" s="3161" customFormat="1" ht="12.75"/>
    <row r="61698" s="3161" customFormat="1" ht="12.75"/>
    <row r="61699" s="3161" customFormat="1" ht="12.75"/>
    <row r="61700" s="3161" customFormat="1" ht="12.75"/>
    <row r="61701" s="3161" customFormat="1" ht="12.75"/>
    <row r="61702" s="3161" customFormat="1" ht="12.75"/>
    <row r="61703" s="3161" customFormat="1" ht="12.75"/>
    <row r="61704" s="3161" customFormat="1" ht="12.75"/>
    <row r="61705" s="3161" customFormat="1" ht="12.75"/>
    <row r="61706" s="3161" customFormat="1" ht="12.75"/>
    <row r="61707" s="3161" customFormat="1" ht="12.75"/>
    <row r="61708" s="3161" customFormat="1" ht="12.75"/>
    <row r="61709" s="3161" customFormat="1" ht="12.75"/>
    <row r="61710" s="3161" customFormat="1" ht="12.75"/>
    <row r="61711" s="3161" customFormat="1" ht="12.75"/>
    <row r="61712" s="3161" customFormat="1" ht="12.75"/>
    <row r="61713" s="3161" customFormat="1" ht="12.75"/>
    <row r="61714" s="3161" customFormat="1" ht="12.75"/>
    <row r="61715" s="3161" customFormat="1" ht="12.75"/>
    <row r="61716" s="3161" customFormat="1" ht="12.75"/>
    <row r="61717" s="3161" customFormat="1" ht="12.75"/>
    <row r="61718" s="3161" customFormat="1" ht="12.75"/>
    <row r="61719" s="3161" customFormat="1" ht="12.75"/>
    <row r="61720" s="3161" customFormat="1" ht="12.75"/>
    <row r="61721" s="3161" customFormat="1" ht="12.75"/>
    <row r="61722" s="3161" customFormat="1" ht="12.75"/>
    <row r="61723" s="3161" customFormat="1" ht="12.75"/>
    <row r="61724" s="3161" customFormat="1" ht="12.75"/>
    <row r="61725" s="3161" customFormat="1" ht="12.75"/>
    <row r="61726" s="3161" customFormat="1" ht="12.75"/>
    <row r="61727" s="3161" customFormat="1" ht="12.75"/>
    <row r="61728" s="3161" customFormat="1" ht="12.75"/>
    <row r="61729" s="3161" customFormat="1" ht="12.75"/>
    <row r="61730" s="3161" customFormat="1" ht="12.75"/>
    <row r="61731" s="3161" customFormat="1" ht="12.75"/>
    <row r="61732" s="3161" customFormat="1" ht="12.75"/>
    <row r="61733" s="3161" customFormat="1" ht="12.75"/>
    <row r="61734" s="3161" customFormat="1" ht="12.75"/>
    <row r="61735" s="3161" customFormat="1" ht="12.75"/>
    <row r="61736" s="3161" customFormat="1" ht="12.75"/>
    <row r="61737" s="3161" customFormat="1" ht="12.75"/>
    <row r="61738" s="3161" customFormat="1" ht="12.75"/>
    <row r="61739" s="3161" customFormat="1" ht="12.75"/>
    <row r="61740" s="3161" customFormat="1" ht="12.75"/>
    <row r="61741" s="3161" customFormat="1" ht="12.75"/>
    <row r="61742" s="3161" customFormat="1" ht="12.75"/>
    <row r="61743" s="3161" customFormat="1" ht="12.75"/>
    <row r="61744" s="3161" customFormat="1" ht="12.75"/>
    <row r="61745" s="3161" customFormat="1" ht="12.75"/>
    <row r="61746" s="3161" customFormat="1" ht="12.75"/>
    <row r="61747" s="3161" customFormat="1" ht="12.75"/>
    <row r="61748" s="3161" customFormat="1" ht="12.75"/>
    <row r="61749" s="3161" customFormat="1" ht="12.75"/>
    <row r="61750" s="3161" customFormat="1" ht="12.75"/>
    <row r="61751" s="3161" customFormat="1" ht="12.75"/>
    <row r="61752" s="3161" customFormat="1" ht="12.75"/>
    <row r="61753" s="3161" customFormat="1" ht="12.75"/>
    <row r="61754" s="3161" customFormat="1" ht="12.75"/>
    <row r="61755" s="3161" customFormat="1" ht="12.75"/>
    <row r="61756" s="3161" customFormat="1" ht="12.75"/>
    <row r="61757" s="3161" customFormat="1" ht="12.75"/>
    <row r="61758" s="3161" customFormat="1" ht="12.75"/>
    <row r="61759" s="3161" customFormat="1" ht="12.75"/>
    <row r="61760" s="3161" customFormat="1" ht="12.75"/>
    <row r="61761" s="3161" customFormat="1" ht="12.75"/>
    <row r="61762" s="3161" customFormat="1" ht="12.75"/>
    <row r="61763" s="3161" customFormat="1" ht="12.75"/>
    <row r="61764" s="3161" customFormat="1" ht="12.75"/>
    <row r="61765" s="3161" customFormat="1" ht="12.75"/>
    <row r="61766" s="3161" customFormat="1" ht="12.75"/>
    <row r="61767" s="3161" customFormat="1" ht="12.75"/>
    <row r="61768" s="3161" customFormat="1" ht="12.75"/>
    <row r="61769" s="3161" customFormat="1" ht="12.75"/>
    <row r="61770" s="3161" customFormat="1" ht="12.75"/>
    <row r="61771" s="3161" customFormat="1" ht="12.75"/>
    <row r="61772" s="3161" customFormat="1" ht="12.75"/>
    <row r="61773" s="3161" customFormat="1" ht="12.75"/>
    <row r="61774" s="3161" customFormat="1" ht="12.75"/>
    <row r="61775" s="3161" customFormat="1" ht="12.75"/>
    <row r="61776" s="3161" customFormat="1" ht="12.75"/>
    <row r="61777" s="3161" customFormat="1" ht="12.75"/>
    <row r="61778" s="3161" customFormat="1" ht="12.75"/>
    <row r="61779" s="3161" customFormat="1" ht="12.75"/>
    <row r="61780" s="3161" customFormat="1" ht="12.75"/>
    <row r="61781" s="3161" customFormat="1" ht="12.75"/>
    <row r="61782" s="3161" customFormat="1" ht="12.75"/>
    <row r="61783" s="3161" customFormat="1" ht="12.75"/>
    <row r="61784" s="3161" customFormat="1" ht="12.75"/>
    <row r="61785" s="3161" customFormat="1" ht="12.75"/>
    <row r="61786" s="3161" customFormat="1" ht="12.75"/>
    <row r="61787" s="3161" customFormat="1" ht="12.75"/>
    <row r="61788" s="3161" customFormat="1" ht="12.75"/>
    <row r="61789" s="3161" customFormat="1" ht="12.75"/>
    <row r="61790" s="3161" customFormat="1" ht="12.75"/>
    <row r="61791" s="3161" customFormat="1" ht="12.75"/>
    <row r="61792" s="3161" customFormat="1" ht="12.75"/>
    <row r="61793" s="3161" customFormat="1" ht="12.75"/>
    <row r="61794" s="3161" customFormat="1" ht="12.75"/>
    <row r="61795" s="3161" customFormat="1" ht="12.75"/>
    <row r="61796" s="3161" customFormat="1" ht="12.75"/>
    <row r="61797" s="3161" customFormat="1" ht="12.75"/>
    <row r="61798" s="3161" customFormat="1" ht="12.75"/>
    <row r="61799" s="3161" customFormat="1" ht="12.75"/>
    <row r="61800" s="3161" customFormat="1" ht="12.75"/>
    <row r="61801" s="3161" customFormat="1" ht="12.75"/>
    <row r="61802" s="3161" customFormat="1" ht="12.75"/>
    <row r="61803" s="3161" customFormat="1" ht="12.75"/>
    <row r="61804" s="3161" customFormat="1" ht="12.75"/>
    <row r="61805" s="3161" customFormat="1" ht="12.75"/>
    <row r="61806" s="3161" customFormat="1" ht="12.75"/>
    <row r="61807" s="3161" customFormat="1" ht="12.75"/>
    <row r="61808" s="3161" customFormat="1" ht="12.75"/>
    <row r="61809" s="3161" customFormat="1" ht="12.75"/>
    <row r="61810" s="3161" customFormat="1" ht="12.75"/>
    <row r="61811" s="3161" customFormat="1" ht="12.75"/>
    <row r="61812" s="3161" customFormat="1" ht="12.75"/>
    <row r="61813" s="3161" customFormat="1" ht="12.75"/>
    <row r="61814" s="3161" customFormat="1" ht="12.75"/>
    <row r="61815" s="3161" customFormat="1" ht="12.75"/>
    <row r="61816" s="3161" customFormat="1" ht="12.75"/>
    <row r="61817" s="3161" customFormat="1" ht="12.75"/>
    <row r="61818" s="3161" customFormat="1" ht="12.75"/>
    <row r="61819" s="3161" customFormat="1" ht="12.75"/>
    <row r="61820" s="3161" customFormat="1" ht="12.75"/>
    <row r="61821" s="3161" customFormat="1" ht="12.75"/>
    <row r="61822" s="3161" customFormat="1" ht="12.75"/>
    <row r="61823" s="3161" customFormat="1" ht="12.75"/>
    <row r="61824" s="3161" customFormat="1" ht="12.75"/>
    <row r="61825" s="3161" customFormat="1" ht="12.75"/>
    <row r="61826" s="3161" customFormat="1" ht="12.75"/>
    <row r="61827" s="3161" customFormat="1" ht="12.75"/>
    <row r="61828" s="3161" customFormat="1" ht="12.75"/>
    <row r="61829" s="3161" customFormat="1" ht="12.75"/>
    <row r="61830" s="3161" customFormat="1" ht="12.75"/>
    <row r="61831" s="3161" customFormat="1" ht="12.75"/>
    <row r="61832" s="3161" customFormat="1" ht="12.75"/>
    <row r="61833" s="3161" customFormat="1" ht="12.75"/>
    <row r="61834" s="3161" customFormat="1" ht="12.75"/>
    <row r="61835" s="3161" customFormat="1" ht="12.75"/>
    <row r="61836" s="3161" customFormat="1" ht="12.75"/>
    <row r="61837" s="3161" customFormat="1" ht="12.75"/>
    <row r="61838" s="3161" customFormat="1" ht="12.75"/>
    <row r="61839" s="3161" customFormat="1" ht="12.75"/>
    <row r="61840" s="3161" customFormat="1" ht="12.75"/>
    <row r="61841" s="3161" customFormat="1" ht="12.75"/>
    <row r="61842" s="3161" customFormat="1" ht="12.75"/>
    <row r="61843" s="3161" customFormat="1" ht="12.75"/>
    <row r="61844" s="3161" customFormat="1" ht="12.75"/>
    <row r="61845" s="3161" customFormat="1" ht="12.75"/>
    <row r="61846" s="3161" customFormat="1" ht="12.75"/>
    <row r="61847" s="3161" customFormat="1" ht="12.75"/>
    <row r="61848" s="3161" customFormat="1" ht="12.75"/>
    <row r="61849" s="3161" customFormat="1" ht="12.75"/>
    <row r="61850" s="3161" customFormat="1" ht="12.75"/>
    <row r="61851" s="3161" customFormat="1" ht="12.75"/>
    <row r="61852" s="3161" customFormat="1" ht="12.75"/>
    <row r="61853" s="3161" customFormat="1" ht="12.75"/>
    <row r="61854" s="3161" customFormat="1" ht="12.75"/>
    <row r="61855" s="3161" customFormat="1" ht="12.75"/>
    <row r="61856" s="3161" customFormat="1" ht="12.75"/>
    <row r="61857" s="3161" customFormat="1" ht="12.75"/>
    <row r="61858" s="3161" customFormat="1" ht="12.75"/>
    <row r="61859" s="3161" customFormat="1" ht="12.75"/>
    <row r="61860" s="3161" customFormat="1" ht="12.75"/>
    <row r="61861" s="3161" customFormat="1" ht="12.75"/>
    <row r="61862" s="3161" customFormat="1" ht="12.75"/>
    <row r="61863" s="3161" customFormat="1" ht="12.75"/>
    <row r="61864" s="3161" customFormat="1" ht="12.75"/>
    <row r="61865" s="3161" customFormat="1" ht="12.75"/>
    <row r="61866" s="3161" customFormat="1" ht="12.75"/>
    <row r="61867" s="3161" customFormat="1" ht="12.75"/>
    <row r="61868" s="3161" customFormat="1" ht="12.75"/>
    <row r="61869" s="3161" customFormat="1" ht="12.75"/>
    <row r="61870" s="3161" customFormat="1" ht="12.75"/>
    <row r="61871" s="3161" customFormat="1" ht="12.75"/>
    <row r="61872" s="3161" customFormat="1" ht="12.75"/>
    <row r="61873" s="3161" customFormat="1" ht="12.75"/>
    <row r="61874" s="3161" customFormat="1" ht="12.75"/>
    <row r="61875" s="3161" customFormat="1" ht="12.75"/>
    <row r="61876" s="3161" customFormat="1" ht="12.75"/>
    <row r="61877" s="3161" customFormat="1" ht="12.75"/>
    <row r="61878" s="3161" customFormat="1" ht="12.75"/>
    <row r="61879" s="3161" customFormat="1" ht="12.75"/>
    <row r="61880" s="3161" customFormat="1" ht="12.75"/>
    <row r="61881" s="3161" customFormat="1" ht="12.75"/>
    <row r="61882" s="3161" customFormat="1" ht="12.75"/>
    <row r="61883" s="3161" customFormat="1" ht="12.75"/>
    <row r="61884" s="3161" customFormat="1" ht="12.75"/>
    <row r="61885" s="3161" customFormat="1" ht="12.75"/>
    <row r="61886" s="3161" customFormat="1" ht="12.75"/>
    <row r="61887" s="3161" customFormat="1" ht="12.75"/>
    <row r="61888" s="3161" customFormat="1" ht="12.75"/>
    <row r="61889" s="3161" customFormat="1" ht="12.75"/>
    <row r="61890" s="3161" customFormat="1" ht="12.75"/>
    <row r="61891" s="3161" customFormat="1" ht="12.75"/>
    <row r="61892" s="3161" customFormat="1" ht="12.75"/>
    <row r="61893" s="3161" customFormat="1" ht="12.75"/>
    <row r="61894" s="3161" customFormat="1" ht="12.75"/>
    <row r="61895" s="3161" customFormat="1" ht="12.75"/>
    <row r="61896" s="3161" customFormat="1" ht="12.75"/>
    <row r="61897" s="3161" customFormat="1" ht="12.75"/>
    <row r="61898" s="3161" customFormat="1" ht="12.75"/>
    <row r="61899" s="3161" customFormat="1" ht="12.75"/>
    <row r="61900" s="3161" customFormat="1" ht="12.75"/>
    <row r="61901" s="3161" customFormat="1" ht="12.75"/>
    <row r="61902" s="3161" customFormat="1" ht="12.75"/>
    <row r="61903" s="3161" customFormat="1" ht="12.75"/>
    <row r="61904" s="3161" customFormat="1" ht="12.75"/>
    <row r="61905" s="3161" customFormat="1" ht="12.75"/>
    <row r="61906" s="3161" customFormat="1" ht="12.75"/>
    <row r="61907" s="3161" customFormat="1" ht="12.75"/>
    <row r="61908" s="3161" customFormat="1" ht="12.75"/>
    <row r="61909" s="3161" customFormat="1" ht="12.75"/>
    <row r="61910" s="3161" customFormat="1" ht="12.75"/>
    <row r="61911" s="3161" customFormat="1" ht="12.75"/>
    <row r="61912" s="3161" customFormat="1" ht="12.75"/>
    <row r="61913" s="3161" customFormat="1" ht="12.75"/>
    <row r="61914" s="3161" customFormat="1" ht="12.75"/>
    <row r="61915" s="3161" customFormat="1" ht="12.75"/>
    <row r="61916" s="3161" customFormat="1" ht="12.75"/>
    <row r="61917" s="3161" customFormat="1" ht="12.75"/>
    <row r="61918" s="3161" customFormat="1" ht="12.75"/>
    <row r="61919" s="3161" customFormat="1" ht="12.75"/>
    <row r="61920" s="3161" customFormat="1" ht="12.75"/>
    <row r="61921" s="3161" customFormat="1" ht="12.75"/>
    <row r="61922" s="3161" customFormat="1" ht="12.75"/>
    <row r="61923" s="3161" customFormat="1" ht="12.75"/>
    <row r="61924" s="3161" customFormat="1" ht="12.75"/>
    <row r="61925" s="3161" customFormat="1" ht="12.75"/>
    <row r="61926" s="3161" customFormat="1" ht="12.75"/>
    <row r="61927" s="3161" customFormat="1" ht="12.75"/>
    <row r="61928" s="3161" customFormat="1" ht="12.75"/>
    <row r="61929" s="3161" customFormat="1" ht="12.75"/>
    <row r="61930" s="3161" customFormat="1" ht="12.75"/>
    <row r="61931" s="3161" customFormat="1" ht="12.75"/>
    <row r="61932" s="3161" customFormat="1" ht="12.75"/>
    <row r="61933" s="3161" customFormat="1" ht="12.75"/>
    <row r="61934" s="3161" customFormat="1" ht="12.75"/>
    <row r="61935" s="3161" customFormat="1" ht="12.75"/>
    <row r="61936" s="3161" customFormat="1" ht="12.75"/>
    <row r="61937" s="3161" customFormat="1" ht="12.75"/>
    <row r="61938" s="3161" customFormat="1" ht="12.75"/>
    <row r="61939" s="3161" customFormat="1" ht="12.75"/>
    <row r="61940" s="3161" customFormat="1" ht="12.75"/>
    <row r="61941" s="3161" customFormat="1" ht="12.75"/>
    <row r="61942" s="3161" customFormat="1" ht="12.75"/>
    <row r="61943" s="3161" customFormat="1" ht="12.75"/>
    <row r="61944" s="3161" customFormat="1" ht="12.75"/>
    <row r="61945" s="3161" customFormat="1" ht="12.75"/>
    <row r="61946" s="3161" customFormat="1" ht="12.75"/>
    <row r="61947" s="3161" customFormat="1" ht="12.75"/>
    <row r="61948" s="3161" customFormat="1" ht="12.75"/>
    <row r="61949" s="3161" customFormat="1" ht="12.75"/>
    <row r="61950" s="3161" customFormat="1" ht="12.75"/>
    <row r="61951" s="3161" customFormat="1" ht="12.75"/>
    <row r="61952" s="3161" customFormat="1" ht="12.75"/>
    <row r="61953" s="3161" customFormat="1" ht="12.75"/>
    <row r="61954" s="3161" customFormat="1" ht="12.75"/>
    <row r="61955" s="3161" customFormat="1" ht="12.75"/>
    <row r="61956" s="3161" customFormat="1" ht="12.75"/>
    <row r="61957" s="3161" customFormat="1" ht="12.75"/>
    <row r="61958" s="3161" customFormat="1" ht="12.75"/>
    <row r="61959" s="3161" customFormat="1" ht="12.75"/>
    <row r="61960" s="3161" customFormat="1" ht="12.75"/>
    <row r="61961" s="3161" customFormat="1" ht="12.75"/>
    <row r="61962" s="3161" customFormat="1" ht="12.75"/>
    <row r="61963" s="3161" customFormat="1" ht="12.75"/>
    <row r="61964" s="3161" customFormat="1" ht="12.75"/>
    <row r="61965" s="3161" customFormat="1" ht="12.75"/>
    <row r="61966" s="3161" customFormat="1" ht="12.75"/>
    <row r="61967" s="3161" customFormat="1" ht="12.75"/>
    <row r="61968" s="3161" customFormat="1" ht="12.75"/>
    <row r="61969" s="3161" customFormat="1" ht="12.75"/>
    <row r="61970" s="3161" customFormat="1" ht="12.75"/>
    <row r="61971" s="3161" customFormat="1" ht="12.75"/>
    <row r="61972" s="3161" customFormat="1" ht="12.75"/>
    <row r="61973" s="3161" customFormat="1" ht="12.75"/>
    <row r="61974" s="3161" customFormat="1" ht="12.75"/>
    <row r="61975" s="3161" customFormat="1" ht="12.75"/>
    <row r="61976" s="3161" customFormat="1" ht="12.75"/>
    <row r="61977" s="3161" customFormat="1" ht="12.75"/>
    <row r="61978" s="3161" customFormat="1" ht="12.75"/>
    <row r="61979" s="3161" customFormat="1" ht="12.75"/>
    <row r="61980" s="3161" customFormat="1" ht="12.75"/>
    <row r="61981" s="3161" customFormat="1" ht="12.75"/>
    <row r="61982" s="3161" customFormat="1" ht="12.75"/>
    <row r="61983" s="3161" customFormat="1" ht="12.75"/>
    <row r="61984" s="3161" customFormat="1" ht="12.75"/>
    <row r="61985" s="3161" customFormat="1" ht="12.75"/>
    <row r="61986" s="3161" customFormat="1" ht="12.75"/>
    <row r="61987" s="3161" customFormat="1" ht="12.75"/>
    <row r="61988" s="3161" customFormat="1" ht="12.75"/>
    <row r="61989" s="3161" customFormat="1" ht="12.75"/>
    <row r="61990" s="3161" customFormat="1" ht="12.75"/>
    <row r="61991" s="3161" customFormat="1" ht="12.75"/>
    <row r="61992" s="3161" customFormat="1" ht="12.75"/>
    <row r="61993" s="3161" customFormat="1" ht="12.75"/>
    <row r="61994" s="3161" customFormat="1" ht="12.75"/>
    <row r="61995" s="3161" customFormat="1" ht="12.75"/>
    <row r="61996" s="3161" customFormat="1" ht="12.75"/>
    <row r="61997" s="3161" customFormat="1" ht="12.75"/>
    <row r="61998" s="3161" customFormat="1" ht="12.75"/>
    <row r="61999" s="3161" customFormat="1" ht="12.75"/>
    <row r="62000" s="3161" customFormat="1" ht="12.75"/>
    <row r="62001" s="3161" customFormat="1" ht="12.75"/>
    <row r="62002" s="3161" customFormat="1" ht="12.75"/>
    <row r="62003" s="3161" customFormat="1" ht="12.75"/>
    <row r="62004" s="3161" customFormat="1" ht="12.75"/>
    <row r="62005" s="3161" customFormat="1" ht="12.75"/>
    <row r="62006" s="3161" customFormat="1" ht="12.75"/>
    <row r="62007" s="3161" customFormat="1" ht="12.75"/>
    <row r="62008" s="3161" customFormat="1" ht="12.75"/>
    <row r="62009" s="3161" customFormat="1" ht="12.75"/>
    <row r="62010" s="3161" customFormat="1" ht="12.75"/>
    <row r="62011" s="3161" customFormat="1" ht="12.75"/>
    <row r="62012" s="3161" customFormat="1" ht="12.75"/>
    <row r="62013" s="3161" customFormat="1" ht="12.75"/>
    <row r="62014" s="3161" customFormat="1" ht="12.75"/>
    <row r="62015" s="3161" customFormat="1" ht="12.75"/>
    <row r="62016" s="3161" customFormat="1" ht="12.75"/>
    <row r="62017" s="3161" customFormat="1" ht="12.75"/>
    <row r="62018" s="3161" customFormat="1" ht="12.75"/>
    <row r="62019" s="3161" customFormat="1" ht="12.75"/>
    <row r="62020" s="3161" customFormat="1" ht="12.75"/>
    <row r="62021" s="3161" customFormat="1" ht="12.75"/>
    <row r="62022" s="3161" customFormat="1" ht="12.75"/>
    <row r="62023" s="3161" customFormat="1" ht="12.75"/>
    <row r="62024" s="3161" customFormat="1" ht="12.75"/>
    <row r="62025" s="3161" customFormat="1" ht="12.75"/>
    <row r="62026" s="3161" customFormat="1" ht="12.75"/>
    <row r="62027" s="3161" customFormat="1" ht="12.75"/>
    <row r="62028" s="3161" customFormat="1" ht="12.75"/>
    <row r="62029" s="3161" customFormat="1" ht="12.75"/>
    <row r="62030" s="3161" customFormat="1" ht="12.75"/>
    <row r="62031" s="3161" customFormat="1" ht="12.75"/>
    <row r="62032" s="3161" customFormat="1" ht="12.75"/>
    <row r="62033" s="3161" customFormat="1" ht="12.75"/>
    <row r="62034" s="3161" customFormat="1" ht="12.75"/>
    <row r="62035" s="3161" customFormat="1" ht="12.75"/>
    <row r="62036" s="3161" customFormat="1" ht="12.75"/>
    <row r="62037" s="3161" customFormat="1" ht="12.75"/>
    <row r="62038" s="3161" customFormat="1" ht="12.75"/>
    <row r="62039" s="3161" customFormat="1" ht="12.75"/>
    <row r="62040" s="3161" customFormat="1" ht="12.75"/>
    <row r="62041" s="3161" customFormat="1" ht="12.75"/>
    <row r="62042" s="3161" customFormat="1" ht="12.75"/>
    <row r="62043" s="3161" customFormat="1" ht="12.75"/>
    <row r="62044" s="3161" customFormat="1" ht="12.75"/>
    <row r="62045" s="3161" customFormat="1" ht="12.75"/>
    <row r="62046" s="3161" customFormat="1" ht="12.75"/>
    <row r="62047" s="3161" customFormat="1" ht="12.75"/>
    <row r="62048" s="3161" customFormat="1" ht="12.75"/>
    <row r="62049" s="3161" customFormat="1" ht="12.75"/>
    <row r="62050" s="3161" customFormat="1" ht="12.75"/>
    <row r="62051" s="3161" customFormat="1" ht="12.75"/>
    <row r="62052" s="3161" customFormat="1" ht="12.75"/>
    <row r="62053" s="3161" customFormat="1" ht="12.75"/>
    <row r="62054" s="3161" customFormat="1" ht="12.75"/>
    <row r="62055" s="3161" customFormat="1" ht="12.75"/>
    <row r="62056" s="3161" customFormat="1" ht="12.75"/>
    <row r="62057" s="3161" customFormat="1" ht="12.75"/>
    <row r="62058" s="3161" customFormat="1" ht="12.75"/>
    <row r="62059" s="3161" customFormat="1" ht="12.75"/>
    <row r="62060" s="3161" customFormat="1" ht="12.75"/>
    <row r="62061" s="3161" customFormat="1" ht="12.75"/>
    <row r="62062" s="3161" customFormat="1" ht="12.75"/>
    <row r="62063" s="3161" customFormat="1" ht="12.75"/>
    <row r="62064" s="3161" customFormat="1" ht="12.75"/>
    <row r="62065" s="3161" customFormat="1" ht="12.75"/>
    <row r="62066" s="3161" customFormat="1" ht="12.75"/>
    <row r="62067" s="3161" customFormat="1" ht="12.75"/>
    <row r="62068" s="3161" customFormat="1" ht="12.75"/>
    <row r="62069" s="3161" customFormat="1" ht="12.75"/>
    <row r="62070" s="3161" customFormat="1" ht="12.75"/>
    <row r="62071" s="3161" customFormat="1" ht="12.75"/>
    <row r="62072" s="3161" customFormat="1" ht="12.75"/>
    <row r="62073" s="3161" customFormat="1" ht="12.75"/>
    <row r="62074" s="3161" customFormat="1" ht="12.75"/>
    <row r="62075" s="3161" customFormat="1" ht="12.75"/>
    <row r="62076" s="3161" customFormat="1" ht="12.75"/>
    <row r="62077" s="3161" customFormat="1" ht="12.75"/>
    <row r="62078" s="3161" customFormat="1" ht="12.75"/>
    <row r="62079" s="3161" customFormat="1" ht="12.75"/>
    <row r="62080" s="3161" customFormat="1" ht="12.75"/>
    <row r="62081" s="3161" customFormat="1" ht="12.75"/>
    <row r="62082" s="3161" customFormat="1" ht="12.75"/>
    <row r="62083" s="3161" customFormat="1" ht="12.75"/>
    <row r="62084" s="3161" customFormat="1" ht="12.75"/>
    <row r="62085" s="3161" customFormat="1" ht="12.75"/>
    <row r="62086" s="3161" customFormat="1" ht="12.75"/>
    <row r="62087" s="3161" customFormat="1" ht="12.75"/>
    <row r="62088" s="3161" customFormat="1" ht="12.75"/>
    <row r="62089" s="3161" customFormat="1" ht="12.75"/>
    <row r="62090" s="3161" customFormat="1" ht="12.75"/>
    <row r="62091" s="3161" customFormat="1" ht="12.75"/>
    <row r="62092" s="3161" customFormat="1" ht="12.75"/>
    <row r="62093" s="3161" customFormat="1" ht="12.75"/>
    <row r="62094" s="3161" customFormat="1" ht="12.75"/>
    <row r="62095" s="3161" customFormat="1" ht="12.75"/>
    <row r="62096" s="3161" customFormat="1" ht="12.75"/>
    <row r="62097" s="3161" customFormat="1" ht="12.75"/>
    <row r="62098" s="3161" customFormat="1" ht="12.75"/>
    <row r="62099" s="3161" customFormat="1" ht="12.75"/>
    <row r="62100" s="3161" customFormat="1" ht="12.75"/>
    <row r="62101" s="3161" customFormat="1" ht="12.75"/>
    <row r="62102" s="3161" customFormat="1" ht="12.75"/>
    <row r="62103" s="3161" customFormat="1" ht="12.75"/>
    <row r="62104" s="3161" customFormat="1" ht="12.75"/>
    <row r="62105" s="3161" customFormat="1" ht="12.75"/>
    <row r="62106" s="3161" customFormat="1" ht="12.75"/>
    <row r="62107" s="3161" customFormat="1" ht="12.75"/>
    <row r="62108" s="3161" customFormat="1" ht="12.75"/>
    <row r="62109" s="3161" customFormat="1" ht="12.75"/>
    <row r="62110" s="3161" customFormat="1" ht="12.75"/>
    <row r="62111" s="3161" customFormat="1" ht="12.75"/>
    <row r="62112" s="3161" customFormat="1" ht="12.75"/>
    <row r="62113" s="3161" customFormat="1" ht="12.75"/>
    <row r="62114" s="3161" customFormat="1" ht="12.75"/>
    <row r="62115" s="3161" customFormat="1" ht="12.75"/>
    <row r="62116" s="3161" customFormat="1" ht="12.75"/>
    <row r="62117" s="3161" customFormat="1" ht="12.75"/>
    <row r="62118" s="3161" customFormat="1" ht="12.75"/>
    <row r="62119" s="3161" customFormat="1" ht="12.75"/>
    <row r="62120" s="3161" customFormat="1" ht="12.75"/>
    <row r="62121" s="3161" customFormat="1" ht="12.75"/>
    <row r="62122" s="3161" customFormat="1" ht="12.75"/>
    <row r="62123" s="3161" customFormat="1" ht="12.75"/>
    <row r="62124" s="3161" customFormat="1" ht="12.75"/>
    <row r="62125" s="3161" customFormat="1" ht="12.75"/>
    <row r="62126" s="3161" customFormat="1" ht="12.75"/>
    <row r="62127" s="3161" customFormat="1" ht="12.75"/>
    <row r="62128" s="3161" customFormat="1" ht="12.75"/>
    <row r="62129" s="3161" customFormat="1" ht="12.75"/>
    <row r="62130" s="3161" customFormat="1" ht="12.75"/>
    <row r="62131" s="3161" customFormat="1" ht="12.75"/>
    <row r="62132" s="3161" customFormat="1" ht="12.75"/>
    <row r="62133" s="3161" customFormat="1" ht="12.75"/>
    <row r="62134" s="3161" customFormat="1" ht="12.75"/>
    <row r="62135" s="3161" customFormat="1" ht="12.75"/>
    <row r="62136" s="3161" customFormat="1" ht="12.75"/>
    <row r="62137" s="3161" customFormat="1" ht="12.75"/>
    <row r="62138" s="3161" customFormat="1" ht="12.75"/>
    <row r="62139" s="3161" customFormat="1" ht="12.75"/>
    <row r="62140" s="3161" customFormat="1" ht="12.75"/>
    <row r="62141" s="3161" customFormat="1" ht="12.75"/>
    <row r="62142" s="3161" customFormat="1" ht="12.75"/>
    <row r="62143" s="3161" customFormat="1" ht="12.75"/>
    <row r="62144" s="3161" customFormat="1" ht="12.75"/>
    <row r="62145" s="3161" customFormat="1" ht="12.75"/>
    <row r="62146" s="3161" customFormat="1" ht="12.75"/>
    <row r="62147" s="3161" customFormat="1" ht="12.75"/>
    <row r="62148" s="3161" customFormat="1" ht="12.75"/>
    <row r="62149" s="3161" customFormat="1" ht="12.75"/>
    <row r="62150" s="3161" customFormat="1" ht="12.75"/>
    <row r="62151" s="3161" customFormat="1" ht="12.75"/>
    <row r="62152" s="3161" customFormat="1" ht="12.75"/>
    <row r="62153" s="3161" customFormat="1" ht="12.75"/>
    <row r="62154" s="3161" customFormat="1" ht="12.75"/>
    <row r="62155" s="3161" customFormat="1" ht="12.75"/>
    <row r="62156" s="3161" customFormat="1" ht="12.75"/>
    <row r="62157" s="3161" customFormat="1" ht="12.75"/>
    <row r="62158" s="3161" customFormat="1" ht="12.75"/>
    <row r="62159" s="3161" customFormat="1" ht="12.75"/>
    <row r="62160" s="3161" customFormat="1" ht="12.75"/>
    <row r="62161" s="3161" customFormat="1" ht="12.75"/>
    <row r="62162" s="3161" customFormat="1" ht="12.75"/>
    <row r="62163" s="3161" customFormat="1" ht="12.75"/>
    <row r="62164" s="3161" customFormat="1" ht="12.75"/>
    <row r="62165" s="3161" customFormat="1" ht="12.75"/>
    <row r="62166" s="3161" customFormat="1" ht="12.75"/>
    <row r="62167" s="3161" customFormat="1" ht="12.75"/>
    <row r="62168" s="3161" customFormat="1" ht="12.75"/>
    <row r="62169" s="3161" customFormat="1" ht="12.75"/>
    <row r="62170" s="3161" customFormat="1" ht="12.75"/>
    <row r="62171" s="3161" customFormat="1" ht="12.75"/>
    <row r="62172" s="3161" customFormat="1" ht="12.75"/>
    <row r="62173" s="3161" customFormat="1" ht="12.75"/>
    <row r="62174" s="3161" customFormat="1" ht="12.75"/>
    <row r="62175" s="3161" customFormat="1" ht="12.75"/>
    <row r="62176" s="3161" customFormat="1" ht="12.75"/>
    <row r="62177" s="3161" customFormat="1" ht="12.75"/>
    <row r="62178" s="3161" customFormat="1" ht="12.75"/>
    <row r="62179" s="3161" customFormat="1" ht="12.75"/>
    <row r="62180" s="3161" customFormat="1" ht="12.75"/>
    <row r="62181" s="3161" customFormat="1" ht="12.75"/>
    <row r="62182" s="3161" customFormat="1" ht="12.75"/>
    <row r="62183" s="3161" customFormat="1" ht="12.75"/>
    <row r="62184" s="3161" customFormat="1" ht="12.75"/>
    <row r="62185" s="3161" customFormat="1" ht="12.75"/>
    <row r="62186" s="3161" customFormat="1" ht="12.75"/>
    <row r="62187" s="3161" customFormat="1" ht="12.75"/>
    <row r="62188" s="3161" customFormat="1" ht="12.75"/>
    <row r="62189" s="3161" customFormat="1" ht="12.75"/>
    <row r="62190" s="3161" customFormat="1" ht="12.75"/>
    <row r="62191" s="3161" customFormat="1" ht="12.75"/>
    <row r="62192" s="3161" customFormat="1" ht="12.75"/>
    <row r="62193" s="3161" customFormat="1" ht="12.75"/>
    <row r="62194" s="3161" customFormat="1" ht="12.75"/>
    <row r="62195" s="3161" customFormat="1" ht="12.75"/>
    <row r="62196" s="3161" customFormat="1" ht="12.75"/>
    <row r="62197" s="3161" customFormat="1" ht="12.75"/>
    <row r="62198" s="3161" customFormat="1" ht="12.75"/>
    <row r="62199" s="3161" customFormat="1" ht="12.75"/>
    <row r="62200" s="3161" customFormat="1" ht="12.75"/>
    <row r="62201" s="3161" customFormat="1" ht="12.75"/>
    <row r="62202" s="3161" customFormat="1" ht="12.75"/>
    <row r="62203" s="3161" customFormat="1" ht="12.75"/>
    <row r="62204" s="3161" customFormat="1" ht="12.75"/>
    <row r="62205" s="3161" customFormat="1" ht="12.75"/>
    <row r="62206" s="3161" customFormat="1" ht="12.75"/>
    <row r="62207" s="3161" customFormat="1" ht="12.75"/>
    <row r="62208" s="3161" customFormat="1" ht="12.75"/>
    <row r="62209" s="3161" customFormat="1" ht="12.75"/>
    <row r="62210" s="3161" customFormat="1" ht="12.75"/>
    <row r="62211" s="3161" customFormat="1" ht="12.75"/>
    <row r="62212" s="3161" customFormat="1" ht="12.75"/>
    <row r="62213" s="3161" customFormat="1" ht="12.75"/>
    <row r="62214" s="3161" customFormat="1" ht="12.75"/>
    <row r="62215" s="3161" customFormat="1" ht="12.75"/>
    <row r="62216" s="3161" customFormat="1" ht="12.75"/>
    <row r="62217" s="3161" customFormat="1" ht="12.75"/>
    <row r="62218" s="3161" customFormat="1" ht="12.75"/>
    <row r="62219" s="3161" customFormat="1" ht="12.75"/>
    <row r="62220" s="3161" customFormat="1" ht="12.75"/>
    <row r="62221" s="3161" customFormat="1" ht="12.75"/>
    <row r="62222" s="3161" customFormat="1" ht="12.75"/>
    <row r="62223" s="3161" customFormat="1" ht="12.75"/>
    <row r="62224" s="3161" customFormat="1" ht="12.75"/>
    <row r="62225" s="3161" customFormat="1" ht="12.75"/>
    <row r="62226" s="3161" customFormat="1" ht="12.75"/>
    <row r="62227" s="3161" customFormat="1" ht="12.75"/>
    <row r="62228" s="3161" customFormat="1" ht="12.75"/>
    <row r="62229" s="3161" customFormat="1" ht="12.75"/>
    <row r="62230" s="3161" customFormat="1" ht="12.75"/>
    <row r="62231" s="3161" customFormat="1" ht="12.75"/>
    <row r="62232" s="3161" customFormat="1" ht="12.75"/>
    <row r="62233" s="3161" customFormat="1" ht="12.75"/>
    <row r="62234" s="3161" customFormat="1" ht="12.75"/>
    <row r="62235" s="3161" customFormat="1" ht="12.75"/>
    <row r="62236" s="3161" customFormat="1" ht="12.75"/>
    <row r="62237" s="3161" customFormat="1" ht="12.75"/>
    <row r="62238" s="3161" customFormat="1" ht="12.75"/>
    <row r="62239" s="3161" customFormat="1" ht="12.75"/>
    <row r="62240" s="3161" customFormat="1" ht="12.75"/>
    <row r="62241" s="3161" customFormat="1" ht="12.75"/>
    <row r="62242" s="3161" customFormat="1" ht="12.75"/>
    <row r="62243" s="3161" customFormat="1" ht="12.75"/>
    <row r="62244" s="3161" customFormat="1" ht="12.75"/>
    <row r="62245" s="3161" customFormat="1" ht="12.75"/>
    <row r="62246" s="3161" customFormat="1" ht="12.75"/>
    <row r="62247" s="3161" customFormat="1" ht="12.75"/>
    <row r="62248" s="3161" customFormat="1" ht="12.75"/>
    <row r="62249" s="3161" customFormat="1" ht="12.75"/>
    <row r="62250" s="3161" customFormat="1" ht="12.75"/>
    <row r="62251" s="3161" customFormat="1" ht="12.75"/>
    <row r="62252" s="3161" customFormat="1" ht="12.75"/>
    <row r="62253" s="3161" customFormat="1" ht="12.75"/>
    <row r="62254" s="3161" customFormat="1" ht="12.75"/>
    <row r="62255" s="3161" customFormat="1" ht="12.75"/>
    <row r="62256" s="3161" customFormat="1" ht="12.75"/>
    <row r="62257" s="3161" customFormat="1" ht="12.75"/>
    <row r="62258" s="3161" customFormat="1" ht="12.75"/>
    <row r="62259" s="3161" customFormat="1" ht="12.75"/>
    <row r="62260" s="3161" customFormat="1" ht="12.75"/>
    <row r="62261" s="3161" customFormat="1" ht="12.75"/>
    <row r="62262" s="3161" customFormat="1" ht="12.75"/>
    <row r="62263" s="3161" customFormat="1" ht="12.75"/>
    <row r="62264" s="3161" customFormat="1" ht="12.75"/>
    <row r="62265" s="3161" customFormat="1" ht="12.75"/>
    <row r="62266" s="3161" customFormat="1" ht="12.75"/>
    <row r="62267" s="3161" customFormat="1" ht="12.75"/>
    <row r="62268" s="3161" customFormat="1" ht="12.75"/>
    <row r="62269" s="3161" customFormat="1" ht="12.75"/>
    <row r="62270" s="3161" customFormat="1" ht="12.75"/>
    <row r="62271" s="3161" customFormat="1" ht="12.75"/>
    <row r="62272" s="3161" customFormat="1" ht="12.75"/>
    <row r="62273" s="3161" customFormat="1" ht="12.75"/>
    <row r="62274" s="3161" customFormat="1" ht="12.75"/>
    <row r="62275" s="3161" customFormat="1" ht="12.75"/>
    <row r="62276" s="3161" customFormat="1" ht="12.75"/>
    <row r="62277" s="3161" customFormat="1" ht="12.75"/>
    <row r="62278" s="3161" customFormat="1" ht="12.75"/>
    <row r="62279" s="3161" customFormat="1" ht="12.75"/>
    <row r="62280" s="3161" customFormat="1" ht="12.75"/>
    <row r="62281" s="3161" customFormat="1" ht="12.75"/>
    <row r="62282" s="3161" customFormat="1" ht="12.75"/>
    <row r="62283" s="3161" customFormat="1" ht="12.75"/>
    <row r="62284" s="3161" customFormat="1" ht="12.75"/>
    <row r="62285" s="3161" customFormat="1" ht="12.75"/>
    <row r="62286" s="3161" customFormat="1" ht="12.75"/>
    <row r="62287" s="3161" customFormat="1" ht="12.75"/>
    <row r="62288" s="3161" customFormat="1" ht="12.75"/>
    <row r="62289" s="3161" customFormat="1" ht="12.75"/>
    <row r="62290" s="3161" customFormat="1" ht="12.75"/>
    <row r="62291" s="3161" customFormat="1" ht="12.75"/>
    <row r="62292" s="3161" customFormat="1" ht="12.75"/>
    <row r="62293" s="3161" customFormat="1" ht="12.75"/>
    <row r="62294" s="3161" customFormat="1" ht="12.75"/>
    <row r="62295" s="3161" customFormat="1" ht="12.75"/>
    <row r="62296" s="3161" customFormat="1" ht="12.75"/>
    <row r="62297" s="3161" customFormat="1" ht="12.75"/>
    <row r="62298" s="3161" customFormat="1" ht="12.75"/>
    <row r="62299" s="3161" customFormat="1" ht="12.75"/>
    <row r="62300" s="3161" customFormat="1" ht="12.75"/>
    <row r="62301" s="3161" customFormat="1" ht="12.75"/>
    <row r="62302" s="3161" customFormat="1" ht="12.75"/>
    <row r="62303" s="3161" customFormat="1" ht="12.75"/>
    <row r="62304" s="3161" customFormat="1" ht="12.75"/>
    <row r="62305" s="3161" customFormat="1" ht="12.75"/>
    <row r="62306" s="3161" customFormat="1" ht="12.75"/>
    <row r="62307" s="3161" customFormat="1" ht="12.75"/>
    <row r="62308" s="3161" customFormat="1" ht="12.75"/>
    <row r="62309" s="3161" customFormat="1" ht="12.75"/>
    <row r="62310" s="3161" customFormat="1" ht="12.75"/>
    <row r="62311" s="3161" customFormat="1" ht="12.75"/>
    <row r="62312" s="3161" customFormat="1" ht="12.75"/>
    <row r="62313" s="3161" customFormat="1" ht="12.75"/>
    <row r="62314" s="3161" customFormat="1" ht="12.75"/>
    <row r="62315" s="3161" customFormat="1" ht="12.75"/>
    <row r="62316" s="3161" customFormat="1" ht="12.75"/>
    <row r="62317" s="3161" customFormat="1" ht="12.75"/>
    <row r="62318" s="3161" customFormat="1" ht="12.75"/>
    <row r="62319" s="3161" customFormat="1" ht="12.75"/>
    <row r="62320" s="3161" customFormat="1" ht="12.75"/>
    <row r="62321" s="3161" customFormat="1" ht="12.75"/>
    <row r="62322" s="3161" customFormat="1" ht="12.75"/>
    <row r="62323" s="3161" customFormat="1" ht="12.75"/>
    <row r="62324" s="3161" customFormat="1" ht="12.75"/>
    <row r="62325" s="3161" customFormat="1" ht="12.75"/>
    <row r="62326" s="3161" customFormat="1" ht="12.75"/>
    <row r="62327" s="3161" customFormat="1" ht="12.75"/>
    <row r="62328" s="3161" customFormat="1" ht="12.75"/>
    <row r="62329" s="3161" customFormat="1" ht="12.75"/>
    <row r="62330" s="3161" customFormat="1" ht="12.75"/>
    <row r="62331" s="3161" customFormat="1" ht="12.75"/>
    <row r="62332" s="3161" customFormat="1" ht="12.75"/>
    <row r="62333" s="3161" customFormat="1" ht="12.75"/>
    <row r="62334" s="3161" customFormat="1" ht="12.75"/>
    <row r="62335" s="3161" customFormat="1" ht="12.75"/>
    <row r="62336" s="3161" customFormat="1" ht="12.75"/>
    <row r="62337" s="3161" customFormat="1" ht="12.75"/>
    <row r="62338" s="3161" customFormat="1" ht="12.75"/>
    <row r="62339" s="3161" customFormat="1" ht="12.75"/>
    <row r="62340" s="3161" customFormat="1" ht="12.75"/>
    <row r="62341" s="3161" customFormat="1" ht="12.75"/>
    <row r="62342" s="3161" customFormat="1" ht="12.75"/>
    <row r="62343" s="3161" customFormat="1" ht="12.75"/>
    <row r="62344" s="3161" customFormat="1" ht="12.75"/>
    <row r="62345" s="3161" customFormat="1" ht="12.75"/>
    <row r="62346" s="3161" customFormat="1" ht="12.75"/>
    <row r="62347" s="3161" customFormat="1" ht="12.75"/>
    <row r="62348" s="3161" customFormat="1" ht="12.75"/>
    <row r="62349" s="3161" customFormat="1" ht="12.75"/>
    <row r="62350" s="3161" customFormat="1" ht="12.75"/>
    <row r="62351" s="3161" customFormat="1" ht="12.75"/>
    <row r="62352" s="3161" customFormat="1" ht="12.75"/>
    <row r="62353" s="3161" customFormat="1" ht="12.75"/>
    <row r="62354" s="3161" customFormat="1" ht="12.75"/>
    <row r="62355" s="3161" customFormat="1" ht="12.75"/>
    <row r="62356" s="3161" customFormat="1" ht="12.75"/>
    <row r="62357" s="3161" customFormat="1" ht="12.75"/>
    <row r="62358" s="3161" customFormat="1" ht="12.75"/>
    <row r="62359" s="3161" customFormat="1" ht="12.75"/>
    <row r="62360" s="3161" customFormat="1" ht="12.75"/>
    <row r="62361" s="3161" customFormat="1" ht="12.75"/>
    <row r="62362" s="3161" customFormat="1" ht="12.75"/>
    <row r="62363" s="3161" customFormat="1" ht="12.75"/>
    <row r="62364" s="3161" customFormat="1" ht="12.75"/>
    <row r="62365" s="3161" customFormat="1" ht="12.75"/>
    <row r="62366" s="3161" customFormat="1" ht="12.75"/>
    <row r="62367" s="3161" customFormat="1" ht="12.75"/>
    <row r="62368" s="3161" customFormat="1" ht="12.75"/>
    <row r="62369" s="3161" customFormat="1" ht="12.75"/>
    <row r="62370" s="3161" customFormat="1" ht="12.75"/>
    <row r="62371" s="3161" customFormat="1" ht="12.75"/>
    <row r="62372" s="3161" customFormat="1" ht="12.75"/>
    <row r="62373" s="3161" customFormat="1" ht="12.75"/>
    <row r="62374" s="3161" customFormat="1" ht="12.75"/>
    <row r="62375" s="3161" customFormat="1" ht="12.75"/>
    <row r="62376" s="3161" customFormat="1" ht="12.75"/>
    <row r="62377" s="3161" customFormat="1" ht="12.75"/>
    <row r="62378" s="3161" customFormat="1" ht="12.75"/>
    <row r="62379" s="3161" customFormat="1" ht="12.75"/>
    <row r="62380" s="3161" customFormat="1" ht="12.75"/>
    <row r="62381" s="3161" customFormat="1" ht="12.75"/>
    <row r="62382" s="3161" customFormat="1" ht="12.75"/>
    <row r="62383" s="3161" customFormat="1" ht="12.75"/>
    <row r="62384" s="3161" customFormat="1" ht="12.75"/>
    <row r="62385" s="3161" customFormat="1" ht="12.75"/>
    <row r="62386" s="3161" customFormat="1" ht="12.75"/>
    <row r="62387" s="3161" customFormat="1" ht="12.75"/>
    <row r="62388" s="3161" customFormat="1" ht="12.75"/>
    <row r="62389" s="3161" customFormat="1" ht="12.75"/>
    <row r="62390" s="3161" customFormat="1" ht="12.75"/>
    <row r="62391" s="3161" customFormat="1" ht="12.75"/>
    <row r="62392" s="3161" customFormat="1" ht="12.75"/>
    <row r="62393" s="3161" customFormat="1" ht="12.75"/>
    <row r="62394" s="3161" customFormat="1" ht="12.75"/>
    <row r="62395" s="3161" customFormat="1" ht="12.75"/>
    <row r="62396" s="3161" customFormat="1" ht="12.75"/>
    <row r="62397" s="3161" customFormat="1" ht="12.75"/>
    <row r="62398" s="3161" customFormat="1" ht="12.75"/>
    <row r="62399" s="3161" customFormat="1" ht="12.75"/>
    <row r="62400" s="3161" customFormat="1" ht="12.75"/>
    <row r="62401" s="3161" customFormat="1" ht="12.75"/>
    <row r="62402" s="3161" customFormat="1" ht="12.75"/>
    <row r="62403" s="3161" customFormat="1" ht="12.75"/>
    <row r="62404" s="3161" customFormat="1" ht="12.75"/>
    <row r="62405" s="3161" customFormat="1" ht="12.75"/>
    <row r="62406" s="3161" customFormat="1" ht="12.75"/>
    <row r="62407" s="3161" customFormat="1" ht="12.75"/>
    <row r="62408" s="3161" customFormat="1" ht="12.75"/>
    <row r="62409" s="3161" customFormat="1" ht="12.75"/>
    <row r="62410" s="3161" customFormat="1" ht="12.75"/>
    <row r="62411" s="3161" customFormat="1" ht="12.75"/>
    <row r="62412" s="3161" customFormat="1" ht="12.75"/>
    <row r="62413" s="3161" customFormat="1" ht="12.75"/>
    <row r="62414" s="3161" customFormat="1" ht="12.75"/>
    <row r="62415" s="3161" customFormat="1" ht="12.75"/>
    <row r="62416" s="3161" customFormat="1" ht="12.75"/>
    <row r="62417" s="3161" customFormat="1" ht="12.75"/>
    <row r="62418" s="3161" customFormat="1" ht="12.75"/>
    <row r="62419" s="3161" customFormat="1" ht="12.75"/>
    <row r="62420" s="3161" customFormat="1" ht="12.75"/>
    <row r="62421" s="3161" customFormat="1" ht="12.75"/>
    <row r="62422" s="3161" customFormat="1" ht="12.75"/>
    <row r="62423" s="3161" customFormat="1" ht="12.75"/>
    <row r="62424" s="3161" customFormat="1" ht="12.75"/>
    <row r="62425" s="3161" customFormat="1" ht="12.75"/>
    <row r="62426" s="3161" customFormat="1" ht="12.75"/>
    <row r="62427" s="3161" customFormat="1" ht="12.75"/>
    <row r="62428" s="3161" customFormat="1" ht="12.75"/>
    <row r="62429" s="3161" customFormat="1" ht="12.75"/>
    <row r="62430" s="3161" customFormat="1" ht="12.75"/>
    <row r="62431" s="3161" customFormat="1" ht="12.75"/>
    <row r="62432" s="3161" customFormat="1" ht="12.75"/>
    <row r="62433" s="3161" customFormat="1" ht="12.75"/>
    <row r="62434" s="3161" customFormat="1" ht="12.75"/>
    <row r="62435" s="3161" customFormat="1" ht="12.75"/>
    <row r="62436" s="3161" customFormat="1" ht="12.75"/>
    <row r="62437" s="3161" customFormat="1" ht="12.75"/>
    <row r="62438" s="3161" customFormat="1" ht="12.75"/>
    <row r="62439" s="3161" customFormat="1" ht="12.75"/>
    <row r="62440" s="3161" customFormat="1" ht="12.75"/>
    <row r="62441" s="3161" customFormat="1" ht="12.75"/>
    <row r="62442" s="3161" customFormat="1" ht="12.75"/>
    <row r="62443" s="3161" customFormat="1" ht="12.75"/>
    <row r="62444" s="3161" customFormat="1" ht="12.75"/>
    <row r="62445" s="3161" customFormat="1" ht="12.75"/>
    <row r="62446" s="3161" customFormat="1" ht="12.75"/>
    <row r="62447" s="3161" customFormat="1" ht="12.75"/>
    <row r="62448" s="3161" customFormat="1" ht="12.75"/>
    <row r="62449" s="3161" customFormat="1" ht="12.75"/>
    <row r="62450" s="3161" customFormat="1" ht="12.75"/>
    <row r="62451" s="3161" customFormat="1" ht="12.75"/>
    <row r="62452" s="3161" customFormat="1" ht="12.75"/>
    <row r="62453" s="3161" customFormat="1" ht="12.75"/>
    <row r="62454" s="3161" customFormat="1" ht="12.75"/>
    <row r="62455" s="3161" customFormat="1" ht="12.75"/>
    <row r="62456" s="3161" customFormat="1" ht="12.75"/>
    <row r="62457" s="3161" customFormat="1" ht="12.75"/>
    <row r="62458" s="3161" customFormat="1" ht="12.75"/>
    <row r="62459" s="3161" customFormat="1" ht="12.75"/>
    <row r="62460" s="3161" customFormat="1" ht="12.75"/>
    <row r="62461" s="3161" customFormat="1" ht="12.75"/>
    <row r="62462" s="3161" customFormat="1" ht="12.75"/>
    <row r="62463" s="3161" customFormat="1" ht="12.75"/>
    <row r="62464" s="3161" customFormat="1" ht="12.75"/>
    <row r="62465" s="3161" customFormat="1" ht="12.75"/>
    <row r="62466" s="3161" customFormat="1" ht="12.75"/>
    <row r="62467" s="3161" customFormat="1" ht="12.75"/>
    <row r="62468" s="3161" customFormat="1" ht="12.75"/>
    <row r="62469" s="3161" customFormat="1" ht="12.75"/>
    <row r="62470" s="3161" customFormat="1" ht="12.75"/>
    <row r="62471" s="3161" customFormat="1" ht="12.75"/>
    <row r="62472" s="3161" customFormat="1" ht="12.75"/>
    <row r="62473" s="3161" customFormat="1" ht="12.75"/>
    <row r="62474" s="3161" customFormat="1" ht="12.75"/>
    <row r="62475" s="3161" customFormat="1" ht="12.75"/>
    <row r="62476" s="3161" customFormat="1" ht="12.75"/>
    <row r="62477" s="3161" customFormat="1" ht="12.75"/>
    <row r="62478" s="3161" customFormat="1" ht="12.75"/>
    <row r="62479" s="3161" customFormat="1" ht="12.75"/>
    <row r="62480" s="3161" customFormat="1" ht="12.75"/>
    <row r="62481" s="3161" customFormat="1" ht="12.75"/>
    <row r="62482" s="3161" customFormat="1" ht="12.75"/>
    <row r="62483" s="3161" customFormat="1" ht="12.75"/>
    <row r="62484" s="3161" customFormat="1" ht="12.75"/>
    <row r="62485" s="3161" customFormat="1" ht="12.75"/>
    <row r="62486" s="3161" customFormat="1" ht="12.75"/>
    <row r="62487" s="3161" customFormat="1" ht="12.75"/>
    <row r="62488" s="3161" customFormat="1" ht="12.75"/>
    <row r="62489" s="3161" customFormat="1" ht="12.75"/>
    <row r="62490" s="3161" customFormat="1" ht="12.75"/>
    <row r="62491" s="3161" customFormat="1" ht="12.75"/>
    <row r="62492" s="3161" customFormat="1" ht="12.75"/>
    <row r="62493" s="3161" customFormat="1" ht="12.75"/>
    <row r="62494" s="3161" customFormat="1" ht="12.75"/>
    <row r="62495" s="3161" customFormat="1" ht="12.75"/>
    <row r="62496" s="3161" customFormat="1" ht="12.75"/>
    <row r="62497" s="3161" customFormat="1" ht="12.75"/>
    <row r="62498" s="3161" customFormat="1" ht="12.75"/>
    <row r="62499" s="3161" customFormat="1" ht="12.75"/>
    <row r="62500" s="3161" customFormat="1" ht="12.75"/>
    <row r="62501" s="3161" customFormat="1" ht="12.75"/>
    <row r="62502" s="3161" customFormat="1" ht="12.75"/>
    <row r="62503" s="3161" customFormat="1" ht="12.75"/>
    <row r="62504" s="3161" customFormat="1" ht="12.75"/>
    <row r="62505" s="3161" customFormat="1" ht="12.75"/>
    <row r="62506" s="3161" customFormat="1" ht="12.75"/>
    <row r="62507" s="3161" customFormat="1" ht="12.75"/>
    <row r="62508" s="3161" customFormat="1" ht="12.75"/>
    <row r="62509" s="3161" customFormat="1" ht="12.75"/>
    <row r="62510" s="3161" customFormat="1" ht="12.75"/>
    <row r="62511" s="3161" customFormat="1" ht="12.75"/>
    <row r="62512" s="3161" customFormat="1" ht="12.75"/>
    <row r="62513" s="3161" customFormat="1" ht="12.75"/>
    <row r="62514" s="3161" customFormat="1" ht="12.75"/>
    <row r="62515" s="3161" customFormat="1" ht="12.75"/>
    <row r="62516" s="3161" customFormat="1" ht="12.75"/>
    <row r="62517" s="3161" customFormat="1" ht="12.75"/>
    <row r="62518" s="3161" customFormat="1" ht="12.75"/>
    <row r="62519" s="3161" customFormat="1" ht="12.75"/>
    <row r="62520" s="3161" customFormat="1" ht="12.75"/>
    <row r="62521" s="3161" customFormat="1" ht="12.75"/>
    <row r="62522" s="3161" customFormat="1" ht="12.75"/>
    <row r="62523" s="3161" customFormat="1" ht="12.75"/>
    <row r="62524" s="3161" customFormat="1" ht="12.75"/>
    <row r="62525" s="3161" customFormat="1" ht="12.75"/>
    <row r="62526" s="3161" customFormat="1" ht="12.75"/>
    <row r="62527" s="3161" customFormat="1" ht="12.75"/>
    <row r="62528" s="3161" customFormat="1" ht="12.75"/>
    <row r="62529" s="3161" customFormat="1" ht="12.75"/>
    <row r="62530" s="3161" customFormat="1" ht="12.75"/>
    <row r="62531" s="3161" customFormat="1" ht="12.75"/>
    <row r="62532" s="3161" customFormat="1" ht="12.75"/>
    <row r="62533" s="3161" customFormat="1" ht="12.75"/>
    <row r="62534" s="3161" customFormat="1" ht="12.75"/>
    <row r="62535" s="3161" customFormat="1" ht="12.75"/>
    <row r="62536" s="3161" customFormat="1" ht="12.75"/>
    <row r="62537" s="3161" customFormat="1" ht="12.75"/>
    <row r="62538" s="3161" customFormat="1" ht="12.75"/>
    <row r="62539" s="3161" customFormat="1" ht="12.75"/>
    <row r="62540" s="3161" customFormat="1" ht="12.75"/>
    <row r="62541" s="3161" customFormat="1" ht="12.75"/>
    <row r="62542" s="3161" customFormat="1" ht="12.75"/>
    <row r="62543" s="3161" customFormat="1" ht="12.75"/>
    <row r="62544" s="3161" customFormat="1" ht="12.75"/>
    <row r="62545" s="3161" customFormat="1" ht="12.75"/>
    <row r="62546" s="3161" customFormat="1" ht="12.75"/>
    <row r="62547" s="3161" customFormat="1" ht="12.75"/>
    <row r="62548" s="3161" customFormat="1" ht="12.75"/>
    <row r="62549" s="3161" customFormat="1" ht="12.75"/>
    <row r="62550" s="3161" customFormat="1" ht="12.75"/>
    <row r="62551" s="3161" customFormat="1" ht="12.75"/>
    <row r="62552" s="3161" customFormat="1" ht="12.75"/>
    <row r="62553" s="3161" customFormat="1" ht="12.75"/>
    <row r="62554" s="3161" customFormat="1" ht="12.75"/>
    <row r="62555" s="3161" customFormat="1" ht="12.75"/>
    <row r="62556" s="3161" customFormat="1" ht="12.75"/>
    <row r="62557" s="3161" customFormat="1" ht="12.75"/>
    <row r="62558" s="3161" customFormat="1" ht="12.75"/>
    <row r="62559" s="3161" customFormat="1" ht="12.75"/>
    <row r="62560" s="3161" customFormat="1" ht="12.75"/>
    <row r="62561" s="3161" customFormat="1" ht="12.75"/>
    <row r="62562" s="3161" customFormat="1" ht="12.75"/>
    <row r="62563" s="3161" customFormat="1" ht="12.75"/>
    <row r="62564" s="3161" customFormat="1" ht="12.75"/>
    <row r="62565" s="3161" customFormat="1" ht="12.75"/>
    <row r="62566" s="3161" customFormat="1" ht="12.75"/>
    <row r="62567" s="3161" customFormat="1" ht="12.75"/>
    <row r="62568" s="3161" customFormat="1" ht="12.75"/>
    <row r="62569" s="3161" customFormat="1" ht="12.75"/>
    <row r="62570" s="3161" customFormat="1" ht="12.75"/>
    <row r="62571" s="3161" customFormat="1" ht="12.75"/>
    <row r="62572" s="3161" customFormat="1" ht="12.75"/>
    <row r="62573" s="3161" customFormat="1" ht="12.75"/>
    <row r="62574" s="3161" customFormat="1" ht="12.75"/>
    <row r="62575" s="3161" customFormat="1" ht="12.75"/>
    <row r="62576" s="3161" customFormat="1" ht="12.75"/>
    <row r="62577" s="3161" customFormat="1" ht="12.75"/>
    <row r="62578" s="3161" customFormat="1" ht="12.75"/>
    <row r="62579" s="3161" customFormat="1" ht="12.75"/>
    <row r="62580" s="3161" customFormat="1" ht="12.75"/>
    <row r="62581" s="3161" customFormat="1" ht="12.75"/>
    <row r="62582" s="3161" customFormat="1" ht="12.75"/>
    <row r="62583" s="3161" customFormat="1" ht="12.75"/>
    <row r="62584" s="3161" customFormat="1" ht="12.75"/>
    <row r="62585" s="3161" customFormat="1" ht="12.75"/>
    <row r="62586" s="3161" customFormat="1" ht="12.75"/>
    <row r="62587" s="3161" customFormat="1" ht="12.75"/>
    <row r="62588" s="3161" customFormat="1" ht="12.75"/>
    <row r="62589" s="3161" customFormat="1" ht="12.75"/>
    <row r="62590" s="3161" customFormat="1" ht="12.75"/>
    <row r="62591" s="3161" customFormat="1" ht="12.75"/>
    <row r="62592" s="3161" customFormat="1" ht="12.75"/>
    <row r="62593" s="3161" customFormat="1" ht="12.75"/>
    <row r="62594" s="3161" customFormat="1" ht="12.75"/>
    <row r="62595" s="3161" customFormat="1" ht="12.75"/>
    <row r="62596" s="3161" customFormat="1" ht="12.75"/>
    <row r="62597" s="3161" customFormat="1" ht="12.75"/>
    <row r="62598" s="3161" customFormat="1" ht="12.75"/>
    <row r="62599" s="3161" customFormat="1" ht="12.75"/>
    <row r="62600" s="3161" customFormat="1" ht="12.75"/>
    <row r="62601" s="3161" customFormat="1" ht="12.75"/>
    <row r="62602" s="3161" customFormat="1" ht="12.75"/>
    <row r="62603" s="3161" customFormat="1" ht="12.75"/>
    <row r="62604" s="3161" customFormat="1" ht="12.75"/>
    <row r="62605" s="3161" customFormat="1" ht="12.75"/>
    <row r="62606" s="3161" customFormat="1" ht="12.75"/>
    <row r="62607" s="3161" customFormat="1" ht="12.75"/>
    <row r="62608" s="3161" customFormat="1" ht="12.75"/>
    <row r="62609" s="3161" customFormat="1" ht="12.75"/>
    <row r="62610" s="3161" customFormat="1" ht="12.75"/>
    <row r="62611" s="3161" customFormat="1" ht="12.75"/>
    <row r="62612" s="3161" customFormat="1" ht="12.75"/>
    <row r="62613" s="3161" customFormat="1" ht="12.75"/>
    <row r="62614" s="3161" customFormat="1" ht="12.75"/>
    <row r="62615" s="3161" customFormat="1" ht="12.75"/>
    <row r="62616" s="3161" customFormat="1" ht="12.75"/>
    <row r="62617" s="3161" customFormat="1" ht="12.75"/>
    <row r="62618" s="3161" customFormat="1" ht="12.75"/>
    <row r="62619" s="3161" customFormat="1" ht="12.75"/>
    <row r="62620" s="3161" customFormat="1" ht="12.75"/>
    <row r="62621" s="3161" customFormat="1" ht="12.75"/>
    <row r="62622" s="3161" customFormat="1" ht="12.75"/>
    <row r="62623" s="3161" customFormat="1" ht="12.75"/>
    <row r="62624" s="3161" customFormat="1" ht="12.75"/>
    <row r="62625" s="3161" customFormat="1" ht="12.75"/>
    <row r="62626" s="3161" customFormat="1" ht="12.75"/>
    <row r="62627" s="3161" customFormat="1" ht="12.75"/>
    <row r="62628" s="3161" customFormat="1" ht="12.75"/>
    <row r="62629" s="3161" customFormat="1" ht="12.75"/>
    <row r="62630" s="3161" customFormat="1" ht="12.75"/>
    <row r="62631" s="3161" customFormat="1" ht="12.75"/>
    <row r="62632" s="3161" customFormat="1" ht="12.75"/>
    <row r="62633" s="3161" customFormat="1" ht="12.75"/>
    <row r="62634" s="3161" customFormat="1" ht="12.75"/>
    <row r="62635" s="3161" customFormat="1" ht="12.75"/>
    <row r="62636" s="3161" customFormat="1" ht="12.75"/>
    <row r="62637" s="3161" customFormat="1" ht="12.75"/>
    <row r="62638" s="3161" customFormat="1" ht="12.75"/>
    <row r="62639" s="3161" customFormat="1" ht="12.75"/>
    <row r="62640" s="3161" customFormat="1" ht="12.75"/>
    <row r="62641" s="3161" customFormat="1" ht="12.75"/>
    <row r="62642" s="3161" customFormat="1" ht="12.75"/>
    <row r="62643" s="3161" customFormat="1" ht="12.75"/>
    <row r="62644" s="3161" customFormat="1" ht="12.75"/>
    <row r="62645" s="3161" customFormat="1" ht="12.75"/>
    <row r="62646" s="3161" customFormat="1" ht="12.75"/>
    <row r="62647" s="3161" customFormat="1" ht="12.75"/>
    <row r="62648" s="3161" customFormat="1" ht="12.75"/>
    <row r="62649" s="3161" customFormat="1" ht="12.75"/>
    <row r="62650" s="3161" customFormat="1" ht="12.75"/>
    <row r="62651" s="3161" customFormat="1" ht="12.75"/>
    <row r="62652" s="3161" customFormat="1" ht="12.75"/>
    <row r="62653" s="3161" customFormat="1" ht="12.75"/>
    <row r="62654" s="3161" customFormat="1" ht="12.75"/>
    <row r="62655" s="3161" customFormat="1" ht="12.75"/>
    <row r="62656" s="3161" customFormat="1" ht="12.75"/>
    <row r="62657" s="3161" customFormat="1" ht="12.75"/>
    <row r="62658" s="3161" customFormat="1" ht="12.75"/>
    <row r="62659" s="3161" customFormat="1" ht="12.75"/>
    <row r="62660" s="3161" customFormat="1" ht="12.75"/>
    <row r="62661" s="3161" customFormat="1" ht="12.75"/>
    <row r="62662" s="3161" customFormat="1" ht="12.75"/>
    <row r="62663" s="3161" customFormat="1" ht="12.75"/>
    <row r="62664" s="3161" customFormat="1" ht="12.75"/>
    <row r="62665" s="3161" customFormat="1" ht="12.75"/>
    <row r="62666" s="3161" customFormat="1" ht="12.75"/>
    <row r="62667" s="3161" customFormat="1" ht="12.75"/>
    <row r="62668" s="3161" customFormat="1" ht="12.75"/>
    <row r="62669" s="3161" customFormat="1" ht="12.75"/>
    <row r="62670" s="3161" customFormat="1" ht="12.75"/>
    <row r="62671" s="3161" customFormat="1" ht="12.75"/>
    <row r="62672" s="3161" customFormat="1" ht="12.75"/>
    <row r="62673" s="3161" customFormat="1" ht="12.75"/>
    <row r="62674" s="3161" customFormat="1" ht="12.75"/>
    <row r="62675" s="3161" customFormat="1" ht="12.75"/>
    <row r="62676" s="3161" customFormat="1" ht="12.75"/>
    <row r="62677" s="3161" customFormat="1" ht="12.75"/>
    <row r="62678" s="3161" customFormat="1" ht="12.75"/>
    <row r="62679" s="3161" customFormat="1" ht="12.75"/>
    <row r="62680" s="3161" customFormat="1" ht="12.75"/>
    <row r="62681" s="3161" customFormat="1" ht="12.75"/>
    <row r="62682" s="3161" customFormat="1" ht="12.75"/>
    <row r="62683" s="3161" customFormat="1" ht="12.75"/>
    <row r="62684" s="3161" customFormat="1" ht="12.75"/>
    <row r="62685" s="3161" customFormat="1" ht="12.75"/>
    <row r="62686" s="3161" customFormat="1" ht="12.75"/>
    <row r="62687" s="3161" customFormat="1" ht="12.75"/>
    <row r="62688" s="3161" customFormat="1" ht="12.75"/>
    <row r="62689" s="3161" customFormat="1" ht="12.75"/>
    <row r="62690" s="3161" customFormat="1" ht="12.75"/>
    <row r="62691" s="3161" customFormat="1" ht="12.75"/>
    <row r="62692" s="3161" customFormat="1" ht="12.75"/>
    <row r="62693" s="3161" customFormat="1" ht="12.75"/>
    <row r="62694" s="3161" customFormat="1" ht="12.75"/>
    <row r="62695" s="3161" customFormat="1" ht="12.75"/>
    <row r="62696" s="3161" customFormat="1" ht="12.75"/>
    <row r="62697" s="3161" customFormat="1" ht="12.75"/>
    <row r="62698" s="3161" customFormat="1" ht="12.75"/>
    <row r="62699" s="3161" customFormat="1" ht="12.75"/>
    <row r="62700" s="3161" customFormat="1" ht="12.75"/>
    <row r="62701" s="3161" customFormat="1" ht="12.75"/>
    <row r="62702" s="3161" customFormat="1" ht="12.75"/>
    <row r="62703" s="3161" customFormat="1" ht="12.75"/>
    <row r="62704" s="3161" customFormat="1" ht="12.75"/>
    <row r="62705" s="3161" customFormat="1" ht="12.75"/>
    <row r="62706" s="3161" customFormat="1" ht="12.75"/>
    <row r="62707" s="3161" customFormat="1" ht="12.75"/>
    <row r="62708" s="3161" customFormat="1" ht="12.75"/>
    <row r="62709" s="3161" customFormat="1" ht="12.75"/>
    <row r="62710" s="3161" customFormat="1" ht="12.75"/>
    <row r="62711" s="3161" customFormat="1" ht="12.75"/>
    <row r="62712" s="3161" customFormat="1" ht="12.75"/>
    <row r="62713" s="3161" customFormat="1" ht="12.75"/>
    <row r="62714" s="3161" customFormat="1" ht="12.75"/>
    <row r="62715" s="3161" customFormat="1" ht="12.75"/>
    <row r="62716" s="3161" customFormat="1" ht="12.75"/>
    <row r="62717" s="3161" customFormat="1" ht="12.75"/>
    <row r="62718" s="3161" customFormat="1" ht="12.75"/>
    <row r="62719" s="3161" customFormat="1" ht="12.75"/>
    <row r="62720" s="3161" customFormat="1" ht="12.75"/>
    <row r="62721" s="3161" customFormat="1" ht="12.75"/>
    <row r="62722" s="3161" customFormat="1" ht="12.75"/>
    <row r="62723" s="3161" customFormat="1" ht="12.75"/>
    <row r="62724" s="3161" customFormat="1" ht="12.75"/>
    <row r="62725" s="3161" customFormat="1" ht="12.75"/>
    <row r="62726" s="3161" customFormat="1" ht="12.75"/>
    <row r="62727" s="3161" customFormat="1" ht="12.75"/>
    <row r="62728" s="3161" customFormat="1" ht="12.75"/>
    <row r="62729" s="3161" customFormat="1" ht="12.75"/>
    <row r="62730" s="3161" customFormat="1" ht="12.75"/>
    <row r="62731" s="3161" customFormat="1" ht="12.75"/>
    <row r="62732" s="3161" customFormat="1" ht="12.75"/>
    <row r="62733" s="3161" customFormat="1" ht="12.75"/>
    <row r="62734" s="3161" customFormat="1" ht="12.75"/>
    <row r="62735" s="3161" customFormat="1" ht="12.75"/>
    <row r="62736" s="3161" customFormat="1" ht="12.75"/>
    <row r="62737" s="3161" customFormat="1" ht="12.75"/>
    <row r="62738" s="3161" customFormat="1" ht="12.75"/>
    <row r="62739" s="3161" customFormat="1" ht="12.75"/>
    <row r="62740" s="3161" customFormat="1" ht="12.75"/>
    <row r="62741" s="3161" customFormat="1" ht="12.75"/>
    <row r="62742" s="3161" customFormat="1" ht="12.75"/>
    <row r="62743" s="3161" customFormat="1" ht="12.75"/>
    <row r="62744" s="3161" customFormat="1" ht="12.75"/>
    <row r="62745" s="3161" customFormat="1" ht="12.75"/>
    <row r="62746" s="3161" customFormat="1" ht="12.75"/>
    <row r="62747" s="3161" customFormat="1" ht="12.75"/>
    <row r="62748" s="3161" customFormat="1" ht="12.75"/>
    <row r="62749" s="3161" customFormat="1" ht="12.75"/>
    <row r="62750" s="3161" customFormat="1" ht="12.75"/>
    <row r="62751" s="3161" customFormat="1" ht="12.75"/>
    <row r="62752" s="3161" customFormat="1" ht="12.75"/>
    <row r="62753" s="3161" customFormat="1" ht="12.75"/>
    <row r="62754" s="3161" customFormat="1" ht="12.75"/>
    <row r="62755" s="3161" customFormat="1" ht="12.75"/>
    <row r="62756" s="3161" customFormat="1" ht="12.75"/>
    <row r="62757" s="3161" customFormat="1" ht="12.75"/>
    <row r="62758" s="3161" customFormat="1" ht="12.75"/>
    <row r="62759" s="3161" customFormat="1" ht="12.75"/>
    <row r="62760" s="3161" customFormat="1" ht="12.75"/>
    <row r="62761" s="3161" customFormat="1" ht="12.75"/>
    <row r="62762" s="3161" customFormat="1" ht="12.75"/>
    <row r="62763" s="3161" customFormat="1" ht="12.75"/>
    <row r="62764" s="3161" customFormat="1" ht="12.75"/>
    <row r="62765" s="3161" customFormat="1" ht="12.75"/>
    <row r="62766" s="3161" customFormat="1" ht="12.75"/>
    <row r="62767" s="3161" customFormat="1" ht="12.75"/>
    <row r="62768" s="3161" customFormat="1" ht="12.75"/>
    <row r="62769" s="3161" customFormat="1" ht="12.75"/>
    <row r="62770" s="3161" customFormat="1" ht="12.75"/>
    <row r="62771" s="3161" customFormat="1" ht="12.75"/>
    <row r="62772" s="3161" customFormat="1" ht="12.75"/>
    <row r="62773" s="3161" customFormat="1" ht="12.75"/>
    <row r="62774" s="3161" customFormat="1" ht="12.75"/>
    <row r="62775" s="3161" customFormat="1" ht="12.75"/>
    <row r="62776" s="3161" customFormat="1" ht="12.75"/>
    <row r="62777" s="3161" customFormat="1" ht="12.75"/>
    <row r="62778" s="3161" customFormat="1" ht="12.75"/>
    <row r="62779" s="3161" customFormat="1" ht="12.75"/>
    <row r="62780" s="3161" customFormat="1" ht="12.75"/>
    <row r="62781" s="3161" customFormat="1" ht="12.75"/>
    <row r="62782" s="3161" customFormat="1" ht="12.75"/>
    <row r="62783" s="3161" customFormat="1" ht="12.75"/>
    <row r="62784" s="3161" customFormat="1" ht="12.75"/>
    <row r="62785" s="3161" customFormat="1" ht="12.75"/>
    <row r="62786" s="3161" customFormat="1" ht="12.75"/>
    <row r="62787" s="3161" customFormat="1" ht="12.75"/>
    <row r="62788" s="3161" customFormat="1" ht="12.75"/>
    <row r="62789" s="3161" customFormat="1" ht="12.75"/>
    <row r="62790" s="3161" customFormat="1" ht="12.75"/>
    <row r="62791" s="3161" customFormat="1" ht="12.75"/>
    <row r="62792" s="3161" customFormat="1" ht="12.75"/>
    <row r="62793" s="3161" customFormat="1" ht="12.75"/>
    <row r="62794" s="3161" customFormat="1" ht="12.75"/>
    <row r="62795" s="3161" customFormat="1" ht="12.75"/>
    <row r="62796" s="3161" customFormat="1" ht="12.75"/>
    <row r="62797" s="3161" customFormat="1" ht="12.75"/>
    <row r="62798" s="3161" customFormat="1" ht="12.75"/>
    <row r="62799" s="3161" customFormat="1" ht="12.75"/>
    <row r="62800" s="3161" customFormat="1" ht="12.75"/>
    <row r="62801" s="3161" customFormat="1" ht="12.75"/>
    <row r="62802" s="3161" customFormat="1" ht="12.75"/>
    <row r="62803" s="3161" customFormat="1" ht="12.75"/>
    <row r="62804" s="3161" customFormat="1" ht="12.75"/>
    <row r="62805" s="3161" customFormat="1" ht="12.75"/>
    <row r="62806" s="3161" customFormat="1" ht="12.75"/>
    <row r="62807" s="3161" customFormat="1" ht="12.75"/>
    <row r="62808" s="3161" customFormat="1" ht="12.75"/>
    <row r="62809" s="3161" customFormat="1" ht="12.75"/>
    <row r="62810" s="3161" customFormat="1" ht="12.75"/>
    <row r="62811" s="3161" customFormat="1" ht="12.75"/>
    <row r="62812" s="3161" customFormat="1" ht="12.75"/>
    <row r="62813" s="3161" customFormat="1" ht="12.75"/>
    <row r="62814" s="3161" customFormat="1" ht="12.75"/>
    <row r="62815" s="3161" customFormat="1" ht="12.75"/>
    <row r="62816" s="3161" customFormat="1" ht="12.75"/>
    <row r="62817" s="3161" customFormat="1" ht="12.75"/>
    <row r="62818" s="3161" customFormat="1" ht="12.75"/>
    <row r="62819" s="3161" customFormat="1" ht="12.75"/>
    <row r="62820" s="3161" customFormat="1" ht="12.75"/>
    <row r="62821" s="3161" customFormat="1" ht="12.75"/>
    <row r="62822" s="3161" customFormat="1" ht="12.75"/>
    <row r="62823" s="3161" customFormat="1" ht="12.75"/>
    <row r="62824" s="3161" customFormat="1" ht="12.75"/>
    <row r="62825" s="3161" customFormat="1" ht="12.75"/>
    <row r="62826" s="3161" customFormat="1" ht="12.75"/>
    <row r="62827" s="3161" customFormat="1" ht="12.75"/>
    <row r="62828" s="3161" customFormat="1" ht="12.75"/>
    <row r="62829" s="3161" customFormat="1" ht="12.75"/>
    <row r="62830" s="3161" customFormat="1" ht="12.75"/>
    <row r="62831" s="3161" customFormat="1" ht="12.75"/>
    <row r="62832" s="3161" customFormat="1" ht="12.75"/>
    <row r="62833" s="3161" customFormat="1" ht="12.75"/>
    <row r="62834" s="3161" customFormat="1" ht="12.75"/>
    <row r="62835" s="3161" customFormat="1" ht="12.75"/>
    <row r="62836" s="3161" customFormat="1" ht="12.75"/>
    <row r="62837" s="3161" customFormat="1" ht="12.75"/>
    <row r="62838" s="3161" customFormat="1" ht="12.75"/>
    <row r="62839" s="3161" customFormat="1" ht="12.75"/>
    <row r="62840" s="3161" customFormat="1" ht="12.75"/>
    <row r="62841" s="3161" customFormat="1" ht="12.75"/>
    <row r="62842" s="3161" customFormat="1" ht="12.75"/>
    <row r="62843" s="3161" customFormat="1" ht="12.75"/>
    <row r="62844" s="3161" customFormat="1" ht="12.75"/>
    <row r="62845" s="3161" customFormat="1" ht="12.75"/>
    <row r="62846" s="3161" customFormat="1" ht="12.75"/>
    <row r="62847" s="3161" customFormat="1" ht="12.75"/>
    <row r="62848" s="3161" customFormat="1" ht="12.75"/>
    <row r="62849" s="3161" customFormat="1" ht="12.75"/>
    <row r="62850" s="3161" customFormat="1" ht="12.75"/>
    <row r="62851" s="3161" customFormat="1" ht="12.75"/>
    <row r="62852" s="3161" customFormat="1" ht="12.75"/>
    <row r="62853" s="3161" customFormat="1" ht="12.75"/>
    <row r="62854" s="3161" customFormat="1" ht="12.75"/>
    <row r="62855" s="3161" customFormat="1" ht="12.75"/>
    <row r="62856" s="3161" customFormat="1" ht="12.75"/>
    <row r="62857" s="3161" customFormat="1" ht="12.75"/>
    <row r="62858" s="3161" customFormat="1" ht="12.75"/>
    <row r="62859" s="3161" customFormat="1" ht="12.75"/>
    <row r="62860" s="3161" customFormat="1" ht="12.75"/>
    <row r="62861" s="3161" customFormat="1" ht="12.75"/>
    <row r="62862" s="3161" customFormat="1" ht="12.75"/>
    <row r="62863" s="3161" customFormat="1" ht="12.75"/>
    <row r="62864" s="3161" customFormat="1" ht="12.75"/>
    <row r="62865" s="3161" customFormat="1" ht="12.75"/>
    <row r="62866" s="3161" customFormat="1" ht="12.75"/>
    <row r="62867" s="3161" customFormat="1" ht="12.75"/>
    <row r="62868" s="3161" customFormat="1" ht="12.75"/>
    <row r="62869" s="3161" customFormat="1" ht="12.75"/>
    <row r="62870" s="3161" customFormat="1" ht="12.75"/>
    <row r="62871" s="3161" customFormat="1" ht="12.75"/>
    <row r="62872" s="3161" customFormat="1" ht="12.75"/>
    <row r="62873" s="3161" customFormat="1" ht="12.75"/>
    <row r="62874" s="3161" customFormat="1" ht="12.75"/>
    <row r="62875" s="3161" customFormat="1" ht="12.75"/>
    <row r="62876" s="3161" customFormat="1" ht="12.75"/>
    <row r="62877" s="3161" customFormat="1" ht="12.75"/>
    <row r="62878" s="3161" customFormat="1" ht="12.75"/>
    <row r="62879" s="3161" customFormat="1" ht="12.75"/>
    <row r="62880" s="3161" customFormat="1" ht="12.75"/>
    <row r="62881" s="3161" customFormat="1" ht="12.75"/>
    <row r="62882" s="3161" customFormat="1" ht="12.75"/>
    <row r="62883" s="3161" customFormat="1" ht="12.75"/>
    <row r="62884" s="3161" customFormat="1" ht="12.75"/>
    <row r="62885" s="3161" customFormat="1" ht="12.75"/>
    <row r="62886" s="3161" customFormat="1" ht="12.75"/>
    <row r="62887" s="3161" customFormat="1" ht="12.75"/>
    <row r="62888" s="3161" customFormat="1" ht="12.75"/>
    <row r="62889" s="3161" customFormat="1" ht="12.75"/>
    <row r="62890" s="3161" customFormat="1" ht="12.75"/>
    <row r="62891" s="3161" customFormat="1" ht="12.75"/>
    <row r="62892" s="3161" customFormat="1" ht="12.75"/>
    <row r="62893" s="3161" customFormat="1" ht="12.75"/>
    <row r="62894" s="3161" customFormat="1" ht="12.75"/>
    <row r="62895" s="3161" customFormat="1" ht="12.75"/>
    <row r="62896" s="3161" customFormat="1" ht="12.75"/>
    <row r="62897" s="3161" customFormat="1" ht="12.75"/>
    <row r="62898" s="3161" customFormat="1" ht="12.75"/>
    <row r="62899" s="3161" customFormat="1" ht="12.75"/>
    <row r="62900" s="3161" customFormat="1" ht="12.75"/>
    <row r="62901" s="3161" customFormat="1" ht="12.75"/>
    <row r="62902" s="3161" customFormat="1" ht="12.75"/>
    <row r="62903" s="3161" customFormat="1" ht="12.75"/>
    <row r="62904" s="3161" customFormat="1" ht="12.75"/>
    <row r="62905" s="3161" customFormat="1" ht="12.75"/>
    <row r="62906" s="3161" customFormat="1" ht="12.75"/>
    <row r="62907" s="3161" customFormat="1" ht="12.75"/>
    <row r="62908" s="3161" customFormat="1" ht="12.75"/>
    <row r="62909" s="3161" customFormat="1" ht="12.75"/>
    <row r="62910" s="3161" customFormat="1" ht="12.75"/>
    <row r="62911" s="3161" customFormat="1" ht="12.75"/>
    <row r="62912" s="3161" customFormat="1" ht="12.75"/>
    <row r="62913" s="3161" customFormat="1" ht="12.75"/>
    <row r="62914" s="3161" customFormat="1" ht="12.75"/>
    <row r="62915" s="3161" customFormat="1" ht="12.75"/>
    <row r="62916" s="3161" customFormat="1" ht="12.75"/>
    <row r="62917" s="3161" customFormat="1" ht="12.75"/>
    <row r="62918" s="3161" customFormat="1" ht="12.75"/>
    <row r="62919" s="3161" customFormat="1" ht="12.75"/>
    <row r="62920" s="3161" customFormat="1" ht="12.75"/>
    <row r="62921" s="3161" customFormat="1" ht="12.75"/>
    <row r="62922" s="3161" customFormat="1" ht="12.75"/>
    <row r="62923" s="3161" customFormat="1" ht="12.75"/>
    <row r="62924" s="3161" customFormat="1" ht="12.75"/>
    <row r="62925" s="3161" customFormat="1" ht="12.75"/>
    <row r="62926" s="3161" customFormat="1" ht="12.75"/>
    <row r="62927" s="3161" customFormat="1" ht="12.75"/>
    <row r="62928" s="3161" customFormat="1" ht="12.75"/>
    <row r="62929" s="3161" customFormat="1" ht="12.75"/>
    <row r="62930" s="3161" customFormat="1" ht="12.75"/>
    <row r="62931" s="3161" customFormat="1" ht="12.75"/>
    <row r="62932" s="3161" customFormat="1" ht="12.75"/>
    <row r="62933" s="3161" customFormat="1" ht="12.75"/>
    <row r="62934" s="3161" customFormat="1" ht="12.75"/>
    <row r="62935" s="3161" customFormat="1" ht="12.75"/>
    <row r="62936" s="3161" customFormat="1" ht="12.75"/>
    <row r="62937" s="3161" customFormat="1" ht="12.75"/>
    <row r="62938" s="3161" customFormat="1" ht="12.75"/>
    <row r="62939" s="3161" customFormat="1" ht="12.75"/>
    <row r="62940" s="3161" customFormat="1" ht="12.75"/>
    <row r="62941" s="3161" customFormat="1" ht="12.75"/>
    <row r="62942" s="3161" customFormat="1" ht="12.75"/>
    <row r="62943" s="3161" customFormat="1" ht="12.75"/>
    <row r="62944" s="3161" customFormat="1" ht="12.75"/>
    <row r="62945" s="3161" customFormat="1" ht="12.75"/>
    <row r="62946" s="3161" customFormat="1" ht="12.75"/>
    <row r="62947" s="3161" customFormat="1" ht="12.75"/>
    <row r="62948" s="3161" customFormat="1" ht="12.75"/>
    <row r="62949" s="3161" customFormat="1" ht="12.75"/>
    <row r="62950" s="3161" customFormat="1" ht="12.75"/>
    <row r="62951" s="3161" customFormat="1" ht="12.75"/>
    <row r="62952" s="3161" customFormat="1" ht="12.75"/>
    <row r="62953" s="3161" customFormat="1" ht="12.75"/>
    <row r="62954" s="3161" customFormat="1" ht="12.75"/>
    <row r="62955" s="3161" customFormat="1" ht="12.75"/>
    <row r="62956" s="3161" customFormat="1" ht="12.75"/>
    <row r="62957" s="3161" customFormat="1" ht="12.75"/>
    <row r="62958" s="3161" customFormat="1" ht="12.75"/>
    <row r="62959" s="3161" customFormat="1" ht="12.75"/>
    <row r="62960" s="3161" customFormat="1" ht="12.75"/>
    <row r="62961" s="3161" customFormat="1" ht="12.75"/>
    <row r="62962" s="3161" customFormat="1" ht="12.75"/>
    <row r="62963" s="3161" customFormat="1" ht="12.75"/>
    <row r="62964" s="3161" customFormat="1" ht="12.75"/>
    <row r="62965" s="3161" customFormat="1" ht="12.75"/>
    <row r="62966" s="3161" customFormat="1" ht="12.75"/>
    <row r="62967" s="3161" customFormat="1" ht="12.75"/>
    <row r="62968" s="3161" customFormat="1" ht="12.75"/>
    <row r="62969" s="3161" customFormat="1" ht="12.75"/>
    <row r="62970" s="3161" customFormat="1" ht="12.75"/>
    <row r="62971" s="3161" customFormat="1" ht="12.75"/>
    <row r="62972" s="3161" customFormat="1" ht="12.75"/>
    <row r="62973" s="3161" customFormat="1" ht="12.75"/>
    <row r="62974" s="3161" customFormat="1" ht="12.75"/>
    <row r="62975" s="3161" customFormat="1" ht="12.75"/>
    <row r="62976" s="3161" customFormat="1" ht="12.75"/>
    <row r="62977" s="3161" customFormat="1" ht="12.75"/>
    <row r="62978" s="3161" customFormat="1" ht="12.75"/>
    <row r="62979" s="3161" customFormat="1" ht="12.75"/>
    <row r="62980" s="3161" customFormat="1" ht="12.75"/>
    <row r="62981" s="3161" customFormat="1" ht="12.75"/>
    <row r="62982" s="3161" customFormat="1" ht="12.75"/>
    <row r="62983" s="3161" customFormat="1" ht="12.75"/>
    <row r="62984" s="3161" customFormat="1" ht="12.75"/>
    <row r="62985" s="3161" customFormat="1" ht="12.75"/>
    <row r="62986" s="3161" customFormat="1" ht="12.75"/>
    <row r="62987" s="3161" customFormat="1" ht="12.75"/>
    <row r="62988" s="3161" customFormat="1" ht="12.75"/>
    <row r="62989" s="3161" customFormat="1" ht="12.75"/>
    <row r="62990" s="3161" customFormat="1" ht="12.75"/>
    <row r="62991" s="3161" customFormat="1" ht="12.75"/>
    <row r="62992" s="3161" customFormat="1" ht="12.75"/>
    <row r="62993" s="3161" customFormat="1" ht="12.75"/>
    <row r="62994" s="3161" customFormat="1" ht="12.75"/>
    <row r="62995" s="3161" customFormat="1" ht="12.75"/>
    <row r="62996" s="3161" customFormat="1" ht="12.75"/>
    <row r="62997" s="3161" customFormat="1" ht="12.75"/>
    <row r="62998" s="3161" customFormat="1" ht="12.75"/>
    <row r="62999" s="3161" customFormat="1" ht="12.75"/>
    <row r="63000" s="3161" customFormat="1" ht="12.75"/>
    <row r="63001" s="3161" customFormat="1" ht="12.75"/>
    <row r="63002" s="3161" customFormat="1" ht="12.75"/>
    <row r="63003" s="3161" customFormat="1" ht="12.75"/>
    <row r="63004" s="3161" customFormat="1" ht="12.75"/>
    <row r="63005" s="3161" customFormat="1" ht="12.75"/>
    <row r="63006" s="3161" customFormat="1" ht="12.75"/>
    <row r="63007" s="3161" customFormat="1" ht="12.75"/>
    <row r="63008" s="3161" customFormat="1" ht="12.75"/>
    <row r="63009" s="3161" customFormat="1" ht="12.75"/>
    <row r="63010" s="3161" customFormat="1" ht="12.75"/>
    <row r="63011" s="3161" customFormat="1" ht="12.75"/>
    <row r="63012" s="3161" customFormat="1" ht="12.75"/>
    <row r="63013" s="3161" customFormat="1" ht="12.75"/>
    <row r="63014" s="3161" customFormat="1" ht="12.75"/>
    <row r="63015" s="3161" customFormat="1" ht="12.75"/>
    <row r="63016" s="3161" customFormat="1" ht="12.75"/>
    <row r="63017" s="3161" customFormat="1" ht="12.75"/>
    <row r="63018" s="3161" customFormat="1" ht="12.75"/>
    <row r="63019" s="3161" customFormat="1" ht="12.75"/>
    <row r="63020" s="3161" customFormat="1" ht="12.75"/>
    <row r="63021" s="3161" customFormat="1" ht="12.75"/>
    <row r="63022" s="3161" customFormat="1" ht="12.75"/>
    <row r="63023" s="3161" customFormat="1" ht="12.75"/>
    <row r="63024" s="3161" customFormat="1" ht="12.75"/>
    <row r="63025" s="3161" customFormat="1" ht="12.75"/>
    <row r="63026" s="3161" customFormat="1" ht="12.75"/>
    <row r="63027" s="3161" customFormat="1" ht="12.75"/>
    <row r="63028" s="3161" customFormat="1" ht="12.75"/>
    <row r="63029" s="3161" customFormat="1" ht="12.75"/>
    <row r="63030" s="3161" customFormat="1" ht="12.75"/>
    <row r="63031" s="3161" customFormat="1" ht="12.75"/>
    <row r="63032" s="3161" customFormat="1" ht="12.75"/>
    <row r="63033" s="3161" customFormat="1" ht="12.75"/>
    <row r="63034" s="3161" customFormat="1" ht="12.75"/>
    <row r="63035" s="3161" customFormat="1" ht="12.75"/>
    <row r="63036" s="3161" customFormat="1" ht="12.75"/>
    <row r="63037" s="3161" customFormat="1" ht="12.75"/>
    <row r="63038" s="3161" customFormat="1" ht="12.75"/>
    <row r="63039" s="3161" customFormat="1" ht="12.75"/>
    <row r="63040" s="3161" customFormat="1" ht="12.75"/>
    <row r="63041" s="3161" customFormat="1" ht="12.75"/>
    <row r="63042" s="3161" customFormat="1" ht="12.75"/>
    <row r="63043" s="3161" customFormat="1" ht="12.75"/>
    <row r="63044" s="3161" customFormat="1" ht="12.75"/>
    <row r="63045" s="3161" customFormat="1" ht="12.75"/>
    <row r="63046" s="3161" customFormat="1" ht="12.75"/>
    <row r="63047" s="3161" customFormat="1" ht="12.75"/>
    <row r="63048" s="3161" customFormat="1" ht="12.75"/>
    <row r="63049" s="3161" customFormat="1" ht="12.75"/>
    <row r="63050" s="3161" customFormat="1" ht="12.75"/>
    <row r="63051" s="3161" customFormat="1" ht="12.75"/>
    <row r="63052" s="3161" customFormat="1" ht="12.75"/>
    <row r="63053" s="3161" customFormat="1" ht="12.75"/>
    <row r="63054" s="3161" customFormat="1" ht="12.75"/>
    <row r="63055" s="3161" customFormat="1" ht="12.75"/>
    <row r="63056" s="3161" customFormat="1" ht="12.75"/>
    <row r="63057" s="3161" customFormat="1" ht="12.75"/>
    <row r="63058" s="3161" customFormat="1" ht="12.75"/>
    <row r="63059" s="3161" customFormat="1" ht="12.75"/>
    <row r="63060" s="3161" customFormat="1" ht="12.75"/>
    <row r="63061" s="3161" customFormat="1" ht="12.75"/>
    <row r="63062" s="3161" customFormat="1" ht="12.75"/>
    <row r="63063" s="3161" customFormat="1" ht="12.75"/>
    <row r="63064" s="3161" customFormat="1" ht="12.75"/>
    <row r="63065" s="3161" customFormat="1" ht="12.75"/>
    <row r="63066" s="3161" customFormat="1" ht="12.75"/>
    <row r="63067" s="3161" customFormat="1" ht="12.75"/>
    <row r="63068" s="3161" customFormat="1" ht="12.75"/>
    <row r="63069" s="3161" customFormat="1" ht="12.75"/>
    <row r="63070" s="3161" customFormat="1" ht="12.75"/>
    <row r="63071" s="3161" customFormat="1" ht="12.75"/>
    <row r="63072" s="3161" customFormat="1" ht="12.75"/>
    <row r="63073" s="3161" customFormat="1" ht="12.75"/>
    <row r="63074" s="3161" customFormat="1" ht="12.75"/>
    <row r="63075" s="3161" customFormat="1" ht="12.75"/>
    <row r="63076" s="3161" customFormat="1" ht="12.75"/>
    <row r="63077" s="3161" customFormat="1" ht="12.75"/>
    <row r="63078" s="3161" customFormat="1" ht="12.75"/>
    <row r="63079" s="3161" customFormat="1" ht="12.75"/>
    <row r="63080" s="3161" customFormat="1" ht="12.75"/>
    <row r="63081" s="3161" customFormat="1" ht="12.75"/>
    <row r="63082" s="3161" customFormat="1" ht="12.75"/>
    <row r="63083" s="3161" customFormat="1" ht="12.75"/>
    <row r="63084" s="3161" customFormat="1" ht="12.75"/>
    <row r="63085" s="3161" customFormat="1" ht="12.75"/>
    <row r="63086" s="3161" customFormat="1" ht="12.75"/>
    <row r="63087" s="3161" customFormat="1" ht="12.75"/>
    <row r="63088" s="3161" customFormat="1" ht="12.75"/>
    <row r="63089" s="3161" customFormat="1" ht="12.75"/>
    <row r="63090" s="3161" customFormat="1" ht="12.75"/>
    <row r="63091" s="3161" customFormat="1" ht="12.75"/>
    <row r="63092" s="3161" customFormat="1" ht="12.75"/>
    <row r="63093" s="3161" customFormat="1" ht="12.75"/>
    <row r="63094" s="3161" customFormat="1" ht="12.75"/>
    <row r="63095" s="3161" customFormat="1" ht="12.75"/>
    <row r="63096" s="3161" customFormat="1" ht="12.75"/>
    <row r="63097" s="3161" customFormat="1" ht="12.75"/>
    <row r="63098" s="3161" customFormat="1" ht="12.75"/>
    <row r="63099" s="3161" customFormat="1" ht="12.75"/>
    <row r="63100" s="3161" customFormat="1" ht="12.75"/>
    <row r="63101" s="3161" customFormat="1" ht="12.75"/>
    <row r="63102" s="3161" customFormat="1" ht="12.75"/>
    <row r="63103" s="3161" customFormat="1" ht="12.75"/>
    <row r="63104" s="3161" customFormat="1" ht="12.75"/>
    <row r="63105" s="3161" customFormat="1" ht="12.75"/>
    <row r="63106" s="3161" customFormat="1" ht="12.75"/>
    <row r="63107" s="3161" customFormat="1" ht="12.75"/>
    <row r="63108" s="3161" customFormat="1" ht="12.75"/>
    <row r="63109" s="3161" customFormat="1" ht="12.75"/>
    <row r="63110" s="3161" customFormat="1" ht="12.75"/>
    <row r="63111" s="3161" customFormat="1" ht="12.75"/>
    <row r="63112" s="3161" customFormat="1" ht="12.75"/>
    <row r="63113" s="3161" customFormat="1" ht="12.75"/>
    <row r="63114" s="3161" customFormat="1" ht="12.75"/>
    <row r="63115" s="3161" customFormat="1" ht="12.75"/>
    <row r="63116" s="3161" customFormat="1" ht="12.75"/>
    <row r="63117" s="3161" customFormat="1" ht="12.75"/>
    <row r="63118" s="3161" customFormat="1" ht="12.75"/>
    <row r="63119" s="3161" customFormat="1" ht="12.75"/>
    <row r="63120" s="3161" customFormat="1" ht="12.75"/>
    <row r="63121" s="3161" customFormat="1" ht="12.75"/>
    <row r="63122" s="3161" customFormat="1" ht="12.75"/>
    <row r="63123" s="3161" customFormat="1" ht="12.75"/>
    <row r="63124" s="3161" customFormat="1" ht="12.75"/>
    <row r="63125" s="3161" customFormat="1" ht="12.75"/>
    <row r="63126" s="3161" customFormat="1" ht="12.75"/>
    <row r="63127" s="3161" customFormat="1" ht="12.75"/>
    <row r="63128" s="3161" customFormat="1" ht="12.75"/>
    <row r="63129" s="3161" customFormat="1" ht="12.75"/>
    <row r="63130" s="3161" customFormat="1" ht="12.75"/>
    <row r="63131" s="3161" customFormat="1" ht="12.75"/>
    <row r="63132" s="3161" customFormat="1" ht="12.75"/>
    <row r="63133" s="3161" customFormat="1" ht="12.75"/>
    <row r="63134" s="3161" customFormat="1" ht="12.75"/>
    <row r="63135" s="3161" customFormat="1" ht="12.75"/>
    <row r="63136" s="3161" customFormat="1" ht="12.75"/>
    <row r="63137" s="3161" customFormat="1" ht="12.75"/>
    <row r="63138" s="3161" customFormat="1" ht="12.75"/>
    <row r="63139" s="3161" customFormat="1" ht="12.75"/>
    <row r="63140" s="3161" customFormat="1" ht="12.75"/>
    <row r="63141" s="3161" customFormat="1" ht="12.75"/>
    <row r="63142" s="3161" customFormat="1" ht="12.75"/>
    <row r="63143" s="3161" customFormat="1" ht="12.75"/>
    <row r="63144" s="3161" customFormat="1" ht="12.75"/>
    <row r="63145" s="3161" customFormat="1" ht="12.75"/>
    <row r="63146" s="3161" customFormat="1" ht="12.75"/>
    <row r="63147" s="3161" customFormat="1" ht="12.75"/>
    <row r="63148" s="3161" customFormat="1" ht="12.75"/>
    <row r="63149" s="3161" customFormat="1" ht="12.75"/>
    <row r="63150" s="3161" customFormat="1" ht="12.75"/>
    <row r="63151" s="3161" customFormat="1" ht="12.75"/>
    <row r="63152" s="3161" customFormat="1" ht="12.75"/>
    <row r="63153" s="3161" customFormat="1" ht="12.75"/>
    <row r="63154" s="3161" customFormat="1" ht="12.75"/>
    <row r="63155" s="3161" customFormat="1" ht="12.75"/>
    <row r="63156" s="3161" customFormat="1" ht="12.75"/>
    <row r="63157" s="3161" customFormat="1" ht="12.75"/>
    <row r="63158" s="3161" customFormat="1" ht="12.75"/>
    <row r="63159" s="3161" customFormat="1" ht="12.75"/>
    <row r="63160" s="3161" customFormat="1" ht="12.75"/>
    <row r="63161" s="3161" customFormat="1" ht="12.75"/>
    <row r="63162" s="3161" customFormat="1" ht="12.75"/>
    <row r="63163" s="3161" customFormat="1" ht="12.75"/>
    <row r="63164" s="3161" customFormat="1" ht="12.75"/>
    <row r="63165" s="3161" customFormat="1" ht="12.75"/>
    <row r="63166" s="3161" customFormat="1" ht="12.75"/>
    <row r="63167" s="3161" customFormat="1" ht="12.75"/>
    <row r="63168" s="3161" customFormat="1" ht="12.75"/>
    <row r="63169" s="3161" customFormat="1" ht="12.75"/>
    <row r="63170" s="3161" customFormat="1" ht="12.75"/>
    <row r="63171" s="3161" customFormat="1" ht="12.75"/>
    <row r="63172" s="3161" customFormat="1" ht="12.75"/>
    <row r="63173" s="3161" customFormat="1" ht="12.75"/>
    <row r="63174" s="3161" customFormat="1" ht="12.75"/>
    <row r="63175" s="3161" customFormat="1" ht="12.75"/>
    <row r="63176" s="3161" customFormat="1" ht="12.75"/>
    <row r="63177" s="3161" customFormat="1" ht="12.75"/>
    <row r="63178" s="3161" customFormat="1" ht="12.75"/>
    <row r="63179" s="3161" customFormat="1" ht="12.75"/>
    <row r="63180" s="3161" customFormat="1" ht="12.75"/>
    <row r="63181" s="3161" customFormat="1" ht="12.75"/>
    <row r="63182" s="3161" customFormat="1" ht="12.75"/>
    <row r="63183" s="3161" customFormat="1" ht="12.75"/>
    <row r="63184" s="3161" customFormat="1" ht="12.75"/>
    <row r="63185" s="3161" customFormat="1" ht="12.75"/>
    <row r="63186" s="3161" customFormat="1" ht="12.75"/>
    <row r="63187" s="3161" customFormat="1" ht="12.75"/>
    <row r="63188" s="3161" customFormat="1" ht="12.75"/>
    <row r="63189" s="3161" customFormat="1" ht="12.75"/>
    <row r="63190" s="3161" customFormat="1" ht="12.75"/>
    <row r="63191" s="3161" customFormat="1" ht="12.75"/>
    <row r="63192" s="3161" customFormat="1" ht="12.75"/>
    <row r="63193" s="3161" customFormat="1" ht="12.75"/>
    <row r="63194" s="3161" customFormat="1" ht="12.75"/>
    <row r="63195" s="3161" customFormat="1" ht="12.75"/>
    <row r="63196" s="3161" customFormat="1" ht="12.75"/>
    <row r="63197" s="3161" customFormat="1" ht="12.75"/>
    <row r="63198" s="3161" customFormat="1" ht="12.75"/>
    <row r="63199" s="3161" customFormat="1" ht="12.75"/>
    <row r="63200" s="3161" customFormat="1" ht="12.75"/>
    <row r="63201" s="3161" customFormat="1" ht="12.75"/>
    <row r="63202" s="3161" customFormat="1" ht="12.75"/>
    <row r="63203" s="3161" customFormat="1" ht="12.75"/>
    <row r="63204" s="3161" customFormat="1" ht="12.75"/>
    <row r="63205" s="3161" customFormat="1" ht="12.75"/>
    <row r="63206" s="3161" customFormat="1" ht="12.75"/>
    <row r="63207" s="3161" customFormat="1" ht="12.75"/>
    <row r="63208" s="3161" customFormat="1" ht="12.75"/>
    <row r="63209" s="3161" customFormat="1" ht="12.75"/>
    <row r="63210" s="3161" customFormat="1" ht="12.75"/>
    <row r="63211" s="3161" customFormat="1" ht="12.75"/>
    <row r="63212" s="3161" customFormat="1" ht="12.75"/>
    <row r="63213" s="3161" customFormat="1" ht="12.75"/>
    <row r="63214" s="3161" customFormat="1" ht="12.75"/>
    <row r="63215" s="3161" customFormat="1" ht="12.75"/>
    <row r="63216" s="3161" customFormat="1" ht="12.75"/>
    <row r="63217" s="3161" customFormat="1" ht="12.75"/>
    <row r="63218" s="3161" customFormat="1" ht="12.75"/>
    <row r="63219" s="3161" customFormat="1" ht="12.75"/>
    <row r="63220" s="3161" customFormat="1" ht="12.75"/>
    <row r="63221" s="3161" customFormat="1" ht="12.75"/>
    <row r="63222" s="3161" customFormat="1" ht="12.75"/>
    <row r="63223" s="3161" customFormat="1" ht="12.75"/>
    <row r="63224" s="3161" customFormat="1" ht="12.75"/>
    <row r="63225" s="3161" customFormat="1" ht="12.75"/>
    <row r="63226" s="3161" customFormat="1" ht="12.75"/>
    <row r="63227" s="3161" customFormat="1" ht="12.75"/>
    <row r="63228" s="3161" customFormat="1" ht="12.75"/>
    <row r="63229" s="3161" customFormat="1" ht="12.75"/>
    <row r="63230" s="3161" customFormat="1" ht="12.75"/>
    <row r="63231" s="3161" customFormat="1" ht="12.75"/>
    <row r="63232" s="3161" customFormat="1" ht="12.75"/>
    <row r="63233" s="3161" customFormat="1" ht="12.75"/>
    <row r="63234" s="3161" customFormat="1" ht="12.75"/>
    <row r="63235" s="3161" customFormat="1" ht="12.75"/>
    <row r="63236" s="3161" customFormat="1" ht="12.75"/>
    <row r="63237" s="3161" customFormat="1" ht="12.75"/>
    <row r="63238" s="3161" customFormat="1" ht="12.75"/>
    <row r="63239" s="3161" customFormat="1" ht="12.75"/>
    <row r="63240" s="3161" customFormat="1" ht="12.75"/>
    <row r="63241" s="3161" customFormat="1" ht="12.75"/>
    <row r="63242" s="3161" customFormat="1" ht="12.75"/>
    <row r="63243" s="3161" customFormat="1" ht="12.75"/>
    <row r="63244" s="3161" customFormat="1" ht="12.75"/>
    <row r="63245" s="3161" customFormat="1" ht="12.75"/>
    <row r="63246" s="3161" customFormat="1" ht="12.75"/>
    <row r="63247" s="3161" customFormat="1" ht="12.75"/>
    <row r="63248" s="3161" customFormat="1" ht="12.75"/>
    <row r="63249" s="3161" customFormat="1" ht="12.75"/>
    <row r="63250" s="3161" customFormat="1" ht="12.75"/>
    <row r="63251" s="3161" customFormat="1" ht="12.75"/>
    <row r="63252" s="3161" customFormat="1" ht="12.75"/>
    <row r="63253" s="3161" customFormat="1" ht="12.75"/>
    <row r="63254" s="3161" customFormat="1" ht="12.75"/>
    <row r="63255" s="3161" customFormat="1" ht="12.75"/>
    <row r="63256" s="3161" customFormat="1" ht="12.75"/>
    <row r="63257" s="3161" customFormat="1" ht="12.75"/>
    <row r="63258" s="3161" customFormat="1" ht="12.75"/>
    <row r="63259" s="3161" customFormat="1" ht="12.75"/>
    <row r="63260" s="3161" customFormat="1" ht="12.75"/>
    <row r="63261" s="3161" customFormat="1" ht="12.75"/>
    <row r="63262" s="3161" customFormat="1" ht="12.75"/>
    <row r="63263" s="3161" customFormat="1" ht="12.75"/>
    <row r="63264" s="3161" customFormat="1" ht="12.75"/>
    <row r="63265" s="3161" customFormat="1" ht="12.75"/>
    <row r="63266" s="3161" customFormat="1" ht="12.75"/>
    <row r="63267" s="3161" customFormat="1" ht="12.75"/>
    <row r="63268" s="3161" customFormat="1" ht="12.75"/>
    <row r="63269" s="3161" customFormat="1" ht="12.75"/>
    <row r="63270" s="3161" customFormat="1" ht="12.75"/>
    <row r="63271" s="3161" customFormat="1" ht="12.75"/>
    <row r="63272" s="3161" customFormat="1" ht="12.75"/>
    <row r="63273" s="3161" customFormat="1" ht="12.75"/>
    <row r="63274" s="3161" customFormat="1" ht="12.75"/>
    <row r="63275" s="3161" customFormat="1" ht="12.75"/>
    <row r="63276" s="3161" customFormat="1" ht="12.75"/>
    <row r="63277" s="3161" customFormat="1" ht="12.75"/>
    <row r="63278" s="3161" customFormat="1" ht="12.75"/>
    <row r="63279" s="3161" customFormat="1" ht="12.75"/>
    <row r="63280" s="3161" customFormat="1" ht="12.75"/>
    <row r="63281" s="3161" customFormat="1" ht="12.75"/>
    <row r="63282" s="3161" customFormat="1" ht="12.75"/>
    <row r="63283" s="3161" customFormat="1" ht="12.75"/>
    <row r="63284" s="3161" customFormat="1" ht="12.75"/>
    <row r="63285" s="3161" customFormat="1" ht="12.75"/>
    <row r="63286" s="3161" customFormat="1" ht="12.75"/>
    <row r="63287" s="3161" customFormat="1" ht="12.75"/>
    <row r="63288" s="3161" customFormat="1" ht="12.75"/>
    <row r="63289" s="3161" customFormat="1" ht="12.75"/>
    <row r="63290" s="3161" customFormat="1" ht="12.75"/>
    <row r="63291" s="3161" customFormat="1" ht="12.75"/>
    <row r="63292" s="3161" customFormat="1" ht="12.75"/>
    <row r="63293" s="3161" customFormat="1" ht="12.75"/>
    <row r="63294" s="3161" customFormat="1" ht="12.75"/>
    <row r="63295" s="3161" customFormat="1" ht="12.75"/>
    <row r="63296" s="3161" customFormat="1" ht="12.75"/>
    <row r="63297" s="3161" customFormat="1" ht="12.75"/>
    <row r="63298" s="3161" customFormat="1" ht="12.75"/>
    <row r="63299" s="3161" customFormat="1" ht="12.75"/>
    <row r="63300" s="3161" customFormat="1" ht="12.75"/>
    <row r="63301" s="3161" customFormat="1" ht="12.75"/>
    <row r="63302" s="3161" customFormat="1" ht="12.75"/>
    <row r="63303" s="3161" customFormat="1" ht="12.75"/>
    <row r="63304" s="3161" customFormat="1" ht="12.75"/>
    <row r="63305" s="3161" customFormat="1" ht="12.75"/>
    <row r="63306" s="3161" customFormat="1" ht="12.75"/>
    <row r="63307" s="3161" customFormat="1" ht="12.75"/>
    <row r="63308" s="3161" customFormat="1" ht="12.75"/>
    <row r="63309" s="3161" customFormat="1" ht="12.75"/>
    <row r="63310" s="3161" customFormat="1" ht="12.75"/>
    <row r="63311" s="3161" customFormat="1" ht="12.75"/>
    <row r="63312" s="3161" customFormat="1" ht="12.75"/>
    <row r="63313" s="3161" customFormat="1" ht="12.75"/>
    <row r="63314" s="3161" customFormat="1" ht="12.75"/>
    <row r="63315" s="3161" customFormat="1" ht="12.75"/>
    <row r="63316" s="3161" customFormat="1" ht="12.75"/>
    <row r="63317" s="3161" customFormat="1" ht="12.75"/>
    <row r="63318" s="3161" customFormat="1" ht="12.75"/>
    <row r="63319" s="3161" customFormat="1" ht="12.75"/>
    <row r="63320" s="3161" customFormat="1" ht="12.75"/>
    <row r="63321" s="3161" customFormat="1" ht="12.75"/>
    <row r="63322" s="3161" customFormat="1" ht="12.75"/>
    <row r="63323" s="3161" customFormat="1" ht="12.75"/>
    <row r="63324" s="3161" customFormat="1" ht="12.75"/>
    <row r="63325" s="3161" customFormat="1" ht="12.75"/>
    <row r="63326" s="3161" customFormat="1" ht="12.75"/>
    <row r="63327" s="3161" customFormat="1" ht="12.75"/>
    <row r="63328" s="3161" customFormat="1" ht="12.75"/>
    <row r="63329" s="3161" customFormat="1" ht="12.75"/>
    <row r="63330" s="3161" customFormat="1" ht="12.75"/>
    <row r="63331" s="3161" customFormat="1" ht="12.75"/>
    <row r="63332" s="3161" customFormat="1" ht="12.75"/>
    <row r="63333" s="3161" customFormat="1" ht="12.75"/>
    <row r="63334" s="3161" customFormat="1" ht="12.75"/>
    <row r="63335" s="3161" customFormat="1" ht="12.75"/>
    <row r="63336" s="3161" customFormat="1" ht="12.75"/>
    <row r="63337" s="3161" customFormat="1" ht="12.75"/>
    <row r="63338" s="3161" customFormat="1" ht="12.75"/>
    <row r="63339" s="3161" customFormat="1" ht="12.75"/>
    <row r="63340" s="3161" customFormat="1" ht="12.75"/>
    <row r="63341" s="3161" customFormat="1" ht="12.75"/>
    <row r="63342" s="3161" customFormat="1" ht="12.75"/>
    <row r="63343" s="3161" customFormat="1" ht="12.75"/>
    <row r="63344" s="3161" customFormat="1" ht="12.75"/>
    <row r="63345" s="3161" customFormat="1" ht="12.75"/>
    <row r="63346" s="3161" customFormat="1" ht="12.75"/>
    <row r="63347" s="3161" customFormat="1" ht="12.75"/>
    <row r="63348" s="3161" customFormat="1" ht="12.75"/>
    <row r="63349" s="3161" customFormat="1" ht="12.75"/>
    <row r="63350" s="3161" customFormat="1" ht="12.75"/>
    <row r="63351" s="3161" customFormat="1" ht="12.75"/>
    <row r="63352" s="3161" customFormat="1" ht="12.75"/>
    <row r="63353" s="3161" customFormat="1" ht="12.75"/>
    <row r="63354" s="3161" customFormat="1" ht="12.75"/>
    <row r="63355" s="3161" customFormat="1" ht="12.75"/>
    <row r="63356" s="3161" customFormat="1" ht="12.75"/>
    <row r="63357" s="3161" customFormat="1" ht="12.75"/>
    <row r="63358" s="3161" customFormat="1" ht="12.75"/>
    <row r="63359" s="3161" customFormat="1" ht="12.75"/>
    <row r="63360" s="3161" customFormat="1" ht="12.75"/>
    <row r="63361" s="3161" customFormat="1" ht="12.75"/>
    <row r="63362" s="3161" customFormat="1" ht="12.75"/>
    <row r="63363" s="3161" customFormat="1" ht="12.75"/>
    <row r="63364" s="3161" customFormat="1" ht="12.75"/>
    <row r="63365" s="3161" customFormat="1" ht="12.75"/>
    <row r="63366" s="3161" customFormat="1" ht="12.75"/>
    <row r="63367" s="3161" customFormat="1" ht="12.75"/>
    <row r="63368" s="3161" customFormat="1" ht="12.75"/>
    <row r="63369" s="3161" customFormat="1" ht="12.75"/>
    <row r="63370" s="3161" customFormat="1" ht="12.75"/>
    <row r="63371" s="3161" customFormat="1" ht="12.75"/>
    <row r="63372" s="3161" customFormat="1" ht="12.75"/>
    <row r="63373" s="3161" customFormat="1" ht="12.75"/>
    <row r="63374" s="3161" customFormat="1" ht="12.75"/>
    <row r="63375" s="3161" customFormat="1" ht="12.75"/>
    <row r="63376" s="3161" customFormat="1" ht="12.75"/>
    <row r="63377" s="3161" customFormat="1" ht="12.75"/>
    <row r="63378" s="3161" customFormat="1" ht="12.75"/>
    <row r="63379" s="3161" customFormat="1" ht="12.75"/>
    <row r="63380" s="3161" customFormat="1" ht="12.75"/>
    <row r="63381" s="3161" customFormat="1" ht="12.75"/>
    <row r="63382" s="3161" customFormat="1" ht="12.75"/>
    <row r="63383" s="3161" customFormat="1" ht="12.75"/>
    <row r="63384" s="3161" customFormat="1" ht="12.75"/>
    <row r="63385" s="3161" customFormat="1" ht="12.75"/>
    <row r="63386" s="3161" customFormat="1" ht="12.75"/>
    <row r="63387" s="3161" customFormat="1" ht="12.75"/>
    <row r="63388" s="3161" customFormat="1" ht="12.75"/>
    <row r="63389" s="3161" customFormat="1" ht="12.75"/>
    <row r="63390" s="3161" customFormat="1" ht="12.75"/>
    <row r="63391" s="3161" customFormat="1" ht="12.75"/>
    <row r="63392" s="3161" customFormat="1" ht="12.75"/>
    <row r="63393" s="3161" customFormat="1" ht="12.75"/>
    <row r="63394" s="3161" customFormat="1" ht="12.75"/>
    <row r="63395" s="3161" customFormat="1" ht="12.75"/>
    <row r="63396" s="3161" customFormat="1" ht="12.75"/>
    <row r="63397" s="3161" customFormat="1" ht="12.75"/>
    <row r="63398" s="3161" customFormat="1" ht="12.75"/>
    <row r="63399" s="3161" customFormat="1" ht="12.75"/>
    <row r="63400" s="3161" customFormat="1" ht="12.75"/>
    <row r="63401" s="3161" customFormat="1" ht="12.75"/>
    <row r="63402" s="3161" customFormat="1" ht="12.75"/>
    <row r="63403" s="3161" customFormat="1" ht="12.75"/>
    <row r="63404" s="3161" customFormat="1" ht="12.75"/>
    <row r="63405" s="3161" customFormat="1" ht="12.75"/>
    <row r="63406" s="3161" customFormat="1" ht="12.75"/>
    <row r="63407" s="3161" customFormat="1" ht="12.75"/>
    <row r="63408" s="3161" customFormat="1" ht="12.75"/>
    <row r="63409" s="3161" customFormat="1" ht="12.75"/>
    <row r="63410" s="3161" customFormat="1" ht="12.75"/>
    <row r="63411" s="3161" customFormat="1" ht="12.75"/>
    <row r="63412" s="3161" customFormat="1" ht="12.75"/>
    <row r="63413" s="3161" customFormat="1" ht="12.75"/>
    <row r="63414" s="3161" customFormat="1" ht="12.75"/>
    <row r="63415" s="3161" customFormat="1" ht="12.75"/>
    <row r="63416" s="3161" customFormat="1" ht="12.75"/>
    <row r="63417" s="3161" customFormat="1" ht="12.75"/>
    <row r="63418" s="3161" customFormat="1" ht="12.75"/>
    <row r="63419" s="3161" customFormat="1" ht="12.75"/>
    <row r="63420" s="3161" customFormat="1" ht="12.75"/>
    <row r="63421" s="3161" customFormat="1" ht="12.75"/>
    <row r="63422" s="3161" customFormat="1" ht="12.75"/>
    <row r="63423" s="3161" customFormat="1" ht="12.75"/>
    <row r="63424" s="3161" customFormat="1" ht="12.75"/>
    <row r="63425" s="3161" customFormat="1" ht="12.75"/>
    <row r="63426" s="3161" customFormat="1" ht="12.75"/>
    <row r="63427" s="3161" customFormat="1" ht="12.75"/>
    <row r="63428" s="3161" customFormat="1" ht="12.75"/>
    <row r="63429" s="3161" customFormat="1" ht="12.75"/>
    <row r="63430" s="3161" customFormat="1" ht="12.75"/>
    <row r="63431" s="3161" customFormat="1" ht="12.75"/>
    <row r="63432" s="3161" customFormat="1" ht="12.75"/>
    <row r="63433" s="3161" customFormat="1" ht="12.75"/>
    <row r="63434" s="3161" customFormat="1" ht="12.75"/>
    <row r="63435" s="3161" customFormat="1" ht="12.75"/>
    <row r="63436" s="3161" customFormat="1" ht="12.75"/>
    <row r="63437" s="3161" customFormat="1" ht="12.75"/>
    <row r="63438" s="3161" customFormat="1" ht="12.75"/>
    <row r="63439" s="3161" customFormat="1" ht="12.75"/>
    <row r="63440" s="3161" customFormat="1" ht="12.75"/>
    <row r="63441" s="3161" customFormat="1" ht="12.75"/>
    <row r="63442" s="3161" customFormat="1" ht="12.75"/>
    <row r="63443" s="3161" customFormat="1" ht="12.75"/>
    <row r="63444" s="3161" customFormat="1" ht="12.75"/>
    <row r="63445" s="3161" customFormat="1" ht="12.75"/>
    <row r="63446" s="3161" customFormat="1" ht="12.75"/>
    <row r="63447" s="3161" customFormat="1" ht="12.75"/>
    <row r="63448" s="3161" customFormat="1" ht="12.75"/>
    <row r="63449" s="3161" customFormat="1" ht="12.75"/>
    <row r="63450" s="3161" customFormat="1" ht="12.75"/>
    <row r="63451" s="3161" customFormat="1" ht="12.75"/>
    <row r="63452" s="3161" customFormat="1" ht="12.75"/>
    <row r="63453" s="3161" customFormat="1" ht="12.75"/>
    <row r="63454" s="3161" customFormat="1" ht="12.75"/>
    <row r="63455" s="3161" customFormat="1" ht="12.75"/>
    <row r="63456" s="3161" customFormat="1" ht="12.75"/>
    <row r="63457" s="3161" customFormat="1" ht="12.75"/>
    <row r="63458" s="3161" customFormat="1" ht="12.75"/>
    <row r="63459" s="3161" customFormat="1" ht="12.75"/>
    <row r="63460" s="3161" customFormat="1" ht="12.75"/>
    <row r="63461" s="3161" customFormat="1" ht="12.75"/>
    <row r="63462" s="3161" customFormat="1" ht="12.75"/>
    <row r="63463" s="3161" customFormat="1" ht="12.75"/>
    <row r="63464" s="3161" customFormat="1" ht="12.75"/>
    <row r="63465" s="3161" customFormat="1" ht="12.75"/>
    <row r="63466" s="3161" customFormat="1" ht="12.75"/>
    <row r="63467" s="3161" customFormat="1" ht="12.75"/>
    <row r="63468" s="3161" customFormat="1" ht="12.75"/>
    <row r="63469" s="3161" customFormat="1" ht="12.75"/>
    <row r="63470" s="3161" customFormat="1" ht="12.75"/>
    <row r="63471" s="3161" customFormat="1" ht="12.75"/>
    <row r="63472" s="3161" customFormat="1" ht="12.75"/>
    <row r="63473" s="3161" customFormat="1" ht="12.75"/>
    <row r="63474" s="3161" customFormat="1" ht="12.75"/>
    <row r="63475" s="3161" customFormat="1" ht="12.75"/>
    <row r="63476" s="3161" customFormat="1" ht="12.75"/>
    <row r="63477" s="3161" customFormat="1" ht="12.75"/>
    <row r="63478" s="3161" customFormat="1" ht="12.75"/>
    <row r="63479" s="3161" customFormat="1" ht="12.75"/>
    <row r="63480" s="3161" customFormat="1" ht="12.75"/>
    <row r="63481" s="3161" customFormat="1" ht="12.75"/>
    <row r="63482" s="3161" customFormat="1" ht="12.75"/>
    <row r="63483" s="3161" customFormat="1" ht="12.75"/>
    <row r="63484" s="3161" customFormat="1" ht="12.75"/>
    <row r="63485" s="3161" customFormat="1" ht="12.75"/>
    <row r="63486" s="3161" customFormat="1" ht="12.75"/>
    <row r="63487" s="3161" customFormat="1" ht="12.75"/>
    <row r="63488" s="3161" customFormat="1" ht="12.75"/>
    <row r="63489" s="3161" customFormat="1" ht="12.75"/>
    <row r="63490" s="3161" customFormat="1" ht="12.75"/>
    <row r="63491" s="3161" customFormat="1" ht="12.75"/>
    <row r="63492" s="3161" customFormat="1" ht="12.75"/>
    <row r="63493" s="3161" customFormat="1" ht="12.75"/>
    <row r="63494" s="3161" customFormat="1" ht="12.75"/>
    <row r="63495" s="3161" customFormat="1" ht="12.75"/>
    <row r="63496" s="3161" customFormat="1" ht="12.75"/>
    <row r="63497" s="3161" customFormat="1" ht="12.75"/>
    <row r="63498" s="3161" customFormat="1" ht="12.75"/>
    <row r="63499" s="3161" customFormat="1" ht="12.75"/>
    <row r="63500" s="3161" customFormat="1" ht="12.75"/>
    <row r="63501" s="3161" customFormat="1" ht="12.75"/>
    <row r="63502" s="3161" customFormat="1" ht="12.75"/>
    <row r="63503" s="3161" customFormat="1" ht="12.75"/>
    <row r="63504" s="3161" customFormat="1" ht="12.75"/>
    <row r="63505" s="3161" customFormat="1" ht="12.75"/>
    <row r="63506" s="3161" customFormat="1" ht="12.75"/>
    <row r="63507" s="3161" customFormat="1" ht="12.75"/>
    <row r="63508" s="3161" customFormat="1" ht="12.75"/>
    <row r="63509" s="3161" customFormat="1" ht="12.75"/>
    <row r="63510" s="3161" customFormat="1" ht="12.75"/>
    <row r="63511" s="3161" customFormat="1" ht="12.75"/>
    <row r="63512" s="3161" customFormat="1" ht="12.75"/>
    <row r="63513" s="3161" customFormat="1" ht="12.75"/>
    <row r="63514" s="3161" customFormat="1" ht="12.75"/>
    <row r="63515" s="3161" customFormat="1" ht="12.75"/>
    <row r="63516" s="3161" customFormat="1" ht="12.75"/>
    <row r="63517" s="3161" customFormat="1" ht="12.75"/>
    <row r="63518" s="3161" customFormat="1" ht="12.75"/>
    <row r="63519" s="3161" customFormat="1" ht="12.75"/>
    <row r="63520" s="3161" customFormat="1" ht="12.75"/>
    <row r="63521" s="3161" customFormat="1" ht="12.75"/>
    <row r="63522" s="3161" customFormat="1" ht="12.75"/>
    <row r="63523" s="3161" customFormat="1" ht="12.75"/>
    <row r="63524" s="3161" customFormat="1" ht="12.75"/>
    <row r="63525" s="3161" customFormat="1" ht="12.75"/>
    <row r="63526" s="3161" customFormat="1" ht="12.75"/>
    <row r="63527" s="3161" customFormat="1" ht="12.75"/>
    <row r="63528" s="3161" customFormat="1" ht="12.75"/>
    <row r="63529" s="3161" customFormat="1" ht="12.75"/>
    <row r="63530" s="3161" customFormat="1" ht="12.75"/>
    <row r="63531" s="3161" customFormat="1" ht="12.75"/>
    <row r="63532" s="3161" customFormat="1" ht="12.75"/>
    <row r="63533" s="3161" customFormat="1" ht="12.75"/>
    <row r="63534" s="3161" customFormat="1" ht="12.75"/>
    <row r="63535" s="3161" customFormat="1" ht="12.75"/>
    <row r="63536" s="3161" customFormat="1" ht="12.75"/>
    <row r="63537" s="3161" customFormat="1" ht="12.75"/>
    <row r="63538" s="3161" customFormat="1" ht="12.75"/>
    <row r="63539" s="3161" customFormat="1" ht="12.75"/>
    <row r="63540" s="3161" customFormat="1" ht="12.75"/>
    <row r="63541" s="3161" customFormat="1" ht="12.75"/>
    <row r="63542" s="3161" customFormat="1" ht="12.75"/>
    <row r="63543" s="3161" customFormat="1" ht="12.75"/>
    <row r="63544" s="3161" customFormat="1" ht="12.75"/>
    <row r="63545" s="3161" customFormat="1" ht="12.75"/>
    <row r="63546" s="3161" customFormat="1" ht="12.75"/>
    <row r="63547" s="3161" customFormat="1" ht="12.75"/>
    <row r="63548" s="3161" customFormat="1" ht="12.75"/>
    <row r="63549" s="3161" customFormat="1" ht="12.75"/>
    <row r="63550" s="3161" customFormat="1" ht="12.75"/>
    <row r="63551" s="3161" customFormat="1" ht="12.75"/>
    <row r="63552" s="3161" customFormat="1" ht="12.75"/>
    <row r="63553" s="3161" customFormat="1" ht="12.75"/>
    <row r="63554" s="3161" customFormat="1" ht="12.75"/>
    <row r="63555" s="3161" customFormat="1" ht="12.75"/>
    <row r="63556" s="3161" customFormat="1" ht="12.75"/>
    <row r="63557" s="3161" customFormat="1" ht="12.75"/>
    <row r="63558" s="3161" customFormat="1" ht="12.75"/>
    <row r="63559" s="3161" customFormat="1" ht="12.75"/>
    <row r="63560" s="3161" customFormat="1" ht="12.75"/>
    <row r="63561" s="3161" customFormat="1" ht="12.75"/>
    <row r="63562" s="3161" customFormat="1" ht="12.75"/>
    <row r="63563" s="3161" customFormat="1" ht="12.75"/>
    <row r="63564" s="3161" customFormat="1" ht="12.75"/>
    <row r="63565" s="3161" customFormat="1" ht="12.75"/>
    <row r="63566" s="3161" customFormat="1" ht="12.75"/>
    <row r="63567" s="3161" customFormat="1" ht="12.75"/>
    <row r="63568" s="3161" customFormat="1" ht="12.75"/>
    <row r="63569" s="3161" customFormat="1" ht="12.75"/>
    <row r="63570" s="3161" customFormat="1" ht="12.75"/>
    <row r="63571" s="3161" customFormat="1" ht="12.75"/>
    <row r="63572" s="3161" customFormat="1" ht="12.75"/>
    <row r="63573" s="3161" customFormat="1" ht="12.75"/>
    <row r="63574" s="3161" customFormat="1" ht="12.75"/>
    <row r="63575" s="3161" customFormat="1" ht="12.75"/>
    <row r="63576" s="3161" customFormat="1" ht="12.75"/>
    <row r="63577" s="3161" customFormat="1" ht="12.75"/>
    <row r="63578" s="3161" customFormat="1" ht="12.75"/>
    <row r="63579" s="3161" customFormat="1" ht="12.75"/>
    <row r="63580" s="3161" customFormat="1" ht="12.75"/>
    <row r="63581" s="3161" customFormat="1" ht="12.75"/>
    <row r="63582" s="3161" customFormat="1" ht="12.75"/>
    <row r="63583" s="3161" customFormat="1" ht="12.75"/>
    <row r="63584" s="3161" customFormat="1" ht="12.75"/>
    <row r="63585" s="3161" customFormat="1" ht="12.75"/>
    <row r="63586" s="3161" customFormat="1" ht="12.75"/>
    <row r="63587" s="3161" customFormat="1" ht="12.75"/>
    <row r="63588" s="3161" customFormat="1" ht="12.75"/>
    <row r="63589" s="3161" customFormat="1" ht="12.75"/>
    <row r="63590" s="3161" customFormat="1" ht="12.75"/>
    <row r="63591" s="3161" customFormat="1" ht="12.75"/>
    <row r="63592" s="3161" customFormat="1" ht="12.75"/>
    <row r="63593" s="3161" customFormat="1" ht="12.75"/>
    <row r="63594" s="3161" customFormat="1" ht="12.75"/>
    <row r="63595" s="3161" customFormat="1" ht="12.75"/>
    <row r="63596" s="3161" customFormat="1" ht="12.75"/>
    <row r="63597" s="3161" customFormat="1" ht="12.75"/>
    <row r="63598" s="3161" customFormat="1" ht="12.75"/>
    <row r="63599" s="3161" customFormat="1" ht="12.75"/>
    <row r="63600" s="3161" customFormat="1" ht="12.75"/>
    <row r="63601" s="3161" customFormat="1" ht="12.75"/>
    <row r="63602" s="3161" customFormat="1" ht="12.75"/>
    <row r="63603" s="3161" customFormat="1" ht="12.75"/>
    <row r="63604" s="3161" customFormat="1" ht="12.75"/>
    <row r="63605" s="3161" customFormat="1" ht="12.75"/>
    <row r="63606" s="3161" customFormat="1" ht="12.75"/>
    <row r="63607" s="3161" customFormat="1" ht="12.75"/>
    <row r="63608" s="3161" customFormat="1" ht="12.75"/>
    <row r="63609" s="3161" customFormat="1" ht="12.75"/>
    <row r="63610" s="3161" customFormat="1" ht="12.75"/>
    <row r="63611" s="3161" customFormat="1" ht="12.75"/>
    <row r="63612" s="3161" customFormat="1" ht="12.75"/>
    <row r="63613" s="3161" customFormat="1" ht="12.75"/>
    <row r="63614" s="3161" customFormat="1" ht="12.75"/>
    <row r="63615" s="3161" customFormat="1" ht="12.75"/>
    <row r="63616" s="3161" customFormat="1" ht="12.75"/>
    <row r="63617" s="3161" customFormat="1" ht="12.75"/>
    <row r="63618" s="3161" customFormat="1" ht="12.75"/>
    <row r="63619" s="3161" customFormat="1" ht="12.75"/>
    <row r="63620" s="3161" customFormat="1" ht="12.75"/>
    <row r="63621" s="3161" customFormat="1" ht="12.75"/>
    <row r="63622" s="3161" customFormat="1" ht="12.75"/>
    <row r="63623" s="3161" customFormat="1" ht="12.75"/>
    <row r="63624" s="3161" customFormat="1" ht="12.75"/>
    <row r="63625" s="3161" customFormat="1" ht="12.75"/>
    <row r="63626" s="3161" customFormat="1" ht="12.75"/>
    <row r="63627" s="3161" customFormat="1" ht="12.75"/>
    <row r="63628" s="3161" customFormat="1" ht="12.75"/>
    <row r="63629" s="3161" customFormat="1" ht="12.75"/>
    <row r="63630" s="3161" customFormat="1" ht="12.75"/>
    <row r="63631" s="3161" customFormat="1" ht="12.75"/>
    <row r="63632" s="3161" customFormat="1" ht="12.75"/>
    <row r="63633" s="3161" customFormat="1" ht="12.75"/>
    <row r="63634" s="3161" customFormat="1" ht="12.75"/>
    <row r="63635" s="3161" customFormat="1" ht="12.75"/>
    <row r="63636" s="3161" customFormat="1" ht="12.75"/>
    <row r="63637" s="3161" customFormat="1" ht="12.75"/>
    <row r="63638" s="3161" customFormat="1" ht="12.75"/>
    <row r="63639" s="3161" customFormat="1" ht="12.75"/>
    <row r="63640" s="3161" customFormat="1" ht="12.75"/>
    <row r="63641" s="3161" customFormat="1" ht="12.75"/>
    <row r="63642" s="3161" customFormat="1" ht="12.75"/>
    <row r="63643" s="3161" customFormat="1" ht="12.75"/>
    <row r="63644" s="3161" customFormat="1" ht="12.75"/>
    <row r="63645" s="3161" customFormat="1" ht="12.75"/>
    <row r="63646" s="3161" customFormat="1" ht="12.75"/>
    <row r="63647" s="3161" customFormat="1" ht="12.75"/>
    <row r="63648" s="3161" customFormat="1" ht="12.75"/>
    <row r="63649" s="3161" customFormat="1" ht="12.75"/>
    <row r="63650" s="3161" customFormat="1" ht="12.75"/>
    <row r="63651" s="3161" customFormat="1" ht="12.75"/>
    <row r="63652" s="3161" customFormat="1" ht="12.75"/>
    <row r="63653" s="3161" customFormat="1" ht="12.75"/>
    <row r="63654" s="3161" customFormat="1" ht="12.75"/>
    <row r="63655" s="3161" customFormat="1" ht="12.75"/>
    <row r="63656" s="3161" customFormat="1" ht="12.75"/>
    <row r="63657" s="3161" customFormat="1" ht="12.75"/>
    <row r="63658" s="3161" customFormat="1" ht="12.75"/>
    <row r="63659" s="3161" customFormat="1" ht="12.75"/>
    <row r="63660" s="3161" customFormat="1" ht="12.75"/>
    <row r="63661" s="3161" customFormat="1" ht="12.75"/>
    <row r="63662" s="3161" customFormat="1" ht="12.75"/>
    <row r="63663" s="3161" customFormat="1" ht="12.75"/>
    <row r="63664" s="3161" customFormat="1" ht="12.75"/>
    <row r="63665" s="3161" customFormat="1" ht="12.75"/>
    <row r="63666" s="3161" customFormat="1" ht="12.75"/>
    <row r="63667" s="3161" customFormat="1" ht="12.75"/>
    <row r="63668" s="3161" customFormat="1" ht="12.75"/>
    <row r="63669" s="3161" customFormat="1" ht="12.75"/>
    <row r="63670" s="3161" customFormat="1" ht="12.75"/>
    <row r="63671" s="3161" customFormat="1" ht="12.75"/>
    <row r="63672" s="3161" customFormat="1" ht="12.75"/>
    <row r="63673" s="3161" customFormat="1" ht="12.75"/>
    <row r="63674" s="3161" customFormat="1" ht="12.75"/>
    <row r="63675" s="3161" customFormat="1" ht="12.75"/>
    <row r="63676" s="3161" customFormat="1" ht="12.75"/>
    <row r="63677" s="3161" customFormat="1" ht="12.75"/>
    <row r="63678" s="3161" customFormat="1" ht="12.75"/>
    <row r="63679" s="3161" customFormat="1" ht="12.75"/>
    <row r="63680" s="3161" customFormat="1" ht="12.75"/>
    <row r="63681" s="3161" customFormat="1" ht="12.75"/>
    <row r="63682" s="3161" customFormat="1" ht="12.75"/>
    <row r="63683" s="3161" customFormat="1" ht="12.75"/>
    <row r="63684" s="3161" customFormat="1" ht="12.75"/>
    <row r="63685" s="3161" customFormat="1" ht="12.75"/>
    <row r="63686" s="3161" customFormat="1" ht="12.75"/>
    <row r="63687" s="3161" customFormat="1" ht="12.75"/>
    <row r="63688" s="3161" customFormat="1" ht="12.75"/>
    <row r="63689" s="3161" customFormat="1" ht="12.75"/>
    <row r="63690" s="3161" customFormat="1" ht="12.75"/>
    <row r="63691" s="3161" customFormat="1" ht="12.75"/>
    <row r="63692" s="3161" customFormat="1" ht="12.75"/>
    <row r="63693" s="3161" customFormat="1" ht="12.75"/>
    <row r="63694" s="3161" customFormat="1" ht="12.75"/>
    <row r="63695" s="3161" customFormat="1" ht="12.75"/>
    <row r="63696" s="3161" customFormat="1" ht="12.75"/>
    <row r="63697" s="3161" customFormat="1" ht="12.75"/>
    <row r="63698" s="3161" customFormat="1" ht="12.75"/>
    <row r="63699" s="3161" customFormat="1" ht="12.75"/>
    <row r="63700" s="3161" customFormat="1" ht="12.75"/>
    <row r="63701" s="3161" customFormat="1" ht="12.75"/>
    <row r="63702" s="3161" customFormat="1" ht="12.75"/>
    <row r="63703" s="3161" customFormat="1" ht="12.75"/>
    <row r="63704" s="3161" customFormat="1" ht="12.75"/>
    <row r="63705" s="3161" customFormat="1" ht="12.75"/>
    <row r="63706" s="3161" customFormat="1" ht="12.75"/>
    <row r="63707" s="3161" customFormat="1" ht="12.75"/>
    <row r="63708" s="3161" customFormat="1" ht="12.75"/>
    <row r="63709" s="3161" customFormat="1" ht="12.75"/>
    <row r="63710" s="3161" customFormat="1" ht="12.75"/>
    <row r="63711" s="3161" customFormat="1" ht="12.75"/>
    <row r="63712" s="3161" customFormat="1" ht="12.75"/>
    <row r="63713" s="3161" customFormat="1" ht="12.75"/>
    <row r="63714" s="3161" customFormat="1" ht="12.75"/>
    <row r="63715" s="3161" customFormat="1" ht="12.75"/>
    <row r="63716" s="3161" customFormat="1" ht="12.75"/>
    <row r="63717" s="3161" customFormat="1" ht="12.75"/>
    <row r="63718" s="3161" customFormat="1" ht="12.75"/>
    <row r="63719" s="3161" customFormat="1" ht="12.75"/>
    <row r="63720" s="3161" customFormat="1" ht="12.75"/>
    <row r="63721" s="3161" customFormat="1" ht="12.75"/>
    <row r="63722" s="3161" customFormat="1" ht="12.75"/>
    <row r="63723" s="3161" customFormat="1" ht="12.75"/>
    <row r="63724" s="3161" customFormat="1" ht="12.75"/>
    <row r="63725" s="3161" customFormat="1" ht="12.75"/>
    <row r="63726" s="3161" customFormat="1" ht="12.75"/>
    <row r="63727" s="3161" customFormat="1" ht="12.75"/>
    <row r="63728" s="3161" customFormat="1" ht="12.75"/>
    <row r="63729" s="3161" customFormat="1" ht="12.75"/>
    <row r="63730" s="3161" customFormat="1" ht="12.75"/>
    <row r="63731" s="3161" customFormat="1" ht="12.75"/>
    <row r="63732" s="3161" customFormat="1" ht="12.75"/>
    <row r="63733" s="3161" customFormat="1" ht="12.75"/>
    <row r="63734" s="3161" customFormat="1" ht="12.75"/>
    <row r="63735" s="3161" customFormat="1" ht="12.75"/>
    <row r="63736" s="3161" customFormat="1" ht="12.75"/>
    <row r="63737" s="3161" customFormat="1" ht="12.75"/>
    <row r="63738" s="3161" customFormat="1" ht="12.75"/>
    <row r="63739" s="3161" customFormat="1" ht="12.75"/>
    <row r="63740" s="3161" customFormat="1" ht="12.75"/>
    <row r="63741" s="3161" customFormat="1" ht="12.75"/>
    <row r="63742" s="3161" customFormat="1" ht="12.75"/>
    <row r="63743" s="3161" customFormat="1" ht="12.75"/>
    <row r="63744" s="3161" customFormat="1" ht="12.75"/>
    <row r="63745" s="3161" customFormat="1" ht="12.75"/>
    <row r="63746" s="3161" customFormat="1" ht="12.75"/>
    <row r="63747" s="3161" customFormat="1" ht="12.75"/>
    <row r="63748" s="3161" customFormat="1" ht="12.75"/>
    <row r="63749" s="3161" customFormat="1" ht="12.75"/>
    <row r="63750" s="3161" customFormat="1" ht="12.75"/>
    <row r="63751" s="3161" customFormat="1" ht="12.75"/>
    <row r="63752" s="3161" customFormat="1" ht="12.75"/>
    <row r="63753" s="3161" customFormat="1" ht="12.75"/>
    <row r="63754" s="3161" customFormat="1" ht="12.75"/>
    <row r="63755" s="3161" customFormat="1" ht="12.75"/>
    <row r="63756" s="3161" customFormat="1" ht="12.75"/>
    <row r="63757" s="3161" customFormat="1" ht="12.75"/>
    <row r="63758" s="3161" customFormat="1" ht="12.75"/>
    <row r="63759" s="3161" customFormat="1" ht="12.75"/>
    <row r="63760" s="3161" customFormat="1" ht="12.75"/>
    <row r="63761" s="3161" customFormat="1" ht="12.75"/>
    <row r="63762" s="3161" customFormat="1" ht="12.75"/>
    <row r="63763" s="3161" customFormat="1" ht="12.75"/>
    <row r="63764" s="3161" customFormat="1" ht="12.75"/>
    <row r="63765" s="3161" customFormat="1" ht="12.75"/>
    <row r="63766" s="3161" customFormat="1" ht="12.75"/>
    <row r="63767" s="3161" customFormat="1" ht="12.75"/>
    <row r="63768" s="3161" customFormat="1" ht="12.75"/>
    <row r="63769" s="3161" customFormat="1" ht="12.75"/>
    <row r="63770" s="3161" customFormat="1" ht="12.75"/>
    <row r="63771" s="3161" customFormat="1" ht="12.75"/>
    <row r="63772" s="3161" customFormat="1" ht="12.75"/>
    <row r="63773" s="3161" customFormat="1" ht="12.75"/>
    <row r="63774" s="3161" customFormat="1" ht="12.75"/>
    <row r="63775" s="3161" customFormat="1" ht="12.75"/>
    <row r="63776" s="3161" customFormat="1" ht="12.75"/>
    <row r="63777" s="3161" customFormat="1" ht="12.75"/>
    <row r="63778" s="3161" customFormat="1" ht="12.75"/>
    <row r="63779" s="3161" customFormat="1" ht="12.75"/>
    <row r="63780" s="3161" customFormat="1" ht="12.75"/>
    <row r="63781" s="3161" customFormat="1" ht="12.75"/>
    <row r="63782" s="3161" customFormat="1" ht="12.75"/>
    <row r="63783" s="3161" customFormat="1" ht="12.75"/>
    <row r="63784" s="3161" customFormat="1" ht="12.75"/>
    <row r="63785" s="3161" customFormat="1" ht="12.75"/>
    <row r="63786" s="3161" customFormat="1" ht="12.75"/>
    <row r="63787" s="3161" customFormat="1" ht="12.75"/>
    <row r="63788" s="3161" customFormat="1" ht="12.75"/>
    <row r="63789" s="3161" customFormat="1" ht="12.75"/>
    <row r="63790" s="3161" customFormat="1" ht="12.75"/>
    <row r="63791" s="3161" customFormat="1" ht="12.75"/>
    <row r="63792" s="3161" customFormat="1" ht="12.75"/>
    <row r="63793" s="3161" customFormat="1" ht="12.75"/>
    <row r="63794" s="3161" customFormat="1" ht="12.75"/>
    <row r="63795" s="3161" customFormat="1" ht="12.75"/>
    <row r="63796" s="3161" customFormat="1" ht="12.75"/>
    <row r="63797" s="3161" customFormat="1" ht="12.75"/>
    <row r="63798" s="3161" customFormat="1" ht="12.75"/>
    <row r="63799" s="3161" customFormat="1" ht="12.75"/>
    <row r="63800" s="3161" customFormat="1" ht="12.75"/>
    <row r="63801" s="3161" customFormat="1" ht="12.75"/>
    <row r="63802" s="3161" customFormat="1" ht="12.75"/>
    <row r="63803" s="3161" customFormat="1" ht="12.75"/>
    <row r="63804" s="3161" customFormat="1" ht="12.75"/>
    <row r="63805" s="3161" customFormat="1" ht="12.75"/>
    <row r="63806" s="3161" customFormat="1" ht="12.75"/>
    <row r="63807" s="3161" customFormat="1" ht="12.75"/>
    <row r="63808" s="3161" customFormat="1" ht="12.75"/>
    <row r="63809" s="3161" customFormat="1" ht="12.75"/>
    <row r="63810" s="3161" customFormat="1" ht="12.75"/>
    <row r="63811" s="3161" customFormat="1" ht="12.75"/>
    <row r="63812" s="3161" customFormat="1" ht="12.75"/>
    <row r="63813" s="3161" customFormat="1" ht="12.75"/>
    <row r="63814" s="3161" customFormat="1" ht="12.75"/>
    <row r="63815" s="3161" customFormat="1" ht="12.75"/>
    <row r="63816" s="3161" customFormat="1" ht="12.75"/>
    <row r="63817" s="3161" customFormat="1" ht="12.75"/>
    <row r="63818" s="3161" customFormat="1" ht="12.75"/>
    <row r="63819" s="3161" customFormat="1" ht="12.75"/>
    <row r="63820" s="3161" customFormat="1" ht="12.75"/>
    <row r="63821" s="3161" customFormat="1" ht="12.75"/>
    <row r="63822" s="3161" customFormat="1" ht="12.75"/>
    <row r="63823" s="3161" customFormat="1" ht="12.75"/>
    <row r="63824" s="3161" customFormat="1" ht="12.75"/>
    <row r="63825" s="3161" customFormat="1" ht="12.75"/>
    <row r="63826" s="3161" customFormat="1" ht="12.75"/>
    <row r="63827" s="3161" customFormat="1" ht="12.75"/>
    <row r="63828" s="3161" customFormat="1" ht="12.75"/>
    <row r="63829" s="3161" customFormat="1" ht="12.75"/>
    <row r="63830" s="3161" customFormat="1" ht="12.75"/>
    <row r="63831" s="3161" customFormat="1" ht="12.75"/>
    <row r="63832" s="3161" customFormat="1" ht="12.75"/>
    <row r="63833" s="3161" customFormat="1" ht="12.75"/>
    <row r="63834" s="3161" customFormat="1" ht="12.75"/>
    <row r="63835" s="3161" customFormat="1" ht="12.75"/>
    <row r="63836" s="3161" customFormat="1" ht="12.75"/>
    <row r="63837" s="3161" customFormat="1" ht="12.75"/>
    <row r="63838" s="3161" customFormat="1" ht="12.75"/>
    <row r="63839" s="3161" customFormat="1" ht="12.75"/>
    <row r="63840" s="3161" customFormat="1" ht="12.75"/>
    <row r="63841" s="3161" customFormat="1" ht="12.75"/>
    <row r="63842" s="3161" customFormat="1" ht="12.75"/>
    <row r="63843" s="3161" customFormat="1" ht="12.75"/>
    <row r="63844" s="3161" customFormat="1" ht="12.75"/>
    <row r="63845" s="3161" customFormat="1" ht="12.75"/>
    <row r="63846" s="3161" customFormat="1" ht="12.75"/>
    <row r="63847" s="3161" customFormat="1" ht="12.75"/>
    <row r="63848" s="3161" customFormat="1" ht="12.75"/>
    <row r="63849" s="3161" customFormat="1" ht="12.75"/>
    <row r="63850" s="3161" customFormat="1" ht="12.75"/>
    <row r="63851" s="3161" customFormat="1" ht="12.75"/>
    <row r="63852" s="3161" customFormat="1" ht="12.75"/>
    <row r="63853" s="3161" customFormat="1" ht="12.75"/>
    <row r="63854" s="3161" customFormat="1" ht="12.75"/>
    <row r="63855" s="3161" customFormat="1" ht="12.75"/>
    <row r="63856" s="3161" customFormat="1" ht="12.75"/>
    <row r="63857" s="3161" customFormat="1" ht="12.75"/>
    <row r="63858" s="3161" customFormat="1" ht="12.75"/>
    <row r="63859" s="3161" customFormat="1" ht="12.75"/>
    <row r="63860" s="3161" customFormat="1" ht="12.75"/>
    <row r="63861" s="3161" customFormat="1" ht="12.75"/>
    <row r="63862" s="3161" customFormat="1" ht="12.75"/>
    <row r="63863" s="3161" customFormat="1" ht="12.75"/>
    <row r="63864" s="3161" customFormat="1" ht="12.75"/>
    <row r="63865" s="3161" customFormat="1" ht="12.75"/>
    <row r="63866" s="3161" customFormat="1" ht="12.75"/>
    <row r="63867" s="3161" customFormat="1" ht="12.75"/>
    <row r="63868" s="3161" customFormat="1" ht="12.75"/>
    <row r="63869" s="3161" customFormat="1" ht="12.75"/>
    <row r="63870" s="3161" customFormat="1" ht="12.75"/>
    <row r="63871" s="3161" customFormat="1" ht="12.75"/>
    <row r="63872" s="3161" customFormat="1" ht="12.75"/>
    <row r="63873" s="3161" customFormat="1" ht="12.75"/>
    <row r="63874" s="3161" customFormat="1" ht="12.75"/>
    <row r="63875" s="3161" customFormat="1" ht="12.75"/>
    <row r="63876" s="3161" customFormat="1" ht="12.75"/>
    <row r="63877" s="3161" customFormat="1" ht="12.75"/>
    <row r="63878" s="3161" customFormat="1" ht="12.75"/>
    <row r="63879" s="3161" customFormat="1" ht="12.75"/>
    <row r="63880" s="3161" customFormat="1" ht="12.75"/>
    <row r="63881" s="3161" customFormat="1" ht="12.75"/>
    <row r="63882" s="3161" customFormat="1" ht="12.75"/>
    <row r="63883" s="3161" customFormat="1" ht="12.75"/>
    <row r="63884" s="3161" customFormat="1" ht="12.75"/>
    <row r="63885" s="3161" customFormat="1" ht="12.75"/>
    <row r="63886" s="3161" customFormat="1" ht="12.75"/>
    <row r="63887" s="3161" customFormat="1" ht="12.75"/>
    <row r="63888" s="3161" customFormat="1" ht="12.75"/>
    <row r="63889" s="3161" customFormat="1" ht="12.75"/>
    <row r="63890" s="3161" customFormat="1" ht="12.75"/>
    <row r="63891" s="3161" customFormat="1" ht="12.75"/>
    <row r="63892" s="3161" customFormat="1" ht="12.75"/>
    <row r="63893" s="3161" customFormat="1" ht="12.75"/>
    <row r="63894" s="3161" customFormat="1" ht="12.75"/>
    <row r="63895" s="3161" customFormat="1" ht="12.75"/>
    <row r="63896" s="3161" customFormat="1" ht="12.75"/>
    <row r="63897" s="3161" customFormat="1" ht="12.75"/>
    <row r="63898" s="3161" customFormat="1" ht="12.75"/>
    <row r="63899" s="3161" customFormat="1" ht="12.75"/>
    <row r="63900" s="3161" customFormat="1" ht="12.75"/>
    <row r="63901" s="3161" customFormat="1" ht="12.75"/>
    <row r="63902" s="3161" customFormat="1" ht="12.75"/>
    <row r="63903" s="3161" customFormat="1" ht="12.75"/>
    <row r="63904" s="3161" customFormat="1" ht="12.75"/>
    <row r="63905" s="3161" customFormat="1" ht="12.75"/>
    <row r="63906" s="3161" customFormat="1" ht="12.75"/>
    <row r="63907" s="3161" customFormat="1" ht="12.75"/>
    <row r="63908" s="3161" customFormat="1" ht="12.75"/>
    <row r="63909" s="3161" customFormat="1" ht="12.75"/>
    <row r="63910" s="3161" customFormat="1" ht="12.75"/>
    <row r="63911" s="3161" customFormat="1" ht="12.75"/>
    <row r="63912" s="3161" customFormat="1" ht="12.75"/>
    <row r="63913" s="3161" customFormat="1" ht="12.75"/>
    <row r="63914" s="3161" customFormat="1" ht="12.75"/>
    <row r="63915" s="3161" customFormat="1" ht="12.75"/>
    <row r="63916" s="3161" customFormat="1" ht="12.75"/>
    <row r="63917" s="3161" customFormat="1" ht="12.75"/>
    <row r="63918" s="3161" customFormat="1" ht="12.75"/>
    <row r="63919" s="3161" customFormat="1" ht="12.75"/>
    <row r="63920" s="3161" customFormat="1" ht="12.75"/>
    <row r="63921" s="3161" customFormat="1" ht="12.75"/>
    <row r="63922" s="3161" customFormat="1" ht="12.75"/>
    <row r="63923" s="3161" customFormat="1" ht="12.75"/>
    <row r="63924" s="3161" customFormat="1" ht="12.75"/>
    <row r="63925" s="3161" customFormat="1" ht="12.75"/>
    <row r="63926" s="3161" customFormat="1" ht="12.75"/>
    <row r="63927" s="3161" customFormat="1" ht="12.75"/>
    <row r="63928" s="3161" customFormat="1" ht="12.75"/>
    <row r="63929" s="3161" customFormat="1" ht="12.75"/>
    <row r="63930" s="3161" customFormat="1" ht="12.75"/>
    <row r="63931" s="3161" customFormat="1" ht="12.75"/>
    <row r="63932" s="3161" customFormat="1" ht="12.75"/>
    <row r="63933" s="3161" customFormat="1" ht="12.75"/>
    <row r="63934" s="3161" customFormat="1" ht="12.75"/>
    <row r="63935" s="3161" customFormat="1" ht="12.75"/>
    <row r="63936" s="3161" customFormat="1" ht="12.75"/>
    <row r="63937" s="3161" customFormat="1" ht="12.75"/>
    <row r="63938" s="3161" customFormat="1" ht="12.75"/>
    <row r="63939" s="3161" customFormat="1" ht="12.75"/>
    <row r="63940" s="3161" customFormat="1" ht="12.75"/>
    <row r="63941" s="3161" customFormat="1" ht="12.75"/>
    <row r="63942" s="3161" customFormat="1" ht="12.75"/>
    <row r="63943" s="3161" customFormat="1" ht="12.75"/>
    <row r="63944" s="3161" customFormat="1" ht="12.75"/>
    <row r="63945" s="3161" customFormat="1" ht="12.75"/>
    <row r="63946" s="3161" customFormat="1" ht="12.75"/>
    <row r="63947" s="3161" customFormat="1" ht="12.75"/>
    <row r="63948" s="3161" customFormat="1" ht="12.75"/>
    <row r="63949" s="3161" customFormat="1" ht="12.75"/>
    <row r="63950" s="3161" customFormat="1" ht="12.75"/>
    <row r="63951" s="3161" customFormat="1" ht="12.75"/>
    <row r="63952" s="3161" customFormat="1" ht="12.75"/>
    <row r="63953" s="3161" customFormat="1" ht="12.75"/>
    <row r="63954" s="3161" customFormat="1" ht="12.75"/>
    <row r="63955" s="3161" customFormat="1" ht="12.75"/>
    <row r="63956" s="3161" customFormat="1" ht="12.75"/>
    <row r="63957" s="3161" customFormat="1" ht="12.75"/>
    <row r="63958" s="3161" customFormat="1" ht="12.75"/>
    <row r="63959" s="3161" customFormat="1" ht="12.75"/>
    <row r="63960" s="3161" customFormat="1" ht="12.75"/>
    <row r="63961" s="3161" customFormat="1" ht="12.75"/>
    <row r="63962" s="3161" customFormat="1" ht="12.75"/>
    <row r="63963" s="3161" customFormat="1" ht="12.75"/>
    <row r="63964" s="3161" customFormat="1" ht="12.75"/>
    <row r="63965" s="3161" customFormat="1" ht="12.75"/>
    <row r="63966" s="3161" customFormat="1" ht="12.75"/>
    <row r="63967" s="3161" customFormat="1" ht="12.75"/>
    <row r="63968" s="3161" customFormat="1" ht="12.75"/>
    <row r="63969" s="3161" customFormat="1" ht="12.75"/>
    <row r="63970" s="3161" customFormat="1" ht="12.75"/>
    <row r="63971" s="3161" customFormat="1" ht="12.75"/>
    <row r="63972" s="3161" customFormat="1" ht="12.75"/>
    <row r="63973" s="3161" customFormat="1" ht="12.75"/>
    <row r="63974" s="3161" customFormat="1" ht="12.75"/>
    <row r="63975" s="3161" customFormat="1" ht="12.75"/>
    <row r="63976" s="3161" customFormat="1" ht="12.75"/>
    <row r="63977" s="3161" customFormat="1" ht="12.75"/>
    <row r="63978" s="3161" customFormat="1" ht="12.75"/>
    <row r="63979" s="3161" customFormat="1" ht="12.75"/>
    <row r="63980" s="3161" customFormat="1" ht="12.75"/>
    <row r="63981" s="3161" customFormat="1" ht="12.75"/>
    <row r="63982" s="3161" customFormat="1" ht="12.75"/>
    <row r="63983" s="3161" customFormat="1" ht="12.75"/>
    <row r="63984" s="3161" customFormat="1" ht="12.75"/>
    <row r="63985" s="3161" customFormat="1" ht="12.75"/>
    <row r="63986" s="3161" customFormat="1" ht="12.75"/>
    <row r="63987" s="3161" customFormat="1" ht="12.75"/>
    <row r="63988" s="3161" customFormat="1" ht="12.75"/>
    <row r="63989" s="3161" customFormat="1" ht="12.75"/>
    <row r="63990" s="3161" customFormat="1" ht="12.75"/>
    <row r="63991" s="3161" customFormat="1" ht="12.75"/>
    <row r="63992" s="3161" customFormat="1" ht="12.75"/>
    <row r="63993" s="3161" customFormat="1" ht="12.75"/>
    <row r="63994" s="3161" customFormat="1" ht="12.75"/>
    <row r="63995" s="3161" customFormat="1" ht="12.75"/>
    <row r="63996" s="3161" customFormat="1" ht="12.75"/>
    <row r="63997" s="3161" customFormat="1" ht="12.75"/>
    <row r="63998" s="3161" customFormat="1" ht="12.75"/>
    <row r="63999" s="3161" customFormat="1" ht="12.75"/>
    <row r="64000" s="3161" customFormat="1" ht="12.75"/>
    <row r="64001" s="3161" customFormat="1" ht="12.75"/>
    <row r="64002" s="3161" customFormat="1" ht="12.75"/>
    <row r="64003" s="3161" customFormat="1" ht="12.75"/>
    <row r="64004" s="3161" customFormat="1" ht="12.75"/>
    <row r="64005" s="3161" customFormat="1" ht="12.75"/>
    <row r="64006" s="3161" customFormat="1" ht="12.75"/>
    <row r="64007" s="3161" customFormat="1" ht="12.75"/>
    <row r="64008" s="3161" customFormat="1" ht="12.75"/>
    <row r="64009" s="3161" customFormat="1" ht="12.75"/>
    <row r="64010" s="3161" customFormat="1" ht="12.75"/>
    <row r="64011" s="3161" customFormat="1" ht="12.75"/>
    <row r="64012" s="3161" customFormat="1" ht="12.75"/>
    <row r="64013" s="3161" customFormat="1" ht="12.75"/>
    <row r="64014" s="3161" customFormat="1" ht="12.75"/>
    <row r="64015" s="3161" customFormat="1" ht="12.75"/>
    <row r="64016" s="3161" customFormat="1" ht="12.75"/>
    <row r="64017" s="3161" customFormat="1" ht="12.75"/>
    <row r="64018" s="3161" customFormat="1" ht="12.75"/>
    <row r="64019" s="3161" customFormat="1" ht="12.75"/>
    <row r="64020" s="3161" customFormat="1" ht="12.75"/>
    <row r="64021" s="3161" customFormat="1" ht="12.75"/>
    <row r="64022" s="3161" customFormat="1" ht="12.75"/>
    <row r="64023" s="3161" customFormat="1" ht="12.75"/>
    <row r="64024" s="3161" customFormat="1" ht="12.75"/>
    <row r="64025" s="3161" customFormat="1" ht="12.75"/>
    <row r="64026" s="3161" customFormat="1" ht="12.75"/>
    <row r="64027" s="3161" customFormat="1" ht="12.75"/>
    <row r="64028" s="3161" customFormat="1" ht="12.75"/>
    <row r="64029" s="3161" customFormat="1" ht="12.75"/>
    <row r="64030" s="3161" customFormat="1" ht="12.75"/>
    <row r="64031" s="3161" customFormat="1" ht="12.75"/>
    <row r="64032" s="3161" customFormat="1" ht="12.75"/>
    <row r="64033" s="3161" customFormat="1" ht="12.75"/>
    <row r="64034" s="3161" customFormat="1" ht="12.75"/>
    <row r="64035" s="3161" customFormat="1" ht="12.75"/>
    <row r="64036" s="3161" customFormat="1" ht="12.75"/>
    <row r="64037" s="3161" customFormat="1" ht="12.75"/>
    <row r="64038" s="3161" customFormat="1" ht="12.75"/>
    <row r="64039" s="3161" customFormat="1" ht="12.75"/>
    <row r="64040" s="3161" customFormat="1" ht="12.75"/>
    <row r="64041" s="3161" customFormat="1" ht="12.75"/>
    <row r="64042" s="3161" customFormat="1" ht="12.75"/>
    <row r="64043" s="3161" customFormat="1" ht="12.75"/>
    <row r="64044" s="3161" customFormat="1" ht="12.75"/>
    <row r="64045" s="3161" customFormat="1" ht="12.75"/>
    <row r="64046" s="3161" customFormat="1" ht="12.75"/>
    <row r="64047" s="3161" customFormat="1" ht="12.75"/>
    <row r="64048" s="3161" customFormat="1" ht="12.75"/>
    <row r="64049" s="3161" customFormat="1" ht="12.75"/>
    <row r="64050" s="3161" customFormat="1" ht="12.75"/>
    <row r="64051" s="3161" customFormat="1" ht="12.75"/>
    <row r="64052" s="3161" customFormat="1" ht="12.75"/>
    <row r="64053" s="3161" customFormat="1" ht="12.75"/>
    <row r="64054" s="3161" customFormat="1" ht="12.75"/>
    <row r="64055" s="3161" customFormat="1" ht="12.75"/>
    <row r="64056" s="3161" customFormat="1" ht="12.75"/>
    <row r="64057" s="3161" customFormat="1" ht="12.75"/>
    <row r="64058" s="3161" customFormat="1" ht="12.75"/>
    <row r="64059" s="3161" customFormat="1" ht="12.75"/>
    <row r="64060" s="3161" customFormat="1" ht="12.75"/>
    <row r="64061" s="3161" customFormat="1" ht="12.75"/>
    <row r="64062" s="3161" customFormat="1" ht="12.75"/>
    <row r="64063" s="3161" customFormat="1" ht="12.75"/>
    <row r="64064" s="3161" customFormat="1" ht="12.75"/>
    <row r="64065" s="3161" customFormat="1" ht="12.75"/>
    <row r="64066" s="3161" customFormat="1" ht="12.75"/>
    <row r="64067" s="3161" customFormat="1" ht="12.75"/>
    <row r="64068" s="3161" customFormat="1" ht="12.75"/>
    <row r="64069" s="3161" customFormat="1" ht="12.75"/>
    <row r="64070" s="3161" customFormat="1" ht="12.75"/>
    <row r="64071" s="3161" customFormat="1" ht="12.75"/>
    <row r="64072" s="3161" customFormat="1" ht="12.75"/>
    <row r="64073" s="3161" customFormat="1" ht="12.75"/>
    <row r="64074" s="3161" customFormat="1" ht="12.75"/>
    <row r="64075" s="3161" customFormat="1" ht="12.75"/>
    <row r="64076" s="3161" customFormat="1" ht="12.75"/>
    <row r="64077" s="3161" customFormat="1" ht="12.75"/>
    <row r="64078" s="3161" customFormat="1" ht="12.75"/>
    <row r="64079" s="3161" customFormat="1" ht="12.75"/>
    <row r="64080" s="3161" customFormat="1" ht="12.75"/>
    <row r="64081" s="3161" customFormat="1" ht="12.75"/>
    <row r="64082" s="3161" customFormat="1" ht="12.75"/>
    <row r="64083" s="3161" customFormat="1" ht="12.75"/>
    <row r="64084" s="3161" customFormat="1" ht="12.75"/>
    <row r="64085" s="3161" customFormat="1" ht="12.75"/>
    <row r="64086" s="3161" customFormat="1" ht="12.75"/>
    <row r="64087" s="3161" customFormat="1" ht="12.75"/>
    <row r="64088" s="3161" customFormat="1" ht="12.75"/>
    <row r="64089" s="3161" customFormat="1" ht="12.75"/>
    <row r="64090" s="3161" customFormat="1" ht="12.75"/>
    <row r="64091" s="3161" customFormat="1" ht="12.75"/>
    <row r="64092" s="3161" customFormat="1" ht="12.75"/>
    <row r="64093" s="3161" customFormat="1" ht="12.75"/>
    <row r="64094" s="3161" customFormat="1" ht="12.75"/>
    <row r="64095" s="3161" customFormat="1" ht="12.75"/>
    <row r="64096" s="3161" customFormat="1" ht="12.75"/>
    <row r="64097" s="3161" customFormat="1" ht="12.75"/>
    <row r="64098" s="3161" customFormat="1" ht="12.75"/>
    <row r="64099" s="3161" customFormat="1" ht="12.75"/>
    <row r="64100" s="3161" customFormat="1" ht="12.75"/>
    <row r="64101" s="3161" customFormat="1" ht="12.75"/>
    <row r="64102" s="3161" customFormat="1" ht="12.75"/>
    <row r="64103" s="3161" customFormat="1" ht="12.75"/>
    <row r="64104" s="3161" customFormat="1" ht="12.75"/>
    <row r="64105" s="3161" customFormat="1" ht="12.75"/>
    <row r="64106" s="3161" customFormat="1" ht="12.75"/>
    <row r="64107" s="3161" customFormat="1" ht="12.75"/>
    <row r="64108" s="3161" customFormat="1" ht="12.75"/>
    <row r="64109" s="3161" customFormat="1" ht="12.75"/>
    <row r="64110" s="3161" customFormat="1" ht="12.75"/>
    <row r="64111" s="3161" customFormat="1" ht="12.75"/>
    <row r="64112" s="3161" customFormat="1" ht="12.75"/>
    <row r="64113" s="3161" customFormat="1" ht="12.75"/>
    <row r="64114" s="3161" customFormat="1" ht="12.75"/>
    <row r="64115" s="3161" customFormat="1" ht="12.75"/>
    <row r="64116" s="3161" customFormat="1" ht="12.75"/>
    <row r="64117" s="3161" customFormat="1" ht="12.75"/>
    <row r="64118" s="3161" customFormat="1" ht="12.75"/>
    <row r="64119" s="3161" customFormat="1" ht="12.75"/>
    <row r="64120" s="3161" customFormat="1" ht="12.75"/>
    <row r="64121" s="3161" customFormat="1" ht="12.75"/>
    <row r="64122" s="3161" customFormat="1" ht="12.75"/>
    <row r="64123" s="3161" customFormat="1" ht="12.75"/>
    <row r="64124" s="3161" customFormat="1" ht="12.75"/>
    <row r="64125" s="3161" customFormat="1" ht="12.75"/>
    <row r="64126" s="3161" customFormat="1" ht="12.75"/>
    <row r="64127" s="3161" customFormat="1" ht="12.75"/>
    <row r="64128" s="3161" customFormat="1" ht="12.75"/>
    <row r="64129" s="3161" customFormat="1" ht="12.75"/>
    <row r="64130" s="3161" customFormat="1" ht="12.75"/>
    <row r="64131" s="3161" customFormat="1" ht="12.75"/>
    <row r="64132" s="3161" customFormat="1" ht="12.75"/>
    <row r="64133" s="3161" customFormat="1" ht="12.75"/>
    <row r="64134" s="3161" customFormat="1" ht="12.75"/>
    <row r="64135" s="3161" customFormat="1" ht="12.75"/>
    <row r="64136" s="3161" customFormat="1" ht="12.75"/>
    <row r="64137" s="3161" customFormat="1" ht="12.75"/>
    <row r="64138" s="3161" customFormat="1" ht="12.75"/>
    <row r="64139" s="3161" customFormat="1" ht="12.75"/>
    <row r="64140" s="3161" customFormat="1" ht="12.75"/>
    <row r="64141" s="3161" customFormat="1" ht="12.75"/>
    <row r="64142" s="3161" customFormat="1" ht="12.75"/>
    <row r="64143" s="3161" customFormat="1" ht="12.75"/>
    <row r="64144" s="3161" customFormat="1" ht="12.75"/>
    <row r="64145" s="3161" customFormat="1" ht="12.75"/>
    <row r="64146" s="3161" customFormat="1" ht="12.75"/>
    <row r="64147" s="3161" customFormat="1" ht="12.75"/>
    <row r="64148" s="3161" customFormat="1" ht="12.75"/>
    <row r="64149" s="3161" customFormat="1" ht="12.75"/>
    <row r="64150" s="3161" customFormat="1" ht="12.75"/>
    <row r="64151" s="3161" customFormat="1" ht="12.75"/>
    <row r="64152" s="3161" customFormat="1" ht="12.75"/>
    <row r="64153" s="3161" customFormat="1" ht="12.75"/>
    <row r="64154" s="3161" customFormat="1" ht="12.75"/>
    <row r="64155" s="3161" customFormat="1" ht="12.75"/>
    <row r="64156" s="3161" customFormat="1" ht="12.75"/>
    <row r="64157" s="3161" customFormat="1" ht="12.75"/>
    <row r="64158" s="3161" customFormat="1" ht="12.75"/>
    <row r="64159" s="3161" customFormat="1" ht="12.75"/>
    <row r="64160" s="3161" customFormat="1" ht="12.75"/>
    <row r="64161" s="3161" customFormat="1" ht="12.75"/>
    <row r="64162" s="3161" customFormat="1" ht="12.75"/>
    <row r="64163" s="3161" customFormat="1" ht="12.75"/>
    <row r="64164" s="3161" customFormat="1" ht="12.75"/>
    <row r="64165" s="3161" customFormat="1" ht="12.75"/>
    <row r="64166" s="3161" customFormat="1" ht="12.75"/>
    <row r="64167" s="3161" customFormat="1" ht="12.75"/>
    <row r="64168" s="3161" customFormat="1" ht="12.75"/>
    <row r="64169" s="3161" customFormat="1" ht="12.75"/>
    <row r="64170" s="3161" customFormat="1" ht="12.75"/>
    <row r="64171" s="3161" customFormat="1" ht="12.75"/>
    <row r="64172" s="3161" customFormat="1" ht="12.75"/>
    <row r="64173" s="3161" customFormat="1" ht="12.75"/>
    <row r="64174" s="3161" customFormat="1" ht="12.75"/>
    <row r="64175" s="3161" customFormat="1" ht="12.75"/>
    <row r="64176" s="3161" customFormat="1" ht="12.75"/>
    <row r="64177" s="3161" customFormat="1" ht="12.75"/>
    <row r="64178" s="3161" customFormat="1" ht="12.75"/>
    <row r="64179" s="3161" customFormat="1" ht="12.75"/>
    <row r="64180" s="3161" customFormat="1" ht="12.75"/>
    <row r="64181" s="3161" customFormat="1" ht="12.75"/>
    <row r="64182" s="3161" customFormat="1" ht="12.75"/>
    <row r="64183" s="3161" customFormat="1" ht="12.75"/>
    <row r="64184" s="3161" customFormat="1" ht="12.75"/>
    <row r="64185" s="3161" customFormat="1" ht="12.75"/>
    <row r="64186" s="3161" customFormat="1" ht="12.75"/>
    <row r="64187" s="3161" customFormat="1" ht="12.75"/>
    <row r="64188" s="3161" customFormat="1" ht="12.75"/>
    <row r="64189" s="3161" customFormat="1" ht="12.75"/>
    <row r="64190" s="3161" customFormat="1" ht="12.75"/>
    <row r="64191" s="3161" customFormat="1" ht="12.75"/>
    <row r="64192" s="3161" customFormat="1" ht="12.75"/>
    <row r="64193" s="3161" customFormat="1" ht="12.75"/>
    <row r="64194" s="3161" customFormat="1" ht="12.75"/>
    <row r="64195" s="3161" customFormat="1" ht="12.75"/>
    <row r="64196" s="3161" customFormat="1" ht="12.75"/>
    <row r="64197" s="3161" customFormat="1" ht="12.75"/>
    <row r="64198" s="3161" customFormat="1" ht="12.75"/>
    <row r="64199" s="3161" customFormat="1" ht="12.75"/>
    <row r="64200" s="3161" customFormat="1" ht="12.75"/>
    <row r="64201" s="3161" customFormat="1" ht="12.75"/>
    <row r="64202" s="3161" customFormat="1" ht="12.75"/>
    <row r="64203" s="3161" customFormat="1" ht="12.75"/>
    <row r="64204" s="3161" customFormat="1" ht="12.75"/>
    <row r="64205" s="3161" customFormat="1" ht="12.75"/>
    <row r="64206" s="3161" customFormat="1" ht="12.75"/>
    <row r="64207" s="3161" customFormat="1" ht="12.75"/>
    <row r="64208" s="3161" customFormat="1" ht="12.75"/>
    <row r="64209" s="3161" customFormat="1" ht="12.75"/>
    <row r="64210" s="3161" customFormat="1" ht="12.75"/>
    <row r="64211" s="3161" customFormat="1" ht="12.75"/>
    <row r="64212" s="3161" customFormat="1" ht="12.75"/>
    <row r="64213" s="3161" customFormat="1" ht="12.75"/>
    <row r="64214" s="3161" customFormat="1" ht="12.75"/>
    <row r="64215" s="3161" customFormat="1" ht="12.75"/>
    <row r="64216" s="3161" customFormat="1" ht="12.75"/>
    <row r="64217" s="3161" customFormat="1" ht="12.75"/>
    <row r="64218" s="3161" customFormat="1" ht="12.75"/>
    <row r="64219" s="3161" customFormat="1" ht="12.75"/>
    <row r="64220" s="3161" customFormat="1" ht="12.75"/>
    <row r="64221" s="3161" customFormat="1" ht="12.75"/>
    <row r="64222" s="3161" customFormat="1" ht="12.75"/>
    <row r="64223" s="3161" customFormat="1" ht="12.75"/>
    <row r="64224" s="3161" customFormat="1" ht="12.75"/>
    <row r="64225" s="3161" customFormat="1" ht="12.75"/>
    <row r="64226" s="3161" customFormat="1" ht="12.75"/>
    <row r="64227" s="3161" customFormat="1" ht="12.75"/>
    <row r="64228" s="3161" customFormat="1" ht="12.75"/>
    <row r="64229" s="3161" customFormat="1" ht="12.75"/>
    <row r="64230" s="3161" customFormat="1" ht="12.75"/>
    <row r="64231" s="3161" customFormat="1" ht="12.75"/>
    <row r="64232" s="3161" customFormat="1" ht="12.75"/>
    <row r="64233" s="3161" customFormat="1" ht="12.75"/>
    <row r="64234" s="3161" customFormat="1" ht="12.75"/>
    <row r="64235" s="3161" customFormat="1" ht="12.75"/>
    <row r="64236" s="3161" customFormat="1" ht="12.75"/>
    <row r="64237" s="3161" customFormat="1" ht="12.75"/>
    <row r="64238" s="3161" customFormat="1" ht="12.75"/>
    <row r="64239" s="3161" customFormat="1" ht="12.75"/>
    <row r="64240" s="3161" customFormat="1" ht="12.75"/>
    <row r="64241" s="3161" customFormat="1" ht="12.75"/>
    <row r="64242" s="3161" customFormat="1" ht="12.75"/>
    <row r="64243" s="3161" customFormat="1" ht="12.75"/>
    <row r="64244" s="3161" customFormat="1" ht="12.75"/>
    <row r="64245" s="3161" customFormat="1" ht="12.75"/>
    <row r="64246" s="3161" customFormat="1" ht="12.75"/>
    <row r="64247" s="3161" customFormat="1" ht="12.75"/>
    <row r="64248" s="3161" customFormat="1" ht="12.75"/>
    <row r="64249" s="3161" customFormat="1" ht="12.75"/>
    <row r="64250" s="3161" customFormat="1" ht="12.75"/>
    <row r="64251" s="3161" customFormat="1" ht="12.75"/>
    <row r="64252" s="3161" customFormat="1" ht="12.75"/>
    <row r="64253" s="3161" customFormat="1" ht="12.75"/>
    <row r="64254" s="3161" customFormat="1" ht="12.75"/>
    <row r="64255" s="3161" customFormat="1" ht="12.75"/>
    <row r="64256" s="3161" customFormat="1" ht="12.75"/>
    <row r="64257" s="3161" customFormat="1" ht="12.75"/>
    <row r="64258" s="3161" customFormat="1" ht="12.75"/>
    <row r="64259" s="3161" customFormat="1" ht="12.75"/>
    <row r="64260" s="3161" customFormat="1" ht="12.75"/>
    <row r="64261" s="3161" customFormat="1" ht="12.75"/>
    <row r="64262" s="3161" customFormat="1" ht="12.75"/>
    <row r="64263" s="3161" customFormat="1" ht="12.75"/>
    <row r="64264" s="3161" customFormat="1" ht="12.75"/>
    <row r="64265" s="3161" customFormat="1" ht="12.75"/>
    <row r="64266" s="3161" customFormat="1" ht="12.75"/>
    <row r="64267" s="3161" customFormat="1" ht="12.75"/>
    <row r="64268" s="3161" customFormat="1" ht="12.75"/>
    <row r="64269" s="3161" customFormat="1" ht="12.75"/>
    <row r="64270" s="3161" customFormat="1" ht="12.75"/>
    <row r="64271" s="3161" customFormat="1" ht="12.75"/>
    <row r="64272" s="3161" customFormat="1" ht="12.75"/>
    <row r="64273" s="3161" customFormat="1" ht="12.75"/>
    <row r="64274" s="3161" customFormat="1" ht="12.75"/>
    <row r="64275" s="3161" customFormat="1" ht="12.75"/>
    <row r="64276" s="3161" customFormat="1" ht="12.75"/>
    <row r="64277" s="3161" customFormat="1" ht="12.75"/>
    <row r="64278" s="3161" customFormat="1" ht="12.75"/>
    <row r="64279" s="3161" customFormat="1" ht="12.75"/>
    <row r="64280" s="3161" customFormat="1" ht="12.75"/>
    <row r="64281" s="3161" customFormat="1" ht="12.75"/>
    <row r="64282" s="3161" customFormat="1" ht="12.75"/>
    <row r="64283" s="3161" customFormat="1" ht="12.75"/>
    <row r="64284" s="3161" customFormat="1" ht="12.75"/>
    <row r="64285" s="3161" customFormat="1" ht="12.75"/>
    <row r="64286" s="3161" customFormat="1" ht="12.75"/>
    <row r="64287" s="3161" customFormat="1" ht="12.75"/>
    <row r="64288" s="3161" customFormat="1" ht="12.75"/>
    <row r="64289" s="3161" customFormat="1" ht="12.75"/>
    <row r="64290" s="3161" customFormat="1" ht="12.75"/>
    <row r="64291" s="3161" customFormat="1" ht="12.75"/>
    <row r="64292" s="3161" customFormat="1" ht="12.75"/>
    <row r="64293" s="3161" customFormat="1" ht="12.75"/>
    <row r="64294" s="3161" customFormat="1" ht="12.75"/>
    <row r="64295" s="3161" customFormat="1" ht="12.75"/>
    <row r="64296" s="3161" customFormat="1" ht="12.75"/>
    <row r="64297" s="3161" customFormat="1" ht="12.75"/>
    <row r="64298" s="3161" customFormat="1" ht="12.75"/>
    <row r="64299" s="3161" customFormat="1" ht="12.75"/>
    <row r="64300" s="3161" customFormat="1" ht="12.75"/>
    <row r="64301" s="3161" customFormat="1" ht="12.75"/>
    <row r="64302" s="3161" customFormat="1" ht="12.75"/>
    <row r="64303" s="3161" customFormat="1" ht="12.75"/>
    <row r="64304" s="3161" customFormat="1" ht="12.75"/>
    <row r="64305" s="3161" customFormat="1" ht="12.75"/>
    <row r="64306" s="3161" customFormat="1" ht="12.75"/>
    <row r="64307" s="3161" customFormat="1" ht="12.75"/>
    <row r="64308" s="3161" customFormat="1" ht="12.75"/>
    <row r="64309" s="3161" customFormat="1" ht="12.75"/>
    <row r="64310" s="3161" customFormat="1" ht="12.75"/>
    <row r="64311" s="3161" customFormat="1" ht="12.75"/>
    <row r="64312" s="3161" customFormat="1" ht="12.75"/>
    <row r="64313" s="3161" customFormat="1" ht="12.75"/>
    <row r="64314" s="3161" customFormat="1" ht="12.75"/>
    <row r="64315" s="3161" customFormat="1" ht="12.75"/>
    <row r="64316" s="3161" customFormat="1" ht="12.75"/>
    <row r="64317" s="3161" customFormat="1" ht="12.75"/>
    <row r="64318" s="3161" customFormat="1" ht="12.75"/>
    <row r="64319" s="3161" customFormat="1" ht="12.75"/>
    <row r="64320" s="3161" customFormat="1" ht="12.75"/>
    <row r="64321" s="3161" customFormat="1" ht="12.75"/>
    <row r="64322" s="3161" customFormat="1" ht="12.75"/>
    <row r="64323" s="3161" customFormat="1" ht="12.75"/>
    <row r="64324" s="3161" customFormat="1" ht="12.75"/>
    <row r="64325" s="3161" customFormat="1" ht="12.75"/>
    <row r="64326" s="3161" customFormat="1" ht="12.75"/>
    <row r="64327" s="3161" customFormat="1" ht="12.75"/>
    <row r="64328" s="3161" customFormat="1" ht="12.75"/>
    <row r="64329" s="3161" customFormat="1" ht="12.75"/>
    <row r="64330" s="3161" customFormat="1" ht="12.75"/>
    <row r="64331" s="3161" customFormat="1" ht="12.75"/>
    <row r="64332" s="3161" customFormat="1" ht="12.75"/>
    <row r="64333" s="3161" customFormat="1" ht="12.75"/>
    <row r="64334" s="3161" customFormat="1" ht="12.75"/>
    <row r="64335" s="3161" customFormat="1" ht="12.75"/>
    <row r="64336" s="3161" customFormat="1" ht="12.75"/>
    <row r="64337" s="3161" customFormat="1" ht="12.75"/>
    <row r="64338" s="3161" customFormat="1" ht="12.75"/>
    <row r="64339" s="3161" customFormat="1" ht="12.75"/>
    <row r="64340" s="3161" customFormat="1" ht="12.75"/>
    <row r="64341" s="3161" customFormat="1" ht="12.75"/>
    <row r="64342" s="3161" customFormat="1" ht="12.75"/>
    <row r="64343" s="3161" customFormat="1" ht="12.75"/>
    <row r="64344" s="3161" customFormat="1" ht="12.75"/>
    <row r="64345" s="3161" customFormat="1" ht="12.75"/>
    <row r="64346" s="3161" customFormat="1" ht="12.75"/>
    <row r="64347" s="3161" customFormat="1" ht="12.75"/>
    <row r="64348" s="3161" customFormat="1" ht="12.75"/>
    <row r="64349" s="3161" customFormat="1" ht="12.75"/>
    <row r="64350" s="3161" customFormat="1" ht="12.75"/>
    <row r="64351" s="3161" customFormat="1" ht="12.75"/>
    <row r="64352" s="3161" customFormat="1" ht="12.75"/>
    <row r="64353" s="3161" customFormat="1" ht="12.75"/>
    <row r="64354" s="3161" customFormat="1" ht="12.75"/>
    <row r="64355" s="3161" customFormat="1" ht="12.75"/>
    <row r="64356" s="3161" customFormat="1" ht="12.75"/>
    <row r="64357" s="3161" customFormat="1" ht="12.75"/>
    <row r="64358" s="3161" customFormat="1" ht="12.75"/>
    <row r="64359" s="3161" customFormat="1" ht="12.75"/>
    <row r="64360" s="3161" customFormat="1" ht="12.75"/>
    <row r="64361" s="3161" customFormat="1" ht="12.75"/>
    <row r="64362" s="3161" customFormat="1" ht="12.75"/>
    <row r="64363" s="3161" customFormat="1" ht="12.75"/>
    <row r="64364" s="3161" customFormat="1" ht="12.75"/>
    <row r="64365" s="3161" customFormat="1" ht="12.75"/>
    <row r="64366" s="3161" customFormat="1" ht="12.75"/>
    <row r="64367" s="3161" customFormat="1" ht="12.75"/>
    <row r="64368" s="3161" customFormat="1" ht="12.75"/>
    <row r="64369" s="3161" customFormat="1" ht="12.75"/>
    <row r="64370" s="3161" customFormat="1" ht="12.75"/>
    <row r="64371" s="3161" customFormat="1" ht="12.75"/>
    <row r="64372" s="3161" customFormat="1" ht="12.75"/>
    <row r="64373" s="3161" customFormat="1" ht="12.75"/>
    <row r="64374" s="3161" customFormat="1" ht="12.75"/>
    <row r="64375" s="3161" customFormat="1" ht="12.75"/>
    <row r="64376" s="3161" customFormat="1" ht="12.75"/>
    <row r="64377" s="3161" customFormat="1" ht="12.75"/>
    <row r="64378" s="3161" customFormat="1" ht="12.75"/>
    <row r="64379" s="3161" customFormat="1" ht="12.75"/>
    <row r="64380" s="3161" customFormat="1" ht="12.75"/>
    <row r="64381" s="3161" customFormat="1" ht="12.75"/>
    <row r="64382" s="3161" customFormat="1" ht="12.75"/>
    <row r="64383" s="3161" customFormat="1" ht="12.75"/>
    <row r="64384" s="3161" customFormat="1" ht="12.75"/>
    <row r="64385" s="3161" customFormat="1" ht="12.75"/>
    <row r="64386" s="3161" customFormat="1" ht="12.75"/>
    <row r="64387" s="3161" customFormat="1" ht="12.75"/>
    <row r="64388" s="3161" customFormat="1" ht="12.75"/>
    <row r="64389" s="3161" customFormat="1" ht="12.75"/>
    <row r="64390" s="3161" customFormat="1" ht="12.75"/>
    <row r="64391" s="3161" customFormat="1" ht="12.75"/>
    <row r="64392" s="3161" customFormat="1" ht="12.75"/>
    <row r="64393" s="3161" customFormat="1" ht="12.75"/>
    <row r="64394" s="3161" customFormat="1" ht="12.75"/>
    <row r="64395" s="3161" customFormat="1" ht="12.75"/>
    <row r="64396" s="3161" customFormat="1" ht="12.75"/>
    <row r="64397" s="3161" customFormat="1" ht="12.75"/>
    <row r="64398" s="3161" customFormat="1" ht="12.75"/>
    <row r="64399" s="3161" customFormat="1" ht="12.75"/>
    <row r="64400" s="3161" customFormat="1" ht="12.75"/>
    <row r="64401" s="3161" customFormat="1" ht="12.75"/>
    <row r="64402" s="3161" customFormat="1" ht="12.75"/>
    <row r="64403" s="3161" customFormat="1" ht="12.75"/>
    <row r="64404" s="3161" customFormat="1" ht="12.75"/>
    <row r="64405" s="3161" customFormat="1" ht="12.75"/>
    <row r="64406" s="3161" customFormat="1" ht="12.75"/>
    <row r="64407" s="3161" customFormat="1" ht="12.75"/>
    <row r="64408" s="3161" customFormat="1" ht="12.75"/>
    <row r="64409" s="3161" customFormat="1" ht="12.75"/>
    <row r="64410" s="3161" customFormat="1" ht="12.75"/>
    <row r="64411" s="3161" customFormat="1" ht="12.75"/>
    <row r="64412" s="3161" customFormat="1" ht="12.75"/>
    <row r="64413" s="3161" customFormat="1" ht="12.75"/>
    <row r="64414" s="3161" customFormat="1" ht="12.75"/>
    <row r="64415" s="3161" customFormat="1" ht="12.75"/>
    <row r="64416" s="3161" customFormat="1" ht="12.75"/>
    <row r="64417" s="3161" customFormat="1" ht="12.75"/>
    <row r="64418" s="3161" customFormat="1" ht="12.75"/>
    <row r="64419" s="3161" customFormat="1" ht="12.75"/>
    <row r="64420" s="3161" customFormat="1" ht="12.75"/>
    <row r="64421" s="3161" customFormat="1" ht="12.75"/>
    <row r="64422" s="3161" customFormat="1" ht="12.75"/>
    <row r="64423" s="3161" customFormat="1" ht="12.75"/>
    <row r="64424" s="3161" customFormat="1" ht="12.75"/>
    <row r="64425" s="3161" customFormat="1" ht="12.75"/>
    <row r="64426" s="3161" customFormat="1" ht="12.75"/>
    <row r="64427" s="3161" customFormat="1" ht="12.75"/>
    <row r="64428" s="3161" customFormat="1" ht="12.75"/>
    <row r="64429" s="3161" customFormat="1" ht="12.75"/>
    <row r="64430" s="3161" customFormat="1" ht="12.75"/>
    <row r="64431" s="3161" customFormat="1" ht="12.75"/>
    <row r="64432" s="3161" customFormat="1" ht="12.75"/>
    <row r="64433" s="3161" customFormat="1" ht="12.75"/>
    <row r="64434" s="3161" customFormat="1" ht="12.75"/>
    <row r="64435" s="3161" customFormat="1" ht="12.75"/>
    <row r="64436" s="3161" customFormat="1" ht="12.75"/>
    <row r="64437" s="3161" customFormat="1" ht="12.75"/>
    <row r="64438" s="3161" customFormat="1" ht="12.75"/>
    <row r="64439" s="3161" customFormat="1" ht="12.75"/>
    <row r="64440" s="3161" customFormat="1" ht="12.75"/>
    <row r="64441" s="3161" customFormat="1" ht="12.75"/>
    <row r="64442" s="3161" customFormat="1" ht="12.75"/>
    <row r="64443" s="3161" customFormat="1" ht="12.75"/>
    <row r="64444" s="3161" customFormat="1" ht="12.75"/>
    <row r="64445" s="3161" customFormat="1" ht="12.75"/>
    <row r="64446" s="3161" customFormat="1" ht="12.75"/>
    <row r="64447" s="3161" customFormat="1" ht="12.75"/>
    <row r="64448" s="3161" customFormat="1" ht="12.75"/>
    <row r="64449" s="3161" customFormat="1" ht="12.75"/>
    <row r="64450" s="3161" customFormat="1" ht="12.75"/>
    <row r="64451" s="3161" customFormat="1" ht="12.75"/>
    <row r="64452" s="3161" customFormat="1" ht="12.75"/>
    <row r="64453" s="3161" customFormat="1" ht="12.75"/>
    <row r="64454" s="3161" customFormat="1" ht="12.75"/>
    <row r="64455" s="3161" customFormat="1" ht="12.75"/>
    <row r="64456" s="3161" customFormat="1" ht="12.75"/>
    <row r="64457" s="3161" customFormat="1" ht="12.75"/>
    <row r="64458" s="3161" customFormat="1" ht="12.75"/>
    <row r="64459" s="3161" customFormat="1" ht="12.75"/>
    <row r="64460" s="3161" customFormat="1" ht="12.75"/>
    <row r="64461" s="3161" customFormat="1" ht="12.75"/>
    <row r="64462" s="3161" customFormat="1" ht="12.75"/>
    <row r="64463" s="3161" customFormat="1" ht="12.75"/>
    <row r="64464" s="3161" customFormat="1" ht="12.75"/>
    <row r="64465" s="3161" customFormat="1" ht="12.75"/>
    <row r="64466" s="3161" customFormat="1" ht="12.75"/>
    <row r="64467" s="3161" customFormat="1" ht="12.75"/>
    <row r="64468" s="3161" customFormat="1" ht="12.75"/>
    <row r="64469" s="3161" customFormat="1" ht="12.75"/>
    <row r="64470" s="3161" customFormat="1" ht="12.75"/>
    <row r="64471" s="3161" customFormat="1" ht="12.75"/>
    <row r="64472" s="3161" customFormat="1" ht="12.75"/>
    <row r="64473" s="3161" customFormat="1" ht="12.75"/>
    <row r="64474" s="3161" customFormat="1" ht="12.75"/>
    <row r="64475" s="3161" customFormat="1" ht="12.75"/>
    <row r="64476" s="3161" customFormat="1" ht="12.75"/>
    <row r="64477" s="3161" customFormat="1" ht="12.75"/>
    <row r="64478" s="3161" customFormat="1" ht="12.75"/>
    <row r="64479" s="3161" customFormat="1" ht="12.75"/>
    <row r="64480" s="3161" customFormat="1" ht="12.75"/>
    <row r="64481" s="3161" customFormat="1" ht="12.75"/>
    <row r="64482" s="3161" customFormat="1" ht="12.75"/>
    <row r="64483" s="3161" customFormat="1" ht="12.75"/>
    <row r="64484" s="3161" customFormat="1" ht="12.75"/>
    <row r="64485" s="3161" customFormat="1" ht="12.75"/>
    <row r="64486" s="3161" customFormat="1" ht="12.75"/>
    <row r="64487" s="3161" customFormat="1" ht="12.75"/>
    <row r="64488" s="3161" customFormat="1" ht="12.75"/>
    <row r="64489" s="3161" customFormat="1" ht="12.75"/>
    <row r="64490" s="3161" customFormat="1" ht="12.75"/>
    <row r="64491" s="3161" customFormat="1" ht="12.75"/>
    <row r="64492" s="3161" customFormat="1" ht="12.75"/>
    <row r="64493" s="3161" customFormat="1" ht="12.75"/>
    <row r="64494" s="3161" customFormat="1" ht="12.75"/>
    <row r="64495" s="3161" customFormat="1" ht="12.75"/>
    <row r="64496" s="3161" customFormat="1" ht="12.75"/>
    <row r="64497" s="3161" customFormat="1" ht="12.75"/>
    <row r="64498" s="3161" customFormat="1" ht="12.75"/>
    <row r="64499" s="3161" customFormat="1" ht="12.75"/>
    <row r="64500" s="3161" customFormat="1" ht="12.75"/>
    <row r="64501" s="3161" customFormat="1" ht="12.75"/>
    <row r="64502" s="3161" customFormat="1" ht="12.75"/>
    <row r="64503" s="3161" customFormat="1" ht="12.75"/>
    <row r="64504" s="3161" customFormat="1" ht="12.75"/>
    <row r="64505" s="3161" customFormat="1" ht="12.75"/>
    <row r="64506" s="3161" customFormat="1" ht="12.75"/>
    <row r="64507" s="3161" customFormat="1" ht="12.75"/>
    <row r="64508" s="3161" customFormat="1" ht="12.75"/>
    <row r="64509" s="3161" customFormat="1" ht="12.75"/>
    <row r="64510" s="3161" customFormat="1" ht="12.75"/>
    <row r="64511" s="3161" customFormat="1" ht="12.75"/>
    <row r="64512" s="3161" customFormat="1" ht="12.75"/>
    <row r="64513" s="3161" customFormat="1" ht="12.75"/>
    <row r="64514" s="3161" customFormat="1" ht="12.75"/>
    <row r="64515" s="3161" customFormat="1" ht="12.75"/>
    <row r="64516" s="3161" customFormat="1" ht="12.75"/>
    <row r="64517" s="3161" customFormat="1" ht="12.75"/>
    <row r="64518" s="3161" customFormat="1" ht="12.75"/>
    <row r="64519" s="3161" customFormat="1" ht="12.75"/>
    <row r="64520" s="3161" customFormat="1" ht="12.75"/>
    <row r="64521" s="3161" customFormat="1" ht="12.75"/>
    <row r="64522" s="3161" customFormat="1" ht="12.75"/>
    <row r="64523" s="3161" customFormat="1" ht="12.75"/>
    <row r="64524" s="3161" customFormat="1" ht="12.75"/>
    <row r="64525" s="3161" customFormat="1" ht="12.75"/>
    <row r="64526" s="3161" customFormat="1" ht="12.75"/>
    <row r="64527" s="3161" customFormat="1" ht="12.75"/>
    <row r="64528" s="3161" customFormat="1" ht="12.75"/>
    <row r="64529" s="3161" customFormat="1" ht="12.75"/>
    <row r="64530" s="3161" customFormat="1" ht="12.75"/>
    <row r="64531" s="3161" customFormat="1" ht="12.75"/>
    <row r="64532" s="3161" customFormat="1" ht="12.75"/>
    <row r="64533" s="3161" customFormat="1" ht="12.75"/>
    <row r="64534" s="3161" customFormat="1" ht="12.75"/>
    <row r="64535" s="3161" customFormat="1" ht="12.75"/>
    <row r="64536" s="3161" customFormat="1" ht="12.75"/>
    <row r="64537" s="3161" customFormat="1" ht="12.75"/>
    <row r="64538" s="3161" customFormat="1" ht="12.75"/>
    <row r="64539" s="3161" customFormat="1" ht="12.75"/>
    <row r="64540" s="3161" customFormat="1" ht="12.75"/>
    <row r="64541" s="3161" customFormat="1" ht="12.75"/>
    <row r="64542" s="3161" customFormat="1" ht="12.75"/>
    <row r="64543" s="3161" customFormat="1" ht="12.75"/>
    <row r="64544" s="3161" customFormat="1" ht="12.75"/>
    <row r="64545" s="3161" customFormat="1" ht="12.75"/>
    <row r="64546" s="3161" customFormat="1" ht="12.75"/>
    <row r="64547" s="3161" customFormat="1" ht="12.75"/>
    <row r="64548" s="3161" customFormat="1" ht="12.75"/>
    <row r="64549" s="3161" customFormat="1" ht="12.75"/>
    <row r="64550" s="3161" customFormat="1" ht="12.75"/>
    <row r="64551" s="3161" customFormat="1" ht="12.75"/>
    <row r="64552" s="3161" customFormat="1" ht="12.75"/>
    <row r="64553" s="3161" customFormat="1" ht="12.75"/>
    <row r="64554" s="3161" customFormat="1" ht="12.75"/>
    <row r="64555" s="3161" customFormat="1" ht="12.75"/>
    <row r="64556" s="3161" customFormat="1" ht="12.75"/>
    <row r="64557" s="3161" customFormat="1" ht="12.75"/>
    <row r="64558" s="3161" customFormat="1" ht="12.75"/>
    <row r="64559" s="3161" customFormat="1" ht="12.75"/>
    <row r="64560" s="3161" customFormat="1" ht="12.75"/>
    <row r="64561" s="3161" customFormat="1" ht="12.75"/>
    <row r="64562" s="3161" customFormat="1" ht="12.75"/>
    <row r="64563" s="3161" customFormat="1" ht="12.75"/>
    <row r="64564" s="3161" customFormat="1" ht="12.75"/>
    <row r="64565" s="3161" customFormat="1" ht="12.75"/>
    <row r="64566" s="3161" customFormat="1" ht="12.75"/>
    <row r="64567" s="3161" customFormat="1" ht="12.75"/>
    <row r="64568" s="3161" customFormat="1" ht="12.75"/>
    <row r="64569" s="3161" customFormat="1" ht="12.75"/>
    <row r="64570" s="3161" customFormat="1" ht="12.75"/>
    <row r="64571" s="3161" customFormat="1" ht="12.75"/>
    <row r="64572" s="3161" customFormat="1" ht="12.75"/>
    <row r="64573" s="3161" customFormat="1" ht="12.75"/>
    <row r="64574" s="3161" customFormat="1" ht="12.75"/>
    <row r="64575" s="3161" customFormat="1" ht="12.75"/>
    <row r="64576" s="3161" customFormat="1" ht="12.75"/>
    <row r="64577" s="3161" customFormat="1" ht="12.75"/>
    <row r="64578" s="3161" customFormat="1" ht="12.75"/>
    <row r="64579" s="3161" customFormat="1" ht="12.75"/>
    <row r="64580" s="3161" customFormat="1" ht="12.75"/>
    <row r="64581" s="3161" customFormat="1" ht="12.75"/>
    <row r="64582" s="3161" customFormat="1" ht="12.75"/>
    <row r="64583" s="3161" customFormat="1" ht="12.75"/>
    <row r="64584" s="3161" customFormat="1" ht="12.75"/>
    <row r="64585" s="3161" customFormat="1" ht="12.75"/>
    <row r="64586" s="3161" customFormat="1" ht="12.75"/>
    <row r="64587" s="3161" customFormat="1" ht="12.75"/>
    <row r="64588" s="3161" customFormat="1" ht="12.75"/>
    <row r="64589" s="3161" customFormat="1" ht="12.75"/>
    <row r="64590" s="3161" customFormat="1" ht="12.75"/>
    <row r="64591" s="3161" customFormat="1" ht="12.75"/>
    <row r="64592" s="3161" customFormat="1" ht="12.75"/>
    <row r="64593" s="3161" customFormat="1" ht="12.75"/>
    <row r="64594" s="3161" customFormat="1" ht="12.75"/>
    <row r="64595" s="3161" customFormat="1" ht="12.75"/>
    <row r="64596" s="3161" customFormat="1" ht="12.75"/>
    <row r="64597" s="3161" customFormat="1" ht="12.75"/>
    <row r="64598" s="3161" customFormat="1" ht="12.75"/>
    <row r="64599" s="3161" customFormat="1" ht="12.75"/>
    <row r="64600" s="3161" customFormat="1" ht="12.75"/>
    <row r="64601" s="3161" customFormat="1" ht="12.75"/>
    <row r="64602" s="3161" customFormat="1" ht="12.75"/>
    <row r="64603" s="3161" customFormat="1" ht="12.75"/>
    <row r="64604" s="3161" customFormat="1" ht="12.75"/>
    <row r="64605" s="3161" customFormat="1" ht="12.75"/>
    <row r="64606" s="3161" customFormat="1" ht="12.75"/>
    <row r="64607" s="3161" customFormat="1" ht="12.75"/>
    <row r="64608" s="3161" customFormat="1" ht="12.75"/>
    <row r="64609" s="3161" customFormat="1" ht="12.75"/>
    <row r="64610" s="3161" customFormat="1" ht="12.75"/>
    <row r="64611" s="3161" customFormat="1" ht="12.75"/>
    <row r="64612" s="3161" customFormat="1" ht="12.75"/>
    <row r="64613" s="3161" customFormat="1" ht="12.75"/>
    <row r="64614" s="3161" customFormat="1" ht="12.75"/>
    <row r="64615" s="3161" customFormat="1" ht="12.75"/>
    <row r="64616" s="3161" customFormat="1" ht="12.75"/>
    <row r="64617" s="3161" customFormat="1" ht="12.75"/>
    <row r="64618" s="3161" customFormat="1" ht="12.75"/>
    <row r="64619" s="3161" customFormat="1" ht="12.75"/>
    <row r="64620" s="3161" customFormat="1" ht="12.75"/>
    <row r="64621" s="3161" customFormat="1" ht="12.75"/>
    <row r="64622" s="3161" customFormat="1" ht="12.75"/>
    <row r="64623" s="3161" customFormat="1" ht="12.75"/>
    <row r="64624" s="3161" customFormat="1" ht="12.75"/>
    <row r="64625" s="3161" customFormat="1" ht="12.75"/>
    <row r="64626" s="3161" customFormat="1" ht="12.75"/>
    <row r="64627" s="3161" customFormat="1" ht="12.75"/>
    <row r="64628" s="3161" customFormat="1" ht="12.75"/>
    <row r="64629" s="3161" customFormat="1" ht="12.75"/>
    <row r="64630" s="3161" customFormat="1" ht="12.75"/>
    <row r="64631" s="3161" customFormat="1" ht="12.75"/>
    <row r="64632" s="3161" customFormat="1" ht="12.75"/>
    <row r="64633" s="3161" customFormat="1" ht="12.75"/>
    <row r="64634" s="3161" customFormat="1" ht="12.75"/>
    <row r="64635" s="3161" customFormat="1" ht="12.75"/>
    <row r="64636" s="3161" customFormat="1" ht="12.75"/>
    <row r="64637" s="3161" customFormat="1" ht="12.75"/>
    <row r="64638" s="3161" customFormat="1" ht="12.75"/>
    <row r="64639" s="3161" customFormat="1" ht="12.75"/>
    <row r="64640" s="3161" customFormat="1" ht="12.75"/>
    <row r="64641" s="3161" customFormat="1" ht="12.75"/>
    <row r="64642" s="3161" customFormat="1" ht="12.75"/>
    <row r="64643" s="3161" customFormat="1" ht="12.75"/>
    <row r="64644" s="3161" customFormat="1" ht="12.75"/>
    <row r="64645" s="3161" customFormat="1" ht="12.75"/>
    <row r="64646" s="3161" customFormat="1" ht="12.75"/>
    <row r="64647" s="3161" customFormat="1" ht="12.75"/>
    <row r="64648" s="3161" customFormat="1" ht="12.75"/>
    <row r="64649" s="3161" customFormat="1" ht="12.75"/>
    <row r="64650" s="3161" customFormat="1" ht="12.75"/>
    <row r="64651" s="3161" customFormat="1" ht="12.75"/>
    <row r="64652" s="3161" customFormat="1" ht="12.75"/>
    <row r="64653" s="3161" customFormat="1" ht="12.75"/>
    <row r="64654" s="3161" customFormat="1" ht="12.75"/>
    <row r="64655" s="3161" customFormat="1" ht="12.75"/>
    <row r="64656" s="3161" customFormat="1" ht="12.75"/>
    <row r="64657" s="3161" customFormat="1" ht="12.75"/>
    <row r="64658" s="3161" customFormat="1" ht="12.75"/>
    <row r="64659" s="3161" customFormat="1" ht="12.75"/>
    <row r="64660" s="3161" customFormat="1" ht="12.75"/>
    <row r="64661" s="3161" customFormat="1" ht="12.75"/>
    <row r="64662" s="3161" customFormat="1" ht="12.75"/>
    <row r="64663" s="3161" customFormat="1" ht="12.75"/>
    <row r="64664" s="3161" customFormat="1" ht="12.75"/>
    <row r="64665" s="3161" customFormat="1" ht="12.75"/>
    <row r="64666" s="3161" customFormat="1" ht="12.75"/>
    <row r="64667" s="3161" customFormat="1" ht="12.75"/>
    <row r="64668" s="3161" customFormat="1" ht="12.75"/>
    <row r="64669" s="3161" customFormat="1" ht="12.75"/>
    <row r="64670" s="3161" customFormat="1" ht="12.75"/>
    <row r="64671" s="3161" customFormat="1" ht="12.75"/>
    <row r="64672" s="3161" customFormat="1" ht="12.75"/>
    <row r="64673" s="3161" customFormat="1" ht="12.75"/>
    <row r="64674" s="3161" customFormat="1" ht="12.75"/>
    <row r="64675" s="3161" customFormat="1" ht="12.75"/>
    <row r="64676" s="3161" customFormat="1" ht="12.75"/>
    <row r="64677" s="3161" customFormat="1" ht="12.75"/>
    <row r="64678" s="3161" customFormat="1" ht="12.75"/>
    <row r="64679" s="3161" customFormat="1" ht="12.75"/>
    <row r="64680" s="3161" customFormat="1" ht="12.75"/>
    <row r="64681" s="3161" customFormat="1" ht="12.75"/>
    <row r="64682" s="3161" customFormat="1" ht="12.75"/>
    <row r="64683" s="3161" customFormat="1" ht="12.75"/>
    <row r="64684" s="3161" customFormat="1" ht="12.75"/>
    <row r="64685" s="3161" customFormat="1" ht="12.75"/>
    <row r="64686" s="3161" customFormat="1" ht="12.75"/>
    <row r="64687" s="3161" customFormat="1" ht="12.75"/>
    <row r="64688" s="3161" customFormat="1" ht="12.75"/>
    <row r="64689" s="3161" customFormat="1" ht="12.75"/>
    <row r="64690" s="3161" customFormat="1" ht="12.75"/>
    <row r="64691" s="3161" customFormat="1" ht="12.75"/>
    <row r="64692" s="3161" customFormat="1" ht="12.75"/>
    <row r="64693" s="3161" customFormat="1" ht="12.75"/>
    <row r="64694" s="3161" customFormat="1" ht="12.75"/>
    <row r="64695" s="3161" customFormat="1" ht="12.75"/>
    <row r="64696" s="3161" customFormat="1" ht="12.75"/>
    <row r="64697" s="3161" customFormat="1" ht="12.75"/>
    <row r="64698" s="3161" customFormat="1" ht="12.75"/>
    <row r="64699" s="3161" customFormat="1" ht="12.75"/>
    <row r="64700" s="3161" customFormat="1" ht="12.75"/>
    <row r="64701" s="3161" customFormat="1" ht="12.75"/>
    <row r="64702" s="3161" customFormat="1" ht="12.75"/>
    <row r="64703" s="3161" customFormat="1" ht="12.75"/>
    <row r="64704" s="3161" customFormat="1" ht="12.75"/>
    <row r="64705" s="3161" customFormat="1" ht="12.75"/>
    <row r="64706" s="3161" customFormat="1" ht="12.75"/>
    <row r="64707" s="3161" customFormat="1" ht="12.75"/>
    <row r="64708" s="3161" customFormat="1" ht="12.75"/>
    <row r="64709" s="3161" customFormat="1" ht="12.75"/>
    <row r="64710" s="3161" customFormat="1" ht="12.75"/>
    <row r="64711" s="3161" customFormat="1" ht="12.75"/>
    <row r="64712" s="3161" customFormat="1" ht="12.75"/>
    <row r="64713" s="3161" customFormat="1" ht="12.75"/>
    <row r="64714" s="3161" customFormat="1" ht="12.75"/>
    <row r="64715" s="3161" customFormat="1" ht="12.75"/>
    <row r="64716" s="3161" customFormat="1" ht="12.75"/>
    <row r="64717" s="3161" customFormat="1" ht="12.75"/>
    <row r="64718" s="3161" customFormat="1" ht="12.75"/>
    <row r="64719" s="3161" customFormat="1" ht="12.75"/>
    <row r="64720" s="3161" customFormat="1" ht="12.75"/>
    <row r="64721" s="3161" customFormat="1" ht="12.75"/>
    <row r="64722" s="3161" customFormat="1" ht="12.75"/>
    <row r="64723" s="3161" customFormat="1" ht="12.75"/>
    <row r="64724" s="3161" customFormat="1" ht="12.75"/>
    <row r="64725" s="3161" customFormat="1" ht="12.75"/>
    <row r="64726" s="3161" customFormat="1" ht="12.75"/>
    <row r="64727" s="3161" customFormat="1" ht="12.75"/>
    <row r="64728" s="3161" customFormat="1" ht="12.75"/>
    <row r="64729" s="3161" customFormat="1" ht="12.75"/>
    <row r="64730" s="3161" customFormat="1" ht="12.75"/>
    <row r="64731" s="3161" customFormat="1" ht="12.75"/>
    <row r="64732" s="3161" customFormat="1" ht="12.75"/>
    <row r="64733" s="3161" customFormat="1" ht="12.75"/>
    <row r="64734" s="3161" customFormat="1" ht="12.75"/>
    <row r="64735" s="3161" customFormat="1" ht="12.75"/>
    <row r="64736" s="3161" customFormat="1" ht="12.75"/>
    <row r="64737" s="3161" customFormat="1" ht="12.75"/>
    <row r="64738" s="3161" customFormat="1" ht="12.75"/>
    <row r="64739" s="3161" customFormat="1" ht="12.75"/>
    <row r="64740" s="3161" customFormat="1" ht="12.75"/>
    <row r="64741" s="3161" customFormat="1" ht="12.75"/>
    <row r="64742" s="3161" customFormat="1" ht="12.75"/>
    <row r="64743" s="3161" customFormat="1" ht="12.75"/>
    <row r="64744" s="3161" customFormat="1" ht="12.75"/>
    <row r="64745" s="3161" customFormat="1" ht="12.75"/>
    <row r="64746" s="3161" customFormat="1" ht="12.75"/>
    <row r="64747" s="3161" customFormat="1" ht="12.75"/>
    <row r="64748" s="3161" customFormat="1" ht="12.75"/>
    <row r="64749" s="3161" customFormat="1" ht="12.75"/>
    <row r="64750" s="3161" customFormat="1" ht="12.75"/>
    <row r="64751" s="3161" customFormat="1" ht="12.75"/>
    <row r="64752" s="3161" customFormat="1" ht="12.75"/>
    <row r="64753" s="3161" customFormat="1" ht="12.75"/>
    <row r="64754" s="3161" customFormat="1" ht="12.75"/>
    <row r="64755" s="3161" customFormat="1" ht="12.75"/>
    <row r="64756" s="3161" customFormat="1" ht="12.75"/>
    <row r="64757" s="3161" customFormat="1" ht="12.75"/>
    <row r="64758" s="3161" customFormat="1" ht="12.75"/>
    <row r="64759" s="3161" customFormat="1" ht="12.75"/>
    <row r="64760" s="3161" customFormat="1" ht="12.75"/>
    <row r="64761" s="3161" customFormat="1" ht="12.75"/>
    <row r="64762" s="3161" customFormat="1" ht="12.75"/>
    <row r="64763" s="3161" customFormat="1" ht="12.75"/>
    <row r="64764" s="3161" customFormat="1" ht="12.75"/>
    <row r="64765" s="3161" customFormat="1" ht="12.75"/>
    <row r="64766" s="3161" customFormat="1" ht="12.75"/>
    <row r="64767" s="3161" customFormat="1" ht="12.75"/>
    <row r="64768" s="3161" customFormat="1" ht="12.75"/>
    <row r="64769" s="3161" customFormat="1" ht="12.75"/>
    <row r="64770" s="3161" customFormat="1" ht="12.75"/>
    <row r="64771" s="3161" customFormat="1" ht="12.75"/>
    <row r="64772" s="3161" customFormat="1" ht="12.75"/>
    <row r="64773" s="3161" customFormat="1" ht="12.75"/>
    <row r="64774" s="3161" customFormat="1" ht="12.75"/>
    <row r="64775" s="3161" customFormat="1" ht="12.75"/>
    <row r="64776" s="3161" customFormat="1" ht="12.75"/>
    <row r="64777" s="3161" customFormat="1" ht="12.75"/>
    <row r="64778" s="3161" customFormat="1" ht="12.75"/>
    <row r="64779" s="3161" customFormat="1" ht="12.75"/>
    <row r="64780" s="3161" customFormat="1" ht="12.75"/>
    <row r="64781" s="3161" customFormat="1" ht="12.75"/>
    <row r="64782" s="3161" customFormat="1" ht="12.75"/>
    <row r="64783" s="3161" customFormat="1" ht="12.75"/>
    <row r="64784" s="3161" customFormat="1" ht="12.75"/>
    <row r="64785" s="3161" customFormat="1" ht="12.75"/>
    <row r="64786" s="3161" customFormat="1" ht="12.75"/>
    <row r="64787" s="3161" customFormat="1" ht="12.75"/>
    <row r="64788" s="3161" customFormat="1" ht="12.75"/>
    <row r="64789" s="3161" customFormat="1" ht="12.75"/>
    <row r="64790" s="3161" customFormat="1" ht="12.75"/>
    <row r="64791" s="3161" customFormat="1" ht="12.75"/>
    <row r="64792" s="3161" customFormat="1" ht="12.75"/>
    <row r="64793" s="3161" customFormat="1" ht="12.75"/>
    <row r="64794" s="3161" customFormat="1" ht="12.75"/>
    <row r="64795" s="3161" customFormat="1" ht="12.75"/>
    <row r="64796" s="3161" customFormat="1" ht="12.75"/>
    <row r="64797" s="3161" customFormat="1" ht="12.75"/>
    <row r="64798" s="3161" customFormat="1" ht="12.75"/>
    <row r="64799" s="3161" customFormat="1" ht="12.75"/>
    <row r="64800" s="3161" customFormat="1" ht="12.75"/>
    <row r="64801" s="3161" customFormat="1" ht="12.75"/>
    <row r="64802" s="3161" customFormat="1" ht="12.75"/>
    <row r="64803" s="3161" customFormat="1" ht="12.75"/>
    <row r="64804" s="3161" customFormat="1" ht="12.75"/>
    <row r="64805" s="3161" customFormat="1" ht="12.75"/>
    <row r="64806" s="3161" customFormat="1" ht="12.75"/>
    <row r="64807" s="3161" customFormat="1" ht="12.75"/>
    <row r="64808" s="3161" customFormat="1" ht="12.75"/>
    <row r="64809" s="3161" customFormat="1" ht="12.75"/>
    <row r="64810" s="3161" customFormat="1" ht="12.75"/>
    <row r="64811" s="3161" customFormat="1" ht="12.75"/>
    <row r="64812" s="3161" customFormat="1" ht="12.75"/>
    <row r="64813" s="3161" customFormat="1" ht="12.75"/>
    <row r="64814" s="3161" customFormat="1" ht="12.75"/>
    <row r="64815" s="3161" customFormat="1" ht="12.75"/>
    <row r="64816" s="3161" customFormat="1" ht="12.75"/>
    <row r="64817" s="3161" customFormat="1" ht="12.75"/>
    <row r="64818" s="3161" customFormat="1" ht="12.75"/>
    <row r="64819" s="3161" customFormat="1" ht="12.75"/>
    <row r="64820" s="3161" customFormat="1" ht="12.75"/>
    <row r="64821" s="3161" customFormat="1" ht="12.75"/>
    <row r="64822" s="3161" customFormat="1" ht="12.75"/>
    <row r="64823" s="3161" customFormat="1" ht="12.75"/>
    <row r="64824" s="3161" customFormat="1" ht="12.75"/>
    <row r="64825" s="3161" customFormat="1" ht="12.75"/>
    <row r="64826" s="3161" customFormat="1" ht="12.75"/>
    <row r="64827" s="3161" customFormat="1" ht="12.75"/>
    <row r="64828" s="3161" customFormat="1" ht="12.75"/>
    <row r="64829" s="3161" customFormat="1" ht="12.75"/>
    <row r="64830" s="3161" customFormat="1" ht="12.75"/>
    <row r="64831" s="3161" customFormat="1" ht="12.75"/>
    <row r="64832" s="3161" customFormat="1" ht="12.75"/>
    <row r="64833" s="3161" customFormat="1" ht="12.75"/>
    <row r="64834" s="3161" customFormat="1" ht="12.75"/>
    <row r="64835" s="3161" customFormat="1" ht="12.75"/>
    <row r="64836" s="3161" customFormat="1" ht="12.75"/>
    <row r="64837" s="3161" customFormat="1" ht="12.75"/>
    <row r="64838" s="3161" customFormat="1" ht="12.75"/>
    <row r="64839" s="3161" customFormat="1" ht="12.75"/>
    <row r="64840" s="3161" customFormat="1" ht="12.75"/>
    <row r="64841" s="3161" customFormat="1" ht="12.75"/>
    <row r="64842" s="3161" customFormat="1" ht="12.75"/>
    <row r="64843" s="3161" customFormat="1" ht="12.75"/>
    <row r="64844" s="3161" customFormat="1" ht="12.75"/>
    <row r="64845" s="3161" customFormat="1" ht="12.75"/>
    <row r="64846" s="3161" customFormat="1" ht="12.75"/>
    <row r="64847" s="3161" customFormat="1" ht="12.75"/>
    <row r="64848" s="3161" customFormat="1" ht="12.75"/>
    <row r="64849" s="3161" customFormat="1" ht="12.75"/>
    <row r="64850" s="3161" customFormat="1" ht="12.75"/>
    <row r="64851" s="3161" customFormat="1" ht="12.75"/>
    <row r="64852" s="3161" customFormat="1" ht="12.75"/>
    <row r="64853" s="3161" customFormat="1" ht="12.75"/>
    <row r="64854" s="3161" customFormat="1" ht="12.75"/>
    <row r="64855" s="3161" customFormat="1" ht="12.75"/>
    <row r="64856" s="3161" customFormat="1" ht="12.75"/>
    <row r="64857" s="3161" customFormat="1" ht="12.75"/>
    <row r="64858" s="3161" customFormat="1" ht="12.75"/>
    <row r="64859" s="3161" customFormat="1" ht="12.75"/>
    <row r="64860" s="3161" customFormat="1" ht="12.75"/>
    <row r="64861" s="3161" customFormat="1" ht="12.75"/>
    <row r="64862" s="3161" customFormat="1" ht="12.75"/>
    <row r="64863" s="3161" customFormat="1" ht="12.75"/>
    <row r="64864" s="3161" customFormat="1" ht="12.75"/>
    <row r="64865" s="3161" customFormat="1" ht="12.75"/>
    <row r="64866" s="3161" customFormat="1" ht="12.75"/>
    <row r="64867" s="3161" customFormat="1" ht="12.75"/>
    <row r="64868" s="3161" customFormat="1" ht="12.75"/>
    <row r="64869" s="3161" customFormat="1" ht="12.75"/>
    <row r="64870" s="3161" customFormat="1" ht="12.75"/>
    <row r="64871" s="3161" customFormat="1" ht="12.75"/>
    <row r="64872" s="3161" customFormat="1" ht="12.75"/>
    <row r="64873" s="3161" customFormat="1" ht="12.75"/>
    <row r="64874" s="3161" customFormat="1" ht="12.75"/>
    <row r="64875" s="3161" customFormat="1" ht="12.75"/>
    <row r="64876" s="3161" customFormat="1" ht="12.75"/>
    <row r="64877" s="3161" customFormat="1" ht="12.75"/>
    <row r="64878" s="3161" customFormat="1" ht="12.75"/>
    <row r="64879" s="3161" customFormat="1" ht="12.75"/>
    <row r="64880" s="3161" customFormat="1" ht="12.75"/>
    <row r="64881" s="3161" customFormat="1" ht="12.75"/>
    <row r="64882" s="3161" customFormat="1" ht="12.75"/>
    <row r="64883" s="3161" customFormat="1" ht="12.75"/>
    <row r="64884" s="3161" customFormat="1" ht="12.75"/>
    <row r="64885" s="3161" customFormat="1" ht="12.75"/>
    <row r="64886" s="3161" customFormat="1" ht="12.75"/>
    <row r="64887" s="3161" customFormat="1" ht="12.75"/>
    <row r="64888" s="3161" customFormat="1" ht="12.75"/>
    <row r="64889" s="3161" customFormat="1" ht="12.75"/>
    <row r="64890" s="3161" customFormat="1" ht="12.75"/>
    <row r="64891" s="3161" customFormat="1" ht="12.75"/>
    <row r="64892" s="3161" customFormat="1" ht="12.75"/>
    <row r="64893" s="3161" customFormat="1" ht="12.75"/>
    <row r="64894" s="3161" customFormat="1" ht="12.75"/>
    <row r="64895" s="3161" customFormat="1" ht="12.75"/>
    <row r="64896" s="3161" customFormat="1" ht="12.75"/>
    <row r="64897" s="3161" customFormat="1" ht="12.75"/>
    <row r="64898" s="3161" customFormat="1" ht="12.75"/>
    <row r="64899" s="3161" customFormat="1" ht="12.75"/>
    <row r="64900" s="3161" customFormat="1" ht="12.75"/>
    <row r="64901" s="3161" customFormat="1" ht="12.75"/>
    <row r="64902" s="3161" customFormat="1" ht="12.75"/>
    <row r="64903" s="3161" customFormat="1" ht="12.75"/>
    <row r="64904" s="3161" customFormat="1" ht="12.75"/>
    <row r="64905" s="3161" customFormat="1" ht="12.75"/>
    <row r="64906" s="3161" customFormat="1" ht="12.75"/>
    <row r="64907" s="3161" customFormat="1" ht="12.75"/>
    <row r="64908" s="3161" customFormat="1" ht="12.75"/>
    <row r="64909" s="3161" customFormat="1" ht="12.75"/>
    <row r="64910" s="3161" customFormat="1" ht="12.75"/>
    <row r="64911" s="3161" customFormat="1" ht="12.75"/>
    <row r="64912" s="3161" customFormat="1" ht="12.75"/>
    <row r="64913" s="3161" customFormat="1" ht="12.75"/>
    <row r="64914" s="3161" customFormat="1" ht="12.75"/>
    <row r="64915" s="3161" customFormat="1" ht="12.75"/>
    <row r="64916" s="3161" customFormat="1" ht="12.75"/>
    <row r="64917" s="3161" customFormat="1" ht="12.75"/>
    <row r="64918" s="3161" customFormat="1" ht="12.75"/>
    <row r="64919" s="3161" customFormat="1" ht="12.75"/>
    <row r="64920" s="3161" customFormat="1" ht="12.75"/>
    <row r="64921" s="3161" customFormat="1" ht="12.75"/>
    <row r="64922" s="3161" customFormat="1" ht="12.75"/>
    <row r="64923" s="3161" customFormat="1" ht="12.75"/>
    <row r="64924" s="3161" customFormat="1" ht="12.75"/>
    <row r="64925" s="3161" customFormat="1" ht="12.75"/>
    <row r="64926" s="3161" customFormat="1" ht="12.75"/>
    <row r="64927" s="3161" customFormat="1" ht="12.75"/>
    <row r="64928" s="3161" customFormat="1" ht="12.75"/>
    <row r="64929" s="3161" customFormat="1" ht="12.75"/>
    <row r="64930" s="3161" customFormat="1" ht="12.75"/>
    <row r="64931" s="3161" customFormat="1" ht="12.75"/>
    <row r="64932" s="3161" customFormat="1" ht="12.75"/>
    <row r="64933" s="3161" customFormat="1" ht="12.75"/>
    <row r="64934" s="3161" customFormat="1" ht="12.75"/>
    <row r="64935" s="3161" customFormat="1" ht="12.75"/>
    <row r="64936" s="3161" customFormat="1" ht="12.75"/>
    <row r="64937" s="3161" customFormat="1" ht="12.75"/>
    <row r="64938" s="3161" customFormat="1" ht="12.75"/>
    <row r="64939" s="3161" customFormat="1" ht="12.75"/>
    <row r="64940" s="3161" customFormat="1" ht="12.75"/>
    <row r="64941" s="3161" customFormat="1" ht="12.75"/>
    <row r="64942" s="3161" customFormat="1" ht="12.75"/>
    <row r="64943" s="3161" customFormat="1" ht="12.75"/>
    <row r="64944" s="3161" customFormat="1" ht="12.75"/>
    <row r="64945" s="3161" customFormat="1" ht="12.75"/>
    <row r="64946" s="3161" customFormat="1" ht="12.75"/>
    <row r="64947" s="3161" customFormat="1" ht="12.75"/>
    <row r="64948" s="3161" customFormat="1" ht="12.75"/>
    <row r="64949" s="3161" customFormat="1" ht="12.75"/>
    <row r="64950" s="3161" customFormat="1" ht="12.75"/>
    <row r="64951" s="3161" customFormat="1" ht="12.75"/>
    <row r="64952" s="3161" customFormat="1" ht="12.75"/>
    <row r="64953" s="3161" customFormat="1" ht="12.75"/>
    <row r="64954" s="3161" customFormat="1" ht="12.75"/>
    <row r="64955" s="3161" customFormat="1" ht="12.75"/>
    <row r="64956" s="3161" customFormat="1" ht="12.75"/>
    <row r="64957" s="3161" customFormat="1" ht="12.75"/>
    <row r="64958" s="3161" customFormat="1" ht="12.75"/>
    <row r="64959" s="3161" customFormat="1" ht="12.75"/>
    <row r="64960" s="3161" customFormat="1" ht="12.75"/>
    <row r="64961" s="3161" customFormat="1" ht="12.75"/>
    <row r="64962" s="3161" customFormat="1" ht="12.75"/>
    <row r="64963" s="3161" customFormat="1" ht="12.75"/>
    <row r="64964" s="3161" customFormat="1" ht="12.75"/>
    <row r="64965" s="3161" customFormat="1" ht="12.75"/>
    <row r="64966" s="3161" customFormat="1" ht="12.75"/>
    <row r="64967" s="3161" customFormat="1" ht="12.75"/>
    <row r="64968" s="3161" customFormat="1" ht="12.75"/>
    <row r="64969" s="3161" customFormat="1" ht="12.75"/>
    <row r="64970" s="3161" customFormat="1" ht="12.75"/>
    <row r="64971" s="3161" customFormat="1" ht="12.75"/>
    <row r="64972" s="3161" customFormat="1" ht="12.75"/>
    <row r="64973" s="3161" customFormat="1" ht="12.75"/>
    <row r="64974" s="3161" customFormat="1" ht="12.75"/>
    <row r="64975" s="3161" customFormat="1" ht="12.75"/>
    <row r="64976" s="3161" customFormat="1" ht="12.75"/>
    <row r="64977" s="3161" customFormat="1" ht="12.75"/>
    <row r="64978" s="3161" customFormat="1" ht="12.75"/>
    <row r="64979" s="3161" customFormat="1" ht="12.75"/>
    <row r="64980" s="3161" customFormat="1" ht="12.75"/>
    <row r="64981" s="3161" customFormat="1" ht="12.75"/>
    <row r="64982" s="3161" customFormat="1" ht="12.75"/>
    <row r="64983" s="3161" customFormat="1" ht="12.75"/>
    <row r="64984" s="3161" customFormat="1" ht="12.75"/>
    <row r="64985" s="3161" customFormat="1" ht="12.75"/>
    <row r="64986" s="3161" customFormat="1" ht="12.75"/>
    <row r="64987" s="3161" customFormat="1" ht="12.75"/>
    <row r="64988" s="3161" customFormat="1" ht="12.75"/>
    <row r="64989" s="3161" customFormat="1" ht="12.75"/>
    <row r="64990" s="3161" customFormat="1" ht="12.75"/>
    <row r="64991" s="3161" customFormat="1" ht="12.75"/>
    <row r="64992" s="3161" customFormat="1" ht="12.75"/>
    <row r="64993" s="3161" customFormat="1" ht="12.75"/>
    <row r="64994" s="3161" customFormat="1" ht="12.75"/>
    <row r="64995" s="3161" customFormat="1" ht="12.75"/>
    <row r="64996" s="3161" customFormat="1" ht="12.75"/>
    <row r="64997" s="3161" customFormat="1" ht="12.75"/>
    <row r="64998" s="3161" customFormat="1" ht="12.75"/>
    <row r="64999" s="3161" customFormat="1" ht="12.75"/>
    <row r="65000" s="3161" customFormat="1" ht="12.75"/>
    <row r="65001" s="3161" customFormat="1" ht="12.75"/>
    <row r="65002" s="3161" customFormat="1" ht="12.75"/>
    <row r="65003" s="3161" customFormat="1" ht="12.75"/>
    <row r="65004" s="3161" customFormat="1" ht="12.75"/>
    <row r="65005" s="3161" customFormat="1" ht="12.75"/>
    <row r="65006" s="3161" customFormat="1" ht="12.75"/>
    <row r="65007" s="3161" customFormat="1" ht="12.75"/>
    <row r="65008" s="3161" customFormat="1" ht="12.75"/>
    <row r="65009" s="3161" customFormat="1" ht="12.75"/>
    <row r="65010" s="3161" customFormat="1" ht="12.75"/>
    <row r="65011" s="3161" customFormat="1" ht="12.75"/>
    <row r="65012" s="3161" customFormat="1" ht="12.75"/>
    <row r="65013" s="3161" customFormat="1" ht="12.75"/>
    <row r="65014" s="3161" customFormat="1" ht="12.75"/>
    <row r="65015" s="3161" customFormat="1" ht="12.75"/>
    <row r="65016" s="3161" customFormat="1" ht="12.75"/>
    <row r="65017" s="3161" customFormat="1" ht="12.75"/>
    <row r="65018" s="3161" customFormat="1" ht="12.75"/>
    <row r="65019" s="3161" customFormat="1" ht="12.75"/>
    <row r="65020" s="3161" customFormat="1" ht="12.75"/>
    <row r="65021" s="3161" customFormat="1" ht="12.75"/>
    <row r="65022" s="3161" customFormat="1" ht="12.75"/>
    <row r="65023" s="3161" customFormat="1" ht="12.75"/>
    <row r="65024" s="3161" customFormat="1" ht="12.75"/>
    <row r="65025" s="3161" customFormat="1" ht="12.75"/>
    <row r="65026" s="3161" customFormat="1" ht="12.75"/>
    <row r="65027" s="3161" customFormat="1" ht="12.75"/>
    <row r="65028" s="3161" customFormat="1" ht="12.75"/>
    <row r="65029" s="3161" customFormat="1" ht="12.75"/>
    <row r="65030" s="3161" customFormat="1" ht="12.75"/>
    <row r="65031" s="3161" customFormat="1" ht="12.75"/>
    <row r="65032" s="3161" customFormat="1" ht="12.75"/>
    <row r="65033" s="3161" customFormat="1" ht="12.75"/>
    <row r="65034" s="3161" customFormat="1" ht="12.75"/>
    <row r="65035" s="3161" customFormat="1" ht="12.75"/>
    <row r="65036" s="3161" customFormat="1" ht="12.75"/>
    <row r="65037" s="3161" customFormat="1" ht="12.75"/>
    <row r="65038" s="3161" customFormat="1" ht="12.75"/>
    <row r="65039" s="3161" customFormat="1" ht="12.75"/>
    <row r="65040" s="3161" customFormat="1" ht="12.75"/>
    <row r="65041" s="3161" customFormat="1" ht="12.75"/>
    <row r="65042" s="3161" customFormat="1" ht="12.75"/>
    <row r="65043" s="3161" customFormat="1" ht="12.75"/>
    <row r="65044" s="3161" customFormat="1" ht="12.75"/>
    <row r="65045" s="3161" customFormat="1" ht="12.75"/>
    <row r="65046" s="3161" customFormat="1" ht="12.75"/>
    <row r="65047" s="3161" customFormat="1" ht="12.75"/>
    <row r="65048" s="3161" customFormat="1" ht="12.75"/>
    <row r="65049" s="3161" customFormat="1" ht="12.75"/>
    <row r="65050" s="3161" customFormat="1" ht="12.75"/>
    <row r="65051" s="3161" customFormat="1" ht="12.75"/>
    <row r="65052" s="3161" customFormat="1" ht="12.75"/>
    <row r="65053" s="3161" customFormat="1" ht="12.75"/>
    <row r="65054" s="3161" customFormat="1" ht="12.75"/>
    <row r="65055" s="3161" customFormat="1" ht="12.75"/>
    <row r="65056" s="3161" customFormat="1" ht="12.75"/>
    <row r="65057" s="3161" customFormat="1" ht="12.75"/>
    <row r="65058" s="3161" customFormat="1" ht="12.75"/>
    <row r="65059" s="3161" customFormat="1" ht="12.75"/>
    <row r="65060" s="3161" customFormat="1" ht="12.75"/>
    <row r="65061" s="3161" customFormat="1" ht="12.75"/>
    <row r="65062" s="3161" customFormat="1" ht="12.75"/>
    <row r="65063" s="3161" customFormat="1" ht="12.75"/>
    <row r="65064" s="3161" customFormat="1" ht="12.75"/>
    <row r="65065" s="3161" customFormat="1" ht="12.75"/>
    <row r="65066" s="3161" customFormat="1" ht="12.75"/>
    <row r="65067" s="3161" customFormat="1" ht="12.75"/>
    <row r="65068" s="3161" customFormat="1" ht="12.75"/>
    <row r="65069" s="3161" customFormat="1" ht="12.75"/>
    <row r="65070" s="3161" customFormat="1" ht="12.75"/>
    <row r="65071" s="3161" customFormat="1" ht="12.75"/>
    <row r="65072" s="3161" customFormat="1" ht="12.75"/>
    <row r="65073" s="3161" customFormat="1" ht="12.75"/>
    <row r="65074" s="3161" customFormat="1" ht="12.75"/>
    <row r="65075" s="3161" customFormat="1" ht="12.75"/>
    <row r="65076" s="3161" customFormat="1" ht="12.75"/>
    <row r="65077" s="3161" customFormat="1" ht="12.75"/>
    <row r="65078" s="3161" customFormat="1" ht="12.75"/>
    <row r="65079" s="3161" customFormat="1" ht="12.75"/>
    <row r="65080" s="3161" customFormat="1" ht="12.75"/>
    <row r="65081" s="3161" customFormat="1" ht="12.75"/>
    <row r="65082" s="3161" customFormat="1" ht="12.75"/>
    <row r="65083" s="3161" customFormat="1" ht="12.75"/>
    <row r="65084" s="3161" customFormat="1" ht="12.75"/>
    <row r="65085" s="3161" customFormat="1" ht="12.75"/>
    <row r="65086" s="3161" customFormat="1" ht="12.75"/>
    <row r="65087" s="3161" customFormat="1" ht="12.75"/>
    <row r="65088" s="3161" customFormat="1" ht="12.75"/>
    <row r="65089" s="3161" customFormat="1" ht="12.75"/>
    <row r="65090" s="3161" customFormat="1" ht="12.75"/>
    <row r="65091" s="3161" customFormat="1" ht="12.75"/>
    <row r="65092" s="3161" customFormat="1" ht="12.75"/>
    <row r="65093" s="3161" customFormat="1" ht="12.75"/>
    <row r="65094" s="3161" customFormat="1" ht="12.75"/>
    <row r="65095" s="3161" customFormat="1" ht="12.75"/>
    <row r="65096" s="3161" customFormat="1" ht="12.75"/>
    <row r="65097" s="3161" customFormat="1" ht="12.75"/>
    <row r="65098" s="3161" customFormat="1" ht="12.75"/>
    <row r="65099" s="3161" customFormat="1" ht="12.75"/>
    <row r="65100" s="3161" customFormat="1" ht="12.75"/>
    <row r="65101" s="3161" customFormat="1" ht="12.75"/>
    <row r="65102" s="3161" customFormat="1" ht="12.75"/>
    <row r="65103" s="3161" customFormat="1" ht="12.75"/>
    <row r="65104" s="3161" customFormat="1" ht="12.75"/>
    <row r="65105" s="3161" customFormat="1" ht="12.75"/>
    <row r="65106" s="3161" customFormat="1" ht="12.75"/>
    <row r="65107" s="3161" customFormat="1" ht="12.75"/>
    <row r="65108" s="3161" customFormat="1" ht="12.75"/>
    <row r="65109" s="3161" customFormat="1" ht="12.75"/>
    <row r="65110" s="3161" customFormat="1" ht="12.75"/>
    <row r="65111" s="3161" customFormat="1" ht="12.75"/>
    <row r="65112" s="3161" customFormat="1" ht="12.75"/>
    <row r="65113" s="3161" customFormat="1" ht="12.75"/>
    <row r="65114" s="3161" customFormat="1" ht="12.75"/>
    <row r="65115" s="3161" customFormat="1" ht="12.75"/>
    <row r="65116" s="3161" customFormat="1" ht="12.75"/>
    <row r="65117" s="3161" customFormat="1" ht="12.75"/>
    <row r="65118" s="3161" customFormat="1" ht="12.75"/>
    <row r="65119" s="3161" customFormat="1" ht="12.75"/>
    <row r="65120" s="3161" customFormat="1" ht="12.75"/>
    <row r="65121" s="3161" customFormat="1" ht="12.75"/>
    <row r="65122" s="3161" customFormat="1" ht="12.75"/>
    <row r="65123" s="3161" customFormat="1" ht="12.75"/>
    <row r="65124" s="3161" customFormat="1" ht="12.75"/>
    <row r="65125" s="3161" customFormat="1" ht="12.75"/>
    <row r="65126" s="3161" customFormat="1" ht="12.75"/>
    <row r="65127" s="3161" customFormat="1" ht="12.75"/>
    <row r="65128" s="3161" customFormat="1" ht="12.75"/>
    <row r="65129" s="3161" customFormat="1" ht="12.75"/>
    <row r="65130" s="3161" customFormat="1" ht="12.75"/>
    <row r="65131" s="3161" customFormat="1" ht="12.75"/>
    <row r="65132" s="3161" customFormat="1" ht="12.75"/>
    <row r="65133" s="3161" customFormat="1" ht="12.75"/>
    <row r="65134" s="3161" customFormat="1" ht="12.75"/>
    <row r="65135" s="3161" customFormat="1" ht="12.75"/>
    <row r="65136" s="3161" customFormat="1" ht="12.75"/>
    <row r="65137" s="3161" customFormat="1" ht="12.75"/>
    <row r="65138" s="3161" customFormat="1" ht="12.75"/>
    <row r="65139" s="3161" customFormat="1" ht="12.75"/>
    <row r="65140" s="3161" customFormat="1" ht="12.75"/>
    <row r="65141" s="3161" customFormat="1" ht="12.75"/>
    <row r="65142" s="3161" customFormat="1" ht="12.75"/>
    <row r="65143" s="3161" customFormat="1" ht="12.75"/>
    <row r="65144" s="3161" customFormat="1" ht="12.75"/>
    <row r="65145" s="3161" customFormat="1" ht="12.75"/>
    <row r="65146" s="3161" customFormat="1" ht="12.75"/>
    <row r="65147" s="3161" customFormat="1" ht="12.75"/>
    <row r="65148" s="3161" customFormat="1" ht="12.75"/>
    <row r="65149" s="3161" customFormat="1" ht="12.75"/>
    <row r="65150" s="3161" customFormat="1" ht="12.75"/>
    <row r="65151" s="3161" customFormat="1" ht="12.75"/>
    <row r="65152" s="3161" customFormat="1" ht="12.75"/>
    <row r="65153" s="3161" customFormat="1" ht="12.75"/>
    <row r="65154" s="3161" customFormat="1" ht="12.75"/>
    <row r="65155" s="3161" customFormat="1" ht="12.75"/>
    <row r="65156" s="3161" customFormat="1" ht="12.75"/>
    <row r="65157" s="3161" customFormat="1" ht="12.75"/>
    <row r="65158" s="3161" customFormat="1" ht="12.75"/>
    <row r="65159" s="3161" customFormat="1" ht="12.75"/>
    <row r="65160" s="3161" customFormat="1" ht="12.75"/>
    <row r="65161" s="3161" customFormat="1" ht="12.75"/>
    <row r="65162" s="3161" customFormat="1" ht="12.75"/>
    <row r="65163" s="3161" customFormat="1" ht="12.75"/>
    <row r="65164" s="3161" customFormat="1" ht="12.75"/>
    <row r="65165" s="3161" customFormat="1" ht="12.75"/>
    <row r="65166" s="3161" customFormat="1" ht="12.75"/>
    <row r="65167" s="3161" customFormat="1" ht="12.75"/>
    <row r="65168" s="3161" customFormat="1" ht="12.75"/>
    <row r="65169" s="3161" customFormat="1" ht="12.75"/>
    <row r="65170" s="3161" customFormat="1" ht="12.75"/>
    <row r="65171" s="3161" customFormat="1" ht="12.75"/>
    <row r="65172" s="3161" customFormat="1" ht="12.75"/>
    <row r="65173" s="3161" customFormat="1" ht="12.75"/>
    <row r="65174" s="3161" customFormat="1" ht="12.75"/>
    <row r="65175" s="3161" customFormat="1" ht="12.75"/>
    <row r="65176" s="3161" customFormat="1" ht="12.75"/>
    <row r="65177" s="3161" customFormat="1" ht="12.75"/>
    <row r="65178" s="3161" customFormat="1" ht="12.75"/>
    <row r="65179" s="3161" customFormat="1" ht="12.75"/>
    <row r="65180" s="3161" customFormat="1" ht="12.75"/>
    <row r="65181" s="3161" customFormat="1" ht="12.75"/>
    <row r="65182" s="3161" customFormat="1" ht="12.75"/>
    <row r="65183" s="3161" customFormat="1" ht="12.75"/>
    <row r="65184" s="3161" customFormat="1" ht="12.75"/>
    <row r="65185" s="3161" customFormat="1" ht="12.75"/>
    <row r="65186" s="3161" customFormat="1" ht="12.75"/>
    <row r="65187" s="3161" customFormat="1" ht="12.75"/>
    <row r="65188" s="3161" customFormat="1" ht="12.75"/>
    <row r="65189" s="3161" customFormat="1" ht="12.75"/>
    <row r="65190" s="3161" customFormat="1" ht="12.75"/>
    <row r="65191" s="3161" customFormat="1" ht="12.75"/>
    <row r="65192" s="3161" customFormat="1" ht="12.75"/>
    <row r="65193" s="3161" customFormat="1" ht="12.75"/>
    <row r="65194" s="3161" customFormat="1" ht="12.75"/>
    <row r="65195" s="3161" customFormat="1" ht="12.75"/>
    <row r="65196" s="3161" customFormat="1" ht="12.75"/>
    <row r="65197" s="3161" customFormat="1" ht="12.75"/>
    <row r="65198" s="3161" customFormat="1" ht="12.75"/>
    <row r="65199" s="3161" customFormat="1" ht="12.75"/>
    <row r="65200" s="3161" customFormat="1" ht="12.75"/>
    <row r="65201" s="3161" customFormat="1" ht="12.75"/>
    <row r="65202" s="3161" customFormat="1" ht="12.75"/>
    <row r="65203" s="3161" customFormat="1" ht="12.75"/>
    <row r="65204" s="3161" customFormat="1" ht="12.75"/>
    <row r="65205" s="3161" customFormat="1" ht="12.75"/>
    <row r="65206" s="3161" customFormat="1" ht="12.75"/>
    <row r="65207" s="3161" customFormat="1" ht="12.75"/>
    <row r="65208" s="3161" customFormat="1" ht="12.75"/>
    <row r="65209" s="3161" customFormat="1" ht="12.75"/>
    <row r="65210" s="3161" customFormat="1" ht="12.75"/>
    <row r="65211" s="3161" customFormat="1" ht="12.75"/>
    <row r="65212" s="3161" customFormat="1" ht="12.75"/>
    <row r="65213" s="3161" customFormat="1" ht="12.75"/>
    <row r="65214" s="3161" customFormat="1" ht="12.75"/>
    <row r="65215" s="3161" customFormat="1" ht="12.75"/>
    <row r="65216" s="3161" customFormat="1" ht="12.75"/>
    <row r="65217" s="3161" customFormat="1" ht="12.75"/>
    <row r="65218" s="3161" customFormat="1" ht="12.75"/>
    <row r="65219" s="3161" customFormat="1" ht="12.75"/>
    <row r="65220" s="3161" customFormat="1" ht="12.75"/>
    <row r="65221" s="3161" customFormat="1" ht="12.75"/>
    <row r="65222" s="3161" customFormat="1" ht="12.75"/>
    <row r="65223" s="3161" customFormat="1" ht="12.75"/>
    <row r="65224" s="3161" customFormat="1" ht="12.75"/>
    <row r="65225" s="3161" customFormat="1" ht="12.75"/>
    <row r="65226" s="3161" customFormat="1" ht="12.75"/>
    <row r="65227" s="3161" customFormat="1" ht="12.75"/>
    <row r="65228" s="3161" customFormat="1" ht="12.75"/>
    <row r="65229" s="3161" customFormat="1" ht="12.75"/>
    <row r="65230" s="3161" customFormat="1" ht="12.75"/>
    <row r="65231" s="3161" customFormat="1" ht="12.75"/>
    <row r="65232" s="3161" customFormat="1" ht="12.75"/>
    <row r="65233" s="3161" customFormat="1" ht="12.75"/>
    <row r="65234" s="3161" customFormat="1" ht="12.75"/>
    <row r="65235" s="3161" customFormat="1" ht="12.75"/>
    <row r="65236" s="3161" customFormat="1" ht="12.75"/>
    <row r="65237" s="3161" customFormat="1" ht="12.75"/>
    <row r="65238" s="3161" customFormat="1" ht="12.75"/>
    <row r="65239" s="3161" customFormat="1" ht="12.75"/>
    <row r="65240" s="3161" customFormat="1" ht="12.75"/>
    <row r="65241" s="3161" customFormat="1" ht="12.75"/>
    <row r="65242" s="3161" customFormat="1" ht="12.75"/>
    <row r="65243" s="3161" customFormat="1" ht="12.75"/>
    <row r="65244" s="3161" customFormat="1" ht="12.75"/>
    <row r="65245" s="3161" customFormat="1" ht="12.75"/>
    <row r="65246" s="3161" customFormat="1" ht="12.75"/>
    <row r="65247" s="3161" customFormat="1" ht="12.75"/>
    <row r="65248" s="3161" customFormat="1" ht="12.75"/>
    <row r="65249" s="3161" customFormat="1" ht="12.75"/>
    <row r="65250" s="3161" customFormat="1" ht="12.75"/>
    <row r="65251" s="3161" customFormat="1" ht="12.75"/>
    <row r="65252" s="3161" customFormat="1" ht="12.75"/>
    <row r="65253" s="3161" customFormat="1" ht="12.75"/>
    <row r="65254" s="3161" customFormat="1" ht="12.75"/>
    <row r="65255" s="3161" customFormat="1" ht="12.75"/>
    <row r="65256" s="3161" customFormat="1" ht="12.75"/>
    <row r="65257" s="3161" customFormat="1" ht="12.75"/>
    <row r="65258" s="3161" customFormat="1" ht="12.75"/>
    <row r="65259" s="3161" customFormat="1" ht="12.75"/>
    <row r="65260" s="3161" customFormat="1" ht="12.75"/>
    <row r="65261" s="3161" customFormat="1" ht="12.75"/>
    <row r="65262" s="3161" customFormat="1" ht="12.75"/>
    <row r="65263" s="3161" customFormat="1" ht="12.75"/>
    <row r="65264" s="3161" customFormat="1" ht="12.75"/>
    <row r="65265" s="3161" customFormat="1" ht="12.75"/>
    <row r="65266" s="3161" customFormat="1" ht="12.75"/>
    <row r="65267" s="3161" customFormat="1" ht="12.75"/>
    <row r="65268" s="3161" customFormat="1" ht="12.75"/>
    <row r="65269" s="3161" customFormat="1" ht="12.75"/>
    <row r="65270" s="3161" customFormat="1" ht="12.75"/>
    <row r="65271" s="3161" customFormat="1" ht="12.75"/>
    <row r="65272" s="3161" customFormat="1" ht="12.75"/>
    <row r="65273" s="3161" customFormat="1" ht="12.75"/>
    <row r="65274" s="3161" customFormat="1" ht="12.75"/>
    <row r="65275" s="3161" customFormat="1" ht="12.75"/>
    <row r="65276" s="3161" customFormat="1" ht="12.75"/>
    <row r="65277" s="3161" customFormat="1" ht="12.75"/>
    <row r="65278" s="3161" customFormat="1" ht="12.75"/>
    <row r="65279" s="3161" customFormat="1" ht="12.75"/>
    <row r="65280" s="3161" customFormat="1" ht="12.75"/>
    <row r="65281" s="3161" customFormat="1" ht="12.75"/>
    <row r="65282" s="3161" customFormat="1" ht="12.75"/>
    <row r="65283" s="3161" customFormat="1" ht="12.75"/>
    <row r="65284" s="3161" customFormat="1" ht="12.75"/>
    <row r="65285" s="3161" customFormat="1" ht="12.75"/>
    <row r="65286" s="3161" customFormat="1" ht="12.75"/>
    <row r="65287" s="3161" customFormat="1" ht="12.75"/>
    <row r="65288" s="3161" customFormat="1" ht="12.75"/>
    <row r="65289" s="3161" customFormat="1" ht="12.75"/>
    <row r="65290" s="3161" customFormat="1" ht="12.75"/>
    <row r="65291" s="3161" customFormat="1" ht="12.75"/>
    <row r="65292" s="3161" customFormat="1" ht="12.75"/>
    <row r="65293" s="3161" customFormat="1" ht="12.75"/>
    <row r="65294" s="3161" customFormat="1" ht="12.75"/>
    <row r="65295" s="3161" customFormat="1" ht="12.75"/>
    <row r="65296" s="3161" customFormat="1" ht="12.75"/>
    <row r="65297" s="3161" customFormat="1" ht="12.75"/>
    <row r="65298" s="3161" customFormat="1" ht="12.75"/>
    <row r="65299" s="3161" customFormat="1" ht="12.75"/>
    <row r="65300" s="3161" customFormat="1" ht="12.75"/>
    <row r="65301" s="3161" customFormat="1" ht="12.75"/>
    <row r="65302" s="3161" customFormat="1" ht="12.75"/>
    <row r="65303" s="3161" customFormat="1" ht="12.75"/>
    <row r="65304" s="3161" customFormat="1" ht="12.75"/>
    <row r="65305" s="3161" customFormat="1" ht="12.75"/>
    <row r="65306" s="3161" customFormat="1" ht="12.75"/>
    <row r="65307" s="3161" customFormat="1" ht="12.75"/>
    <row r="65308" s="3161" customFormat="1" ht="12.75"/>
    <row r="65309" s="3161" customFormat="1" ht="12.75"/>
    <row r="65310" s="3161" customFormat="1" ht="12.75"/>
    <row r="65311" s="3161" customFormat="1" ht="12.75"/>
    <row r="65312" s="3161" customFormat="1" ht="12.75"/>
    <row r="65313" s="3161" customFormat="1" ht="12.75"/>
    <row r="65314" s="3161" customFormat="1" ht="12.75"/>
    <row r="65315" s="3161" customFormat="1" ht="12.75"/>
    <row r="65316" s="3161" customFormat="1" ht="12.75"/>
    <row r="65317" s="3161" customFormat="1" ht="12.75"/>
    <row r="65318" s="3161" customFormat="1" ht="12.75"/>
    <row r="65319" s="3161" customFormat="1" ht="12.75"/>
    <row r="65320" s="3161" customFormat="1" ht="12.75"/>
    <row r="65321" s="3161" customFormat="1" ht="12.75"/>
    <row r="65322" s="3161" customFormat="1" ht="12.75"/>
    <row r="65323" s="3161" customFormat="1" ht="12.75"/>
    <row r="65324" s="3161" customFormat="1" ht="12.75"/>
    <row r="65325" s="3161" customFormat="1" ht="12.75"/>
    <row r="65326" s="3161" customFormat="1" ht="12.75"/>
    <row r="65327" s="3161" customFormat="1" ht="12.75"/>
    <row r="65328" s="3161" customFormat="1" ht="12.75"/>
    <row r="65329" s="3161" customFormat="1" ht="12.75"/>
    <row r="65330" s="3161" customFormat="1" ht="12.75"/>
    <row r="65331" s="3161" customFormat="1" ht="12.75"/>
    <row r="65332" s="3161" customFormat="1" ht="12.75"/>
    <row r="65333" s="3161" customFormat="1" ht="12.75"/>
    <row r="65334" s="3161" customFormat="1" ht="12.75"/>
    <row r="65335" s="3161" customFormat="1" ht="12.75"/>
    <row r="65336" s="3161" customFormat="1" ht="12.75"/>
    <row r="65337" s="3161" customFormat="1" ht="12.75"/>
    <row r="65338" s="3161" customFormat="1" ht="12.75"/>
    <row r="65339" s="3161" customFormat="1" ht="12.75"/>
    <row r="65340" s="3161" customFormat="1" ht="12.75"/>
    <row r="65341" s="3161" customFormat="1" ht="12.75"/>
    <row r="65342" s="3161" customFormat="1" ht="12.75"/>
    <row r="65343" s="3161" customFormat="1" ht="12.75"/>
    <row r="65344" s="3161" customFormat="1" ht="12.75"/>
    <row r="65345" s="3161" customFormat="1" ht="12.75"/>
    <row r="65346" s="3161" customFormat="1" ht="12.75"/>
    <row r="65347" s="3161" customFormat="1" ht="12.75"/>
    <row r="65348" s="3161" customFormat="1" ht="12.75"/>
    <row r="65349" s="3161" customFormat="1" ht="12.75"/>
    <row r="65350" s="3161" customFormat="1" ht="12.75"/>
    <row r="65351" s="3161" customFormat="1" ht="12.75"/>
    <row r="65352" s="3161" customFormat="1" ht="12.75"/>
    <row r="65353" s="3161" customFormat="1" ht="12.75"/>
    <row r="65354" s="3161" customFormat="1" ht="12.75"/>
    <row r="65355" s="3161" customFormat="1" ht="12.75"/>
    <row r="65356" s="3161" customFormat="1" ht="12.75"/>
    <row r="65357" s="3161" customFormat="1" ht="12.75"/>
    <row r="65358" s="3161" customFormat="1" ht="12.75"/>
    <row r="65359" s="3161" customFormat="1" ht="12.75"/>
    <row r="65360" s="3161" customFormat="1" ht="12.75"/>
    <row r="65361" s="3161" customFormat="1" ht="12.75"/>
    <row r="65362" s="3161" customFormat="1" ht="12.75"/>
    <row r="65363" s="3161" customFormat="1" ht="12.75"/>
    <row r="65364" s="3161" customFormat="1" ht="12.75"/>
    <row r="65365" s="3161" customFormat="1" ht="12.75"/>
    <row r="65366" s="3161" customFormat="1" ht="12.75"/>
    <row r="65367" s="3161" customFormat="1" ht="12.75"/>
    <row r="65368" s="3161" customFormat="1" ht="12.75"/>
    <row r="65369" s="3161" customFormat="1" ht="12.75"/>
    <row r="65370" s="3161" customFormat="1" ht="12.75"/>
    <row r="65371" s="3161" customFormat="1" ht="12.75"/>
    <row r="65372" s="3161" customFormat="1" ht="12.75"/>
    <row r="65373" s="3161" customFormat="1" ht="12.75"/>
    <row r="65374" s="3161" customFormat="1" ht="12.75"/>
    <row r="65375" s="3161" customFormat="1" ht="12.75"/>
    <row r="65376" s="3161" customFormat="1" ht="12.75"/>
    <row r="65377" s="3161" customFormat="1" ht="12.75"/>
    <row r="65378" s="3161" customFormat="1" ht="12.75"/>
    <row r="65379" s="3161" customFormat="1" ht="12.75"/>
    <row r="65380" s="3161" customFormat="1" ht="12.75"/>
    <row r="65381" s="3161" customFormat="1" ht="12.75"/>
    <row r="65382" s="3161" customFormat="1" ht="12.75"/>
    <row r="65383" s="3161" customFormat="1" ht="12.75"/>
    <row r="65384" s="3161" customFormat="1" ht="12.75"/>
    <row r="65385" s="3161" customFormat="1" ht="12.75"/>
    <row r="65386" s="3161" customFormat="1" ht="12.75"/>
    <row r="65387" s="3161" customFormat="1" ht="12.75"/>
    <row r="65388" s="3161" customFormat="1" ht="12.75"/>
    <row r="65389" s="3161" customFormat="1" ht="12.75"/>
    <row r="65390" s="3161" customFormat="1" ht="12.75"/>
    <row r="65391" s="3161" customFormat="1" ht="12.75"/>
    <row r="65392" s="3161" customFormat="1" ht="12.75"/>
    <row r="65393" s="3161" customFormat="1" ht="12.75"/>
    <row r="65394" s="3161" customFormat="1" ht="12.75"/>
    <row r="65395" s="3161" customFormat="1" ht="12.75"/>
    <row r="65396" s="3161" customFormat="1" ht="12.75"/>
    <row r="65397" s="3161" customFormat="1" ht="12.75"/>
    <row r="65398" s="3161" customFormat="1" ht="12.75"/>
    <row r="65399" s="3161" customFormat="1" ht="12.75"/>
    <row r="65400" s="3161" customFormat="1" ht="12.75"/>
    <row r="65401" s="3161" customFormat="1" ht="12.75"/>
    <row r="65402" s="3161" customFormat="1" ht="12.75"/>
    <row r="65403" s="3161" customFormat="1" ht="12.75"/>
    <row r="65404" s="3161" customFormat="1" ht="12.75"/>
    <row r="65405" s="3161" customFormat="1" ht="12.75"/>
    <row r="65406" s="3161" customFormat="1" ht="12.75"/>
    <row r="65407" s="3161" customFormat="1" ht="12.75"/>
    <row r="65408" s="3161" customFormat="1" ht="12.75"/>
    <row r="65409" s="3161" customFormat="1" ht="12.75"/>
    <row r="65410" s="3161" customFormat="1" ht="12.75"/>
    <row r="65411" s="3161" customFormat="1" ht="12.75"/>
    <row r="65412" s="3161" customFormat="1" ht="12.75"/>
    <row r="65413" s="3161" customFormat="1" ht="12.75"/>
    <row r="65414" s="3161" customFormat="1" ht="12.75"/>
    <row r="65415" s="3161" customFormat="1" ht="12.75"/>
    <row r="65416" s="3161" customFormat="1" ht="12.75"/>
    <row r="65417" s="3161" customFormat="1" ht="12.75"/>
    <row r="65418" s="3161" customFormat="1" ht="12.75"/>
    <row r="65419" s="3161" customFormat="1" ht="12.75"/>
    <row r="65420" s="3161" customFormat="1" ht="12.75"/>
    <row r="65421" s="3161" customFormat="1" ht="12.75"/>
    <row r="65422" s="3161" customFormat="1" ht="12.75"/>
    <row r="65423" s="3161" customFormat="1" ht="12.75"/>
    <row r="65424" s="3161" customFormat="1" ht="12.75"/>
    <row r="65425" s="3161" customFormat="1" ht="12.75"/>
    <row r="65426" s="3161" customFormat="1" ht="12.75"/>
    <row r="65427" s="3161" customFormat="1" ht="12.75"/>
    <row r="65428" s="3161" customFormat="1" ht="12.75"/>
    <row r="65429" s="3161" customFormat="1" ht="12.75"/>
    <row r="65430" s="3161" customFormat="1" ht="12.75"/>
    <row r="65431" s="3161" customFormat="1" ht="12.75"/>
    <row r="65432" s="3161" customFormat="1" ht="12.75"/>
    <row r="65433" s="3161" customFormat="1" ht="12.75"/>
    <row r="65434" s="3161" customFormat="1" ht="12.75"/>
    <row r="65435" s="3161" customFormat="1" ht="12.75"/>
    <row r="65436" s="3161" customFormat="1" ht="12.75"/>
    <row r="65437" s="3161" customFormat="1" ht="12.75"/>
    <row r="65438" s="3161" customFormat="1" ht="12.75"/>
    <row r="65439" s="3161" customFormat="1" ht="12.75"/>
    <row r="65440" s="3161" customFormat="1" ht="12.75"/>
    <row r="65441" s="3161" customFormat="1" ht="12.75"/>
    <row r="65442" s="3161" customFormat="1" ht="12.75"/>
    <row r="65443" s="3161" customFormat="1" ht="12.75"/>
    <row r="65444" s="3161" customFormat="1" ht="12.75"/>
    <row r="65445" s="3161" customFormat="1" ht="12.75"/>
    <row r="65446" s="3161" customFormat="1" ht="12.75"/>
    <row r="65447" s="3161" customFormat="1" ht="12.75"/>
    <row r="65448" s="3161" customFormat="1" ht="12.75"/>
    <row r="65449" s="3161" customFormat="1" ht="12.75"/>
    <row r="65450" s="3161" customFormat="1" ht="12.75"/>
    <row r="65451" s="3161" customFormat="1" ht="12.75"/>
    <row r="65452" s="3161" customFormat="1" ht="12.75"/>
    <row r="65453" s="3161" customFormat="1" ht="12.75"/>
    <row r="65454" s="3161" customFormat="1" ht="12.75"/>
    <row r="65455" s="3161" customFormat="1" ht="12.75"/>
    <row r="65456" s="3161" customFormat="1" ht="12.75"/>
    <row r="65457" s="3161" customFormat="1" ht="12.75"/>
    <row r="65458" s="3161" customFormat="1" ht="12.75"/>
    <row r="65459" s="3161" customFormat="1" ht="12.75"/>
    <row r="65460" s="3161" customFormat="1" ht="12.75"/>
    <row r="65461" s="3161" customFormat="1" ht="12.75"/>
    <row r="65462" s="3161" customFormat="1" ht="12.75"/>
    <row r="65463" s="3161" customFormat="1" ht="12.75"/>
    <row r="65464" s="3161" customFormat="1" ht="12.75"/>
    <row r="65465" s="3161" customFormat="1" ht="12.75"/>
    <row r="65466" s="3161" customFormat="1" ht="12.75"/>
    <row r="65467" s="3161" customFormat="1" ht="12.75"/>
    <row r="65468" s="3161" customFormat="1" ht="12.75"/>
    <row r="65469" s="3161" customFormat="1" ht="12.75"/>
    <row r="65470" s="3161" customFormat="1" ht="12.75"/>
    <row r="65471" s="3161" customFormat="1" ht="12.75"/>
    <row r="65472" s="3161" customFormat="1" ht="12.75"/>
    <row r="65473" s="3161" customFormat="1" ht="12.75"/>
    <row r="65474" s="3161" customFormat="1" ht="12.75"/>
    <row r="65475" s="3161" customFormat="1" ht="12.75"/>
    <row r="65476" s="3161" customFormat="1" ht="12.75"/>
    <row r="65477" s="3161" customFormat="1" ht="12.75"/>
    <row r="65478" s="3161" customFormat="1" ht="12.75"/>
    <row r="65479" s="3161" customFormat="1" ht="12.75"/>
    <row r="65480" s="3161" customFormat="1" ht="12.75"/>
    <row r="65481" s="3161" customFormat="1" ht="12.75"/>
    <row r="65482" s="3161" customFormat="1" ht="12.75"/>
    <row r="65483" s="3161" customFormat="1" ht="12.75"/>
    <row r="65484" s="3161" customFormat="1" ht="12.75"/>
    <row r="65485" s="3161" customFormat="1" ht="12.75"/>
    <row r="65486" s="3161" customFormat="1" ht="12.75"/>
    <row r="65487" s="3161" customFormat="1" ht="12.75"/>
    <row r="65488" s="3161" customFormat="1" ht="12.75"/>
    <row r="65489" s="3161" customFormat="1" ht="12.75"/>
    <row r="65490" s="3161" customFormat="1" ht="12.75"/>
    <row r="65491" s="3161" customFormat="1" ht="12.75"/>
    <row r="65492" s="3161" customFormat="1" ht="12.75"/>
    <row r="65493" s="3161" customFormat="1" ht="12.75"/>
    <row r="65494" s="3161" customFormat="1" ht="12.75"/>
    <row r="65495" s="3161" customFormat="1" ht="12.75"/>
    <row r="65496" s="3161" customFormat="1" ht="12.75"/>
    <row r="65497" s="3161" customFormat="1" ht="12.75"/>
    <row r="65498" s="3161" customFormat="1" ht="12.75"/>
    <row r="65499" s="3161" customFormat="1" ht="12.75"/>
    <row r="65500" s="3161" customFormat="1" ht="12.75"/>
    <row r="65501" s="3161" customFormat="1" ht="12.75"/>
    <row r="65502" s="3161" customFormat="1" ht="12.75"/>
    <row r="65503" s="3161" customFormat="1" ht="12.75"/>
    <row r="65504" s="3161" customFormat="1" ht="12.75"/>
    <row r="65505" s="3161" customFormat="1" ht="12.75"/>
    <row r="65506" s="3161" customFormat="1" ht="12.75"/>
    <row r="65507" s="3161" customFormat="1" ht="12.75"/>
    <row r="65508" s="3161" customFormat="1" ht="12.75"/>
    <row r="65509" s="3161" customFormat="1" ht="12.75"/>
    <row r="65510" s="3161" customFormat="1" ht="12.75"/>
    <row r="65511" s="3161" customFormat="1" ht="12.75"/>
    <row r="65512" s="3161" customFormat="1" ht="12.75"/>
    <row r="65513" s="3161" customFormat="1" ht="12.75"/>
    <row r="65514" s="3161" customFormat="1" ht="12.75"/>
    <row r="65515" s="3161" customFormat="1" ht="12.75"/>
    <row r="65516" s="3161" customFormat="1" ht="12.75"/>
    <row r="65517" s="3161" customFormat="1" ht="12.75"/>
    <row r="65518" s="3161" customFormat="1" ht="12.75"/>
  </sheetData>
  <autoFilter ref="A1:R1"/>
  <phoneticPr fontId="233"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view="pageBreakPreview" zoomScale="85" zoomScaleNormal="100" zoomScaleSheetLayoutView="85" workbookViewId="0">
      <selection activeCell="J25" sqref="J25"/>
    </sheetView>
  </sheetViews>
  <sheetFormatPr defaultColWidth="6.625" defaultRowHeight="12.75"/>
  <cols>
    <col min="1" max="1" width="9.75" style="1999" customWidth="1"/>
    <col min="2" max="2" width="25.75" style="1989" customWidth="1"/>
    <col min="3" max="3" width="10.375" style="2000" customWidth="1"/>
    <col min="4" max="4" width="12" style="1989" customWidth="1"/>
    <col min="5" max="5" width="9.5" style="1999" customWidth="1"/>
    <col min="6" max="6" width="10.125" style="1989" customWidth="1"/>
    <col min="7" max="7" width="11.625" style="1989" customWidth="1"/>
    <col min="8" max="8" width="10" style="1989" customWidth="1"/>
    <col min="9" max="11" width="9.5" style="1989" customWidth="1"/>
    <col min="12" max="12" width="9" style="1989" customWidth="1"/>
    <col min="13" max="13" width="10.5" style="1989" bestFit="1" customWidth="1"/>
    <col min="14" max="254" width="9" style="1989" customWidth="1"/>
    <col min="255" max="16384" width="6.625" style="1989"/>
  </cols>
  <sheetData>
    <row r="1" spans="1:31" s="1916" customFormat="1" ht="20.25">
      <c r="A1" s="1978" t="s">
        <v>406</v>
      </c>
      <c r="B1" s="2674"/>
      <c r="C1" s="1979"/>
      <c r="D1" s="1979"/>
      <c r="E1" s="1979"/>
      <c r="F1" s="1979"/>
      <c r="G1" s="1979"/>
      <c r="H1" s="1979"/>
      <c r="I1" s="1979"/>
      <c r="J1" s="1979"/>
      <c r="K1" s="322">
        <f>MATCH(B1,'数据-取费表'!A6:A16,0)+5</f>
        <v>9</v>
      </c>
    </row>
    <row r="2" spans="1:31" s="1916" customFormat="1" ht="18" customHeight="1">
      <c r="A2" s="1976" t="s">
        <v>407</v>
      </c>
      <c r="B2" s="1980">
        <f ca="1">C36</f>
        <v>49519</v>
      </c>
      <c r="C2" s="1979"/>
      <c r="D2" s="1979"/>
      <c r="E2" s="1979"/>
      <c r="F2" s="1979"/>
      <c r="G2" s="1979"/>
      <c r="H2" s="1979"/>
      <c r="I2" s="1979"/>
      <c r="J2" s="1979"/>
      <c r="K2" s="1979"/>
    </row>
    <row r="3" spans="1:31" s="1916" customFormat="1" ht="18" customHeight="1">
      <c r="A3" s="1981" t="s">
        <v>1617</v>
      </c>
      <c r="B3" s="1982">
        <f ca="1">ROUND(B2*10000/IF(B1="",'数据-汇总表'!E3,INDIRECT("'数据-取费表'!K"&amp;$K$1)),0)</f>
        <v>6317</v>
      </c>
      <c r="C3" s="3164" t="s">
        <v>3188</v>
      </c>
      <c r="D3" s="3165">
        <f ca="1">ROUND(B2*10000/'数据-汇总表'!F31,0)</f>
        <v>8229</v>
      </c>
      <c r="E3" s="1979"/>
      <c r="F3" s="1979"/>
      <c r="G3" s="1979"/>
      <c r="H3" s="1979"/>
      <c r="I3" s="1979"/>
      <c r="J3" s="1979"/>
      <c r="K3" s="1979"/>
    </row>
    <row r="4" spans="1:31" s="1916" customFormat="1" ht="18" customHeight="1">
      <c r="A4" s="326" t="s">
        <v>408</v>
      </c>
      <c r="B4" s="327">
        <f ca="1">ROUND(B2*10000/IF(B1="",'数据-汇总表'!D3,INDIRECT("'数据-取费表'!R"&amp;$K$1)),0)</f>
        <v>14812</v>
      </c>
      <c r="C4" s="328"/>
      <c r="D4" s="322"/>
      <c r="E4" s="322"/>
      <c r="F4" s="322"/>
      <c r="G4" s="322"/>
      <c r="H4" s="322"/>
      <c r="I4" s="322"/>
      <c r="J4" s="322"/>
      <c r="K4" s="322"/>
    </row>
    <row r="5" spans="1:31" s="1916" customFormat="1" ht="18" customHeight="1" thickBot="1">
      <c r="A5" s="329"/>
      <c r="B5" s="330">
        <f ca="1">ROUND(B2/(IF(B1="",'数据-汇总表'!D3,INDIRECT("'数据-取费表'!R"&amp;$K$1))/666.67),0)</f>
        <v>987</v>
      </c>
      <c r="C5" s="331" t="s">
        <v>409</v>
      </c>
      <c r="D5" s="322"/>
      <c r="E5" s="322"/>
      <c r="F5" s="322"/>
      <c r="G5" s="322"/>
      <c r="H5" s="322"/>
      <c r="I5" s="322"/>
      <c r="J5" s="322"/>
      <c r="K5" s="322"/>
    </row>
    <row r="6" spans="1:31" s="1986" customFormat="1" ht="16.5" customHeight="1">
      <c r="A6" s="2693" t="s">
        <v>1775</v>
      </c>
      <c r="B6" s="2694"/>
      <c r="C6" s="2695">
        <f ca="1">SUM(C10:K10)</f>
        <v>79986</v>
      </c>
      <c r="D6" s="2694"/>
      <c r="E6" s="2694"/>
      <c r="F6" s="2694"/>
      <c r="G6" s="2694"/>
      <c r="H6" s="2694"/>
      <c r="I6" s="2694"/>
      <c r="J6" s="2694"/>
      <c r="K6" s="2696"/>
    </row>
    <row r="7" spans="1:31" s="1988" customFormat="1" ht="15">
      <c r="A7" s="2697" t="s">
        <v>410</v>
      </c>
      <c r="B7" s="2698" t="s">
        <v>411</v>
      </c>
      <c r="C7" s="336" t="s">
        <v>855</v>
      </c>
      <c r="D7" s="336" t="s">
        <v>2923</v>
      </c>
      <c r="E7" s="336" t="s">
        <v>35</v>
      </c>
      <c r="F7" s="336"/>
      <c r="G7" s="336"/>
      <c r="H7" s="336"/>
      <c r="I7" s="336"/>
      <c r="J7" s="336"/>
      <c r="K7" s="337"/>
      <c r="L7" s="1987"/>
      <c r="M7" s="1987"/>
      <c r="N7" s="1987"/>
      <c r="O7" s="1987"/>
      <c r="P7" s="1987"/>
      <c r="Q7" s="1987"/>
      <c r="R7" s="1987"/>
      <c r="S7" s="1987"/>
      <c r="T7" s="1987"/>
      <c r="U7" s="1987"/>
      <c r="V7" s="1987"/>
      <c r="W7" s="1987"/>
      <c r="X7" s="1987"/>
      <c r="Y7" s="1987"/>
      <c r="Z7" s="1987"/>
      <c r="AA7" s="1987"/>
      <c r="AB7" s="1987"/>
      <c r="AC7" s="1987"/>
      <c r="AD7" s="1987"/>
      <c r="AE7" s="1987"/>
    </row>
    <row r="8" spans="1:31" s="1990" customFormat="1" ht="13.5" customHeight="1">
      <c r="A8" s="703" t="s">
        <v>1778</v>
      </c>
      <c r="B8" s="165" t="s">
        <v>412</v>
      </c>
      <c r="C8" s="2699">
        <v>13000</v>
      </c>
      <c r="D8" s="2699">
        <f ca="1">不动产收益法!C43</f>
        <v>15582</v>
      </c>
      <c r="E8" s="2699">
        <f ca="1">'不动产收益法 (地下车库)'!C43</f>
        <v>3043</v>
      </c>
      <c r="F8" s="2699"/>
      <c r="G8" s="2699"/>
      <c r="H8" s="2699"/>
      <c r="I8" s="2699"/>
      <c r="J8" s="2699"/>
      <c r="K8" s="2700"/>
      <c r="L8" s="1989"/>
      <c r="M8" s="1989"/>
      <c r="N8" s="1989"/>
      <c r="O8" s="1989"/>
      <c r="P8" s="1989"/>
      <c r="Q8" s="1989"/>
      <c r="R8" s="1989"/>
      <c r="S8" s="1989"/>
      <c r="T8" s="1989"/>
      <c r="U8" s="1989"/>
      <c r="V8" s="1989"/>
      <c r="W8" s="1989"/>
      <c r="X8" s="1989"/>
      <c r="Y8" s="1989"/>
      <c r="Z8" s="1989"/>
      <c r="AA8" s="1989"/>
      <c r="AB8" s="1989"/>
      <c r="AC8" s="1989"/>
      <c r="AD8" s="1989"/>
      <c r="AE8" s="1989"/>
    </row>
    <row r="9" spans="1:31" s="1990" customFormat="1" ht="13.5" customHeight="1">
      <c r="A9" s="703" t="s">
        <v>1779</v>
      </c>
      <c r="B9" s="165" t="s">
        <v>413</v>
      </c>
      <c r="C9" s="341">
        <f>SUMIF('数据-汇总表'!$C19:$C33,'剩余法-待开发'!C7,'数据-汇总表'!$E19:$E33)</f>
        <v>57637</v>
      </c>
      <c r="D9" s="341">
        <f>SUMIF('数据-汇总表'!$C19:$C33,'剩余法-待开发'!D7,'数据-汇总表'!$E19:$E33)</f>
        <v>421</v>
      </c>
      <c r="E9" s="341">
        <f>SUMIF('数据-汇总表'!$C19:$C33,'剩余法-待开发'!E7,'数据-汇总表'!$E19:$E33)</f>
        <v>14467</v>
      </c>
      <c r="F9" s="341">
        <f>SUMIF('数据-汇总表'!$C19:$C33,'剩余法-待开发'!F7,'数据-汇总表'!$E19:$E33)</f>
        <v>0</v>
      </c>
      <c r="G9" s="341">
        <f>SUMIF('数据-汇总表'!$C19:$C33,'剩余法-待开发'!G7,'数据-汇总表'!$E19:$E33)</f>
        <v>0</v>
      </c>
      <c r="H9" s="341">
        <f>SUMIF('数据-汇总表'!$C19:$C33,'剩余法-待开发'!H7,'数据-汇总表'!$E19:$E33)</f>
        <v>0</v>
      </c>
      <c r="I9" s="341">
        <f>SUMIF('数据-汇总表'!$C19:$C33,'剩余法-待开发'!I7,'数据-汇总表'!$E19:$E33)</f>
        <v>0</v>
      </c>
      <c r="J9" s="341">
        <f>SUMIF('数据-汇总表'!$C19:$C33,'剩余法-待开发'!J7,'数据-汇总表'!$E19:$E33)</f>
        <v>0</v>
      </c>
      <c r="K9" s="342">
        <f>SUMIF('数据-汇总表'!$C19:$C33,'剩余法-待开发'!K7,'数据-汇总表'!$E19:$E33)</f>
        <v>0</v>
      </c>
      <c r="L9" s="1989"/>
      <c r="M9" s="1989"/>
      <c r="N9" s="1989"/>
      <c r="O9" s="1989"/>
      <c r="P9" s="1989"/>
      <c r="Q9" s="1989"/>
      <c r="R9" s="1989"/>
      <c r="S9" s="1989"/>
      <c r="T9" s="1989"/>
      <c r="U9" s="1989"/>
      <c r="V9" s="1989"/>
      <c r="W9" s="1989"/>
      <c r="X9" s="1989"/>
      <c r="Y9" s="1989"/>
      <c r="Z9" s="1989"/>
      <c r="AA9" s="1989"/>
      <c r="AB9" s="1989"/>
      <c r="AC9" s="1989"/>
      <c r="AD9" s="1989"/>
      <c r="AE9" s="1989"/>
    </row>
    <row r="10" spans="1:31" s="1990" customFormat="1" ht="13.5" customHeight="1" thickBot="1">
      <c r="A10" s="2701" t="s">
        <v>1780</v>
      </c>
      <c r="B10" s="2687" t="s">
        <v>414</v>
      </c>
      <c r="C10" s="2894">
        <f>ROUND(C8*C9/10000,0)</f>
        <v>74928</v>
      </c>
      <c r="D10" s="2894">
        <f ca="1">不动产收益法!B2</f>
        <v>656</v>
      </c>
      <c r="E10" s="2894">
        <f ca="1">'不动产收益法 (地下车库)'!B2</f>
        <v>4402</v>
      </c>
      <c r="F10" s="2702"/>
      <c r="G10" s="2702"/>
      <c r="H10" s="2702"/>
      <c r="I10" s="2702"/>
      <c r="J10" s="2702"/>
      <c r="K10" s="2703"/>
      <c r="L10" s="1989"/>
      <c r="M10" s="1989"/>
      <c r="N10" s="1989"/>
      <c r="O10" s="1989"/>
      <c r="P10" s="1989"/>
      <c r="Q10" s="1989"/>
      <c r="R10" s="1989"/>
      <c r="S10" s="1989"/>
      <c r="T10" s="1989"/>
      <c r="U10" s="1989"/>
      <c r="V10" s="1989"/>
      <c r="W10" s="1989"/>
      <c r="X10" s="1989"/>
      <c r="Y10" s="1989"/>
      <c r="Z10" s="1989"/>
      <c r="AA10" s="1989"/>
      <c r="AB10" s="1989"/>
      <c r="AC10" s="1989"/>
      <c r="AD10" s="1989"/>
      <c r="AE10" s="1989"/>
    </row>
    <row r="11" spans="1:31" s="1986" customFormat="1" ht="16.5" customHeight="1">
      <c r="A11" s="2704" t="s">
        <v>1776</v>
      </c>
      <c r="B11" s="2694"/>
      <c r="C11" s="2694"/>
      <c r="D11" s="2694"/>
      <c r="E11" s="2694"/>
      <c r="F11" s="2694"/>
      <c r="G11" s="2694"/>
      <c r="H11" s="2694"/>
      <c r="I11" s="2694"/>
      <c r="J11" s="2694"/>
      <c r="K11" s="2696"/>
    </row>
    <row r="12" spans="1:31" s="1960" customFormat="1" ht="13.5" customHeight="1">
      <c r="A12" s="2705" t="s">
        <v>410</v>
      </c>
      <c r="B12" s="2677" t="s">
        <v>411</v>
      </c>
      <c r="C12" s="2706" t="s">
        <v>415</v>
      </c>
      <c r="D12" s="2673" t="s">
        <v>416</v>
      </c>
      <c r="E12" s="2673" t="s">
        <v>417</v>
      </c>
      <c r="F12" s="2673" t="s">
        <v>418</v>
      </c>
      <c r="G12" s="2677"/>
      <c r="H12" s="2678"/>
      <c r="I12" s="2678"/>
      <c r="J12" s="2678"/>
      <c r="K12" s="2679"/>
    </row>
    <row r="13" spans="1:31" s="1991" customFormat="1" ht="13.5" customHeight="1">
      <c r="A13" s="2707" t="s">
        <v>1781</v>
      </c>
      <c r="B13" s="2708" t="s">
        <v>419</v>
      </c>
      <c r="C13" s="350">
        <f ca="1">IF(B1="",'数据-取费表'!P16,INDIRECT("'数据-取费表'!p"&amp;$K$1)+INDIRECT("'数据-取费表'!t"&amp;$K$1))</f>
        <v>13675</v>
      </c>
      <c r="D13" s="2709"/>
      <c r="E13" s="2710"/>
      <c r="F13" s="2711"/>
      <c r="G13" s="2677"/>
      <c r="H13" s="2678"/>
      <c r="I13" s="2678"/>
      <c r="J13" s="2678"/>
      <c r="K13" s="2679"/>
    </row>
    <row r="14" spans="1:31" s="1991" customFormat="1" ht="13.5" customHeight="1">
      <c r="A14" s="2707" t="s">
        <v>1782</v>
      </c>
      <c r="B14" s="2708" t="s">
        <v>420</v>
      </c>
      <c r="C14" s="52">
        <f ca="1">ROUND(C13*F14,0)</f>
        <v>410</v>
      </c>
      <c r="D14" s="2709"/>
      <c r="E14" s="2710"/>
      <c r="F14" s="2712">
        <f>'数据-取费表'!B33</f>
        <v>0.03</v>
      </c>
      <c r="G14" s="2677" t="s">
        <v>421</v>
      </c>
      <c r="H14" s="2678"/>
      <c r="I14" s="2678"/>
      <c r="J14" s="2678"/>
      <c r="K14" s="2679"/>
    </row>
    <row r="15" spans="1:31" s="1991" customFormat="1" ht="13.5" customHeight="1">
      <c r="A15" s="2707" t="s">
        <v>1783</v>
      </c>
      <c r="B15" s="2708" t="s">
        <v>422</v>
      </c>
      <c r="C15" s="52">
        <f ca="1">ROUND(IF(B1="",SUMIF('数据-取费表'!C:C,"住宅",'数据-取费表'!P:P)*F15,IF(INDIRECT("'数据-取费表'!c"&amp;$K$1)="住宅",INDIRECT("'数据-取费表'!P"&amp;$K$1)*F15,0)),0)</f>
        <v>294</v>
      </c>
      <c r="D15" s="2709"/>
      <c r="E15" s="2710"/>
      <c r="F15" s="2712">
        <f>'数据-取费表'!B34</f>
        <v>0.03</v>
      </c>
      <c r="G15" s="2677" t="s">
        <v>423</v>
      </c>
      <c r="H15" s="2678"/>
      <c r="I15" s="2678"/>
      <c r="J15" s="2678"/>
      <c r="K15" s="2679"/>
    </row>
    <row r="16" spans="1:31" s="1992" customFormat="1" ht="13.5" customHeight="1">
      <c r="A16" s="2707" t="s">
        <v>1784</v>
      </c>
      <c r="B16" s="2708" t="s">
        <v>424</v>
      </c>
      <c r="C16" s="52">
        <f ca="1">ROUND(D16*E16/10000,0)</f>
        <v>1568</v>
      </c>
      <c r="D16" s="2709">
        <f ca="1">IF(B1="",'数据-汇总表'!E3,INDIRECT("'数据-取费表'!K"&amp;$K$1)+INDIRECT("'数据-取费表'!S"&amp;$K$1))</f>
        <v>78389</v>
      </c>
      <c r="E16" s="52">
        <f>'数据-取费表'!B35</f>
        <v>200</v>
      </c>
      <c r="F16" s="2712"/>
      <c r="G16" s="2677"/>
      <c r="H16" s="2678"/>
      <c r="I16" s="2678"/>
      <c r="J16" s="2678"/>
      <c r="K16" s="2679"/>
      <c r="L16" s="1991"/>
      <c r="M16" s="1991"/>
      <c r="N16" s="1991"/>
      <c r="O16" s="1991"/>
      <c r="P16" s="1991"/>
      <c r="Q16" s="1991"/>
      <c r="R16" s="1991"/>
      <c r="S16" s="1991"/>
      <c r="T16" s="1991"/>
      <c r="U16" s="1991"/>
      <c r="V16" s="1991"/>
      <c r="W16" s="1991"/>
      <c r="X16" s="1991"/>
      <c r="Y16" s="1991"/>
      <c r="Z16" s="1991"/>
      <c r="AA16" s="1991"/>
      <c r="AB16" s="1991"/>
      <c r="AC16" s="1991"/>
      <c r="AD16" s="1991"/>
      <c r="AE16" s="1991"/>
    </row>
    <row r="17" spans="1:14" s="1991" customFormat="1" ht="13.5" customHeight="1">
      <c r="A17" s="2707" t="s">
        <v>1785</v>
      </c>
      <c r="B17" s="2708" t="s">
        <v>425</v>
      </c>
      <c r="C17" s="2713">
        <f ca="1">ROUND(C13*F17,0)</f>
        <v>205</v>
      </c>
      <c r="D17" s="375"/>
      <c r="E17" s="2713"/>
      <c r="F17" s="2714">
        <f>'数据-取费表'!B36</f>
        <v>1.4999999999999999E-2</v>
      </c>
      <c r="G17" s="165" t="s">
        <v>426</v>
      </c>
      <c r="H17" s="2680"/>
      <c r="I17" s="2680"/>
      <c r="J17" s="2680"/>
      <c r="K17" s="183"/>
    </row>
    <row r="18" spans="1:14" s="1991" customFormat="1" ht="13.5" customHeight="1">
      <c r="A18" s="2715" t="s">
        <v>1786</v>
      </c>
      <c r="B18" s="2716" t="s">
        <v>427</v>
      </c>
      <c r="C18" s="2717">
        <f ca="1">SUM(C13:C17)</f>
        <v>16152</v>
      </c>
      <c r="D18" s="2718"/>
      <c r="E18" s="368"/>
      <c r="F18" s="368"/>
      <c r="G18" s="2681" t="s">
        <v>2358</v>
      </c>
      <c r="H18" s="2682"/>
      <c r="I18" s="2682"/>
      <c r="J18" s="2682"/>
      <c r="K18" s="2683"/>
    </row>
    <row r="19" spans="1:14" s="1991" customFormat="1" ht="13.5" customHeight="1">
      <c r="A19" s="2715" t="s">
        <v>1787</v>
      </c>
      <c r="B19" s="2716" t="s">
        <v>428</v>
      </c>
      <c r="C19" s="2673">
        <f ca="1">ROUND(D19*E19/10000,0)</f>
        <v>784</v>
      </c>
      <c r="D19" s="2719">
        <f ca="1">D16</f>
        <v>78389</v>
      </c>
      <c r="E19" s="2673">
        <f>'数据-取费表'!B32</f>
        <v>100</v>
      </c>
      <c r="F19" s="368"/>
      <c r="G19" s="2677" t="s">
        <v>429</v>
      </c>
      <c r="H19" s="2678"/>
      <c r="I19" s="2682"/>
      <c r="J19" s="2682"/>
      <c r="K19" s="2683"/>
    </row>
    <row r="20" spans="1:14" s="1991" customFormat="1" ht="13.5" customHeight="1">
      <c r="A20" s="2715" t="s">
        <v>1788</v>
      </c>
      <c r="B20" s="2716" t="s">
        <v>430</v>
      </c>
      <c r="C20" s="2673">
        <f ca="1">C21+C22-IF(B1="",'数据-取费表'!B29,IF(G20="已全部缴纳",C21+C22,H20))</f>
        <v>339</v>
      </c>
      <c r="D20" s="2719"/>
      <c r="E20" s="2673"/>
      <c r="F20" s="2720"/>
      <c r="G20" s="2943"/>
      <c r="H20" s="2675"/>
      <c r="I20" s="2676" t="s">
        <v>2579</v>
      </c>
      <c r="J20" s="2682"/>
      <c r="K20" s="2683"/>
    </row>
    <row r="21" spans="1:14" s="1991" customFormat="1" ht="13.5" customHeight="1">
      <c r="A21" s="2707" t="s">
        <v>1789</v>
      </c>
      <c r="B21" s="2708" t="s">
        <v>431</v>
      </c>
      <c r="C21" s="52">
        <f ca="1">ROUND(D21*E21/10000,0)</f>
        <v>173</v>
      </c>
      <c r="D21" s="2709">
        <f ca="1">IF(B1="",'数据-汇总表'!E5,IF(INDIRECT("'数据-取费表'!c"&amp;$K$1)="住宅",INDIRECT("'数据-取费表'!k"&amp;$K$1),0))</f>
        <v>57637</v>
      </c>
      <c r="E21" s="52">
        <f>'数据-取费表'!B27</f>
        <v>30</v>
      </c>
      <c r="F21" s="2712"/>
      <c r="G21" s="25"/>
      <c r="H21" s="50"/>
      <c r="I21" s="50"/>
      <c r="J21" s="50"/>
      <c r="K21" s="2684"/>
    </row>
    <row r="22" spans="1:14" s="1991" customFormat="1" ht="13.5" customHeight="1">
      <c r="A22" s="2707" t="s">
        <v>1790</v>
      </c>
      <c r="B22" s="2708" t="s">
        <v>432</v>
      </c>
      <c r="C22" s="52">
        <f ca="1">ROUND(D22*E22/10000,0)</f>
        <v>166</v>
      </c>
      <c r="D22" s="2709">
        <f ca="1">IF(B1="",'数据-汇总表'!E6,IF(INDIRECT("'数据-取费表'!c"&amp;$K$1)="住宅",INDIRECT("'数据-取费表'!s"&amp;$K$1),INDIRECT("'数据-取费表'!k"&amp;$K$1)+INDIRECT("'数据-取费表'!s"&amp;$K$1)))</f>
        <v>20752</v>
      </c>
      <c r="E22" s="52">
        <f>'数据-取费表'!B28</f>
        <v>80</v>
      </c>
      <c r="F22" s="2712"/>
      <c r="G22" s="25"/>
      <c r="H22" s="50"/>
      <c r="I22" s="50"/>
      <c r="J22" s="50"/>
      <c r="K22" s="2684"/>
    </row>
    <row r="23" spans="1:14" s="1991" customFormat="1" ht="13.5" customHeight="1">
      <c r="A23" s="2715" t="s">
        <v>1791</v>
      </c>
      <c r="B23" s="2900" t="s">
        <v>2762</v>
      </c>
      <c r="C23" s="2717">
        <f ca="1">ROUND((C18+C19+C20)*F23,0)</f>
        <v>173</v>
      </c>
      <c r="D23" s="368"/>
      <c r="E23" s="368"/>
      <c r="F23" s="2721">
        <f>'数据-取费表'!B37</f>
        <v>0.01</v>
      </c>
      <c r="G23" s="2677" t="s">
        <v>2359</v>
      </c>
      <c r="H23" s="2678"/>
      <c r="I23" s="2678"/>
      <c r="J23" s="2678"/>
      <c r="K23" s="2679"/>
      <c r="L23" s="1993"/>
      <c r="M23" s="1993"/>
      <c r="N23" s="1993"/>
    </row>
    <row r="24" spans="1:14" s="1991" customFormat="1" ht="13.5" customHeight="1">
      <c r="A24" s="2715" t="s">
        <v>1792</v>
      </c>
      <c r="B24" s="2900" t="s">
        <v>2765</v>
      </c>
      <c r="C24" s="2717">
        <f ca="1">ROUND(C6*F24,0)</f>
        <v>800</v>
      </c>
      <c r="D24" s="375"/>
      <c r="E24" s="373"/>
      <c r="F24" s="2721">
        <f>'数据-取费表'!B38</f>
        <v>0.01</v>
      </c>
      <c r="G24" s="2686" t="s">
        <v>439</v>
      </c>
      <c r="H24" s="2680"/>
      <c r="I24" s="2680"/>
      <c r="J24" s="2680"/>
      <c r="K24" s="183"/>
      <c r="L24" s="1993"/>
      <c r="M24" s="1993"/>
      <c r="N24" s="1993"/>
    </row>
    <row r="25" spans="1:14" s="1994" customFormat="1" ht="13.5" customHeight="1">
      <c r="A25" s="2715" t="s">
        <v>1793</v>
      </c>
      <c r="B25" s="2900" t="s">
        <v>2763</v>
      </c>
      <c r="C25" s="367">
        <f>ROUND(F25/(1+'数据-取费表'!C42),4)</f>
        <v>3.8600000000000002E-2</v>
      </c>
      <c r="D25" s="362" t="s">
        <v>2757</v>
      </c>
      <c r="E25" s="369"/>
      <c r="F25" s="2721">
        <f>'数据-取费表'!B48+'数据-取费表'!B49</f>
        <v>4.0500000000000001E-2</v>
      </c>
      <c r="G25" s="2685" t="s">
        <v>2221</v>
      </c>
      <c r="H25" s="2678"/>
      <c r="I25" s="2678"/>
      <c r="J25" s="2678"/>
      <c r="K25" s="2679"/>
    </row>
    <row r="26" spans="1:14" s="1993" customFormat="1" ht="13.5" customHeight="1">
      <c r="A26" s="2715" t="s">
        <v>1794</v>
      </c>
      <c r="B26" s="2901" t="s">
        <v>2764</v>
      </c>
      <c r="C26" s="2722">
        <f ca="1">C28</f>
        <v>397</v>
      </c>
      <c r="D26" s="367">
        <f ca="1">C27</f>
        <v>4.5199999999999997E-2</v>
      </c>
      <c r="E26" s="369" t="s">
        <v>435</v>
      </c>
      <c r="F26" s="371">
        <f ca="1">'数据-取费表'!B40</f>
        <v>4.3499999999999997E-2</v>
      </c>
      <c r="G26" s="2438" t="str">
        <f>IF('数据-取费表'!B22&lt;=1,"单利计息。","复利计息。")&amp;"后续开发成本、管理费用及销售费用产生的利息。"</f>
        <v>单利计息。后续开发成本、管理费用及销售费用产生的利息。</v>
      </c>
      <c r="H26" s="2682"/>
      <c r="I26" s="2682"/>
      <c r="J26" s="2682"/>
      <c r="K26" s="2683"/>
    </row>
    <row r="27" spans="1:14" s="1995" customFormat="1" ht="13.5" customHeight="1">
      <c r="A27" s="703" t="s">
        <v>1789</v>
      </c>
      <c r="B27" s="2723" t="s">
        <v>436</v>
      </c>
      <c r="C27" s="2724">
        <f ca="1">ROUND(IF('数据-取费表'!B22&lt;=1,(1+C25)*F26*'数据-取费表'!B24,(1+C25)*(POWER((1+F26),'数据-取费表'!B24)-1)),4)</f>
        <v>4.5199999999999997E-2</v>
      </c>
      <c r="D27" s="372"/>
      <c r="E27" s="373"/>
      <c r="F27" s="374"/>
      <c r="G27" s="2438" t="str">
        <f>IF('数据-取费表'!B22&lt;=1,"（1+取得税费率/(1+5%)）×年利率×建设期","（1+取得税费率）/(1+5%)×((1+年利率)^建设期-1)")</f>
        <v>（1+取得税费率/(1+5%)）×年利率×建设期</v>
      </c>
      <c r="H27" s="2680"/>
      <c r="I27" s="2680"/>
      <c r="J27" s="2680"/>
      <c r="K27" s="183"/>
    </row>
    <row r="28" spans="1:14" s="1995" customFormat="1" ht="13.5" customHeight="1">
      <c r="A28" s="703" t="s">
        <v>1790</v>
      </c>
      <c r="B28" s="2723" t="s">
        <v>2766</v>
      </c>
      <c r="C28" s="2725">
        <f ca="1">ROUND(IF('数据-取费表'!B22&lt;=1,(C18+C19+C20+C23+C24)*F26*'数据-取费表'!B24/2,(C18+C19+C20+C23+C24)*(POWER((1+F26),'数据-取费表'!B24/2)-1)),0)</f>
        <v>397</v>
      </c>
      <c r="D28" s="372"/>
      <c r="E28" s="373"/>
      <c r="F28" s="374"/>
      <c r="G28" s="2438" t="str">
        <f>IF('数据-取费表'!B22&lt;=1,"（1）-（4）项×年利率×建设期÷2","（1）-（4）项×((1+年利率)^(建设期÷2)-1)")</f>
        <v>（1）-（4）项×年利率×建设期÷2</v>
      </c>
      <c r="H28" s="2680"/>
      <c r="I28" s="2680"/>
      <c r="J28" s="2680"/>
      <c r="K28" s="183"/>
    </row>
    <row r="29" spans="1:14" s="1995" customFormat="1" ht="13.5" customHeight="1">
      <c r="A29" s="2726" t="s">
        <v>1795</v>
      </c>
      <c r="B29" s="2716" t="s">
        <v>437</v>
      </c>
      <c r="C29" s="2717">
        <f ca="1">ROUND(C6*F29/(1+'数据-取费表'!C42),0)</f>
        <v>4190</v>
      </c>
      <c r="D29" s="368"/>
      <c r="E29" s="368"/>
      <c r="F29" s="2902">
        <f>'数据-取费表'!B41</f>
        <v>5.5000000000000007E-2</v>
      </c>
      <c r="G29" s="2686" t="s">
        <v>438</v>
      </c>
      <c r="H29" s="2678"/>
      <c r="I29" s="2678"/>
      <c r="J29" s="2678"/>
      <c r="K29" s="2679"/>
    </row>
    <row r="30" spans="1:14" s="1996" customFormat="1" ht="13.5" customHeight="1">
      <c r="A30" s="1523" t="s">
        <v>1796</v>
      </c>
      <c r="B30" s="2727" t="s">
        <v>440</v>
      </c>
      <c r="C30" s="2722">
        <f ca="1">C31</f>
        <v>22835</v>
      </c>
      <c r="D30" s="377">
        <f ca="1">C32</f>
        <v>8.3799999999999999E-2</v>
      </c>
      <c r="E30" s="369" t="s">
        <v>435</v>
      </c>
      <c r="F30" s="371"/>
      <c r="G30" s="2685" t="s">
        <v>2886</v>
      </c>
      <c r="H30" s="2678"/>
      <c r="I30" s="2678"/>
      <c r="J30" s="2678"/>
      <c r="K30" s="2679"/>
    </row>
    <row r="31" spans="1:14" s="1995" customFormat="1" ht="13.5" customHeight="1">
      <c r="A31" s="703" t="s">
        <v>1789</v>
      </c>
      <c r="B31" s="2723"/>
      <c r="C31" s="350">
        <f ca="1">C18+C19+C20+C23+C24+C26+C29</f>
        <v>22835</v>
      </c>
      <c r="D31" s="372"/>
      <c r="E31" s="373"/>
      <c r="F31" s="374"/>
      <c r="G31" s="165"/>
      <c r="H31" s="2680"/>
      <c r="I31" s="2680"/>
      <c r="J31" s="2680"/>
      <c r="K31" s="183"/>
    </row>
    <row r="32" spans="1:14" s="1995" customFormat="1" ht="13.5" customHeight="1">
      <c r="A32" s="703" t="s">
        <v>1790</v>
      </c>
      <c r="B32" s="2723"/>
      <c r="C32" s="52">
        <f ca="1">ROUND(C25+D26,4)</f>
        <v>8.3799999999999999E-2</v>
      </c>
      <c r="D32" s="372"/>
      <c r="E32" s="373"/>
      <c r="F32" s="374"/>
      <c r="G32" s="165"/>
      <c r="H32" s="2680"/>
      <c r="I32" s="2680"/>
      <c r="J32" s="2680"/>
      <c r="K32" s="183"/>
    </row>
    <row r="33" spans="1:11" s="1997" customFormat="1" ht="13.5" customHeight="1">
      <c r="A33" s="2899" t="s">
        <v>2761</v>
      </c>
      <c r="B33" s="2897" t="s">
        <v>2759</v>
      </c>
      <c r="C33" s="378">
        <f ca="1">C35</f>
        <v>912</v>
      </c>
      <c r="D33" s="367">
        <f ca="1">C34</f>
        <v>5.1900000000000002E-2</v>
      </c>
      <c r="E33" s="369" t="s">
        <v>435</v>
      </c>
      <c r="F33" s="379">
        <f ca="1">IF(B1="",'数据-取费表'!Q16,INDIRECT("'数据-取费表'!q"&amp;$K$1))</f>
        <v>0.05</v>
      </c>
      <c r="G33" s="2681"/>
      <c r="H33" s="2682"/>
      <c r="I33" s="2682"/>
      <c r="J33" s="2682"/>
      <c r="K33" s="2683"/>
    </row>
    <row r="34" spans="1:11" s="1998" customFormat="1" ht="13.5" customHeight="1">
      <c r="A34" s="275" t="s">
        <v>1789</v>
      </c>
      <c r="B34" s="2728" t="s">
        <v>441</v>
      </c>
      <c r="C34" s="372">
        <f ca="1">ROUND((1+C25)*F33,4)</f>
        <v>5.1900000000000002E-2</v>
      </c>
      <c r="D34" s="372"/>
      <c r="E34" s="373"/>
      <c r="F34" s="380"/>
      <c r="G34" s="165" t="s">
        <v>2222</v>
      </c>
      <c r="H34" s="2680"/>
      <c r="I34" s="2680"/>
      <c r="J34" s="2680"/>
      <c r="K34" s="183"/>
    </row>
    <row r="35" spans="1:11" s="1998" customFormat="1" ht="13.5" customHeight="1" thickBot="1">
      <c r="A35" s="1524" t="s">
        <v>1790</v>
      </c>
      <c r="B35" s="2898" t="s">
        <v>2767</v>
      </c>
      <c r="C35" s="1516">
        <f ca="1">ROUND((C18+C19+C20+C23+C24)*F33,0)</f>
        <v>912</v>
      </c>
      <c r="D35" s="1517"/>
      <c r="E35" s="2729"/>
      <c r="F35" s="1518"/>
      <c r="G35" s="2687"/>
      <c r="H35" s="2688"/>
      <c r="I35" s="2688"/>
      <c r="J35" s="2688"/>
      <c r="K35" s="2689"/>
    </row>
    <row r="36" spans="1:11" s="1960" customFormat="1" ht="13.5" customHeight="1" thickBot="1">
      <c r="A36" s="188" t="s">
        <v>1777</v>
      </c>
      <c r="B36" s="2691"/>
      <c r="C36" s="2730">
        <f ca="1">ROUND((C6-C30-C33)/(1+D30+D33),0)</f>
        <v>49519</v>
      </c>
      <c r="D36" s="2691"/>
      <c r="E36" s="2691"/>
      <c r="F36" s="2691"/>
      <c r="G36" s="2690" t="s">
        <v>2768</v>
      </c>
      <c r="H36" s="2691"/>
      <c r="I36" s="2691"/>
      <c r="J36" s="2691"/>
      <c r="K36" s="269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B15" zoomScale="85" zoomScaleNormal="80" zoomScaleSheetLayoutView="85" workbookViewId="0">
      <selection activeCell="H55" sqref="H55"/>
    </sheetView>
  </sheetViews>
  <sheetFormatPr defaultColWidth="9" defaultRowHeight="14.25"/>
  <cols>
    <col min="1" max="1" width="10.5" style="1225" customWidth="1"/>
    <col min="2" max="2" width="18.25" style="1225" customWidth="1"/>
    <col min="3" max="3" width="34.625" style="1225" customWidth="1"/>
    <col min="4" max="4" width="12.25" style="1225" customWidth="1"/>
    <col min="5" max="5" width="17.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658</v>
      </c>
      <c r="B1" s="2488" t="s">
        <v>659</v>
      </c>
      <c r="C1" s="2489" t="s">
        <v>660</v>
      </c>
      <c r="D1" s="2490" t="s">
        <v>855</v>
      </c>
      <c r="E1" s="2491"/>
      <c r="F1" s="2672" t="s">
        <v>3011</v>
      </c>
      <c r="G1" s="1489" t="s">
        <v>661</v>
      </c>
      <c r="H1" s="406"/>
      <c r="I1" s="406"/>
      <c r="J1" s="406"/>
      <c r="K1" s="407"/>
      <c r="L1" s="1450"/>
      <c r="M1" s="1451"/>
      <c r="N1" s="1451"/>
      <c r="O1" s="1451"/>
      <c r="P1" s="1452"/>
      <c r="Q1" s="1452"/>
      <c r="R1" s="1452"/>
      <c r="S1" s="1452"/>
      <c r="T1" s="1452"/>
      <c r="U1" s="1452"/>
      <c r="V1" s="1452"/>
      <c r="W1" s="1452"/>
      <c r="X1" s="1452"/>
      <c r="Y1" s="1452"/>
      <c r="Z1" s="1452"/>
      <c r="AA1" s="1452"/>
      <c r="AB1" s="1452"/>
      <c r="AC1" s="1453"/>
    </row>
    <row r="2" spans="1:29" s="1250" customFormat="1" ht="28.5" customHeight="1">
      <c r="A2" s="323" t="s">
        <v>407</v>
      </c>
      <c r="B2" s="2487">
        <f>ROUND(B3*D3/10000,0)</f>
        <v>77239</v>
      </c>
      <c r="C2" s="2002"/>
      <c r="D2" s="2002"/>
      <c r="E2" s="2002"/>
      <c r="F2" s="2076"/>
      <c r="G2" s="2002"/>
      <c r="H2" s="2002"/>
      <c r="I2" s="2002"/>
      <c r="J2" s="2002"/>
      <c r="K2" s="2077"/>
      <c r="L2" s="2078"/>
      <c r="M2" s="2079"/>
      <c r="N2" s="2079"/>
      <c r="O2" s="2079"/>
      <c r="P2" s="1490"/>
      <c r="Q2" s="1490"/>
      <c r="R2" s="1490"/>
      <c r="S2" s="1490"/>
      <c r="T2" s="1490"/>
      <c r="U2" s="1490"/>
      <c r="V2" s="1490"/>
      <c r="W2" s="1490"/>
      <c r="X2" s="1490"/>
      <c r="Y2" s="1490"/>
      <c r="Z2" s="1490"/>
      <c r="AA2" s="1490"/>
      <c r="AB2" s="1490"/>
      <c r="AC2" s="1491"/>
    </row>
    <row r="3" spans="1:29" s="1250" customFormat="1" ht="28.5" customHeight="1" thickBot="1">
      <c r="A3" s="409" t="s">
        <v>459</v>
      </c>
      <c r="B3" s="751">
        <f>C49</f>
        <v>13401</v>
      </c>
      <c r="C3" s="752" t="s">
        <v>662</v>
      </c>
      <c r="D3" s="751">
        <f>SUMIF('数据-汇总表'!$C19:$C33,D1,'数据-汇总表'!$E19:$E33)</f>
        <v>57637</v>
      </c>
      <c r="E3" s="2002"/>
      <c r="F3" s="2076"/>
      <c r="G3" s="2002"/>
      <c r="H3" s="2002"/>
      <c r="I3" s="2002"/>
      <c r="J3" s="2002"/>
      <c r="K3" s="2077"/>
      <c r="L3" s="2078"/>
      <c r="M3" s="2079"/>
      <c r="N3" s="2079"/>
      <c r="O3" s="2079"/>
      <c r="P3" s="1490"/>
      <c r="Q3" s="1490"/>
      <c r="R3" s="1490"/>
      <c r="S3" s="1490"/>
      <c r="T3" s="1490"/>
      <c r="U3" s="1490"/>
      <c r="V3" s="1490"/>
      <c r="W3" s="1490"/>
      <c r="X3" s="1490"/>
      <c r="Y3" s="1490"/>
      <c r="Z3" s="1490"/>
      <c r="AA3" s="1490"/>
      <c r="AB3" s="1490"/>
      <c r="AC3" s="1492"/>
    </row>
    <row r="4" spans="1:29" ht="15">
      <c r="A4" s="412" t="s">
        <v>461</v>
      </c>
      <c r="B4" s="413"/>
      <c r="C4" s="3384" t="s">
        <v>462</v>
      </c>
      <c r="D4" s="3385"/>
      <c r="E4" s="3418" t="s">
        <v>463</v>
      </c>
      <c r="F4" s="3419"/>
      <c r="G4" s="3384" t="s">
        <v>464</v>
      </c>
      <c r="H4" s="3385"/>
      <c r="I4" s="3384" t="s">
        <v>465</v>
      </c>
      <c r="J4" s="3385"/>
      <c r="K4" s="753" t="s">
        <v>466</v>
      </c>
      <c r="L4" s="2008"/>
      <c r="M4" s="2009"/>
      <c r="N4" s="2009"/>
      <c r="O4" s="2009"/>
      <c r="P4" s="3386" t="s">
        <v>467</v>
      </c>
      <c r="Q4" s="3387"/>
      <c r="R4" s="3392" t="s">
        <v>463</v>
      </c>
      <c r="S4" s="3393"/>
      <c r="T4" s="3392" t="s">
        <v>464</v>
      </c>
      <c r="U4" s="3393"/>
      <c r="V4" s="3379" t="s">
        <v>465</v>
      </c>
      <c r="W4" s="3379"/>
      <c r="X4" s="1455"/>
      <c r="Y4" s="3392" t="s">
        <v>467</v>
      </c>
      <c r="Z4" s="3393"/>
      <c r="AA4" s="3381" t="s">
        <v>463</v>
      </c>
      <c r="AB4" s="3381" t="s">
        <v>464</v>
      </c>
      <c r="AC4" s="3381" t="s">
        <v>465</v>
      </c>
    </row>
    <row r="5" spans="1:29" ht="15">
      <c r="A5" s="415"/>
      <c r="B5" s="416"/>
      <c r="C5" s="3400"/>
      <c r="D5" s="3401"/>
      <c r="E5" s="3495" t="s">
        <v>3258</v>
      </c>
      <c r="F5" s="3421"/>
      <c r="G5" s="3492" t="s">
        <v>3260</v>
      </c>
      <c r="H5" s="3401"/>
      <c r="I5" s="3492" t="s">
        <v>3261</v>
      </c>
      <c r="J5" s="3401"/>
      <c r="K5" s="754"/>
      <c r="L5" s="2008"/>
      <c r="M5" s="2009"/>
      <c r="N5" s="2009"/>
      <c r="O5" s="2009"/>
      <c r="P5" s="3388"/>
      <c r="Q5" s="3389"/>
      <c r="R5" s="3394"/>
      <c r="S5" s="3395"/>
      <c r="T5" s="3394"/>
      <c r="U5" s="3395"/>
      <c r="V5" s="3379"/>
      <c r="W5" s="3379"/>
      <c r="X5" s="1455"/>
      <c r="Y5" s="3394"/>
      <c r="Z5" s="3395"/>
      <c r="AA5" s="3382"/>
      <c r="AB5" s="3382"/>
      <c r="AC5" s="3382"/>
    </row>
    <row r="6" spans="1:29" ht="15.75" thickBot="1">
      <c r="A6" s="417"/>
      <c r="B6" s="418"/>
      <c r="C6" s="3493" t="s">
        <v>3012</v>
      </c>
      <c r="D6" s="3399"/>
      <c r="E6" s="3494" t="s">
        <v>3259</v>
      </c>
      <c r="F6" s="3417"/>
      <c r="G6" s="3398" t="s">
        <v>2845</v>
      </c>
      <c r="H6" s="3399"/>
      <c r="I6" s="3491" t="s">
        <v>3264</v>
      </c>
      <c r="J6" s="3399"/>
      <c r="K6" s="754" t="s">
        <v>468</v>
      </c>
      <c r="L6" s="2008"/>
      <c r="M6" s="2009"/>
      <c r="N6" s="2009"/>
      <c r="O6" s="2009"/>
      <c r="P6" s="3390"/>
      <c r="Q6" s="3391"/>
      <c r="R6" s="3394"/>
      <c r="S6" s="3395"/>
      <c r="T6" s="3396"/>
      <c r="U6" s="3397"/>
      <c r="V6" s="3379"/>
      <c r="W6" s="3379"/>
      <c r="X6" s="1455"/>
      <c r="Y6" s="3396"/>
      <c r="Z6" s="3397"/>
      <c r="AA6" s="3383"/>
      <c r="AB6" s="3383"/>
      <c r="AC6" s="3383"/>
    </row>
    <row r="7" spans="1:29" s="1108" customFormat="1" ht="15.75" thickBot="1">
      <c r="A7" s="2777"/>
      <c r="B7" s="2784" t="s">
        <v>469</v>
      </c>
      <c r="C7" s="419">
        <f>'数据-取费表'!B2</f>
        <v>43240</v>
      </c>
      <c r="D7" s="420">
        <v>100</v>
      </c>
      <c r="E7" s="421">
        <v>43191</v>
      </c>
      <c r="F7" s="422">
        <f>SUMIF(58:58,YEAR(E7)&amp;"-"&amp;MONTH(E7),59:59)</f>
        <v>100</v>
      </c>
      <c r="G7" s="423">
        <v>43221</v>
      </c>
      <c r="H7" s="420">
        <f>SUMIF(58:58,YEAR(G7)&amp;"-"&amp;MONTH(G7),59:59)</f>
        <v>100</v>
      </c>
      <c r="I7" s="423">
        <v>43221</v>
      </c>
      <c r="J7" s="420">
        <f>SUMIF(58:58,YEAR(I7)&amp;"-"&amp;MONTH(I7),59:59)</f>
        <v>100</v>
      </c>
      <c r="K7" s="755"/>
      <c r="L7" s="2010"/>
      <c r="M7" s="2011"/>
      <c r="N7" s="2011"/>
      <c r="O7" s="2011"/>
      <c r="P7" s="3409" t="s">
        <v>470</v>
      </c>
      <c r="Q7" s="3411"/>
      <c r="R7" s="1456" t="s">
        <v>13</v>
      </c>
      <c r="S7" s="1457">
        <f t="shared" ref="S7:S15" si="0">F7</f>
        <v>100</v>
      </c>
      <c r="T7" s="1456" t="s">
        <v>13</v>
      </c>
      <c r="U7" s="1457">
        <f t="shared" ref="U7:U15" si="1">H7</f>
        <v>100</v>
      </c>
      <c r="V7" s="1456" t="s">
        <v>13</v>
      </c>
      <c r="W7" s="1457">
        <f t="shared" ref="W7:W15" si="2">J7</f>
        <v>100</v>
      </c>
      <c r="X7" s="1458"/>
      <c r="Y7" s="3409" t="s">
        <v>470</v>
      </c>
      <c r="Z7" s="3410"/>
      <c r="AA7" s="1459">
        <f>D7/F7</f>
        <v>1</v>
      </c>
      <c r="AB7" s="1459">
        <f>D7/H7</f>
        <v>1</v>
      </c>
      <c r="AC7" s="1459">
        <f>D7/J7</f>
        <v>1</v>
      </c>
    </row>
    <row r="8" spans="1:29" s="1108" customFormat="1" ht="15.75" thickBot="1">
      <c r="A8" s="2778"/>
      <c r="B8" s="2785" t="s">
        <v>471</v>
      </c>
      <c r="C8" s="425" t="s">
        <v>516</v>
      </c>
      <c r="D8" s="420">
        <v>100</v>
      </c>
      <c r="E8" s="756" t="s">
        <v>3222</v>
      </c>
      <c r="F8" s="422">
        <f>SUMIF(61:61,E8,62:62)-SUMIF(61:61,C8,62:62)+100</f>
        <v>100</v>
      </c>
      <c r="G8" s="425" t="s">
        <v>3222</v>
      </c>
      <c r="H8" s="420">
        <f>SUMIF(61:61,G8,62:62)-SUMIF(61:61,C8,62:62)+100</f>
        <v>100</v>
      </c>
      <c r="I8" s="756" t="s">
        <v>3222</v>
      </c>
      <c r="J8" s="420">
        <f>SUMIF(61:61,I8,62:62)-SUMIF(61:61,C8,62:62)+100</f>
        <v>100</v>
      </c>
      <c r="K8" s="755"/>
      <c r="L8" s="2010"/>
      <c r="M8" s="2011"/>
      <c r="N8" s="2011"/>
      <c r="O8" s="2011"/>
      <c r="P8" s="3409" t="s">
        <v>473</v>
      </c>
      <c r="Q8" s="3410"/>
      <c r="R8" s="1456" t="s">
        <v>13</v>
      </c>
      <c r="S8" s="1457">
        <f t="shared" si="0"/>
        <v>100</v>
      </c>
      <c r="T8" s="1456" t="s">
        <v>13</v>
      </c>
      <c r="U8" s="1457">
        <f t="shared" si="1"/>
        <v>100</v>
      </c>
      <c r="V8" s="1456" t="s">
        <v>13</v>
      </c>
      <c r="W8" s="1457">
        <f t="shared" si="2"/>
        <v>100</v>
      </c>
      <c r="X8" s="1458"/>
      <c r="Y8" s="3409" t="s">
        <v>473</v>
      </c>
      <c r="Z8" s="3410"/>
      <c r="AA8" s="1459">
        <f t="shared" ref="AA8:AA46" si="3">D8/F8</f>
        <v>1</v>
      </c>
      <c r="AB8" s="1459">
        <f t="shared" ref="AB8:AB46" si="4">D8/H8</f>
        <v>1</v>
      </c>
      <c r="AC8" s="1459">
        <f t="shared" ref="AC8:AC46" si="5">D8/J8</f>
        <v>1</v>
      </c>
    </row>
    <row r="9" spans="1:29" s="1108" customFormat="1" ht="15">
      <c r="A9" s="2779"/>
      <c r="B9" s="2786" t="s">
        <v>2684</v>
      </c>
      <c r="C9" s="3184" t="s">
        <v>3234</v>
      </c>
      <c r="D9" s="158">
        <v>100</v>
      </c>
      <c r="E9" s="758" t="s">
        <v>3015</v>
      </c>
      <c r="F9" s="759">
        <f>SUMIF(63:63,E9,64:64)-SUMIF(63:63,C9,64:64)+100</f>
        <v>100</v>
      </c>
      <c r="G9" s="760" t="s">
        <v>3015</v>
      </c>
      <c r="H9" s="158">
        <f>SUMIF(63:63,G9,64:64)-SUMIF(63:63,C9,64:64)+100</f>
        <v>100</v>
      </c>
      <c r="I9" s="760" t="s">
        <v>3015</v>
      </c>
      <c r="J9" s="158">
        <f>SUMIF(63:63,I9,64:64)-SUMIF(63:63,C9,64:64)+100</f>
        <v>100</v>
      </c>
      <c r="K9" s="755"/>
      <c r="L9" s="2010"/>
      <c r="M9" s="2011"/>
      <c r="N9" s="2011"/>
      <c r="O9" s="2012"/>
      <c r="P9" s="3378" t="s">
        <v>475</v>
      </c>
      <c r="Q9" s="1049" t="str">
        <f t="shared" ref="Q9:Q15" si="6">B9</f>
        <v>用途</v>
      </c>
      <c r="R9" s="1456" t="s">
        <v>8</v>
      </c>
      <c r="S9" s="1457">
        <f t="shared" si="0"/>
        <v>100</v>
      </c>
      <c r="T9" s="1456" t="s">
        <v>8</v>
      </c>
      <c r="U9" s="1457">
        <f t="shared" si="1"/>
        <v>100</v>
      </c>
      <c r="V9" s="1456" t="s">
        <v>8</v>
      </c>
      <c r="W9" s="1457">
        <f t="shared" si="2"/>
        <v>100</v>
      </c>
      <c r="X9" s="1458"/>
      <c r="Y9" s="3324" t="s">
        <v>476</v>
      </c>
      <c r="Z9" s="1048" t="str">
        <f t="shared" ref="Z9:Z15" si="7">Q9</f>
        <v>用途</v>
      </c>
      <c r="AA9" s="1459">
        <f t="shared" si="3"/>
        <v>1</v>
      </c>
      <c r="AB9" s="1459">
        <f t="shared" si="4"/>
        <v>1</v>
      </c>
      <c r="AC9" s="1459">
        <f t="shared" si="5"/>
        <v>1</v>
      </c>
    </row>
    <row r="10" spans="1:29" s="1226" customFormat="1" ht="27">
      <c r="A10" s="2780"/>
      <c r="B10" s="2785" t="s">
        <v>2685</v>
      </c>
      <c r="C10" s="761" t="s">
        <v>3233</v>
      </c>
      <c r="D10" s="159">
        <v>100</v>
      </c>
      <c r="E10" s="762" t="s">
        <v>3233</v>
      </c>
      <c r="F10" s="763">
        <f>SUMIF(65:65,E10,66:66)-SUMIF(65:65,C10,66:66)+100</f>
        <v>100</v>
      </c>
      <c r="G10" s="761" t="s">
        <v>3233</v>
      </c>
      <c r="H10" s="159">
        <f>SUMIF(65:65,G10,66:66)-SUMIF(65:65,C10,66:66)+100</f>
        <v>100</v>
      </c>
      <c r="I10" s="761" t="s">
        <v>3233</v>
      </c>
      <c r="J10" s="159">
        <f>SUMIF(65:65,I10,66:66)-SUMIF(65:65,C10,66:66)+100</f>
        <v>100</v>
      </c>
      <c r="K10" s="764"/>
      <c r="L10" s="2013"/>
      <c r="M10" s="2053"/>
      <c r="N10" s="2053"/>
      <c r="O10" s="2014"/>
      <c r="P10" s="3378"/>
      <c r="Q10" s="1049" t="str">
        <f t="shared" si="6"/>
        <v>土地使用年限（年）</v>
      </c>
      <c r="R10" s="1456" t="s">
        <v>8</v>
      </c>
      <c r="S10" s="1457">
        <f t="shared" si="0"/>
        <v>100</v>
      </c>
      <c r="T10" s="1456" t="s">
        <v>8</v>
      </c>
      <c r="U10" s="1457">
        <f t="shared" si="1"/>
        <v>100</v>
      </c>
      <c r="V10" s="1456" t="s">
        <v>8</v>
      </c>
      <c r="W10" s="1457">
        <f t="shared" si="2"/>
        <v>100</v>
      </c>
      <c r="X10" s="1458"/>
      <c r="Y10" s="3324"/>
      <c r="Z10" s="1048" t="str">
        <f t="shared" si="7"/>
        <v>土地使用年限（年）</v>
      </c>
      <c r="AA10" s="1459">
        <f t="shared" si="3"/>
        <v>1</v>
      </c>
      <c r="AB10" s="1459">
        <f t="shared" si="4"/>
        <v>1</v>
      </c>
      <c r="AC10" s="1459">
        <f t="shared" si="5"/>
        <v>1</v>
      </c>
    </row>
    <row r="11" spans="1:29" ht="15.75" thickBot="1">
      <c r="A11" s="2781"/>
      <c r="B11" s="2785" t="s">
        <v>2686</v>
      </c>
      <c r="C11" s="433">
        <f>'数据-汇总表'!I4</f>
        <v>1.8</v>
      </c>
      <c r="D11" s="159">
        <v>100</v>
      </c>
      <c r="E11" s="434">
        <v>2.2999999999999998</v>
      </c>
      <c r="F11" s="763">
        <f>LOOKUP(E11,68:68,69:69)-LOOKUP(C11,68:68,69:69)+100</f>
        <v>99</v>
      </c>
      <c r="G11" s="433">
        <v>2.2000000000000002</v>
      </c>
      <c r="H11" s="159">
        <f>LOOKUP(G11,68:68,69:69)-LOOKUP(C11,68:68,69:69)+100</f>
        <v>99</v>
      </c>
      <c r="I11" s="433">
        <v>2.2000000000000002</v>
      </c>
      <c r="J11" s="159">
        <f>LOOKUP(I11,68:68,69:69)-LOOKUP(C11,68:68,69:69)+100</f>
        <v>99</v>
      </c>
      <c r="K11" s="764">
        <v>1</v>
      </c>
      <c r="L11" s="2015"/>
      <c r="M11" s="2009"/>
      <c r="N11" s="2009"/>
      <c r="O11" s="2016"/>
      <c r="P11" s="3378"/>
      <c r="Q11" s="1049" t="str">
        <f t="shared" si="6"/>
        <v>容积率</v>
      </c>
      <c r="R11" s="1456" t="s">
        <v>11</v>
      </c>
      <c r="S11" s="1457">
        <f t="shared" si="0"/>
        <v>99</v>
      </c>
      <c r="T11" s="1456" t="s">
        <v>11</v>
      </c>
      <c r="U11" s="1457">
        <f t="shared" si="1"/>
        <v>99</v>
      </c>
      <c r="V11" s="1456" t="s">
        <v>11</v>
      </c>
      <c r="W11" s="1457">
        <f t="shared" si="2"/>
        <v>99</v>
      </c>
      <c r="X11" s="1458"/>
      <c r="Y11" s="3324"/>
      <c r="Z11" s="1048" t="str">
        <f t="shared" si="7"/>
        <v>容积率</v>
      </c>
      <c r="AA11" s="1459">
        <f t="shared" si="3"/>
        <v>1.0101010101010102</v>
      </c>
      <c r="AB11" s="1459">
        <f t="shared" si="4"/>
        <v>1.0101010101010102</v>
      </c>
      <c r="AC11" s="1459">
        <f t="shared" si="5"/>
        <v>1.0101010101010102</v>
      </c>
    </row>
    <row r="12" spans="1:29" s="1108" customFormat="1" ht="15.75" hidden="1" thickBot="1">
      <c r="A12" s="2782"/>
      <c r="B12" s="3154"/>
      <c r="C12" s="3155"/>
      <c r="D12" s="438">
        <v>100</v>
      </c>
      <c r="E12" s="428"/>
      <c r="F12" s="763">
        <f>SUMIF(70:70,E12,71:71)-SUMIF(70:70,C12,71:71)+100</f>
        <v>100</v>
      </c>
      <c r="G12" s="428"/>
      <c r="H12" s="159">
        <f>SUMIF(70:70,G12,71:71)-SUMIF(70:70,C12,71:71)+100</f>
        <v>100</v>
      </c>
      <c r="I12" s="428"/>
      <c r="J12" s="159">
        <f>SUMIF(70:70,I12,71:71)-SUMIF(70:70,C12,71:71)+100</f>
        <v>100</v>
      </c>
      <c r="K12" s="765"/>
      <c r="L12" s="2010"/>
      <c r="M12" s="2011"/>
      <c r="N12" s="2011"/>
      <c r="O12" s="2012"/>
      <c r="P12" s="3378"/>
      <c r="Q12" s="1049">
        <f t="shared" si="6"/>
        <v>0</v>
      </c>
      <c r="R12" s="1456" t="s">
        <v>11</v>
      </c>
      <c r="S12" s="1457">
        <f t="shared" si="0"/>
        <v>100</v>
      </c>
      <c r="T12" s="1456" t="s">
        <v>11</v>
      </c>
      <c r="U12" s="1457">
        <f t="shared" si="1"/>
        <v>100</v>
      </c>
      <c r="V12" s="1456" t="s">
        <v>11</v>
      </c>
      <c r="W12" s="1457">
        <f t="shared" si="2"/>
        <v>100</v>
      </c>
      <c r="X12" s="1458"/>
      <c r="Y12" s="3324"/>
      <c r="Z12" s="1048">
        <f t="shared" si="7"/>
        <v>0</v>
      </c>
      <c r="AA12" s="1459">
        <f>D12/F12</f>
        <v>1</v>
      </c>
      <c r="AB12" s="1459">
        <f>D12/H12</f>
        <v>1</v>
      </c>
      <c r="AC12" s="1459">
        <f>D12/J12</f>
        <v>1</v>
      </c>
    </row>
    <row r="13" spans="1:29" ht="15" hidden="1">
      <c r="A13" s="2782"/>
      <c r="B13" s="2788"/>
      <c r="C13" s="439"/>
      <c r="D13" s="440">
        <v>100</v>
      </c>
      <c r="E13" s="439"/>
      <c r="F13" s="763">
        <f>SUMIF(72:72,E13,73:73)-SUMIF(72:72,C13,73:73)+100</f>
        <v>100</v>
      </c>
      <c r="G13" s="439"/>
      <c r="H13" s="440">
        <f>SUMIF(72:72,G13,73:73)-SUMIF(72:72,C13,73:73)+100</f>
        <v>100</v>
      </c>
      <c r="I13" s="439"/>
      <c r="J13" s="440">
        <f>SUMIF(72:72,I13,73:73)-SUMIF(72:72,C13,73:73)+100</f>
        <v>100</v>
      </c>
      <c r="K13" s="765"/>
      <c r="L13" s="2017"/>
      <c r="M13" s="2009"/>
      <c r="N13" s="2009"/>
      <c r="O13" s="2016"/>
      <c r="P13" s="3378"/>
      <c r="Q13" s="1049">
        <f t="shared" si="6"/>
        <v>0</v>
      </c>
      <c r="R13" s="1456" t="s">
        <v>11</v>
      </c>
      <c r="S13" s="1457">
        <f t="shared" si="0"/>
        <v>100</v>
      </c>
      <c r="T13" s="1456" t="s">
        <v>11</v>
      </c>
      <c r="U13" s="1457">
        <f t="shared" si="1"/>
        <v>100</v>
      </c>
      <c r="V13" s="1456" t="s">
        <v>11</v>
      </c>
      <c r="W13" s="1457">
        <f t="shared" si="2"/>
        <v>100</v>
      </c>
      <c r="X13" s="1458"/>
      <c r="Y13" s="3324"/>
      <c r="Z13" s="1048">
        <f t="shared" si="7"/>
        <v>0</v>
      </c>
      <c r="AA13" s="1459">
        <f t="shared" si="3"/>
        <v>1</v>
      </c>
      <c r="AB13" s="1459">
        <f t="shared" si="4"/>
        <v>1</v>
      </c>
      <c r="AC13" s="1459">
        <f t="shared" si="5"/>
        <v>1</v>
      </c>
    </row>
    <row r="14" spans="1:29" ht="15.75" hidden="1" thickBot="1">
      <c r="A14" s="2783"/>
      <c r="B14" s="2789"/>
      <c r="C14" s="445"/>
      <c r="D14" s="446">
        <v>100</v>
      </c>
      <c r="E14" s="445"/>
      <c r="F14" s="766">
        <f>SUMIF(74:74,E14,75:75)-SUMIF(74:74,C14,75:75)+100</f>
        <v>100</v>
      </c>
      <c r="G14" s="445"/>
      <c r="H14" s="446">
        <f>SUMIF(74:74,G14,75:75)-SUMIF(74:74,C14,75:75)+100</f>
        <v>100</v>
      </c>
      <c r="I14" s="445"/>
      <c r="J14" s="446">
        <f>SUMIF(74:74,I14,75:75)-SUMIF(74:74,C14,75:75)+100</f>
        <v>100</v>
      </c>
      <c r="K14" s="765"/>
      <c r="L14" s="2017"/>
      <c r="M14" s="2009"/>
      <c r="N14" s="2009"/>
      <c r="O14" s="2016"/>
      <c r="P14" s="3378"/>
      <c r="Q14" s="1049">
        <f t="shared" si="6"/>
        <v>0</v>
      </c>
      <c r="R14" s="1456" t="s">
        <v>11</v>
      </c>
      <c r="S14" s="1457">
        <f t="shared" si="0"/>
        <v>100</v>
      </c>
      <c r="T14" s="1456" t="s">
        <v>11</v>
      </c>
      <c r="U14" s="1457">
        <f t="shared" si="1"/>
        <v>100</v>
      </c>
      <c r="V14" s="1456" t="s">
        <v>11</v>
      </c>
      <c r="W14" s="1457">
        <f t="shared" si="2"/>
        <v>100</v>
      </c>
      <c r="X14" s="1458"/>
      <c r="Y14" s="3324"/>
      <c r="Z14" s="1048">
        <f t="shared" si="7"/>
        <v>0</v>
      </c>
      <c r="AA14" s="1459">
        <f t="shared" si="3"/>
        <v>1</v>
      </c>
      <c r="AB14" s="1459">
        <f t="shared" si="4"/>
        <v>1</v>
      </c>
      <c r="AC14" s="1459">
        <f t="shared" si="5"/>
        <v>1</v>
      </c>
    </row>
    <row r="15" spans="1:29" ht="15">
      <c r="A15" s="2775" t="s">
        <v>2682</v>
      </c>
      <c r="B15" s="146" t="s">
        <v>235</v>
      </c>
      <c r="C15" s="767" t="str">
        <f>估价对象房地状况!C3</f>
        <v>大运府邸、云都花园、中都华庭</v>
      </c>
      <c r="D15" s="449">
        <v>100</v>
      </c>
      <c r="E15" s="450"/>
      <c r="F15" s="451">
        <f>SUMIF(76:76,E16,77:77)-SUMIF(76:76,C16,77:77)+100</f>
        <v>100</v>
      </c>
      <c r="G15" s="452"/>
      <c r="H15" s="449">
        <f>SUMIF(76:76,G16,77:77)-SUMIF(76:76,C16,77:77)+100</f>
        <v>103</v>
      </c>
      <c r="I15" s="450"/>
      <c r="J15" s="449">
        <f>SUMIF(76:76,I16,77:77)-SUMIF(76:76,C16,77:77)+100</f>
        <v>106</v>
      </c>
      <c r="K15" s="768">
        <v>3</v>
      </c>
      <c r="L15" s="2017"/>
      <c r="M15" s="2009"/>
      <c r="N15" s="2009"/>
      <c r="O15" s="2016"/>
      <c r="P15" s="3412" t="s">
        <v>480</v>
      </c>
      <c r="Q15" s="1460" t="str">
        <f t="shared" si="6"/>
        <v>居住社区成熟度</v>
      </c>
      <c r="R15" s="1461" t="s">
        <v>11</v>
      </c>
      <c r="S15" s="1462">
        <f t="shared" si="0"/>
        <v>100</v>
      </c>
      <c r="T15" s="1461" t="s">
        <v>11</v>
      </c>
      <c r="U15" s="1462">
        <f t="shared" si="1"/>
        <v>103</v>
      </c>
      <c r="V15" s="1461" t="s">
        <v>11</v>
      </c>
      <c r="W15" s="1462">
        <f t="shared" si="2"/>
        <v>106</v>
      </c>
      <c r="X15" s="1455"/>
      <c r="Y15" s="3412" t="s">
        <v>480</v>
      </c>
      <c r="Z15" s="1463" t="str">
        <f t="shared" si="7"/>
        <v>居住社区成熟度</v>
      </c>
      <c r="AA15" s="1464">
        <f t="shared" si="3"/>
        <v>1</v>
      </c>
      <c r="AB15" s="1464">
        <f t="shared" si="4"/>
        <v>0.970873786407767</v>
      </c>
      <c r="AC15" s="1464">
        <f t="shared" si="5"/>
        <v>0.94339622641509435</v>
      </c>
    </row>
    <row r="16" spans="1:29" ht="15">
      <c r="A16" s="432"/>
      <c r="B16" s="769"/>
      <c r="C16" s="476" t="s">
        <v>3203</v>
      </c>
      <c r="D16" s="455"/>
      <c r="E16" s="456" t="s">
        <v>3203</v>
      </c>
      <c r="F16" s="457"/>
      <c r="G16" s="458" t="s">
        <v>3201</v>
      </c>
      <c r="H16" s="459"/>
      <c r="I16" s="456" t="s">
        <v>3257</v>
      </c>
      <c r="J16" s="455"/>
      <c r="K16" s="770"/>
      <c r="L16" s="2017"/>
      <c r="M16" s="2009"/>
      <c r="N16" s="2009"/>
      <c r="O16" s="2016"/>
      <c r="P16" s="3413"/>
      <c r="Q16" s="1460"/>
      <c r="R16" s="1461"/>
      <c r="S16" s="1462"/>
      <c r="T16" s="1461"/>
      <c r="U16" s="1462"/>
      <c r="V16" s="1461"/>
      <c r="W16" s="1462"/>
      <c r="X16" s="1455"/>
      <c r="Y16" s="3413"/>
      <c r="Z16" s="1463"/>
      <c r="AA16" s="1464">
        <v>1</v>
      </c>
      <c r="AB16" s="1464">
        <v>1</v>
      </c>
      <c r="AC16" s="1464">
        <v>1</v>
      </c>
    </row>
    <row r="17" spans="1:29" ht="36.4" customHeight="1">
      <c r="A17" s="432"/>
      <c r="B17" s="771" t="s">
        <v>236</v>
      </c>
      <c r="C17" s="772" t="str">
        <f>估价对象房地状况!C6</f>
        <v>233路、平湖k166路；大云镇客运站；嘉善南站；1高速、1省道</v>
      </c>
      <c r="D17" s="459">
        <v>100</v>
      </c>
      <c r="E17" s="462"/>
      <c r="F17" s="463">
        <f>SUMIF(78:78,E18,79:79)-SUMIF(78:78,C18,79:79)+100</f>
        <v>100</v>
      </c>
      <c r="G17" s="464"/>
      <c r="H17" s="465">
        <f>SUMIF(78:78,G18,79:79)-SUMIF(78:78,C18,79:79)+100</f>
        <v>98</v>
      </c>
      <c r="I17" s="462"/>
      <c r="J17" s="465">
        <f>SUMIF(78:78,I18,79:79)-SUMIF(78:78,C18,79:79)+100</f>
        <v>100</v>
      </c>
      <c r="K17" s="768">
        <v>2</v>
      </c>
      <c r="L17" s="2017"/>
      <c r="M17" s="2009"/>
      <c r="N17" s="2009"/>
      <c r="O17" s="2016"/>
      <c r="P17" s="3413"/>
      <c r="Q17" s="1460" t="str">
        <f>B17</f>
        <v>交通便捷度</v>
      </c>
      <c r="R17" s="1461" t="s">
        <v>11</v>
      </c>
      <c r="S17" s="1462">
        <f>F17</f>
        <v>100</v>
      </c>
      <c r="T17" s="1461" t="s">
        <v>11</v>
      </c>
      <c r="U17" s="1462">
        <f>H17</f>
        <v>98</v>
      </c>
      <c r="V17" s="1461" t="s">
        <v>11</v>
      </c>
      <c r="W17" s="1462">
        <f>J17</f>
        <v>100</v>
      </c>
      <c r="X17" s="1455"/>
      <c r="Y17" s="3413"/>
      <c r="Z17" s="1463" t="str">
        <f>Q17</f>
        <v>交通便捷度</v>
      </c>
      <c r="AA17" s="1464">
        <f t="shared" si="3"/>
        <v>1</v>
      </c>
      <c r="AB17" s="1464">
        <f t="shared" si="4"/>
        <v>1.0204081632653061</v>
      </c>
      <c r="AC17" s="1464">
        <f t="shared" si="5"/>
        <v>1</v>
      </c>
    </row>
    <row r="18" spans="1:29" ht="15">
      <c r="A18" s="432"/>
      <c r="B18" s="495"/>
      <c r="C18" s="773" t="s">
        <v>3201</v>
      </c>
      <c r="D18" s="459"/>
      <c r="E18" s="468" t="s">
        <v>3201</v>
      </c>
      <c r="F18" s="463"/>
      <c r="G18" s="469" t="s">
        <v>3203</v>
      </c>
      <c r="H18" s="455"/>
      <c r="I18" s="468" t="s">
        <v>3201</v>
      </c>
      <c r="J18" s="455"/>
      <c r="K18" s="770"/>
      <c r="L18" s="2017"/>
      <c r="M18" s="2009"/>
      <c r="N18" s="2009"/>
      <c r="O18" s="2016"/>
      <c r="P18" s="3413"/>
      <c r="Q18" s="1460"/>
      <c r="R18" s="1461"/>
      <c r="S18" s="1462"/>
      <c r="T18" s="1461"/>
      <c r="U18" s="1462"/>
      <c r="V18" s="1461"/>
      <c r="W18" s="1462"/>
      <c r="X18" s="1455"/>
      <c r="Y18" s="3413"/>
      <c r="Z18" s="1463"/>
      <c r="AA18" s="1464">
        <v>1</v>
      </c>
      <c r="AB18" s="1464">
        <v>1</v>
      </c>
      <c r="AC18" s="1464">
        <v>1</v>
      </c>
    </row>
    <row r="19" spans="1:29" ht="15">
      <c r="A19" s="432"/>
      <c r="B19" s="2466" t="s">
        <v>2474</v>
      </c>
      <c r="C19" s="772" t="str">
        <f>估价对象房地状况!C7</f>
        <v>医院、学校、银行、餐饮</v>
      </c>
      <c r="D19" s="465">
        <v>100</v>
      </c>
      <c r="E19" s="470"/>
      <c r="F19" s="471">
        <f>SUMIF(80:80,E20,81:81)-SUMIF(80:80,C20,81:81)+100</f>
        <v>100</v>
      </c>
      <c r="G19" s="472"/>
      <c r="H19" s="459">
        <f>SUMIF(80:80,G20,81:81)-SUMIF(80:80,C20,81:81)+100</f>
        <v>100</v>
      </c>
      <c r="I19" s="470"/>
      <c r="J19" s="459">
        <f>SUMIF(80:80,I20,81:81)-SUMIF(80:80,C20,81:81)+100</f>
        <v>105</v>
      </c>
      <c r="K19" s="768">
        <v>5</v>
      </c>
      <c r="L19" s="2017"/>
      <c r="M19" s="2009"/>
      <c r="N19" s="2009"/>
      <c r="O19" s="2016"/>
      <c r="P19" s="3413"/>
      <c r="Q19" s="1460" t="str">
        <f>B19</f>
        <v>公共配套设施</v>
      </c>
      <c r="R19" s="1461" t="s">
        <v>11</v>
      </c>
      <c r="S19" s="1462">
        <f>F19</f>
        <v>100</v>
      </c>
      <c r="T19" s="1461" t="s">
        <v>11</v>
      </c>
      <c r="U19" s="1462">
        <f>H19</f>
        <v>100</v>
      </c>
      <c r="V19" s="1461" t="s">
        <v>11</v>
      </c>
      <c r="W19" s="1462">
        <f>J19</f>
        <v>105</v>
      </c>
      <c r="X19" s="1455"/>
      <c r="Y19" s="3413"/>
      <c r="Z19" s="1463" t="str">
        <f>Q19</f>
        <v>公共配套设施</v>
      </c>
      <c r="AA19" s="1464">
        <f t="shared" si="3"/>
        <v>1</v>
      </c>
      <c r="AB19" s="1464">
        <f t="shared" si="4"/>
        <v>1</v>
      </c>
      <c r="AC19" s="1464">
        <f t="shared" si="5"/>
        <v>0.95238095238095233</v>
      </c>
    </row>
    <row r="20" spans="1:29" ht="15">
      <c r="A20" s="432"/>
      <c r="B20" s="495"/>
      <c r="C20" s="476" t="s">
        <v>3203</v>
      </c>
      <c r="D20" s="455"/>
      <c r="E20" s="456" t="s">
        <v>3203</v>
      </c>
      <c r="F20" s="457"/>
      <c r="G20" s="458" t="s">
        <v>3203</v>
      </c>
      <c r="H20" s="455"/>
      <c r="I20" s="456" t="s">
        <v>3201</v>
      </c>
      <c r="J20" s="455"/>
      <c r="K20" s="770"/>
      <c r="L20" s="2017"/>
      <c r="M20" s="2009"/>
      <c r="N20" s="2009"/>
      <c r="O20" s="2016"/>
      <c r="P20" s="3413"/>
      <c r="Q20" s="1460"/>
      <c r="R20" s="1461"/>
      <c r="S20" s="1462"/>
      <c r="T20" s="1461"/>
      <c r="U20" s="1462"/>
      <c r="V20" s="1461"/>
      <c r="W20" s="1462"/>
      <c r="X20" s="1455"/>
      <c r="Y20" s="3413"/>
      <c r="Z20" s="1463"/>
      <c r="AA20" s="1464">
        <v>1</v>
      </c>
      <c r="AB20" s="1464">
        <v>1</v>
      </c>
      <c r="AC20" s="1464">
        <v>1</v>
      </c>
    </row>
    <row r="21" spans="1:29" ht="15">
      <c r="A21" s="432"/>
      <c r="B21" s="2459" t="s">
        <v>2486</v>
      </c>
      <c r="C21" s="772" t="str">
        <f>估价对象房地状况!C8</f>
        <v>六通</v>
      </c>
      <c r="D21" s="465">
        <v>100</v>
      </c>
      <c r="E21" s="472"/>
      <c r="F21" s="471">
        <f>SUMIF(82:82,E22,83:83)-SUMIF(82:82,C22,83:83)+100</f>
        <v>100</v>
      </c>
      <c r="G21" s="472"/>
      <c r="H21" s="465">
        <f>SUMIF(82:82,G22,83:83)-SUMIF(82:82,C22,83:83)+100</f>
        <v>100</v>
      </c>
      <c r="I21" s="470"/>
      <c r="J21" s="465">
        <f>SUMIF(82:82,I22,83:83)-SUMIF(82:82,C22,83:83)+100</f>
        <v>100</v>
      </c>
      <c r="K21" s="768">
        <v>2</v>
      </c>
      <c r="L21" s="2017"/>
      <c r="M21" s="2009"/>
      <c r="N21" s="2009"/>
      <c r="O21" s="2016"/>
      <c r="P21" s="3413"/>
      <c r="Q21" s="2445" t="str">
        <f>B21</f>
        <v>基础设施水平</v>
      </c>
      <c r="R21" s="1461" t="s">
        <v>11</v>
      </c>
      <c r="S21" s="1462">
        <f>F21</f>
        <v>100</v>
      </c>
      <c r="T21" s="1461" t="s">
        <v>11</v>
      </c>
      <c r="U21" s="1462">
        <f>H21</f>
        <v>100</v>
      </c>
      <c r="V21" s="1461" t="s">
        <v>11</v>
      </c>
      <c r="W21" s="1462">
        <f>J21</f>
        <v>100</v>
      </c>
      <c r="X21" s="2447"/>
      <c r="Y21" s="3413"/>
      <c r="Z21" s="2446" t="str">
        <f>Q21</f>
        <v>基础设施水平</v>
      </c>
      <c r="AA21" s="1464">
        <f>D21/F21</f>
        <v>1</v>
      </c>
      <c r="AB21" s="1464">
        <f>D21/H21</f>
        <v>1</v>
      </c>
      <c r="AC21" s="1464">
        <f>D21/J21</f>
        <v>1</v>
      </c>
    </row>
    <row r="22" spans="1:29" ht="15">
      <c r="A22" s="432"/>
      <c r="B22" s="822"/>
      <c r="C22" s="773" t="s">
        <v>3209</v>
      </c>
      <c r="D22" s="455"/>
      <c r="E22" s="476" t="s">
        <v>3209</v>
      </c>
      <c r="F22" s="457"/>
      <c r="G22" s="476" t="s">
        <v>3209</v>
      </c>
      <c r="H22" s="455"/>
      <c r="I22" s="476" t="s">
        <v>3209</v>
      </c>
      <c r="J22" s="455"/>
      <c r="K22" s="2465"/>
      <c r="L22" s="2017"/>
      <c r="M22" s="2009"/>
      <c r="N22" s="2009"/>
      <c r="O22" s="2016"/>
      <c r="P22" s="3413"/>
      <c r="Q22" s="2445"/>
      <c r="R22" s="1461"/>
      <c r="S22" s="1462"/>
      <c r="T22" s="1461"/>
      <c r="U22" s="1462"/>
      <c r="V22" s="1461"/>
      <c r="W22" s="1462"/>
      <c r="X22" s="2447"/>
      <c r="Y22" s="3413"/>
      <c r="Z22" s="2446"/>
      <c r="AA22" s="1464">
        <v>1</v>
      </c>
      <c r="AB22" s="1464">
        <v>1</v>
      </c>
      <c r="AC22" s="1464">
        <v>1</v>
      </c>
    </row>
    <row r="23" spans="1:29" ht="15">
      <c r="A23" s="432"/>
      <c r="B23" s="771" t="s">
        <v>237</v>
      </c>
      <c r="C23" s="772" t="str">
        <f>估价对象房地状况!C9</f>
        <v>六生河</v>
      </c>
      <c r="D23" s="459">
        <v>100</v>
      </c>
      <c r="E23" s="462"/>
      <c r="F23" s="463">
        <f>SUMIF(84:84,E24,85:85)-SUMIF(84:84,C24,85:85)+100</f>
        <v>100</v>
      </c>
      <c r="G23" s="464"/>
      <c r="H23" s="459">
        <f>SUMIF(84:84,G24,85:85)-SUMIF(84:84,C24,85:85)+100</f>
        <v>100</v>
      </c>
      <c r="I23" s="462"/>
      <c r="J23" s="459">
        <f>SUMIF(84:84,I24,85:85)-SUMIF(84:84,C24,85:85)+100</f>
        <v>105</v>
      </c>
      <c r="K23" s="768">
        <v>5</v>
      </c>
      <c r="L23" s="2017"/>
      <c r="M23" s="2009"/>
      <c r="N23" s="2009"/>
      <c r="O23" s="2016"/>
      <c r="P23" s="3413"/>
      <c r="Q23" s="1460" t="str">
        <f>B23</f>
        <v>自然及人文环境</v>
      </c>
      <c r="R23" s="1461" t="s">
        <v>11</v>
      </c>
      <c r="S23" s="1462">
        <f>F23</f>
        <v>100</v>
      </c>
      <c r="T23" s="1461" t="s">
        <v>11</v>
      </c>
      <c r="U23" s="1462">
        <f>H23</f>
        <v>100</v>
      </c>
      <c r="V23" s="1461" t="s">
        <v>11</v>
      </c>
      <c r="W23" s="1462">
        <f>J23</f>
        <v>105</v>
      </c>
      <c r="X23" s="1455"/>
      <c r="Y23" s="3413"/>
      <c r="Z23" s="1463" t="str">
        <f>Q23</f>
        <v>自然及人文环境</v>
      </c>
      <c r="AA23" s="1464">
        <f t="shared" si="3"/>
        <v>1</v>
      </c>
      <c r="AB23" s="1464">
        <f t="shared" si="4"/>
        <v>1</v>
      </c>
      <c r="AC23" s="1464">
        <f t="shared" si="5"/>
        <v>0.95238095238095233</v>
      </c>
    </row>
    <row r="24" spans="1:29" ht="15.75" thickBot="1">
      <c r="A24" s="432"/>
      <c r="B24" s="495"/>
      <c r="C24" s="476" t="s">
        <v>3203</v>
      </c>
      <c r="D24" s="455"/>
      <c r="E24" s="456" t="s">
        <v>3203</v>
      </c>
      <c r="F24" s="457"/>
      <c r="G24" s="458" t="s">
        <v>3203</v>
      </c>
      <c r="H24" s="455"/>
      <c r="I24" s="456" t="s">
        <v>3201</v>
      </c>
      <c r="J24" s="455"/>
      <c r="K24" s="770"/>
      <c r="L24" s="2017"/>
      <c r="M24" s="2009"/>
      <c r="N24" s="2009"/>
      <c r="O24" s="2016"/>
      <c r="P24" s="3413"/>
      <c r="Q24" s="1460"/>
      <c r="R24" s="1461"/>
      <c r="S24" s="1462"/>
      <c r="T24" s="1461"/>
      <c r="U24" s="1462"/>
      <c r="V24" s="1461"/>
      <c r="W24" s="1462"/>
      <c r="X24" s="1455"/>
      <c r="Y24" s="3413"/>
      <c r="Z24" s="1463"/>
      <c r="AA24" s="1464">
        <v>1</v>
      </c>
      <c r="AB24" s="1464">
        <v>1</v>
      </c>
      <c r="AC24" s="1464">
        <v>1</v>
      </c>
    </row>
    <row r="25" spans="1:29" ht="15" hidden="1">
      <c r="A25" s="432"/>
      <c r="B25" s="1777" t="s">
        <v>2188</v>
      </c>
      <c r="C25" s="474"/>
      <c r="D25" s="440">
        <v>100</v>
      </c>
      <c r="E25" s="774"/>
      <c r="F25" s="475">
        <f>SUMIF(86:86,E25,87:87)-SUMIF(86:86,C25,87:87)+100</f>
        <v>100</v>
      </c>
      <c r="G25" s="499"/>
      <c r="H25" s="440">
        <f>SUMIF(86:86,G25,87:87)-SUMIF(86:86,C25,87:87)+100</f>
        <v>100</v>
      </c>
      <c r="I25" s="774"/>
      <c r="J25" s="440">
        <f>SUMIF(86:86,I25,87:87)-SUMIF(86:86,C25,87:87)+100</f>
        <v>100</v>
      </c>
      <c r="K25" s="764"/>
      <c r="L25" s="2017"/>
      <c r="M25" s="2009"/>
      <c r="N25" s="2009"/>
      <c r="O25" s="2016"/>
      <c r="P25" s="3413"/>
      <c r="Q25" s="1460" t="str">
        <f t="shared" ref="Q25:Q46" si="8">B25</f>
        <v>楼层-1</v>
      </c>
      <c r="R25" s="1461" t="s">
        <v>11</v>
      </c>
      <c r="S25" s="1462">
        <f>F25</f>
        <v>100</v>
      </c>
      <c r="T25" s="1461" t="s">
        <v>11</v>
      </c>
      <c r="U25" s="1462">
        <f>H25</f>
        <v>100</v>
      </c>
      <c r="V25" s="1461" t="s">
        <v>11</v>
      </c>
      <c r="W25" s="1462">
        <f>J25</f>
        <v>100</v>
      </c>
      <c r="X25" s="1455"/>
      <c r="Y25" s="3413"/>
      <c r="Z25" s="1463" t="str">
        <f>Q25</f>
        <v>楼层-1</v>
      </c>
      <c r="AA25" s="1464">
        <f t="shared" si="3"/>
        <v>1</v>
      </c>
      <c r="AB25" s="1464">
        <f t="shared" si="4"/>
        <v>1</v>
      </c>
      <c r="AC25" s="1464">
        <f t="shared" si="5"/>
        <v>1</v>
      </c>
    </row>
    <row r="26" spans="1:29" ht="15" hidden="1">
      <c r="A26" s="432"/>
      <c r="B26" s="427" t="s">
        <v>663</v>
      </c>
      <c r="C26" s="474"/>
      <c r="D26" s="440">
        <v>100</v>
      </c>
      <c r="E26" s="774"/>
      <c r="F26" s="475">
        <f>SUMIF(88:88,E26,89:89)-SUMIF(88:88,C26,89:89)+100</f>
        <v>100</v>
      </c>
      <c r="G26" s="499"/>
      <c r="H26" s="440">
        <f>SUMIF(88:88,G26,89:89)-SUMIF(88:88,C26,89:89)+100</f>
        <v>100</v>
      </c>
      <c r="I26" s="774"/>
      <c r="J26" s="440">
        <f>SUMIF(88:88,I26,89:89)-SUMIF(88:88,C26,89:89)+100</f>
        <v>100</v>
      </c>
      <c r="K26" s="764"/>
      <c r="L26" s="2017"/>
      <c r="M26" s="2009"/>
      <c r="N26" s="2009"/>
      <c r="O26" s="2016"/>
      <c r="P26" s="3413"/>
      <c r="Q26" s="1460" t="str">
        <f t="shared" si="8"/>
        <v>朝向</v>
      </c>
      <c r="R26" s="1461" t="s">
        <v>11</v>
      </c>
      <c r="S26" s="1462">
        <f>F26</f>
        <v>100</v>
      </c>
      <c r="T26" s="1461" t="s">
        <v>11</v>
      </c>
      <c r="U26" s="1462">
        <f>H26</f>
        <v>100</v>
      </c>
      <c r="V26" s="1461" t="s">
        <v>11</v>
      </c>
      <c r="W26" s="1462">
        <f>J26</f>
        <v>100</v>
      </c>
      <c r="X26" s="1455"/>
      <c r="Y26" s="3413"/>
      <c r="Z26" s="1463" t="str">
        <f>Q26</f>
        <v>朝向</v>
      </c>
      <c r="AA26" s="1464">
        <f t="shared" si="3"/>
        <v>1</v>
      </c>
      <c r="AB26" s="1464">
        <f t="shared" si="4"/>
        <v>1</v>
      </c>
      <c r="AC26" s="1464">
        <f t="shared" si="5"/>
        <v>1</v>
      </c>
    </row>
    <row r="27" spans="1:29" s="1108" customFormat="1" ht="15" hidden="1">
      <c r="A27" s="436"/>
      <c r="B27" s="437"/>
      <c r="C27" s="428"/>
      <c r="D27" s="775">
        <v>100</v>
      </c>
      <c r="E27" s="430"/>
      <c r="F27" s="776">
        <f>SUMIF(90:90,E27,91:91)-SUMIF(90:90,C27,91:91)+100</f>
        <v>100</v>
      </c>
      <c r="G27" s="429"/>
      <c r="H27" s="775">
        <f>SUMIF(90:90,G27,91:91)-SUMIF(90:90,C27,91:91)+100</f>
        <v>100</v>
      </c>
      <c r="I27" s="430"/>
      <c r="J27" s="775">
        <f>SUMIF(90:90,I27,91:91)-SUMIF(90:90,C27,91:91)+100</f>
        <v>100</v>
      </c>
      <c r="K27" s="765"/>
      <c r="L27" s="2010"/>
      <c r="M27" s="2011"/>
      <c r="N27" s="2011"/>
      <c r="O27" s="2012"/>
      <c r="P27" s="3413"/>
      <c r="Q27" s="1049">
        <f t="shared" si="8"/>
        <v>0</v>
      </c>
      <c r="R27" s="1456" t="s">
        <v>11</v>
      </c>
      <c r="S27" s="1457">
        <f>F27</f>
        <v>100</v>
      </c>
      <c r="T27" s="1456" t="s">
        <v>11</v>
      </c>
      <c r="U27" s="1457">
        <f>H27</f>
        <v>100</v>
      </c>
      <c r="V27" s="1456" t="s">
        <v>11</v>
      </c>
      <c r="W27" s="1457">
        <f>J27</f>
        <v>100</v>
      </c>
      <c r="X27" s="1458"/>
      <c r="Y27" s="3413"/>
      <c r="Z27" s="1048">
        <f>Q27</f>
        <v>0</v>
      </c>
      <c r="AA27" s="1464">
        <f>D27/F27</f>
        <v>1</v>
      </c>
      <c r="AB27" s="1464">
        <f>D27/H27</f>
        <v>1</v>
      </c>
      <c r="AC27" s="1464">
        <f>D27/J27</f>
        <v>1</v>
      </c>
    </row>
    <row r="28" spans="1:29" ht="15" hidden="1">
      <c r="A28" s="432"/>
      <c r="B28" s="777"/>
      <c r="C28" s="439"/>
      <c r="D28" s="440">
        <v>100</v>
      </c>
      <c r="E28" s="439"/>
      <c r="F28" s="475">
        <f>SUMIF(92:92,E28,93:93)-SUMIF(92:92,C28,93:93)+100</f>
        <v>100</v>
      </c>
      <c r="G28" s="439"/>
      <c r="H28" s="440">
        <f>SUMIF(92:92,G28,93:93)-SUMIF(92:92,C28,93:93)+100</f>
        <v>100</v>
      </c>
      <c r="I28" s="439"/>
      <c r="J28" s="440">
        <f>SUMIF(92:92,I28,93:93)-SUMIF(92:92,C28,93:93)+100</f>
        <v>100</v>
      </c>
      <c r="K28" s="765"/>
      <c r="L28" s="2017"/>
      <c r="M28" s="2009"/>
      <c r="N28" s="2009"/>
      <c r="O28" s="2016"/>
      <c r="P28" s="3413"/>
      <c r="Q28" s="1460">
        <f t="shared" si="8"/>
        <v>0</v>
      </c>
      <c r="R28" s="1461" t="s">
        <v>11</v>
      </c>
      <c r="S28" s="1462">
        <f t="shared" ref="S28:S46" si="9">F28</f>
        <v>100</v>
      </c>
      <c r="T28" s="1461" t="s">
        <v>11</v>
      </c>
      <c r="U28" s="1462">
        <f t="shared" ref="U28:U46" si="10">H28</f>
        <v>100</v>
      </c>
      <c r="V28" s="1461" t="s">
        <v>11</v>
      </c>
      <c r="W28" s="1462">
        <f t="shared" ref="W28:W46" si="11">J28</f>
        <v>100</v>
      </c>
      <c r="X28" s="1455"/>
      <c r="Y28" s="3413"/>
      <c r="Z28" s="1463">
        <f t="shared" ref="Z28:Z46" si="12">Q28</f>
        <v>0</v>
      </c>
      <c r="AA28" s="1464">
        <f t="shared" si="3"/>
        <v>1</v>
      </c>
      <c r="AB28" s="1464">
        <f t="shared" si="4"/>
        <v>1</v>
      </c>
      <c r="AC28" s="1464">
        <f t="shared" si="5"/>
        <v>1</v>
      </c>
    </row>
    <row r="29" spans="1:29" ht="15" hidden="1">
      <c r="A29" s="432"/>
      <c r="B29" s="777"/>
      <c r="C29" s="439"/>
      <c r="D29" s="440">
        <v>100</v>
      </c>
      <c r="E29" s="439"/>
      <c r="F29" s="475">
        <f>SUMIF(94:94,E29,95:95)-SUMIF(94:94,C29,95:95)+100</f>
        <v>100</v>
      </c>
      <c r="G29" s="439"/>
      <c r="H29" s="440">
        <f>SUMIF(94:94,G29,95:95)-SUMIF(94:94,C29,95:95)+100</f>
        <v>100</v>
      </c>
      <c r="I29" s="439"/>
      <c r="J29" s="440">
        <f>SUMIF(94:94,I29,95:95)-SUMIF(94:94,C29,95:95)+100</f>
        <v>100</v>
      </c>
      <c r="K29" s="765"/>
      <c r="L29" s="2017"/>
      <c r="M29" s="2009"/>
      <c r="N29" s="2009"/>
      <c r="O29" s="2016"/>
      <c r="P29" s="3413"/>
      <c r="Q29" s="1460">
        <f t="shared" si="8"/>
        <v>0</v>
      </c>
      <c r="R29" s="1461" t="s">
        <v>11</v>
      </c>
      <c r="S29" s="1462">
        <f t="shared" si="9"/>
        <v>100</v>
      </c>
      <c r="T29" s="1461" t="s">
        <v>11</v>
      </c>
      <c r="U29" s="1462">
        <f t="shared" si="10"/>
        <v>100</v>
      </c>
      <c r="V29" s="1461" t="s">
        <v>11</v>
      </c>
      <c r="W29" s="1462">
        <f t="shared" si="11"/>
        <v>100</v>
      </c>
      <c r="X29" s="1455"/>
      <c r="Y29" s="3413"/>
      <c r="Z29" s="1463">
        <f t="shared" si="12"/>
        <v>0</v>
      </c>
      <c r="AA29" s="1464">
        <f t="shared" si="3"/>
        <v>1</v>
      </c>
      <c r="AB29" s="1464">
        <f t="shared" si="4"/>
        <v>1</v>
      </c>
      <c r="AC29" s="1464">
        <f t="shared" si="5"/>
        <v>1</v>
      </c>
    </row>
    <row r="30" spans="1:29" ht="15" hidden="1">
      <c r="A30" s="432"/>
      <c r="B30" s="777"/>
      <c r="C30" s="439"/>
      <c r="D30" s="440">
        <v>100</v>
      </c>
      <c r="E30" s="439"/>
      <c r="F30" s="475">
        <f>SUMIF(96:96,E30,97:97)-SUMIF(96:96,C30,97:97)+100</f>
        <v>100</v>
      </c>
      <c r="G30" s="439"/>
      <c r="H30" s="440">
        <f>SUMIF(96:96,G30,97:97)-SUMIF(96:96,C30,97:97)+100</f>
        <v>100</v>
      </c>
      <c r="I30" s="439"/>
      <c r="J30" s="440">
        <f>SUMIF(96:96,I30,97:97)-SUMIF(96:96,C30,97:97)+100</f>
        <v>100</v>
      </c>
      <c r="K30" s="765"/>
      <c r="L30" s="2017"/>
      <c r="M30" s="2009"/>
      <c r="N30" s="2009"/>
      <c r="O30" s="2016"/>
      <c r="P30" s="3413"/>
      <c r="Q30" s="1460">
        <f t="shared" si="8"/>
        <v>0</v>
      </c>
      <c r="R30" s="1461" t="s">
        <v>11</v>
      </c>
      <c r="S30" s="1462">
        <f t="shared" si="9"/>
        <v>100</v>
      </c>
      <c r="T30" s="1461" t="s">
        <v>11</v>
      </c>
      <c r="U30" s="1462">
        <f t="shared" si="10"/>
        <v>100</v>
      </c>
      <c r="V30" s="1461" t="s">
        <v>11</v>
      </c>
      <c r="W30" s="1462">
        <f t="shared" si="11"/>
        <v>100</v>
      </c>
      <c r="X30" s="1455"/>
      <c r="Y30" s="3413"/>
      <c r="Z30" s="1463">
        <f t="shared" si="12"/>
        <v>0</v>
      </c>
      <c r="AA30" s="1464">
        <f t="shared" si="3"/>
        <v>1</v>
      </c>
      <c r="AB30" s="1464">
        <f t="shared" si="4"/>
        <v>1</v>
      </c>
      <c r="AC30" s="1464">
        <f t="shared" si="5"/>
        <v>1</v>
      </c>
    </row>
    <row r="31" spans="1:29" ht="15.75" hidden="1" thickBot="1">
      <c r="A31" s="443"/>
      <c r="B31" s="777"/>
      <c r="C31" s="445"/>
      <c r="D31" s="446">
        <v>100</v>
      </c>
      <c r="E31" s="445"/>
      <c r="F31" s="766">
        <f>SUMIF(98:98,E31,99:99)-SUMIF(98:98,C31,99:99)+100</f>
        <v>100</v>
      </c>
      <c r="G31" s="445"/>
      <c r="H31" s="446">
        <f>SUMIF(98:98,G31,99:99)-SUMIF(98:98,C31,99:99)+100</f>
        <v>100</v>
      </c>
      <c r="I31" s="445"/>
      <c r="J31" s="446">
        <f>SUMIF(98:98,I31,99:99)-SUMIF(98:98,C31,99:99)+100</f>
        <v>100</v>
      </c>
      <c r="K31" s="765"/>
      <c r="L31" s="2017"/>
      <c r="M31" s="2009"/>
      <c r="N31" s="2009"/>
      <c r="O31" s="2016"/>
      <c r="P31" s="3413"/>
      <c r="Q31" s="1460">
        <f t="shared" si="8"/>
        <v>0</v>
      </c>
      <c r="R31" s="1461" t="s">
        <v>11</v>
      </c>
      <c r="S31" s="1462">
        <f t="shared" si="9"/>
        <v>100</v>
      </c>
      <c r="T31" s="1461" t="s">
        <v>11</v>
      </c>
      <c r="U31" s="1462">
        <f t="shared" si="10"/>
        <v>100</v>
      </c>
      <c r="V31" s="1461" t="s">
        <v>11</v>
      </c>
      <c r="W31" s="1462">
        <f t="shared" si="11"/>
        <v>100</v>
      </c>
      <c r="X31" s="1455"/>
      <c r="Y31" s="3413"/>
      <c r="Z31" s="1463">
        <f t="shared" si="12"/>
        <v>0</v>
      </c>
      <c r="AA31" s="1464">
        <f t="shared" si="3"/>
        <v>1</v>
      </c>
      <c r="AB31" s="1464">
        <f t="shared" si="4"/>
        <v>1</v>
      </c>
      <c r="AC31" s="1464">
        <f t="shared" si="5"/>
        <v>1</v>
      </c>
    </row>
    <row r="32" spans="1:29" ht="15">
      <c r="A32" s="2772" t="s">
        <v>2683</v>
      </c>
      <c r="B32" s="148" t="s">
        <v>664</v>
      </c>
      <c r="C32" s="778" t="s">
        <v>3235</v>
      </c>
      <c r="D32" s="497">
        <v>100</v>
      </c>
      <c r="E32" s="779" t="s">
        <v>3235</v>
      </c>
      <c r="F32" s="475">
        <f>SUMIF(100:100,E32,101:101)-SUMIF(100:100,C32,101:101)+100</f>
        <v>100</v>
      </c>
      <c r="G32" s="778" t="s">
        <v>3235</v>
      </c>
      <c r="H32" s="497">
        <f>SUMIF(100:100,G32,101:101)-SUMIF(100:100,C32,101:101)+100</f>
        <v>100</v>
      </c>
      <c r="I32" s="779" t="s">
        <v>3262</v>
      </c>
      <c r="J32" s="440">
        <f>SUMIF(100:100,I32,101:101)-SUMIF(100:100,C32,101:101)+100</f>
        <v>105</v>
      </c>
      <c r="K32" s="764">
        <v>5</v>
      </c>
      <c r="L32" s="2017"/>
      <c r="M32" s="2009"/>
      <c r="N32" s="2009"/>
      <c r="O32" s="2016"/>
      <c r="P32" s="3414" t="s">
        <v>490</v>
      </c>
      <c r="Q32" s="1460" t="str">
        <f t="shared" si="8"/>
        <v>建筑类型</v>
      </c>
      <c r="R32" s="1461" t="s">
        <v>11</v>
      </c>
      <c r="S32" s="1462">
        <f t="shared" si="9"/>
        <v>100</v>
      </c>
      <c r="T32" s="1461" t="s">
        <v>11</v>
      </c>
      <c r="U32" s="1462">
        <f t="shared" si="10"/>
        <v>100</v>
      </c>
      <c r="V32" s="1461" t="s">
        <v>11</v>
      </c>
      <c r="W32" s="1462">
        <f t="shared" si="11"/>
        <v>105</v>
      </c>
      <c r="X32" s="1455"/>
      <c r="Y32" s="3415" t="s">
        <v>490</v>
      </c>
      <c r="Z32" s="1463" t="str">
        <f t="shared" si="12"/>
        <v>建筑类型</v>
      </c>
      <c r="AA32" s="1464">
        <f t="shared" si="3"/>
        <v>1</v>
      </c>
      <c r="AB32" s="1464">
        <f t="shared" si="4"/>
        <v>1</v>
      </c>
      <c r="AC32" s="1464">
        <f t="shared" si="5"/>
        <v>0.95238095238095233</v>
      </c>
    </row>
    <row r="33" spans="1:29" s="1227" customFormat="1" ht="15">
      <c r="A33" s="503"/>
      <c r="B33" s="427" t="s">
        <v>665</v>
      </c>
      <c r="C33" s="780">
        <v>100</v>
      </c>
      <c r="D33" s="159">
        <v>100</v>
      </c>
      <c r="E33" s="434">
        <v>100</v>
      </c>
      <c r="F33" s="763">
        <f>LOOKUP(E33,103:103,104:104)-LOOKUP(C33,103:103,104:104)+100</f>
        <v>100</v>
      </c>
      <c r="G33" s="433">
        <v>100</v>
      </c>
      <c r="H33" s="159">
        <f>LOOKUP(G33,103:103,104:104)-LOOKUP(C33,103:103,104:104)+100</f>
        <v>100</v>
      </c>
      <c r="I33" s="434">
        <v>100</v>
      </c>
      <c r="J33" s="159">
        <f>LOOKUP(I33,103:103,104:104)-LOOKUP(C33,103:103,104:104)+100</f>
        <v>100</v>
      </c>
      <c r="K33" s="765"/>
      <c r="L33" s="2015"/>
      <c r="M33" s="2046"/>
      <c r="N33" s="2046"/>
      <c r="O33" s="2018"/>
      <c r="P33" s="3415"/>
      <c r="Q33" s="1493" t="str">
        <f t="shared" si="8"/>
        <v>项目建筑规模</v>
      </c>
      <c r="R33" s="1465" t="s">
        <v>11</v>
      </c>
      <c r="S33" s="1466">
        <f t="shared" si="9"/>
        <v>100</v>
      </c>
      <c r="T33" s="1465" t="s">
        <v>11</v>
      </c>
      <c r="U33" s="1466">
        <f t="shared" si="10"/>
        <v>100</v>
      </c>
      <c r="V33" s="1465" t="s">
        <v>11</v>
      </c>
      <c r="W33" s="1466">
        <f t="shared" si="11"/>
        <v>100</v>
      </c>
      <c r="X33" s="1467"/>
      <c r="Y33" s="3415"/>
      <c r="Z33" s="1468" t="str">
        <f t="shared" si="12"/>
        <v>项目建筑规模</v>
      </c>
      <c r="AA33" s="1464">
        <f t="shared" si="3"/>
        <v>1</v>
      </c>
      <c r="AB33" s="1464">
        <f t="shared" si="4"/>
        <v>1</v>
      </c>
      <c r="AC33" s="1464">
        <f t="shared" si="5"/>
        <v>1</v>
      </c>
    </row>
    <row r="34" spans="1:29" ht="15">
      <c r="A34" s="494"/>
      <c r="B34" s="427" t="s">
        <v>666</v>
      </c>
      <c r="C34" s="781" t="s">
        <v>3010</v>
      </c>
      <c r="D34" s="440">
        <v>100</v>
      </c>
      <c r="E34" s="782" t="s">
        <v>3010</v>
      </c>
      <c r="F34" s="475">
        <f>SUMIF(105:105,E34,106:106)-SUMIF(105:105,C34,106:106)+100</f>
        <v>100</v>
      </c>
      <c r="G34" s="781" t="s">
        <v>3010</v>
      </c>
      <c r="H34" s="440">
        <f>SUMIF(105:105,G34,106:106)-SUMIF(105:105,C34,106:106)+100</f>
        <v>100</v>
      </c>
      <c r="I34" s="782" t="s">
        <v>3010</v>
      </c>
      <c r="J34" s="440">
        <f>SUMIF(105:105,I34,106:106)-SUMIF(105:105,C34,106:106)+100</f>
        <v>100</v>
      </c>
      <c r="K34" s="764">
        <v>5</v>
      </c>
      <c r="L34" s="2017"/>
      <c r="M34" s="2009"/>
      <c r="N34" s="2009"/>
      <c r="O34" s="2016"/>
      <c r="P34" s="3415"/>
      <c r="Q34" s="1460" t="str">
        <f t="shared" si="8"/>
        <v>建筑结构</v>
      </c>
      <c r="R34" s="1461" t="s">
        <v>11</v>
      </c>
      <c r="S34" s="1462">
        <f t="shared" si="9"/>
        <v>100</v>
      </c>
      <c r="T34" s="1461" t="s">
        <v>11</v>
      </c>
      <c r="U34" s="1462">
        <f t="shared" si="10"/>
        <v>100</v>
      </c>
      <c r="V34" s="1461" t="s">
        <v>11</v>
      </c>
      <c r="W34" s="1462">
        <f t="shared" si="11"/>
        <v>100</v>
      </c>
      <c r="X34" s="1455"/>
      <c r="Y34" s="3415"/>
      <c r="Z34" s="1463" t="str">
        <f t="shared" si="12"/>
        <v>建筑结构</v>
      </c>
      <c r="AA34" s="1464">
        <f t="shared" si="3"/>
        <v>1</v>
      </c>
      <c r="AB34" s="1464">
        <f t="shared" si="4"/>
        <v>1</v>
      </c>
      <c r="AC34" s="1464">
        <f t="shared" si="5"/>
        <v>1</v>
      </c>
    </row>
    <row r="35" spans="1:29" ht="15">
      <c r="A35" s="494"/>
      <c r="B35" s="427" t="s">
        <v>667</v>
      </c>
      <c r="C35" s="499" t="s">
        <v>3239</v>
      </c>
      <c r="D35" s="440">
        <v>100</v>
      </c>
      <c r="E35" s="774" t="s">
        <v>3239</v>
      </c>
      <c r="F35" s="475">
        <f>SUMIF(107:107,E35,108:108)-SUMIF(107:107,C35,108:108)+100</f>
        <v>100</v>
      </c>
      <c r="G35" s="499" t="s">
        <v>3239</v>
      </c>
      <c r="H35" s="440">
        <f>SUMIF(107:107,G35,108:108)-SUMIF(107:107,C35,108:108)+100</f>
        <v>100</v>
      </c>
      <c r="I35" s="774" t="s">
        <v>3239</v>
      </c>
      <c r="J35" s="440">
        <f>SUMIF(107:107,I35,108:108)-SUMIF(107:107,C35,108:108)+100</f>
        <v>100</v>
      </c>
      <c r="K35" s="764">
        <v>5</v>
      </c>
      <c r="L35" s="2017"/>
      <c r="M35" s="2009"/>
      <c r="N35" s="2009"/>
      <c r="O35" s="2016"/>
      <c r="P35" s="3415"/>
      <c r="Q35" s="1460" t="str">
        <f t="shared" si="8"/>
        <v>建筑品质</v>
      </c>
      <c r="R35" s="1461" t="s">
        <v>11</v>
      </c>
      <c r="S35" s="1462">
        <f t="shared" si="9"/>
        <v>100</v>
      </c>
      <c r="T35" s="1461" t="s">
        <v>11</v>
      </c>
      <c r="U35" s="1462">
        <f t="shared" si="10"/>
        <v>100</v>
      </c>
      <c r="V35" s="1461" t="s">
        <v>11</v>
      </c>
      <c r="W35" s="1462">
        <f t="shared" si="11"/>
        <v>100</v>
      </c>
      <c r="X35" s="1455"/>
      <c r="Y35" s="3415"/>
      <c r="Z35" s="1463" t="str">
        <f t="shared" si="12"/>
        <v>建筑品质</v>
      </c>
      <c r="AA35" s="1464">
        <f t="shared" si="3"/>
        <v>1</v>
      </c>
      <c r="AB35" s="1464">
        <f t="shared" si="4"/>
        <v>1</v>
      </c>
      <c r="AC35" s="1464">
        <f t="shared" si="5"/>
        <v>1</v>
      </c>
    </row>
    <row r="36" spans="1:29" ht="15">
      <c r="A36" s="494"/>
      <c r="B36" s="427" t="s">
        <v>668</v>
      </c>
      <c r="C36" s="499" t="s">
        <v>3241</v>
      </c>
      <c r="D36" s="440">
        <v>100</v>
      </c>
      <c r="E36" s="774" t="s">
        <v>3241</v>
      </c>
      <c r="F36" s="475">
        <f>SUMIF(109:109,E36,110:110)-SUMIF(109:109,C36,110:110)+100</f>
        <v>100</v>
      </c>
      <c r="G36" s="499" t="s">
        <v>3241</v>
      </c>
      <c r="H36" s="440">
        <f>SUMIF(109:109,G36,110:110)-SUMIF(109:109,C36,110:110)+100</f>
        <v>100</v>
      </c>
      <c r="I36" s="774" t="s">
        <v>3241</v>
      </c>
      <c r="J36" s="440">
        <f>SUMIF(109:109,I36,110:110)-SUMIF(109:109,C36,110:110)+100</f>
        <v>100</v>
      </c>
      <c r="K36" s="764">
        <v>2</v>
      </c>
      <c r="L36" s="2017"/>
      <c r="M36" s="2009"/>
      <c r="N36" s="2009"/>
      <c r="O36" s="2016"/>
      <c r="P36" s="3415"/>
      <c r="Q36" s="1460" t="str">
        <f t="shared" si="8"/>
        <v>公共部分装修</v>
      </c>
      <c r="R36" s="1461" t="s">
        <v>11</v>
      </c>
      <c r="S36" s="1462">
        <f t="shared" si="9"/>
        <v>100</v>
      </c>
      <c r="T36" s="1461" t="s">
        <v>11</v>
      </c>
      <c r="U36" s="1462">
        <f t="shared" si="10"/>
        <v>100</v>
      </c>
      <c r="V36" s="1461" t="s">
        <v>11</v>
      </c>
      <c r="W36" s="1462">
        <f t="shared" si="11"/>
        <v>100</v>
      </c>
      <c r="X36" s="1455"/>
      <c r="Y36" s="3415"/>
      <c r="Z36" s="1463" t="str">
        <f t="shared" si="12"/>
        <v>公共部分装修</v>
      </c>
      <c r="AA36" s="1464">
        <f t="shared" si="3"/>
        <v>1</v>
      </c>
      <c r="AB36" s="1464">
        <f t="shared" si="4"/>
        <v>1</v>
      </c>
      <c r="AC36" s="1464">
        <f t="shared" si="5"/>
        <v>1</v>
      </c>
    </row>
    <row r="37" spans="1:29" s="1108" customFormat="1" ht="15">
      <c r="A37" s="500"/>
      <c r="B37" s="427" t="s">
        <v>669</v>
      </c>
      <c r="C37" s="783">
        <v>1</v>
      </c>
      <c r="D37" s="159">
        <v>100</v>
      </c>
      <c r="E37" s="784">
        <v>1</v>
      </c>
      <c r="F37" s="763">
        <f>LOOKUP(E37,112:112,113:113)-LOOKUP(C37,112:112,113:113)+100</f>
        <v>100</v>
      </c>
      <c r="G37" s="785">
        <v>1</v>
      </c>
      <c r="H37" s="159">
        <f>LOOKUP(G37,112:112,113:113)-LOOKUP(C37,112:112,113:113)+100</f>
        <v>100</v>
      </c>
      <c r="I37" s="784">
        <v>1</v>
      </c>
      <c r="J37" s="159">
        <f>LOOKUP(I37,112:112,113:113)-LOOKUP(C37,112:112,113:113)+100</f>
        <v>100</v>
      </c>
      <c r="K37" s="764">
        <v>2</v>
      </c>
      <c r="L37" s="2010"/>
      <c r="M37" s="2011"/>
      <c r="N37" s="2011"/>
      <c r="O37" s="2012"/>
      <c r="P37" s="3415"/>
      <c r="Q37" s="1049" t="str">
        <f t="shared" si="8"/>
        <v>成新度</v>
      </c>
      <c r="R37" s="1456" t="s">
        <v>11</v>
      </c>
      <c r="S37" s="1457">
        <f t="shared" si="9"/>
        <v>100</v>
      </c>
      <c r="T37" s="1456" t="s">
        <v>11</v>
      </c>
      <c r="U37" s="1457">
        <f t="shared" si="10"/>
        <v>100</v>
      </c>
      <c r="V37" s="1456" t="s">
        <v>11</v>
      </c>
      <c r="W37" s="1457">
        <f t="shared" si="11"/>
        <v>100</v>
      </c>
      <c r="X37" s="1458"/>
      <c r="Y37" s="3415"/>
      <c r="Z37" s="1048" t="str">
        <f t="shared" si="12"/>
        <v>成新度</v>
      </c>
      <c r="AA37" s="1459">
        <f t="shared" si="3"/>
        <v>1</v>
      </c>
      <c r="AB37" s="1459">
        <f t="shared" si="4"/>
        <v>1</v>
      </c>
      <c r="AC37" s="1459">
        <f t="shared" si="5"/>
        <v>1</v>
      </c>
    </row>
    <row r="38" spans="1:29" ht="15">
      <c r="A38" s="494"/>
      <c r="B38" s="427" t="s">
        <v>670</v>
      </c>
      <c r="C38" s="499" t="s">
        <v>3243</v>
      </c>
      <c r="D38" s="440">
        <v>100</v>
      </c>
      <c r="E38" s="774" t="s">
        <v>3245</v>
      </c>
      <c r="F38" s="475">
        <f>SUMIF(114:114,E38,115:115)-SUMIF(114:114,C38,115:115)+100</f>
        <v>98</v>
      </c>
      <c r="G38" s="499" t="s">
        <v>3243</v>
      </c>
      <c r="H38" s="440">
        <f>SUMIF(114:114,G38,115:115)-SUMIF(114:114,C38,115:115)+100</f>
        <v>100</v>
      </c>
      <c r="I38" s="774" t="s">
        <v>3243</v>
      </c>
      <c r="J38" s="440">
        <f>SUMIF(114:114,I38,115:115)-SUMIF(114:114,C38,115:115)+100</f>
        <v>100</v>
      </c>
      <c r="K38" s="764">
        <v>2</v>
      </c>
      <c r="L38" s="2017"/>
      <c r="M38" s="2009"/>
      <c r="N38" s="2009"/>
      <c r="O38" s="2016"/>
      <c r="P38" s="3415" t="s">
        <v>490</v>
      </c>
      <c r="Q38" s="1460" t="str">
        <f t="shared" si="8"/>
        <v>物业管理</v>
      </c>
      <c r="R38" s="1461" t="s">
        <v>11</v>
      </c>
      <c r="S38" s="1462">
        <f t="shared" si="9"/>
        <v>98</v>
      </c>
      <c r="T38" s="1461" t="s">
        <v>11</v>
      </c>
      <c r="U38" s="1462">
        <f t="shared" si="10"/>
        <v>100</v>
      </c>
      <c r="V38" s="1461" t="s">
        <v>11</v>
      </c>
      <c r="W38" s="1462">
        <f t="shared" si="11"/>
        <v>100</v>
      </c>
      <c r="X38" s="1455"/>
      <c r="Y38" s="3415" t="s">
        <v>490</v>
      </c>
      <c r="Z38" s="1463" t="str">
        <f t="shared" si="12"/>
        <v>物业管理</v>
      </c>
      <c r="AA38" s="1464">
        <f t="shared" si="3"/>
        <v>1.0204081632653061</v>
      </c>
      <c r="AB38" s="1464">
        <f t="shared" si="4"/>
        <v>1</v>
      </c>
      <c r="AC38" s="1464">
        <f t="shared" si="5"/>
        <v>1</v>
      </c>
    </row>
    <row r="39" spans="1:29" ht="15">
      <c r="A39" s="494"/>
      <c r="B39" s="1777" t="s">
        <v>2492</v>
      </c>
      <c r="C39" s="499" t="s">
        <v>3209</v>
      </c>
      <c r="D39" s="440">
        <v>100</v>
      </c>
      <c r="E39" s="774" t="s">
        <v>3209</v>
      </c>
      <c r="F39" s="475">
        <f>SUMIF(116:116,E39,117:117)-SUMIF(116:116,C39,117:117)+100</f>
        <v>100</v>
      </c>
      <c r="G39" s="499" t="s">
        <v>3209</v>
      </c>
      <c r="H39" s="440">
        <f>SUMIF(116:116,G39,117:117)-SUMIF(116:116,C39,117:117)+100</f>
        <v>100</v>
      </c>
      <c r="I39" s="774" t="s">
        <v>3209</v>
      </c>
      <c r="J39" s="440">
        <f>SUMIF(116:116,I39,117:117)-SUMIF(116:116,C39,117:117)+100</f>
        <v>100</v>
      </c>
      <c r="K39" s="764">
        <v>2</v>
      </c>
      <c r="L39" s="2017"/>
      <c r="M39" s="2009"/>
      <c r="N39" s="2009"/>
      <c r="O39" s="2016"/>
      <c r="P39" s="3415"/>
      <c r="Q39" s="1460" t="str">
        <f t="shared" si="8"/>
        <v>市政基础设施</v>
      </c>
      <c r="R39" s="1461" t="s">
        <v>11</v>
      </c>
      <c r="S39" s="1462">
        <f t="shared" si="9"/>
        <v>100</v>
      </c>
      <c r="T39" s="1461" t="s">
        <v>11</v>
      </c>
      <c r="U39" s="1462">
        <f t="shared" si="10"/>
        <v>100</v>
      </c>
      <c r="V39" s="1461" t="s">
        <v>11</v>
      </c>
      <c r="W39" s="1462">
        <f t="shared" si="11"/>
        <v>100</v>
      </c>
      <c r="X39" s="1455"/>
      <c r="Y39" s="3415"/>
      <c r="Z39" s="1463" t="str">
        <f t="shared" si="12"/>
        <v>市政基础设施</v>
      </c>
      <c r="AA39" s="1464">
        <f t="shared" si="3"/>
        <v>1</v>
      </c>
      <c r="AB39" s="1464">
        <f t="shared" si="4"/>
        <v>1</v>
      </c>
      <c r="AC39" s="1464">
        <f t="shared" si="5"/>
        <v>1</v>
      </c>
    </row>
    <row r="40" spans="1:29" ht="15">
      <c r="A40" s="494"/>
      <c r="B40" s="427" t="s">
        <v>671</v>
      </c>
      <c r="C40" s="499" t="s">
        <v>3252</v>
      </c>
      <c r="D40" s="440">
        <v>100</v>
      </c>
      <c r="E40" s="774" t="s">
        <v>3252</v>
      </c>
      <c r="F40" s="475">
        <f>SUMIF(118:118,E40,119:119)-SUMIF(118:118,C40,119:119)+100</f>
        <v>100</v>
      </c>
      <c r="G40" s="499" t="s">
        <v>3252</v>
      </c>
      <c r="H40" s="440">
        <f>SUMIF(118:118,G40,119:119)-SUMIF(118:118,C40,119:119)+100</f>
        <v>100</v>
      </c>
      <c r="I40" s="774" t="s">
        <v>3252</v>
      </c>
      <c r="J40" s="440">
        <f>SUMIF(118:118,I40,119:119)-SUMIF(118:118,C40,119:119)+100</f>
        <v>100</v>
      </c>
      <c r="K40" s="764">
        <v>15</v>
      </c>
      <c r="L40" s="2017"/>
      <c r="M40" s="2009"/>
      <c r="N40" s="2009"/>
      <c r="O40" s="2016"/>
      <c r="P40" s="3415"/>
      <c r="Q40" s="1460" t="str">
        <f t="shared" si="8"/>
        <v>房型</v>
      </c>
      <c r="R40" s="1461" t="s">
        <v>11</v>
      </c>
      <c r="S40" s="1462">
        <f t="shared" si="9"/>
        <v>100</v>
      </c>
      <c r="T40" s="1461" t="s">
        <v>11</v>
      </c>
      <c r="U40" s="1462">
        <f t="shared" si="10"/>
        <v>100</v>
      </c>
      <c r="V40" s="1461" t="s">
        <v>11</v>
      </c>
      <c r="W40" s="1462">
        <f t="shared" si="11"/>
        <v>100</v>
      </c>
      <c r="X40" s="1455"/>
      <c r="Y40" s="3415"/>
      <c r="Z40" s="1463" t="str">
        <f t="shared" si="12"/>
        <v>房型</v>
      </c>
      <c r="AA40" s="1464">
        <f t="shared" si="3"/>
        <v>1</v>
      </c>
      <c r="AB40" s="1464">
        <f t="shared" si="4"/>
        <v>1</v>
      </c>
      <c r="AC40" s="1464">
        <f t="shared" si="5"/>
        <v>1</v>
      </c>
    </row>
    <row r="41" spans="1:29" s="1227" customFormat="1" ht="28.5" hidden="1">
      <c r="A41" s="503"/>
      <c r="B41" s="427" t="s">
        <v>672</v>
      </c>
      <c r="C41" s="780"/>
      <c r="D41" s="159">
        <v>100</v>
      </c>
      <c r="E41" s="434"/>
      <c r="F41" s="763">
        <f>SUMIF(120:120,E41,121:121)-SUMIF(120:120,C41,121:121)+100</f>
        <v>100</v>
      </c>
      <c r="G41" s="433"/>
      <c r="H41" s="159">
        <f>SUMIF(120:120,G41,121:121)-SUMIF(120:120,C41,121:121)+100</f>
        <v>100</v>
      </c>
      <c r="I41" s="486"/>
      <c r="J41" s="440">
        <f>SUMIF(120:120,I41,121:121)-SUMIF(120:120,C41,121:121)+100</f>
        <v>100</v>
      </c>
      <c r="K41" s="765"/>
      <c r="L41" s="2015"/>
      <c r="M41" s="2046"/>
      <c r="N41" s="2046"/>
      <c r="O41" s="2018"/>
      <c r="P41" s="3415"/>
      <c r="Q41" s="1493" t="str">
        <f t="shared" si="8"/>
        <v>单套/主力户型建筑面积</v>
      </c>
      <c r="R41" s="1465" t="s">
        <v>11</v>
      </c>
      <c r="S41" s="1466">
        <f t="shared" si="9"/>
        <v>100</v>
      </c>
      <c r="T41" s="1465" t="s">
        <v>11</v>
      </c>
      <c r="U41" s="1466">
        <f t="shared" si="10"/>
        <v>100</v>
      </c>
      <c r="V41" s="1465" t="s">
        <v>11</v>
      </c>
      <c r="W41" s="1466">
        <f t="shared" si="11"/>
        <v>100</v>
      </c>
      <c r="X41" s="1467"/>
      <c r="Y41" s="3415"/>
      <c r="Z41" s="1468" t="str">
        <f t="shared" si="12"/>
        <v>单套/主力户型建筑面积</v>
      </c>
      <c r="AA41" s="1464">
        <f t="shared" si="3"/>
        <v>1</v>
      </c>
      <c r="AB41" s="1464">
        <f t="shared" si="4"/>
        <v>1</v>
      </c>
      <c r="AC41" s="1464">
        <f t="shared" si="5"/>
        <v>1</v>
      </c>
    </row>
    <row r="42" spans="1:29" ht="15">
      <c r="A42" s="494"/>
      <c r="B42" s="427" t="s">
        <v>673</v>
      </c>
      <c r="C42" s="499" t="s">
        <v>3255</v>
      </c>
      <c r="D42" s="440">
        <v>100</v>
      </c>
      <c r="E42" s="774" t="s">
        <v>3255</v>
      </c>
      <c r="F42" s="475">
        <f>SUMIF(122:122,E42,123:123)-SUMIF(122:122,C42,123:123)+100</f>
        <v>100</v>
      </c>
      <c r="G42" s="499" t="s">
        <v>3255</v>
      </c>
      <c r="H42" s="440">
        <f>SUMIF(122:122,G42,123:123)-SUMIF(122:122,C42,123:123)+100</f>
        <v>100</v>
      </c>
      <c r="I42" s="774" t="s">
        <v>3255</v>
      </c>
      <c r="J42" s="440">
        <f>SUMIF(122:122,I42,123:123)-SUMIF(122:122,C42,123:123)+100</f>
        <v>100</v>
      </c>
      <c r="K42" s="764">
        <v>2</v>
      </c>
      <c r="L42" s="2017"/>
      <c r="M42" s="2009"/>
      <c r="N42" s="2009"/>
      <c r="O42" s="2016"/>
      <c r="P42" s="3415"/>
      <c r="Q42" s="1460" t="str">
        <f t="shared" si="8"/>
        <v>内部装修</v>
      </c>
      <c r="R42" s="1461" t="s">
        <v>11</v>
      </c>
      <c r="S42" s="1462">
        <f t="shared" si="9"/>
        <v>100</v>
      </c>
      <c r="T42" s="1461" t="s">
        <v>11</v>
      </c>
      <c r="U42" s="1462">
        <f t="shared" si="10"/>
        <v>100</v>
      </c>
      <c r="V42" s="1461" t="s">
        <v>11</v>
      </c>
      <c r="W42" s="1462">
        <f t="shared" si="11"/>
        <v>100</v>
      </c>
      <c r="X42" s="1455"/>
      <c r="Y42" s="3415"/>
      <c r="Z42" s="1463" t="str">
        <f t="shared" si="12"/>
        <v>内部装修</v>
      </c>
      <c r="AA42" s="1464">
        <f t="shared" si="3"/>
        <v>1</v>
      </c>
      <c r="AB42" s="1464">
        <f t="shared" si="4"/>
        <v>1</v>
      </c>
      <c r="AC42" s="1464">
        <f t="shared" si="5"/>
        <v>1</v>
      </c>
    </row>
    <row r="43" spans="1:29" ht="15.75" thickBot="1">
      <c r="A43" s="494"/>
      <c r="B43" s="427" t="s">
        <v>674</v>
      </c>
      <c r="C43" s="499" t="s">
        <v>3257</v>
      </c>
      <c r="D43" s="440">
        <v>100</v>
      </c>
      <c r="E43" s="774" t="s">
        <v>3257</v>
      </c>
      <c r="F43" s="475">
        <f>SUMIF(124:124,E43,125:125)-SUMIF(124:124,C43,125:125)+100</f>
        <v>100</v>
      </c>
      <c r="G43" s="499" t="s">
        <v>3257</v>
      </c>
      <c r="H43" s="440">
        <f>SUMIF(124:124,G43,125:125)-SUMIF(124:124,C43,125:125)+100</f>
        <v>100</v>
      </c>
      <c r="I43" s="774" t="s">
        <v>3257</v>
      </c>
      <c r="J43" s="440">
        <f>SUMIF(124:124,I43,125:125)-SUMIF(124:124,C43,125:125)+100</f>
        <v>100</v>
      </c>
      <c r="K43" s="764">
        <v>2</v>
      </c>
      <c r="L43" s="2017"/>
      <c r="M43" s="2009"/>
      <c r="N43" s="2009"/>
      <c r="O43" s="2016"/>
      <c r="P43" s="3415"/>
      <c r="Q43" s="1460" t="str">
        <f t="shared" si="8"/>
        <v>内部装修维护情况</v>
      </c>
      <c r="R43" s="1461" t="s">
        <v>11</v>
      </c>
      <c r="S43" s="1462">
        <f t="shared" si="9"/>
        <v>100</v>
      </c>
      <c r="T43" s="1461" t="s">
        <v>11</v>
      </c>
      <c r="U43" s="1462">
        <f t="shared" si="10"/>
        <v>100</v>
      </c>
      <c r="V43" s="1461" t="s">
        <v>11</v>
      </c>
      <c r="W43" s="1462">
        <f t="shared" si="11"/>
        <v>100</v>
      </c>
      <c r="X43" s="1455"/>
      <c r="Y43" s="3415"/>
      <c r="Z43" s="1463" t="str">
        <f t="shared" si="12"/>
        <v>内部装修维护情况</v>
      </c>
      <c r="AA43" s="1464">
        <f t="shared" si="3"/>
        <v>1</v>
      </c>
      <c r="AB43" s="1464">
        <f t="shared" si="4"/>
        <v>1</v>
      </c>
      <c r="AC43" s="1464">
        <f t="shared" si="5"/>
        <v>1</v>
      </c>
    </row>
    <row r="44" spans="1:29" s="1108" customFormat="1" ht="15" hidden="1">
      <c r="A44" s="500"/>
      <c r="B44" s="777"/>
      <c r="C44" s="780"/>
      <c r="D44" s="159">
        <v>100</v>
      </c>
      <c r="E44" s="780"/>
      <c r="F44" s="763">
        <f>SUMIF(126:126,E44,127:127)-SUMIF(126:126,C44,127:127)+100</f>
        <v>100</v>
      </c>
      <c r="G44" s="780"/>
      <c r="H44" s="159">
        <f>SUMIF(126:126,G44,127:127)-SUMIF(126:126,C44,127:127)+100</f>
        <v>100</v>
      </c>
      <c r="I44" s="780"/>
      <c r="J44" s="159">
        <f>SUMIF(126:126,I44,127:127)-SUMIF(126:126,C44,127:127)+100</f>
        <v>100</v>
      </c>
      <c r="K44" s="765"/>
      <c r="L44" s="2010"/>
      <c r="M44" s="2011"/>
      <c r="N44" s="2011"/>
      <c r="O44" s="2012"/>
      <c r="P44" s="3415"/>
      <c r="Q44" s="1049">
        <f t="shared" si="8"/>
        <v>0</v>
      </c>
      <c r="R44" s="1456" t="s">
        <v>11</v>
      </c>
      <c r="S44" s="1457">
        <f t="shared" si="9"/>
        <v>100</v>
      </c>
      <c r="T44" s="1456" t="s">
        <v>11</v>
      </c>
      <c r="U44" s="1457">
        <f t="shared" si="10"/>
        <v>100</v>
      </c>
      <c r="V44" s="1456" t="s">
        <v>11</v>
      </c>
      <c r="W44" s="1457">
        <f t="shared" si="11"/>
        <v>100</v>
      </c>
      <c r="X44" s="1458"/>
      <c r="Y44" s="3415"/>
      <c r="Z44" s="1048">
        <f t="shared" si="12"/>
        <v>0</v>
      </c>
      <c r="AA44" s="1459">
        <f t="shared" si="3"/>
        <v>1</v>
      </c>
      <c r="AB44" s="1459">
        <f t="shared" si="4"/>
        <v>1</v>
      </c>
      <c r="AC44" s="1459">
        <f t="shared" si="5"/>
        <v>1</v>
      </c>
    </row>
    <row r="45" spans="1:29" ht="15" hidden="1">
      <c r="A45" s="494"/>
      <c r="B45" s="777"/>
      <c r="C45" s="439"/>
      <c r="D45" s="440">
        <v>100</v>
      </c>
      <c r="E45" s="439"/>
      <c r="F45" s="475">
        <f>SUMIF(128:128,E45,129:129)-SUMIF(128:128,C45,129:129)+100</f>
        <v>100</v>
      </c>
      <c r="G45" s="439"/>
      <c r="H45" s="440">
        <f>SUMIF(128:128,G45,129:129)-SUMIF(128:128,C45,129:129)+100</f>
        <v>100</v>
      </c>
      <c r="I45" s="439"/>
      <c r="J45" s="440">
        <f>SUMIF(128:128,I45,129:129)-SUMIF(128:128,C45,129:129)+100</f>
        <v>100</v>
      </c>
      <c r="K45" s="765"/>
      <c r="L45" s="2017"/>
      <c r="M45" s="2009"/>
      <c r="N45" s="2009"/>
      <c r="O45" s="2016"/>
      <c r="P45" s="3415"/>
      <c r="Q45" s="1460">
        <f t="shared" si="8"/>
        <v>0</v>
      </c>
      <c r="R45" s="1461" t="s">
        <v>11</v>
      </c>
      <c r="S45" s="1462">
        <f t="shared" si="9"/>
        <v>100</v>
      </c>
      <c r="T45" s="1461" t="s">
        <v>11</v>
      </c>
      <c r="U45" s="1462">
        <f t="shared" si="10"/>
        <v>100</v>
      </c>
      <c r="V45" s="1461" t="s">
        <v>11</v>
      </c>
      <c r="W45" s="1462">
        <f t="shared" si="11"/>
        <v>100</v>
      </c>
      <c r="X45" s="1455"/>
      <c r="Y45" s="3415"/>
      <c r="Z45" s="1463">
        <f t="shared" si="12"/>
        <v>0</v>
      </c>
      <c r="AA45" s="1464">
        <f t="shared" si="3"/>
        <v>1</v>
      </c>
      <c r="AB45" s="1464">
        <f t="shared" si="4"/>
        <v>1</v>
      </c>
      <c r="AC45" s="1464">
        <f t="shared" si="5"/>
        <v>1</v>
      </c>
    </row>
    <row r="46" spans="1:29" ht="15.75" hidden="1" thickBot="1">
      <c r="A46" s="786"/>
      <c r="B46" s="444"/>
      <c r="C46" s="445"/>
      <c r="D46" s="446">
        <v>100</v>
      </c>
      <c r="E46" s="445"/>
      <c r="F46" s="766">
        <f>SUMIF(130:130,E46,131:131)-SUMIF(130:130,C46,131:131)+100</f>
        <v>100</v>
      </c>
      <c r="G46" s="445"/>
      <c r="H46" s="446">
        <f>SUMIF(130:130,G46,131:131)-SUMIF(130:130,C46,131:131)+100</f>
        <v>100</v>
      </c>
      <c r="I46" s="445"/>
      <c r="J46" s="446">
        <f>SUMIF(130:130,I46,131:131)-SUMIF(130:130,C46,131:131)+100</f>
        <v>100</v>
      </c>
      <c r="K46" s="765"/>
      <c r="L46" s="2017"/>
      <c r="M46" s="2009"/>
      <c r="N46" s="2009"/>
      <c r="O46" s="2016"/>
      <c r="P46" s="3490"/>
      <c r="Q46" s="1460">
        <f t="shared" si="8"/>
        <v>0</v>
      </c>
      <c r="R46" s="1461" t="s">
        <v>10</v>
      </c>
      <c r="S46" s="1462">
        <f t="shared" si="9"/>
        <v>100</v>
      </c>
      <c r="T46" s="1461" t="s">
        <v>10</v>
      </c>
      <c r="U46" s="1462">
        <f t="shared" si="10"/>
        <v>100</v>
      </c>
      <c r="V46" s="1461" t="s">
        <v>10</v>
      </c>
      <c r="W46" s="1462">
        <f t="shared" si="11"/>
        <v>100</v>
      </c>
      <c r="X46" s="1455"/>
      <c r="Y46" s="3490"/>
      <c r="Z46" s="1463">
        <f t="shared" si="12"/>
        <v>0</v>
      </c>
      <c r="AA46" s="1464">
        <f t="shared" si="3"/>
        <v>1</v>
      </c>
      <c r="AB46" s="1464">
        <f t="shared" si="4"/>
        <v>1</v>
      </c>
      <c r="AC46" s="1464">
        <f t="shared" si="5"/>
        <v>1</v>
      </c>
    </row>
    <row r="47" spans="1:29" ht="15">
      <c r="A47" s="507" t="s">
        <v>675</v>
      </c>
      <c r="B47" s="787"/>
      <c r="C47" s="2492" t="s">
        <v>9</v>
      </c>
      <c r="D47" s="2493"/>
      <c r="E47" s="2494">
        <v>13000</v>
      </c>
      <c r="F47" s="2495"/>
      <c r="G47" s="2496">
        <v>13500</v>
      </c>
      <c r="H47" s="2497"/>
      <c r="I47" s="2494">
        <f>ROUND(17000*0.95,0)</f>
        <v>16150</v>
      </c>
      <c r="J47" s="2497"/>
      <c r="K47" s="1494"/>
      <c r="L47" s="2019"/>
      <c r="M47" s="2020"/>
      <c r="N47" s="2009"/>
      <c r="O47" s="2020"/>
      <c r="P47" s="3378" t="str">
        <f>A47</f>
        <v>成交单价（元/平方米）</v>
      </c>
      <c r="Q47" s="3378"/>
      <c r="R47" s="3489">
        <f>E47</f>
        <v>13000</v>
      </c>
      <c r="S47" s="3489"/>
      <c r="T47" s="3489">
        <f>G47</f>
        <v>13500</v>
      </c>
      <c r="U47" s="3489"/>
      <c r="V47" s="3489">
        <f>I47</f>
        <v>16150</v>
      </c>
      <c r="W47" s="3489"/>
      <c r="X47" s="1447"/>
      <c r="Y47" s="1469"/>
      <c r="Z47" s="1447"/>
      <c r="AA47" s="1447"/>
      <c r="AB47" s="1447"/>
      <c r="AC47" s="1447"/>
    </row>
    <row r="48" spans="1:29" ht="15.75" thickBot="1">
      <c r="A48" s="515" t="s">
        <v>2688</v>
      </c>
      <c r="B48" s="788"/>
      <c r="C48" s="2498">
        <f>R49</f>
        <v>13401</v>
      </c>
      <c r="D48" s="2499"/>
      <c r="E48" s="2500">
        <f>R48</f>
        <v>13399</v>
      </c>
      <c r="F48" s="2500"/>
      <c r="G48" s="2498">
        <f>T48</f>
        <v>13509</v>
      </c>
      <c r="H48" s="2499"/>
      <c r="I48" s="2500">
        <f>V48</f>
        <v>13294</v>
      </c>
      <c r="J48" s="2499"/>
      <c r="K48" s="1495"/>
      <c r="L48" s="2019"/>
      <c r="M48" s="2020"/>
      <c r="N48" s="2020"/>
      <c r="O48" s="2020"/>
      <c r="P48" s="3378" t="str">
        <f>A48</f>
        <v>比较价格（元/平方米）</v>
      </c>
      <c r="Q48" s="3378"/>
      <c r="R48" s="3489">
        <f>IF(F1="售价",ROUND(PRODUCT(R47,AA7:AA46),0),ROUND(PRODUCT(R47,AA7:AA46),1))</f>
        <v>13399</v>
      </c>
      <c r="S48" s="3489"/>
      <c r="T48" s="3489">
        <f>IF(F1="售价",ROUND(PRODUCT(T47,AB7:AB46),0),ROUND(PRODUCT(T47,AB7:AB46),1))</f>
        <v>13509</v>
      </c>
      <c r="U48" s="3489"/>
      <c r="V48" s="3489">
        <f>IF(F1="售价",ROUND(PRODUCT(V47,AC7:AC46),0),ROUND(PRODUCT(V47,AC7:AC46),1))</f>
        <v>13294</v>
      </c>
      <c r="W48" s="3489"/>
      <c r="X48" s="1447"/>
      <c r="Y48" s="1447"/>
      <c r="Z48" s="1447"/>
      <c r="AA48" s="1447"/>
      <c r="AB48" s="1447"/>
      <c r="AC48" s="1447"/>
    </row>
    <row r="49" spans="1:29" ht="15.75" thickBot="1">
      <c r="A49" s="521" t="s">
        <v>3013</v>
      </c>
      <c r="B49" s="522"/>
      <c r="C49" s="2501">
        <f>R49</f>
        <v>13401</v>
      </c>
      <c r="D49" s="2501"/>
      <c r="E49" s="2501"/>
      <c r="F49" s="2501"/>
      <c r="G49" s="2501"/>
      <c r="H49" s="2501"/>
      <c r="I49" s="2501"/>
      <c r="J49" s="2501"/>
      <c r="K49" s="1496"/>
      <c r="L49" s="2019"/>
      <c r="M49" s="2020"/>
      <c r="N49" s="2020"/>
      <c r="O49" s="2020"/>
      <c r="P49" s="3375" t="str">
        <f>A49</f>
        <v>比较价格（楼面单价，元/平方米）</v>
      </c>
      <c r="Q49" s="3376"/>
      <c r="R49" s="3488">
        <f>IF(F1="售价",ROUND(AVERAGE(R48:V48),0),ROUND(AVERAGE(R48:V48),1))</f>
        <v>13401</v>
      </c>
      <c r="S49" s="3488"/>
      <c r="T49" s="3488"/>
      <c r="U49" s="3488"/>
      <c r="V49" s="3488"/>
      <c r="W49" s="3488"/>
      <c r="X49" s="1447"/>
      <c r="Y49" s="1447"/>
      <c r="Z49" s="1447"/>
      <c r="AA49" s="1447"/>
      <c r="AB49" s="1447"/>
      <c r="AC49" s="1447"/>
    </row>
    <row r="50" spans="1:29" hidden="1">
      <c r="A50" s="2020"/>
      <c r="B50" s="2020"/>
      <c r="C50" s="2020"/>
      <c r="D50" s="2020"/>
      <c r="E50" s="2020"/>
      <c r="F50" s="2020"/>
      <c r="G50" s="2023"/>
      <c r="H50" s="2020"/>
      <c r="I50" s="2020"/>
      <c r="J50" s="2020"/>
      <c r="K50" s="2024"/>
      <c r="L50" s="2025"/>
      <c r="M50" s="2020"/>
      <c r="N50" s="2020"/>
      <c r="O50" s="2020"/>
      <c r="P50" s="2020"/>
      <c r="Q50" s="2020"/>
      <c r="R50" s="2020"/>
      <c r="S50" s="2020"/>
      <c r="T50" s="2020"/>
      <c r="U50" s="2020"/>
      <c r="V50" s="2020"/>
      <c r="W50" s="2020"/>
      <c r="X50" s="2020"/>
      <c r="Y50" s="2020"/>
      <c r="Z50" s="2020"/>
      <c r="AA50" s="2020"/>
      <c r="AB50" s="2020"/>
      <c r="AC50" s="2020"/>
    </row>
    <row r="51" spans="1:29" hidden="1">
      <c r="A51" s="2020"/>
      <c r="B51" s="2020"/>
      <c r="C51" s="2020"/>
      <c r="D51" s="2020"/>
      <c r="E51" s="2020"/>
      <c r="F51" s="2020"/>
      <c r="G51" s="2020"/>
      <c r="H51" s="2020"/>
      <c r="I51" s="2020"/>
      <c r="J51" s="2020"/>
      <c r="K51" s="2024"/>
      <c r="L51" s="2025"/>
      <c r="M51" s="2020"/>
      <c r="N51" s="2020"/>
      <c r="O51" s="2020"/>
      <c r="P51" s="2020"/>
      <c r="Q51" s="2020"/>
      <c r="R51" s="2020"/>
      <c r="S51" s="2020"/>
      <c r="T51" s="2020"/>
      <c r="U51" s="2020"/>
      <c r="V51" s="2020"/>
      <c r="W51" s="2020"/>
      <c r="X51" s="2020"/>
      <c r="Y51" s="2020"/>
      <c r="Z51" s="2020"/>
      <c r="AA51" s="2020"/>
      <c r="AB51" s="2020"/>
      <c r="AC51" s="2020"/>
    </row>
    <row r="52" spans="1:29" ht="13.5" customHeight="1">
      <c r="A52" s="2020"/>
      <c r="B52" s="2020"/>
      <c r="C52" s="524" t="s">
        <v>497</v>
      </c>
      <c r="D52" s="525"/>
      <c r="E52" s="526">
        <f>IF(E47&lt;E48,E48/E47-1,E47/E48-1)</f>
        <v>3.0692307692307796E-2</v>
      </c>
      <c r="F52" s="527" t="str">
        <f>IF(OR(E52&gt;=0.3,E52&lt;=-0.3),"超过30%","")</f>
        <v/>
      </c>
      <c r="G52" s="526">
        <f>IF(G47&lt;G48,G48/G47-1,G47/G48-1)</f>
        <v>6.6666666666659324E-4</v>
      </c>
      <c r="H52" s="527" t="str">
        <f>IF(OR(G52&gt;=0.3,G52&lt;=-0.3),"超过30%","")</f>
        <v/>
      </c>
      <c r="I52" s="526">
        <f>IF(I47&lt;I48,I48/I47-1,I47/I48-1)</f>
        <v>0.21483375959079276</v>
      </c>
      <c r="J52" s="527" t="str">
        <f>IF(OR(I52&gt;=0.3,I52&lt;=-0.3),"超过30%","")</f>
        <v/>
      </c>
      <c r="K52" s="2024"/>
      <c r="L52" s="2025"/>
      <c r="M52" s="2020"/>
      <c r="N52" s="2020"/>
      <c r="O52" s="2020"/>
      <c r="P52" s="2020"/>
      <c r="Q52" s="2020"/>
      <c r="R52" s="2020"/>
      <c r="S52" s="2020"/>
      <c r="T52" s="2020"/>
      <c r="U52" s="2020"/>
      <c r="V52" s="2020"/>
      <c r="W52" s="2020"/>
      <c r="X52" s="2020"/>
      <c r="Y52" s="2020"/>
      <c r="Z52" s="2020"/>
      <c r="AA52" s="2020"/>
      <c r="AB52" s="2020"/>
      <c r="AC52" s="2020"/>
    </row>
    <row r="53" spans="1:29" ht="13.5" customHeight="1">
      <c r="A53" s="2020"/>
      <c r="B53" s="2020"/>
      <c r="C53" s="524" t="s">
        <v>498</v>
      </c>
      <c r="D53" s="528"/>
      <c r="E53" s="526">
        <f>IF(E48&lt;G48,G48/E48-1,E48/G48-1)</f>
        <v>8.2095678781999304E-3</v>
      </c>
      <c r="F53" s="527" t="str">
        <f>IF(OR(E53&gt;=0.2,E53&lt;=-0.2),"超过20%","")</f>
        <v/>
      </c>
      <c r="G53" s="526">
        <f>IF(G48&lt;I48,I48/G48-1,G48/I48-1)</f>
        <v>1.6172709493004422E-2</v>
      </c>
      <c r="H53" s="527" t="str">
        <f>IF(OR(G53&gt;=0.2,G53&lt;=-0.2),"超过20%","")</f>
        <v/>
      </c>
      <c r="I53" s="526">
        <f>IF(I48&lt;E48,E48/I48-1,I48/E48-1)</f>
        <v>7.8982999849557256E-3</v>
      </c>
      <c r="J53" s="527" t="str">
        <f>IF(OR(I53&gt;=0.2,I53&lt;=-0.2),"超过20%","")</f>
        <v/>
      </c>
      <c r="K53" s="2024"/>
      <c r="L53" s="2025"/>
      <c r="M53" s="2020"/>
      <c r="N53" s="2020"/>
      <c r="O53" s="2020"/>
      <c r="P53" s="2020"/>
      <c r="Q53" s="2020"/>
      <c r="R53" s="2020"/>
      <c r="S53" s="2020"/>
      <c r="T53" s="2020"/>
      <c r="U53" s="2020"/>
      <c r="V53" s="2020"/>
      <c r="W53" s="2020"/>
      <c r="X53" s="2020"/>
      <c r="Y53" s="2020"/>
      <c r="Z53" s="2020"/>
      <c r="AA53" s="2020"/>
      <c r="AB53" s="2020"/>
      <c r="AC53" s="2020"/>
    </row>
    <row r="54" spans="1:29" s="1233" customFormat="1" ht="13.5" customHeight="1">
      <c r="A54" s="2021"/>
      <c r="B54" s="2021"/>
      <c r="C54" s="524" t="s">
        <v>499</v>
      </c>
      <c r="D54" s="528"/>
      <c r="E54" s="526">
        <f>IF(E47&lt;G47,G47/E47-1,E47/G47-1)</f>
        <v>3.8461538461538547E-2</v>
      </c>
      <c r="F54" s="527" t="str">
        <f>IF(OR(E54&gt;=0.3,E54&lt;=-0.3),"超过30%","")</f>
        <v/>
      </c>
      <c r="G54" s="526">
        <f>IF(G47&lt;I47,I47/G47-1,G47/I47-1)</f>
        <v>0.19629629629629619</v>
      </c>
      <c r="H54" s="527" t="str">
        <f>IF(OR(G54&gt;=0.3,G54&lt;=-0.3),"超过30%","")</f>
        <v/>
      </c>
      <c r="I54" s="526">
        <f>IF(I47&lt;E47,E47/I47-1,I47/E47-1)</f>
        <v>0.24230769230769234</v>
      </c>
      <c r="J54" s="527" t="str">
        <f>IF(OR(I54&gt;=0.3,I54&lt;=-0.3),"超过30%","")</f>
        <v/>
      </c>
      <c r="K54" s="2027"/>
      <c r="L54" s="2028"/>
      <c r="M54" s="2021"/>
      <c r="N54" s="2021"/>
      <c r="O54" s="2021"/>
      <c r="P54" s="2021"/>
      <c r="Q54" s="2021"/>
      <c r="R54" s="2021"/>
      <c r="S54" s="2021"/>
      <c r="T54" s="2021"/>
      <c r="U54" s="2021"/>
      <c r="V54" s="2021"/>
      <c r="W54" s="2021"/>
      <c r="X54" s="2021"/>
      <c r="Y54" s="2021"/>
      <c r="Z54" s="2021"/>
      <c r="AA54" s="2021"/>
      <c r="AB54" s="2021"/>
      <c r="AC54" s="2021"/>
    </row>
    <row r="55" spans="1:29" s="1233" customFormat="1">
      <c r="A55" s="2021"/>
      <c r="B55" s="2022"/>
      <c r="C55" s="2026"/>
      <c r="D55" s="2021"/>
      <c r="E55" s="2021"/>
      <c r="F55" s="2021"/>
      <c r="G55" s="2021"/>
      <c r="H55" s="2021"/>
      <c r="I55" s="2021"/>
      <c r="J55" s="2021"/>
      <c r="K55" s="2027"/>
      <c r="L55" s="2028"/>
      <c r="M55" s="2021"/>
      <c r="N55" s="2021"/>
      <c r="O55" s="2021"/>
      <c r="P55" s="2021"/>
      <c r="Q55" s="2021"/>
      <c r="R55" s="2021"/>
      <c r="S55" s="2021"/>
      <c r="T55" s="2021"/>
      <c r="U55" s="2021"/>
      <c r="V55" s="2021"/>
      <c r="W55" s="2021"/>
      <c r="X55" s="2021"/>
      <c r="Y55" s="2021"/>
      <c r="Z55" s="2021"/>
      <c r="AA55" s="2021"/>
      <c r="AB55" s="2021"/>
      <c r="AC55" s="2021"/>
    </row>
    <row r="56" spans="1:29">
      <c r="A56" s="2020"/>
      <c r="B56" s="2022"/>
      <c r="C56" s="2026"/>
      <c r="D56" s="2022"/>
      <c r="E56" s="2022"/>
      <c r="F56" s="2022"/>
      <c r="G56" s="2022"/>
      <c r="H56" s="2022"/>
      <c r="I56" s="2022"/>
      <c r="J56" s="2022"/>
      <c r="K56" s="2022"/>
      <c r="L56" s="2022"/>
      <c r="M56" s="2022"/>
      <c r="N56" s="2022"/>
      <c r="O56" s="2022"/>
      <c r="P56" s="2020"/>
      <c r="Q56" s="2020"/>
      <c r="R56" s="2020"/>
      <c r="S56" s="2020"/>
      <c r="T56" s="2020"/>
      <c r="U56" s="2020"/>
      <c r="V56" s="2020"/>
      <c r="W56" s="2020"/>
      <c r="X56" s="2020"/>
      <c r="Y56" s="2020"/>
      <c r="Z56" s="2020"/>
      <c r="AA56" s="2020"/>
      <c r="AB56" s="2020"/>
      <c r="AC56" s="2020"/>
    </row>
    <row r="57" spans="1:29" ht="21.75" thickBot="1">
      <c r="A57" s="1472" t="s">
        <v>514</v>
      </c>
      <c r="B57" s="1447"/>
      <c r="C57" s="1471"/>
      <c r="D57" s="1471"/>
      <c r="E57" s="1471"/>
      <c r="F57" s="1473"/>
      <c r="G57" s="1473"/>
      <c r="H57" s="1471"/>
      <c r="I57" s="1471"/>
      <c r="J57" s="1471"/>
      <c r="K57" s="1474"/>
      <c r="L57" s="1470"/>
      <c r="M57" s="1471"/>
      <c r="N57" s="1471"/>
      <c r="O57" s="1471"/>
      <c r="P57" s="2032"/>
      <c r="Q57" s="2033"/>
      <c r="R57" s="2020"/>
      <c r="S57" s="2020"/>
      <c r="T57" s="2020"/>
      <c r="U57" s="2020"/>
      <c r="V57" s="2020"/>
      <c r="W57" s="2020"/>
      <c r="X57" s="2020"/>
      <c r="Y57" s="2020"/>
      <c r="Z57" s="2020"/>
      <c r="AA57" s="2020"/>
      <c r="AB57" s="2020"/>
      <c r="AC57" s="2020"/>
    </row>
    <row r="58" spans="1:29" s="1235" customFormat="1" ht="15">
      <c r="A58" s="545" t="s">
        <v>469</v>
      </c>
      <c r="B58" s="546"/>
      <c r="C58" s="2669" t="str">
        <f>YEAR(C7)&amp;"-"&amp;MONTH(C7)</f>
        <v>2018-5</v>
      </c>
      <c r="D58" s="2669">
        <f>EDATE(C58,-1)</f>
        <v>43191</v>
      </c>
      <c r="E58" s="2669">
        <f t="shared" ref="E58:O58" si="13">EDATE(D58,-1)</f>
        <v>43160</v>
      </c>
      <c r="F58" s="2669">
        <f t="shared" si="13"/>
        <v>43132</v>
      </c>
      <c r="G58" s="2669">
        <f t="shared" si="13"/>
        <v>43101</v>
      </c>
      <c r="H58" s="2669">
        <f t="shared" si="13"/>
        <v>43070</v>
      </c>
      <c r="I58" s="2669">
        <f t="shared" si="13"/>
        <v>43040</v>
      </c>
      <c r="J58" s="2669">
        <f t="shared" si="13"/>
        <v>43009</v>
      </c>
      <c r="K58" s="2669">
        <f t="shared" si="13"/>
        <v>42979</v>
      </c>
      <c r="L58" s="2669">
        <f t="shared" si="13"/>
        <v>42948</v>
      </c>
      <c r="M58" s="2669">
        <f t="shared" si="13"/>
        <v>42917</v>
      </c>
      <c r="N58" s="2669">
        <f t="shared" si="13"/>
        <v>42887</v>
      </c>
      <c r="O58" s="2669">
        <f t="shared" si="13"/>
        <v>42856</v>
      </c>
      <c r="P58" s="2035"/>
      <c r="Q58" s="2036"/>
      <c r="R58" s="2036"/>
      <c r="S58" s="2036"/>
      <c r="T58" s="2036"/>
      <c r="U58" s="2036"/>
      <c r="V58" s="2036"/>
      <c r="W58" s="2036"/>
      <c r="X58" s="2036"/>
      <c r="Y58" s="2036"/>
      <c r="Z58" s="2036"/>
      <c r="AA58" s="2036"/>
      <c r="AB58" s="2036"/>
      <c r="AC58" s="2036"/>
    </row>
    <row r="59" spans="1:29" s="1108" customFormat="1" ht="15">
      <c r="A59" s="547"/>
      <c r="B59" s="548"/>
      <c r="C59" s="549">
        <v>100</v>
      </c>
      <c r="D59" s="550">
        <v>100</v>
      </c>
      <c r="E59" s="550">
        <v>99</v>
      </c>
      <c r="F59" s="550">
        <v>99</v>
      </c>
      <c r="G59" s="550">
        <v>99</v>
      </c>
      <c r="H59" s="550"/>
      <c r="I59" s="550"/>
      <c r="J59" s="550"/>
      <c r="K59" s="550"/>
      <c r="L59" s="550"/>
      <c r="M59" s="550"/>
      <c r="N59" s="550"/>
      <c r="O59" s="550"/>
      <c r="P59" s="2033"/>
      <c r="Q59" s="1872"/>
      <c r="R59" s="1872"/>
      <c r="S59" s="1872"/>
      <c r="T59" s="1872"/>
      <c r="U59" s="1872"/>
      <c r="V59" s="1872"/>
      <c r="W59" s="1872"/>
      <c r="X59" s="1872"/>
      <c r="Y59" s="1872"/>
      <c r="Z59" s="1872"/>
      <c r="AA59" s="1872"/>
      <c r="AB59" s="1872"/>
      <c r="AC59" s="1872"/>
    </row>
    <row r="60" spans="1:29" s="1108" customFormat="1" ht="15.75" thickBot="1">
      <c r="A60" s="553" t="s">
        <v>515</v>
      </c>
      <c r="B60" s="554"/>
      <c r="C60" s="555"/>
      <c r="D60" s="556"/>
      <c r="E60" s="556"/>
      <c r="F60" s="556"/>
      <c r="G60" s="556">
        <v>3.15</v>
      </c>
      <c r="H60" s="556"/>
      <c r="I60" s="556"/>
      <c r="J60" s="556">
        <v>3.25</v>
      </c>
      <c r="K60" s="556"/>
      <c r="L60" s="556"/>
      <c r="M60" s="557">
        <v>3.52</v>
      </c>
      <c r="N60" s="556"/>
      <c r="O60" s="558"/>
      <c r="P60" s="2033"/>
      <c r="Q60" s="2033"/>
      <c r="R60" s="1872"/>
      <c r="S60" s="1872"/>
      <c r="T60" s="1872"/>
      <c r="U60" s="1872"/>
      <c r="V60" s="1872"/>
      <c r="W60" s="1872"/>
      <c r="X60" s="1872"/>
      <c r="Y60" s="1872"/>
      <c r="Z60" s="1872"/>
      <c r="AA60" s="1872"/>
      <c r="AB60" s="1872"/>
      <c r="AC60" s="1872"/>
    </row>
    <row r="61" spans="1:29" s="1108" customFormat="1" ht="15">
      <c r="A61" s="559" t="s">
        <v>471</v>
      </c>
      <c r="B61" s="548"/>
      <c r="C61" s="560" t="s">
        <v>516</v>
      </c>
      <c r="D61" s="561"/>
      <c r="E61" s="561"/>
      <c r="F61" s="561"/>
      <c r="G61" s="561"/>
      <c r="H61" s="561"/>
      <c r="I61" s="561"/>
      <c r="J61" s="561"/>
      <c r="K61" s="561"/>
      <c r="L61" s="562"/>
      <c r="M61" s="563"/>
      <c r="N61" s="2037"/>
      <c r="O61" s="2037"/>
      <c r="P61" s="2038"/>
      <c r="Q61" s="2033"/>
      <c r="R61" s="1872"/>
      <c r="S61" s="1872"/>
      <c r="T61" s="1872"/>
      <c r="U61" s="1872"/>
      <c r="V61" s="1872"/>
      <c r="W61" s="1872"/>
      <c r="X61" s="1872"/>
      <c r="Y61" s="1872"/>
      <c r="Z61" s="1872"/>
      <c r="AA61" s="1872"/>
      <c r="AB61" s="1872"/>
      <c r="AC61" s="1872"/>
    </row>
    <row r="62" spans="1:29" s="1108" customFormat="1" ht="15.75" thickBot="1">
      <c r="A62" s="559"/>
      <c r="B62" s="548"/>
      <c r="C62" s="789">
        <v>100</v>
      </c>
      <c r="D62" s="550"/>
      <c r="E62" s="550"/>
      <c r="F62" s="550"/>
      <c r="G62" s="550"/>
      <c r="H62" s="550"/>
      <c r="I62" s="550"/>
      <c r="J62" s="550"/>
      <c r="K62" s="550"/>
      <c r="L62" s="550"/>
      <c r="M62" s="552"/>
      <c r="N62" s="2037"/>
      <c r="O62" s="2037"/>
      <c r="P62" s="2033"/>
      <c r="Q62" s="2033"/>
      <c r="R62" s="1872"/>
      <c r="S62" s="1872"/>
      <c r="T62" s="1872"/>
      <c r="U62" s="1872"/>
      <c r="V62" s="1872"/>
      <c r="W62" s="1872"/>
      <c r="X62" s="1872"/>
      <c r="Y62" s="1872"/>
      <c r="Z62" s="1872"/>
      <c r="AA62" s="1872"/>
      <c r="AB62" s="1872"/>
      <c r="AC62" s="1872"/>
    </row>
    <row r="63" spans="1:29">
      <c r="A63" s="564" t="s">
        <v>517</v>
      </c>
      <c r="B63" s="565" t="s">
        <v>474</v>
      </c>
      <c r="C63" s="604" t="str">
        <f>C9</f>
        <v>居住</v>
      </c>
      <c r="D63" s="498"/>
      <c r="E63" s="498"/>
      <c r="F63" s="498"/>
      <c r="G63" s="498"/>
      <c r="H63" s="498"/>
      <c r="I63" s="498"/>
      <c r="J63" s="498"/>
      <c r="K63" s="566"/>
      <c r="L63" s="567"/>
      <c r="M63" s="568"/>
      <c r="N63" s="2039"/>
      <c r="O63" s="2039"/>
      <c r="P63" s="2040"/>
      <c r="Q63" s="2033"/>
      <c r="R63" s="2020"/>
      <c r="S63" s="2020"/>
      <c r="T63" s="2020"/>
      <c r="U63" s="2020"/>
      <c r="V63" s="2020"/>
      <c r="W63" s="2020"/>
      <c r="X63" s="2020"/>
      <c r="Y63" s="2020"/>
      <c r="Z63" s="2020"/>
      <c r="AA63" s="2020"/>
      <c r="AB63" s="2020"/>
      <c r="AC63" s="2020"/>
    </row>
    <row r="64" spans="1:29" ht="15.75" thickBot="1">
      <c r="A64" s="569"/>
      <c r="B64" s="570"/>
      <c r="C64" s="571"/>
      <c r="D64" s="571"/>
      <c r="E64" s="1497"/>
      <c r="F64" s="1497"/>
      <c r="G64" s="1497"/>
      <c r="H64" s="1497"/>
      <c r="I64" s="1497"/>
      <c r="J64" s="1497"/>
      <c r="K64" s="1497"/>
      <c r="L64" s="1497"/>
      <c r="M64" s="1498"/>
      <c r="N64" s="2041"/>
      <c r="O64" s="2041"/>
      <c r="P64" s="2040"/>
      <c r="Q64" s="2033"/>
      <c r="R64" s="2020"/>
      <c r="S64" s="2020"/>
      <c r="T64" s="2020"/>
      <c r="U64" s="2020"/>
      <c r="V64" s="2020"/>
      <c r="W64" s="2020"/>
      <c r="X64" s="2020"/>
      <c r="Y64" s="2020"/>
      <c r="Z64" s="2020"/>
      <c r="AA64" s="2020"/>
      <c r="AB64" s="2020"/>
      <c r="AC64" s="2020"/>
    </row>
    <row r="65" spans="1:29" ht="27.75" thickTop="1">
      <c r="A65" s="569"/>
      <c r="B65" s="573" t="s">
        <v>477</v>
      </c>
      <c r="C65" s="574" t="s">
        <v>676</v>
      </c>
      <c r="D65" s="574" t="s">
        <v>677</v>
      </c>
      <c r="E65" s="574" t="s">
        <v>678</v>
      </c>
      <c r="F65" s="574" t="s">
        <v>679</v>
      </c>
      <c r="G65" s="574" t="s">
        <v>680</v>
      </c>
      <c r="H65" s="574" t="s">
        <v>681</v>
      </c>
      <c r="I65" s="574" t="s">
        <v>682</v>
      </c>
      <c r="J65" s="574"/>
      <c r="K65" s="575"/>
      <c r="L65" s="576"/>
      <c r="M65" s="577"/>
      <c r="N65" s="2039"/>
      <c r="O65" s="2039"/>
      <c r="P65" s="2040"/>
      <c r="Q65" s="2033"/>
      <c r="R65" s="2020"/>
      <c r="S65" s="2020"/>
      <c r="T65" s="2020"/>
      <c r="U65" s="2020"/>
      <c r="V65" s="2020"/>
      <c r="W65" s="2020"/>
      <c r="X65" s="2020"/>
      <c r="Y65" s="2020"/>
      <c r="Z65" s="2020"/>
      <c r="AA65" s="2020"/>
      <c r="AB65" s="2020"/>
      <c r="AC65" s="2020"/>
    </row>
    <row r="66" spans="1:29" ht="15.75" thickBot="1">
      <c r="A66" s="569"/>
      <c r="B66" s="578"/>
      <c r="C66" s="579">
        <v>100</v>
      </c>
      <c r="D66" s="579">
        <f t="shared" ref="D66:I66" si="14">C66-$K10</f>
        <v>100</v>
      </c>
      <c r="E66" s="579">
        <f t="shared" si="14"/>
        <v>100</v>
      </c>
      <c r="F66" s="579">
        <f t="shared" si="14"/>
        <v>100</v>
      </c>
      <c r="G66" s="579">
        <f t="shared" si="14"/>
        <v>100</v>
      </c>
      <c r="H66" s="579">
        <f t="shared" si="14"/>
        <v>100</v>
      </c>
      <c r="I66" s="579">
        <f t="shared" si="14"/>
        <v>100</v>
      </c>
      <c r="J66" s="579"/>
      <c r="K66" s="579"/>
      <c r="L66" s="579"/>
      <c r="M66" s="580"/>
      <c r="N66" s="2041"/>
      <c r="O66" s="2041"/>
      <c r="P66" s="2040"/>
      <c r="Q66" s="2033"/>
      <c r="R66" s="2020"/>
      <c r="S66" s="2020"/>
      <c r="T66" s="2020"/>
      <c r="U66" s="2020"/>
      <c r="V66" s="2020"/>
      <c r="W66" s="2020"/>
      <c r="X66" s="2020"/>
      <c r="Y66" s="2020"/>
      <c r="Z66" s="2020"/>
      <c r="AA66" s="2020"/>
      <c r="AB66" s="2020"/>
      <c r="AC66" s="2020"/>
    </row>
    <row r="67" spans="1:29" ht="15.75" thickTop="1">
      <c r="A67" s="569"/>
      <c r="B67" s="581" t="s">
        <v>478</v>
      </c>
      <c r="C67" s="582" t="str">
        <f>C68&amp;"（含）"&amp;"-"&amp;D68</f>
        <v>1（含）-2</v>
      </c>
      <c r="D67" s="582" t="str">
        <f t="shared" ref="D67:L67" si="15">D68&amp;"（含）"&amp;"-"&amp;E68</f>
        <v>2（含）-3</v>
      </c>
      <c r="E67" s="582" t="str">
        <f t="shared" si="15"/>
        <v>3（含）-4</v>
      </c>
      <c r="F67" s="582" t="str">
        <f t="shared" si="15"/>
        <v>4（含）-5</v>
      </c>
      <c r="G67" s="582" t="str">
        <f t="shared" si="15"/>
        <v>5（含）-6</v>
      </c>
      <c r="H67" s="582" t="str">
        <f t="shared" si="15"/>
        <v>6（含）-</v>
      </c>
      <c r="I67" s="582" t="str">
        <f t="shared" si="15"/>
        <v>（含）-</v>
      </c>
      <c r="J67" s="582" t="str">
        <f t="shared" si="15"/>
        <v>（含）-</v>
      </c>
      <c r="K67" s="582" t="str">
        <f t="shared" si="15"/>
        <v>（含）-</v>
      </c>
      <c r="L67" s="582" t="str">
        <f t="shared" si="15"/>
        <v>（含）-</v>
      </c>
      <c r="M67" s="455" t="str">
        <f>M68&amp;"（含）"&amp;"-"&amp;P68</f>
        <v>（含）-</v>
      </c>
      <c r="N67" s="2041"/>
      <c r="O67" s="2041"/>
      <c r="P67" s="2040"/>
      <c r="Q67" s="2033"/>
      <c r="R67" s="2020"/>
      <c r="S67" s="2020"/>
      <c r="T67" s="2020"/>
      <c r="U67" s="2020"/>
      <c r="V67" s="2020"/>
      <c r="W67" s="2020"/>
      <c r="X67" s="2020"/>
      <c r="Y67" s="2020"/>
      <c r="Z67" s="2020"/>
      <c r="AA67" s="2020"/>
      <c r="AB67" s="2020"/>
      <c r="AC67" s="2020"/>
    </row>
    <row r="68" spans="1:29" ht="15">
      <c r="A68" s="569"/>
      <c r="B68" s="583"/>
      <c r="C68" s="441">
        <v>1</v>
      </c>
      <c r="D68" s="441">
        <v>2</v>
      </c>
      <c r="E68" s="441">
        <v>3</v>
      </c>
      <c r="F68" s="441">
        <v>4</v>
      </c>
      <c r="G68" s="441">
        <v>5</v>
      </c>
      <c r="H68" s="441">
        <v>6</v>
      </c>
      <c r="I68" s="441"/>
      <c r="J68" s="441"/>
      <c r="K68" s="584"/>
      <c r="L68" s="585"/>
      <c r="M68" s="586"/>
      <c r="N68" s="2039"/>
      <c r="O68" s="2039"/>
      <c r="P68" s="2040"/>
      <c r="Q68" s="2033"/>
      <c r="R68" s="2020"/>
      <c r="S68" s="2020"/>
      <c r="T68" s="2020"/>
      <c r="U68" s="2020"/>
      <c r="V68" s="2020"/>
      <c r="W68" s="2020"/>
      <c r="X68" s="2020"/>
      <c r="Y68" s="2020"/>
      <c r="Z68" s="2020"/>
      <c r="AA68" s="2020"/>
      <c r="AB68" s="2020"/>
      <c r="AC68" s="2020"/>
    </row>
    <row r="69" spans="1:29" ht="15.75" thickBot="1">
      <c r="A69" s="569"/>
      <c r="B69" s="570"/>
      <c r="C69" s="579">
        <v>100</v>
      </c>
      <c r="D69" s="579">
        <f t="shared" ref="D69:M69" si="16">C69-$K11</f>
        <v>99</v>
      </c>
      <c r="E69" s="579">
        <f t="shared" si="16"/>
        <v>98</v>
      </c>
      <c r="F69" s="579">
        <f t="shared" si="16"/>
        <v>97</v>
      </c>
      <c r="G69" s="579">
        <f t="shared" si="16"/>
        <v>96</v>
      </c>
      <c r="H69" s="579">
        <f t="shared" si="16"/>
        <v>95</v>
      </c>
      <c r="I69" s="579">
        <f t="shared" si="16"/>
        <v>94</v>
      </c>
      <c r="J69" s="579">
        <f t="shared" si="16"/>
        <v>93</v>
      </c>
      <c r="K69" s="579">
        <f t="shared" si="16"/>
        <v>92</v>
      </c>
      <c r="L69" s="579">
        <f t="shared" si="16"/>
        <v>91</v>
      </c>
      <c r="M69" s="580">
        <f t="shared" si="16"/>
        <v>90</v>
      </c>
      <c r="N69" s="2041"/>
      <c r="O69" s="2041"/>
      <c r="P69" s="2040"/>
      <c r="Q69" s="2033"/>
      <c r="R69" s="2020"/>
      <c r="S69" s="2020"/>
      <c r="T69" s="2020"/>
      <c r="U69" s="2020"/>
      <c r="V69" s="2020"/>
      <c r="W69" s="2020"/>
      <c r="X69" s="2020"/>
      <c r="Y69" s="2020"/>
      <c r="Z69" s="2020"/>
      <c r="AA69" s="2020"/>
      <c r="AB69" s="2020"/>
      <c r="AC69" s="2020"/>
    </row>
    <row r="70" spans="1:29" s="1227" customFormat="1" ht="15.75" thickTop="1">
      <c r="A70" s="587"/>
      <c r="B70" s="573">
        <f>B12</f>
        <v>0</v>
      </c>
      <c r="C70" s="588"/>
      <c r="D70" s="588"/>
      <c r="E70" s="588"/>
      <c r="F70" s="588"/>
      <c r="G70" s="588"/>
      <c r="H70" s="589"/>
      <c r="I70" s="589"/>
      <c r="J70" s="589"/>
      <c r="K70" s="589"/>
      <c r="L70" s="590"/>
      <c r="M70" s="591"/>
      <c r="N70" s="2042"/>
      <c r="O70" s="2042"/>
      <c r="P70" s="2043"/>
      <c r="Q70" s="2044"/>
      <c r="R70" s="2045"/>
      <c r="S70" s="2045"/>
      <c r="T70" s="2045"/>
      <c r="U70" s="2045"/>
      <c r="V70" s="2045"/>
      <c r="W70" s="2045"/>
      <c r="X70" s="2045"/>
      <c r="Y70" s="2045"/>
      <c r="Z70" s="2045"/>
      <c r="AA70" s="2045"/>
      <c r="AB70" s="2045"/>
      <c r="AC70" s="2045"/>
    </row>
    <row r="71" spans="1:29" s="1227" customFormat="1" ht="15.75" thickBot="1">
      <c r="A71" s="587"/>
      <c r="B71" s="578"/>
      <c r="C71" s="592"/>
      <c r="D71" s="571"/>
      <c r="E71" s="571"/>
      <c r="F71" s="571"/>
      <c r="G71" s="571"/>
      <c r="H71" s="571"/>
      <c r="I71" s="571"/>
      <c r="J71" s="571"/>
      <c r="K71" s="571"/>
      <c r="L71" s="571"/>
      <c r="M71" s="572"/>
      <c r="N71" s="2041"/>
      <c r="O71" s="2041"/>
      <c r="P71" s="2043"/>
      <c r="Q71" s="2044"/>
      <c r="R71" s="2045"/>
      <c r="S71" s="2045"/>
      <c r="T71" s="2045"/>
      <c r="U71" s="2045"/>
      <c r="V71" s="2045"/>
      <c r="W71" s="2045"/>
      <c r="X71" s="2045"/>
      <c r="Y71" s="2045"/>
      <c r="Z71" s="2045"/>
      <c r="AA71" s="2045"/>
      <c r="AB71" s="2045"/>
      <c r="AC71" s="2045"/>
    </row>
    <row r="72" spans="1:29" s="1227" customFormat="1" ht="15.75" thickTop="1">
      <c r="A72" s="587"/>
      <c r="B72" s="573">
        <f>B13</f>
        <v>0</v>
      </c>
      <c r="C72" s="588"/>
      <c r="D72" s="588"/>
      <c r="E72" s="588"/>
      <c r="F72" s="588"/>
      <c r="G72" s="588"/>
      <c r="H72" s="589"/>
      <c r="I72" s="589"/>
      <c r="J72" s="589"/>
      <c r="K72" s="589"/>
      <c r="L72" s="590"/>
      <c r="M72" s="591"/>
      <c r="N72" s="2042"/>
      <c r="O72" s="2042"/>
      <c r="P72" s="2046"/>
      <c r="Q72" s="2047"/>
      <c r="R72" s="2045"/>
      <c r="S72" s="2045"/>
      <c r="T72" s="2045"/>
      <c r="U72" s="2045"/>
      <c r="V72" s="2045"/>
      <c r="W72" s="2045"/>
      <c r="X72" s="2045"/>
      <c r="Y72" s="2045"/>
      <c r="Z72" s="2045"/>
      <c r="AA72" s="2045"/>
      <c r="AB72" s="2045"/>
      <c r="AC72" s="2045"/>
    </row>
    <row r="73" spans="1:29" s="1227" customFormat="1" ht="15.75" thickBot="1">
      <c r="A73" s="587"/>
      <c r="B73" s="578"/>
      <c r="C73" s="592"/>
      <c r="D73" s="592"/>
      <c r="E73" s="592"/>
      <c r="F73" s="592"/>
      <c r="G73" s="592"/>
      <c r="H73" s="593"/>
      <c r="I73" s="593"/>
      <c r="J73" s="593"/>
      <c r="K73" s="593"/>
      <c r="L73" s="593"/>
      <c r="M73" s="594"/>
      <c r="N73" s="2042"/>
      <c r="O73" s="2042"/>
      <c r="P73" s="2043"/>
      <c r="Q73" s="2044"/>
      <c r="R73" s="2045"/>
      <c r="S73" s="2045"/>
      <c r="T73" s="2045"/>
      <c r="U73" s="2045"/>
      <c r="V73" s="2045"/>
      <c r="W73" s="2045"/>
      <c r="X73" s="2045"/>
      <c r="Y73" s="2045"/>
      <c r="Z73" s="2045"/>
      <c r="AA73" s="2045"/>
      <c r="AB73" s="2045"/>
      <c r="AC73" s="2045"/>
    </row>
    <row r="74" spans="1:29" s="1227" customFormat="1" ht="15.75" thickTop="1">
      <c r="A74" s="587"/>
      <c r="B74" s="581">
        <f>B14</f>
        <v>0</v>
      </c>
      <c r="C74" s="588"/>
      <c r="D74" s="588"/>
      <c r="E74" s="588"/>
      <c r="F74" s="588"/>
      <c r="G74" s="561"/>
      <c r="H74" s="595"/>
      <c r="I74" s="595"/>
      <c r="J74" s="595"/>
      <c r="K74" s="595"/>
      <c r="L74" s="596"/>
      <c r="M74" s="597"/>
      <c r="N74" s="2042"/>
      <c r="O74" s="2042"/>
      <c r="P74" s="2048"/>
      <c r="Q74" s="2044"/>
      <c r="R74" s="2045"/>
      <c r="S74" s="2045"/>
      <c r="T74" s="2045"/>
      <c r="U74" s="2045"/>
      <c r="V74" s="2045"/>
      <c r="W74" s="2045"/>
      <c r="X74" s="2045"/>
      <c r="Y74" s="2045"/>
      <c r="Z74" s="2045"/>
      <c r="AA74" s="2045"/>
      <c r="AB74" s="2045"/>
      <c r="AC74" s="2045"/>
    </row>
    <row r="75" spans="1:29" s="1227" customFormat="1" ht="15.75" thickBot="1">
      <c r="A75" s="598"/>
      <c r="B75" s="599"/>
      <c r="C75" s="600"/>
      <c r="D75" s="600"/>
      <c r="E75" s="600"/>
      <c r="F75" s="600"/>
      <c r="G75" s="600"/>
      <c r="H75" s="601"/>
      <c r="I75" s="601"/>
      <c r="J75" s="601"/>
      <c r="K75" s="601"/>
      <c r="L75" s="601"/>
      <c r="M75" s="602"/>
      <c r="N75" s="2042"/>
      <c r="O75" s="2042"/>
      <c r="P75" s="2043"/>
      <c r="Q75" s="2044"/>
      <c r="R75" s="2045"/>
      <c r="S75" s="2045"/>
      <c r="T75" s="2045"/>
      <c r="U75" s="2045"/>
      <c r="V75" s="2045"/>
      <c r="W75" s="2045"/>
      <c r="X75" s="2045"/>
      <c r="Y75" s="2045"/>
      <c r="Z75" s="2045"/>
      <c r="AA75" s="2045"/>
      <c r="AB75" s="2045"/>
      <c r="AC75" s="2045"/>
    </row>
    <row r="76" spans="1:29">
      <c r="A76" s="564" t="s">
        <v>479</v>
      </c>
      <c r="B76" s="565" t="s">
        <v>518</v>
      </c>
      <c r="C76" s="603" t="s">
        <v>519</v>
      </c>
      <c r="D76" s="603" t="s">
        <v>520</v>
      </c>
      <c r="E76" s="603" t="s">
        <v>521</v>
      </c>
      <c r="F76" s="603" t="s">
        <v>522</v>
      </c>
      <c r="G76" s="603" t="s">
        <v>523</v>
      </c>
      <c r="H76" s="604"/>
      <c r="I76" s="604"/>
      <c r="J76" s="604"/>
      <c r="K76" s="605"/>
      <c r="L76" s="606"/>
      <c r="M76" s="607"/>
      <c r="N76" s="2039"/>
      <c r="O76" s="2039"/>
      <c r="P76" s="2049"/>
      <c r="Q76" s="2033"/>
      <c r="R76" s="2020"/>
      <c r="S76" s="2020"/>
      <c r="T76" s="2020"/>
      <c r="U76" s="2020"/>
      <c r="V76" s="2020"/>
      <c r="W76" s="2020"/>
      <c r="X76" s="2020"/>
      <c r="Y76" s="2020"/>
      <c r="Z76" s="2020"/>
      <c r="AA76" s="2020"/>
      <c r="AB76" s="2020"/>
      <c r="AC76" s="2020"/>
    </row>
    <row r="77" spans="1:29" ht="15.75" thickBot="1">
      <c r="A77" s="569"/>
      <c r="B77" s="578"/>
      <c r="C77" s="579">
        <v>100</v>
      </c>
      <c r="D77" s="579">
        <f>C77-$K15</f>
        <v>97</v>
      </c>
      <c r="E77" s="579">
        <f>D77-$K15</f>
        <v>94</v>
      </c>
      <c r="F77" s="579">
        <f>E77-$K15</f>
        <v>91</v>
      </c>
      <c r="G77" s="579">
        <f>F77-$K15</f>
        <v>88</v>
      </c>
      <c r="H77" s="579"/>
      <c r="I77" s="579"/>
      <c r="J77" s="579"/>
      <c r="K77" s="579"/>
      <c r="L77" s="579"/>
      <c r="M77" s="580"/>
      <c r="N77" s="2041"/>
      <c r="O77" s="2041"/>
      <c r="P77" s="2040"/>
      <c r="Q77" s="2033"/>
      <c r="R77" s="2020"/>
      <c r="S77" s="2020"/>
      <c r="T77" s="2020"/>
      <c r="U77" s="2020"/>
      <c r="V77" s="2020"/>
      <c r="W77" s="2020"/>
      <c r="X77" s="2020"/>
      <c r="Y77" s="2020"/>
      <c r="Z77" s="2020"/>
      <c r="AA77" s="2020"/>
      <c r="AB77" s="2020"/>
      <c r="AC77" s="2020"/>
    </row>
    <row r="78" spans="1:29" ht="15.75" thickTop="1">
      <c r="A78" s="569"/>
      <c r="B78" s="573" t="s">
        <v>526</v>
      </c>
      <c r="C78" s="608" t="s">
        <v>519</v>
      </c>
      <c r="D78" s="608" t="s">
        <v>520</v>
      </c>
      <c r="E78" s="608" t="s">
        <v>521</v>
      </c>
      <c r="F78" s="608" t="s">
        <v>522</v>
      </c>
      <c r="G78" s="608" t="s">
        <v>523</v>
      </c>
      <c r="H78" s="574"/>
      <c r="I78" s="574"/>
      <c r="J78" s="574"/>
      <c r="K78" s="575"/>
      <c r="L78" s="576"/>
      <c r="M78" s="577"/>
      <c r="N78" s="2039"/>
      <c r="O78" s="2039"/>
      <c r="P78" s="2040"/>
      <c r="Q78" s="2033"/>
      <c r="R78" s="2020"/>
      <c r="S78" s="2020"/>
      <c r="T78" s="2020"/>
      <c r="U78" s="2020"/>
      <c r="V78" s="2020"/>
      <c r="W78" s="2020"/>
      <c r="X78" s="2020"/>
      <c r="Y78" s="2020"/>
      <c r="Z78" s="2020"/>
      <c r="AA78" s="2020"/>
      <c r="AB78" s="2020"/>
      <c r="AC78" s="2020"/>
    </row>
    <row r="79" spans="1:29" ht="15.75" thickBot="1">
      <c r="A79" s="569"/>
      <c r="B79" s="578"/>
      <c r="C79" s="579">
        <v>100</v>
      </c>
      <c r="D79" s="579">
        <f>C79-$K17</f>
        <v>98</v>
      </c>
      <c r="E79" s="579">
        <f>D79-$K17</f>
        <v>96</v>
      </c>
      <c r="F79" s="579">
        <f>E79-$K17</f>
        <v>94</v>
      </c>
      <c r="G79" s="579">
        <f>F79-$K17</f>
        <v>92</v>
      </c>
      <c r="H79" s="579"/>
      <c r="I79" s="579"/>
      <c r="J79" s="579"/>
      <c r="K79" s="579"/>
      <c r="L79" s="579"/>
      <c r="M79" s="580"/>
      <c r="N79" s="2041"/>
      <c r="O79" s="2041"/>
      <c r="P79" s="2040"/>
      <c r="Q79" s="2033"/>
      <c r="R79" s="2020"/>
      <c r="S79" s="2020"/>
      <c r="T79" s="2020"/>
      <c r="U79" s="2020"/>
      <c r="V79" s="2020"/>
      <c r="W79" s="2020"/>
      <c r="X79" s="2020"/>
      <c r="Y79" s="2020"/>
      <c r="Z79" s="2020"/>
      <c r="AA79" s="2020"/>
      <c r="AB79" s="2020"/>
      <c r="AC79" s="2020"/>
    </row>
    <row r="80" spans="1:29" ht="15.75" thickTop="1">
      <c r="A80" s="569"/>
      <c r="B80" s="1778" t="s">
        <v>2485</v>
      </c>
      <c r="C80" s="608" t="s">
        <v>519</v>
      </c>
      <c r="D80" s="608" t="s">
        <v>520</v>
      </c>
      <c r="E80" s="608" t="s">
        <v>521</v>
      </c>
      <c r="F80" s="608" t="s">
        <v>522</v>
      </c>
      <c r="G80" s="608" t="s">
        <v>523</v>
      </c>
      <c r="H80" s="574"/>
      <c r="I80" s="574"/>
      <c r="J80" s="574"/>
      <c r="K80" s="575"/>
      <c r="L80" s="576"/>
      <c r="M80" s="577"/>
      <c r="N80" s="2039"/>
      <c r="O80" s="2039"/>
      <c r="P80" s="2040"/>
      <c r="Q80" s="2033"/>
      <c r="R80" s="2020"/>
      <c r="S80" s="2020"/>
      <c r="T80" s="2020"/>
      <c r="U80" s="2020"/>
      <c r="V80" s="2020"/>
      <c r="W80" s="2020"/>
      <c r="X80" s="2020"/>
      <c r="Y80" s="2020"/>
      <c r="Z80" s="2020"/>
      <c r="AA80" s="2020"/>
      <c r="AB80" s="2020"/>
      <c r="AC80" s="2020"/>
    </row>
    <row r="81" spans="1:29" ht="15.75" thickBot="1">
      <c r="A81" s="569"/>
      <c r="B81" s="578"/>
      <c r="C81" s="579">
        <v>100</v>
      </c>
      <c r="D81" s="579">
        <f>C81-$K19</f>
        <v>95</v>
      </c>
      <c r="E81" s="579">
        <f>D81-$K19</f>
        <v>90</v>
      </c>
      <c r="F81" s="579">
        <f>E81-$K19</f>
        <v>85</v>
      </c>
      <c r="G81" s="579">
        <f>F81-$K19</f>
        <v>80</v>
      </c>
      <c r="H81" s="579"/>
      <c r="I81" s="579"/>
      <c r="J81" s="579"/>
      <c r="K81" s="579"/>
      <c r="L81" s="579"/>
      <c r="M81" s="580"/>
      <c r="N81" s="2041"/>
      <c r="O81" s="2041"/>
      <c r="P81" s="2040"/>
      <c r="Q81" s="2033"/>
      <c r="R81" s="2020"/>
      <c r="S81" s="2020"/>
      <c r="T81" s="2020"/>
      <c r="U81" s="2020"/>
      <c r="V81" s="2020"/>
      <c r="W81" s="2020"/>
      <c r="X81" s="2020"/>
      <c r="Y81" s="2020"/>
      <c r="Z81" s="2020"/>
      <c r="AA81" s="2020"/>
      <c r="AB81" s="2020"/>
      <c r="AC81" s="2020"/>
    </row>
    <row r="82" spans="1:29" ht="15.75" thickTop="1">
      <c r="A82" s="569"/>
      <c r="B82" s="2463" t="s">
        <v>2486</v>
      </c>
      <c r="C82" s="2464" t="s">
        <v>2487</v>
      </c>
      <c r="D82" s="2464" t="s">
        <v>2488</v>
      </c>
      <c r="E82" s="2464" t="s">
        <v>2489</v>
      </c>
      <c r="F82" s="2464" t="s">
        <v>2490</v>
      </c>
      <c r="G82" s="2464" t="s">
        <v>2491</v>
      </c>
      <c r="H82" s="574"/>
      <c r="I82" s="574"/>
      <c r="J82" s="574"/>
      <c r="K82" s="574"/>
      <c r="L82" s="574"/>
      <c r="M82" s="2467"/>
      <c r="N82" s="2041"/>
      <c r="O82" s="2041"/>
      <c r="P82" s="2040"/>
      <c r="Q82" s="2033"/>
      <c r="R82" s="2020"/>
      <c r="S82" s="2020"/>
      <c r="T82" s="2020"/>
      <c r="U82" s="2020"/>
      <c r="V82" s="2020"/>
      <c r="W82" s="2020"/>
      <c r="X82" s="2020"/>
      <c r="Y82" s="2020"/>
      <c r="Z82" s="2020"/>
      <c r="AA82" s="2020"/>
      <c r="AB82" s="2020"/>
      <c r="AC82" s="2020"/>
    </row>
    <row r="83" spans="1:29" ht="15.75" thickBot="1">
      <c r="A83" s="569"/>
      <c r="B83" s="581"/>
      <c r="C83" s="579">
        <v>100</v>
      </c>
      <c r="D83" s="579">
        <f>C83-$K21</f>
        <v>98</v>
      </c>
      <c r="E83" s="579">
        <f>D83-$K21</f>
        <v>96</v>
      </c>
      <c r="F83" s="579">
        <f>E83-$K21</f>
        <v>94</v>
      </c>
      <c r="G83" s="579">
        <f>F83-$K21</f>
        <v>92</v>
      </c>
      <c r="H83" s="835"/>
      <c r="I83" s="835"/>
      <c r="J83" s="835"/>
      <c r="K83" s="835"/>
      <c r="L83" s="835"/>
      <c r="M83" s="459"/>
      <c r="N83" s="2041"/>
      <c r="O83" s="2041"/>
      <c r="P83" s="2040"/>
      <c r="Q83" s="2033"/>
      <c r="R83" s="2020"/>
      <c r="S83" s="2020"/>
      <c r="T83" s="2020"/>
      <c r="U83" s="2020"/>
      <c r="V83" s="2020"/>
      <c r="W83" s="2020"/>
      <c r="X83" s="2020"/>
      <c r="Y83" s="2020"/>
      <c r="Z83" s="2020"/>
      <c r="AA83" s="2020"/>
      <c r="AB83" s="2020"/>
      <c r="AC83" s="2020"/>
    </row>
    <row r="84" spans="1:29" ht="15.75" thickTop="1">
      <c r="A84" s="569"/>
      <c r="B84" s="573" t="s">
        <v>683</v>
      </c>
      <c r="C84" s="608" t="s">
        <v>519</v>
      </c>
      <c r="D84" s="608" t="s">
        <v>520</v>
      </c>
      <c r="E84" s="608" t="s">
        <v>521</v>
      </c>
      <c r="F84" s="608" t="s">
        <v>522</v>
      </c>
      <c r="G84" s="608" t="s">
        <v>523</v>
      </c>
      <c r="H84" s="574"/>
      <c r="I84" s="574"/>
      <c r="J84" s="574"/>
      <c r="K84" s="575"/>
      <c r="L84" s="576"/>
      <c r="M84" s="577"/>
      <c r="N84" s="2039"/>
      <c r="O84" s="2039"/>
      <c r="P84" s="2040"/>
      <c r="Q84" s="2033"/>
      <c r="R84" s="2020"/>
      <c r="S84" s="2020"/>
      <c r="T84" s="2020"/>
      <c r="U84" s="2020"/>
      <c r="V84" s="2020"/>
      <c r="W84" s="2020"/>
      <c r="X84" s="2020"/>
      <c r="Y84" s="2020"/>
      <c r="Z84" s="2020"/>
      <c r="AA84" s="2020"/>
      <c r="AB84" s="2020"/>
      <c r="AC84" s="2020"/>
    </row>
    <row r="85" spans="1:29" ht="15.75" thickBot="1">
      <c r="A85" s="569"/>
      <c r="B85" s="578"/>
      <c r="C85" s="579">
        <v>100</v>
      </c>
      <c r="D85" s="579">
        <f>C85-$K23</f>
        <v>95</v>
      </c>
      <c r="E85" s="579">
        <f>D85-$K23</f>
        <v>90</v>
      </c>
      <c r="F85" s="579">
        <f>E85-$K23</f>
        <v>85</v>
      </c>
      <c r="G85" s="579">
        <f>F85-$K23</f>
        <v>80</v>
      </c>
      <c r="H85" s="579"/>
      <c r="I85" s="579"/>
      <c r="J85" s="579"/>
      <c r="K85" s="579"/>
      <c r="L85" s="579"/>
      <c r="M85" s="580"/>
      <c r="N85" s="2041"/>
      <c r="O85" s="2041"/>
      <c r="P85" s="2040"/>
      <c r="Q85" s="2033"/>
      <c r="R85" s="2020"/>
      <c r="S85" s="2020"/>
      <c r="T85" s="2020"/>
      <c r="U85" s="2020"/>
      <c r="V85" s="2020"/>
      <c r="W85" s="2020"/>
      <c r="X85" s="2020"/>
      <c r="Y85" s="2020"/>
      <c r="Z85" s="2020"/>
      <c r="AA85" s="2020"/>
      <c r="AB85" s="2020"/>
      <c r="AC85" s="2020"/>
    </row>
    <row r="86" spans="1:29" s="1108" customFormat="1" ht="15.75" thickTop="1">
      <c r="A86" s="609"/>
      <c r="B86" s="1778" t="s">
        <v>2189</v>
      </c>
      <c r="C86" s="588"/>
      <c r="D86" s="588"/>
      <c r="E86" s="588"/>
      <c r="F86" s="588"/>
      <c r="G86" s="588"/>
      <c r="H86" s="588"/>
      <c r="I86" s="588"/>
      <c r="J86" s="588"/>
      <c r="K86" s="588"/>
      <c r="L86" s="790"/>
      <c r="M86" s="791"/>
      <c r="N86" s="2037"/>
      <c r="O86" s="2037"/>
      <c r="P86" s="2040"/>
      <c r="Q86" s="2033"/>
      <c r="R86" s="1872"/>
      <c r="S86" s="1872"/>
      <c r="T86" s="1872"/>
      <c r="U86" s="1872"/>
      <c r="V86" s="1872"/>
      <c r="W86" s="1872"/>
      <c r="X86" s="1872"/>
      <c r="Y86" s="1872"/>
      <c r="Z86" s="1872"/>
      <c r="AA86" s="1872"/>
      <c r="AB86" s="1872"/>
      <c r="AC86" s="1872"/>
    </row>
    <row r="87" spans="1:29" s="1108" customFormat="1" ht="15.75" thickBot="1">
      <c r="A87" s="609"/>
      <c r="B87" s="578"/>
      <c r="C87" s="612">
        <v>100</v>
      </c>
      <c r="D87" s="579">
        <f>$C$87-($C$86-D86)*$K$25</f>
        <v>100</v>
      </c>
      <c r="E87" s="579">
        <f t="shared" ref="E87:M87" si="17">$C$87-($C$86-E86)*$K$25</f>
        <v>100</v>
      </c>
      <c r="F87" s="579">
        <f t="shared" si="17"/>
        <v>100</v>
      </c>
      <c r="G87" s="579">
        <f t="shared" si="17"/>
        <v>100</v>
      </c>
      <c r="H87" s="579">
        <f t="shared" si="17"/>
        <v>100</v>
      </c>
      <c r="I87" s="579">
        <f t="shared" si="17"/>
        <v>100</v>
      </c>
      <c r="J87" s="579">
        <f t="shared" si="17"/>
        <v>100</v>
      </c>
      <c r="K87" s="579">
        <f t="shared" si="17"/>
        <v>100</v>
      </c>
      <c r="L87" s="579">
        <f t="shared" si="17"/>
        <v>100</v>
      </c>
      <c r="M87" s="579">
        <f t="shared" si="17"/>
        <v>100</v>
      </c>
      <c r="N87" s="2041"/>
      <c r="O87" s="2041"/>
      <c r="P87" s="2040"/>
      <c r="Q87" s="2033"/>
      <c r="R87" s="1872"/>
      <c r="S87" s="1872"/>
      <c r="T87" s="1872"/>
      <c r="U87" s="1872"/>
      <c r="V87" s="1872"/>
      <c r="W87" s="1872"/>
      <c r="X87" s="1872"/>
      <c r="Y87" s="1872"/>
      <c r="Z87" s="1872"/>
      <c r="AA87" s="1872"/>
      <c r="AB87" s="1872"/>
      <c r="AC87" s="1872"/>
    </row>
    <row r="88" spans="1:29" s="1108" customFormat="1" ht="15.75" thickTop="1">
      <c r="A88" s="609"/>
      <c r="B88" s="573" t="s">
        <v>685</v>
      </c>
      <c r="C88" s="588"/>
      <c r="D88" s="588"/>
      <c r="E88" s="588"/>
      <c r="F88" s="792"/>
      <c r="G88" s="588"/>
      <c r="H88" s="588"/>
      <c r="I88" s="588"/>
      <c r="J88" s="588"/>
      <c r="K88" s="588"/>
      <c r="L88" s="588"/>
      <c r="M88" s="791"/>
      <c r="N88" s="2037"/>
      <c r="O88" s="2037"/>
      <c r="P88" s="2040"/>
      <c r="Q88" s="2033"/>
      <c r="R88" s="1872"/>
      <c r="S88" s="1872"/>
      <c r="T88" s="1872"/>
      <c r="U88" s="1872"/>
      <c r="V88" s="1872"/>
      <c r="W88" s="1872"/>
      <c r="X88" s="1872"/>
      <c r="Y88" s="1872"/>
      <c r="Z88" s="1872"/>
      <c r="AA88" s="1872"/>
      <c r="AB88" s="1872"/>
      <c r="AC88" s="1872"/>
    </row>
    <row r="89" spans="1:29" s="1108" customFormat="1" ht="15.75" thickBot="1">
      <c r="A89" s="609"/>
      <c r="B89" s="578"/>
      <c r="C89" s="612">
        <v>100</v>
      </c>
      <c r="D89" s="579">
        <f t="shared" ref="D89:M89" si="18">C89-$K26</f>
        <v>100</v>
      </c>
      <c r="E89" s="579">
        <f t="shared" si="18"/>
        <v>100</v>
      </c>
      <c r="F89" s="579">
        <f t="shared" si="18"/>
        <v>100</v>
      </c>
      <c r="G89" s="579">
        <f t="shared" si="18"/>
        <v>100</v>
      </c>
      <c r="H89" s="579">
        <f t="shared" si="18"/>
        <v>100</v>
      </c>
      <c r="I89" s="579">
        <f t="shared" si="18"/>
        <v>100</v>
      </c>
      <c r="J89" s="579">
        <f t="shared" si="18"/>
        <v>100</v>
      </c>
      <c r="K89" s="579">
        <f t="shared" si="18"/>
        <v>100</v>
      </c>
      <c r="L89" s="579">
        <f t="shared" si="18"/>
        <v>100</v>
      </c>
      <c r="M89" s="579">
        <f t="shared" si="18"/>
        <v>100</v>
      </c>
      <c r="N89" s="2041"/>
      <c r="O89" s="2041"/>
      <c r="P89" s="2040"/>
      <c r="Q89" s="2033"/>
      <c r="R89" s="1872"/>
      <c r="S89" s="1872"/>
      <c r="T89" s="1872"/>
      <c r="U89" s="1872"/>
      <c r="V89" s="1872"/>
      <c r="W89" s="1872"/>
      <c r="X89" s="1872"/>
      <c r="Y89" s="1872"/>
      <c r="Z89" s="1872"/>
      <c r="AA89" s="1872"/>
      <c r="AB89" s="1872"/>
      <c r="AC89" s="1872"/>
    </row>
    <row r="90" spans="1:29" s="1227" customFormat="1" ht="15.75" thickTop="1">
      <c r="A90" s="587"/>
      <c r="B90" s="573">
        <f>B27</f>
        <v>0</v>
      </c>
      <c r="C90" s="588"/>
      <c r="D90" s="588"/>
      <c r="E90" s="588"/>
      <c r="F90" s="588"/>
      <c r="G90" s="588"/>
      <c r="H90" s="589"/>
      <c r="I90" s="589"/>
      <c r="J90" s="589"/>
      <c r="K90" s="589"/>
      <c r="L90" s="590"/>
      <c r="M90" s="591"/>
      <c r="N90" s="2042"/>
      <c r="O90" s="2042"/>
      <c r="P90" s="2043"/>
      <c r="Q90" s="2044"/>
      <c r="R90" s="2045"/>
      <c r="S90" s="2045"/>
      <c r="T90" s="2045"/>
      <c r="U90" s="2045"/>
      <c r="V90" s="2045"/>
      <c r="W90" s="2045"/>
      <c r="X90" s="2045"/>
      <c r="Y90" s="2045"/>
      <c r="Z90" s="2045"/>
      <c r="AA90" s="2045"/>
      <c r="AB90" s="2045"/>
      <c r="AC90" s="2045"/>
    </row>
    <row r="91" spans="1:29" s="1227" customFormat="1" ht="15.75" thickBot="1">
      <c r="A91" s="587"/>
      <c r="B91" s="578"/>
      <c r="C91" s="592"/>
      <c r="D91" s="592"/>
      <c r="E91" s="592"/>
      <c r="F91" s="592"/>
      <c r="G91" s="592"/>
      <c r="H91" s="593"/>
      <c r="I91" s="593"/>
      <c r="J91" s="593"/>
      <c r="K91" s="593"/>
      <c r="L91" s="593"/>
      <c r="M91" s="594"/>
      <c r="N91" s="2042"/>
      <c r="O91" s="2042"/>
      <c r="P91" s="2043"/>
      <c r="Q91" s="2044"/>
      <c r="R91" s="2045"/>
      <c r="S91" s="2045"/>
      <c r="T91" s="2045"/>
      <c r="U91" s="2045"/>
      <c r="V91" s="2045"/>
      <c r="W91" s="2045"/>
      <c r="X91" s="2045"/>
      <c r="Y91" s="2045"/>
      <c r="Z91" s="2045"/>
      <c r="AA91" s="2045"/>
      <c r="AB91" s="2045"/>
      <c r="AC91" s="2045"/>
    </row>
    <row r="92" spans="1:29" ht="15.75" thickTop="1">
      <c r="A92" s="569"/>
      <c r="B92" s="573">
        <f>B28</f>
        <v>0</v>
      </c>
      <c r="C92" s="588"/>
      <c r="D92" s="588"/>
      <c r="E92" s="588"/>
      <c r="F92" s="588"/>
      <c r="G92" s="618"/>
      <c r="H92" s="618"/>
      <c r="I92" s="618"/>
      <c r="J92" s="618"/>
      <c r="K92" s="619"/>
      <c r="L92" s="620"/>
      <c r="M92" s="621"/>
      <c r="N92" s="2039"/>
      <c r="O92" s="2039"/>
      <c r="P92" s="2040"/>
      <c r="Q92" s="2033"/>
      <c r="R92" s="2020"/>
      <c r="S92" s="2020"/>
      <c r="T92" s="2020"/>
      <c r="U92" s="2020"/>
      <c r="V92" s="2020"/>
      <c r="W92" s="2020"/>
      <c r="X92" s="2020"/>
      <c r="Y92" s="2020"/>
      <c r="Z92" s="2020"/>
      <c r="AA92" s="2020"/>
      <c r="AB92" s="2020"/>
      <c r="AC92" s="2020"/>
    </row>
    <row r="93" spans="1:29" ht="15.75" thickBot="1">
      <c r="A93" s="569"/>
      <c r="B93" s="578"/>
      <c r="C93" s="592"/>
      <c r="D93" s="571"/>
      <c r="E93" s="571"/>
      <c r="F93" s="571"/>
      <c r="G93" s="571"/>
      <c r="H93" s="571"/>
      <c r="I93" s="571"/>
      <c r="J93" s="571"/>
      <c r="K93" s="571"/>
      <c r="L93" s="571"/>
      <c r="M93" s="572"/>
      <c r="N93" s="2041"/>
      <c r="O93" s="2041"/>
      <c r="P93" s="2040"/>
      <c r="Q93" s="2033"/>
      <c r="R93" s="2020"/>
      <c r="S93" s="2020"/>
      <c r="T93" s="2020"/>
      <c r="U93" s="2020"/>
      <c r="V93" s="2020"/>
      <c r="W93" s="2020"/>
      <c r="X93" s="2020"/>
      <c r="Y93" s="2020"/>
      <c r="Z93" s="2020"/>
      <c r="AA93" s="2020"/>
      <c r="AB93" s="2020"/>
      <c r="AC93" s="2020"/>
    </row>
    <row r="94" spans="1:29" ht="15.75" thickTop="1">
      <c r="A94" s="569"/>
      <c r="B94" s="573">
        <f>B29</f>
        <v>0</v>
      </c>
      <c r="C94" s="588"/>
      <c r="D94" s="588"/>
      <c r="E94" s="588"/>
      <c r="F94" s="588"/>
      <c r="G94" s="618"/>
      <c r="H94" s="618"/>
      <c r="I94" s="618"/>
      <c r="J94" s="618"/>
      <c r="K94" s="619"/>
      <c r="L94" s="620"/>
      <c r="M94" s="621"/>
      <c r="N94" s="2039"/>
      <c r="O94" s="2039"/>
      <c r="P94" s="2040"/>
      <c r="Q94" s="2033"/>
      <c r="R94" s="2020"/>
      <c r="S94" s="2020"/>
      <c r="T94" s="2020"/>
      <c r="U94" s="2020"/>
      <c r="V94" s="2020"/>
      <c r="W94" s="2020"/>
      <c r="X94" s="2020"/>
      <c r="Y94" s="2020"/>
      <c r="Z94" s="2020"/>
      <c r="AA94" s="2020"/>
      <c r="AB94" s="2020"/>
      <c r="AC94" s="2020"/>
    </row>
    <row r="95" spans="1:29" ht="15.75" thickBot="1">
      <c r="A95" s="569"/>
      <c r="B95" s="578"/>
      <c r="C95" s="592"/>
      <c r="D95" s="592"/>
      <c r="E95" s="592"/>
      <c r="F95" s="592"/>
      <c r="G95" s="571"/>
      <c r="H95" s="571"/>
      <c r="I95" s="571"/>
      <c r="J95" s="571"/>
      <c r="K95" s="571"/>
      <c r="L95" s="571"/>
      <c r="M95" s="572"/>
      <c r="N95" s="2041"/>
      <c r="O95" s="2041"/>
      <c r="P95" s="2040"/>
      <c r="Q95" s="2033"/>
      <c r="R95" s="2020"/>
      <c r="S95" s="2020"/>
      <c r="T95" s="2020"/>
      <c r="U95" s="2020"/>
      <c r="V95" s="2020"/>
      <c r="W95" s="2020"/>
      <c r="X95" s="2020"/>
      <c r="Y95" s="2020"/>
      <c r="Z95" s="2020"/>
      <c r="AA95" s="2020"/>
      <c r="AB95" s="2020"/>
      <c r="AC95" s="2020"/>
    </row>
    <row r="96" spans="1:29" ht="15.75" thickTop="1">
      <c r="A96" s="569"/>
      <c r="B96" s="573">
        <f>B30</f>
        <v>0</v>
      </c>
      <c r="C96" s="588"/>
      <c r="D96" s="588"/>
      <c r="E96" s="588"/>
      <c r="F96" s="588"/>
      <c r="G96" s="618"/>
      <c r="H96" s="618"/>
      <c r="I96" s="618"/>
      <c r="J96" s="618"/>
      <c r="K96" s="619"/>
      <c r="L96" s="620"/>
      <c r="M96" s="621"/>
      <c r="N96" s="2039"/>
      <c r="O96" s="2039"/>
      <c r="P96" s="2040"/>
      <c r="Q96" s="2033"/>
      <c r="R96" s="2020"/>
      <c r="S96" s="2020"/>
      <c r="T96" s="2020"/>
      <c r="U96" s="2020"/>
      <c r="V96" s="2020"/>
      <c r="W96" s="2020"/>
      <c r="X96" s="2020"/>
      <c r="Y96" s="2020"/>
      <c r="Z96" s="2020"/>
      <c r="AA96" s="2020"/>
      <c r="AB96" s="2020"/>
      <c r="AC96" s="2020"/>
    </row>
    <row r="97" spans="1:29" ht="15.75" thickBot="1">
      <c r="A97" s="569"/>
      <c r="B97" s="578"/>
      <c r="C97" s="600"/>
      <c r="D97" s="600"/>
      <c r="E97" s="600"/>
      <c r="F97" s="600"/>
      <c r="G97" s="571"/>
      <c r="H97" s="571"/>
      <c r="I97" s="571"/>
      <c r="J97" s="571"/>
      <c r="K97" s="571"/>
      <c r="L97" s="571"/>
      <c r="M97" s="572"/>
      <c r="N97" s="2041"/>
      <c r="O97" s="2041"/>
      <c r="P97" s="2040"/>
      <c r="Q97" s="2033"/>
      <c r="R97" s="2020"/>
      <c r="S97" s="2020"/>
      <c r="T97" s="2020"/>
      <c r="U97" s="2020"/>
      <c r="V97" s="2020"/>
      <c r="W97" s="2020"/>
      <c r="X97" s="2020"/>
      <c r="Y97" s="2020"/>
      <c r="Z97" s="2020"/>
      <c r="AA97" s="2020"/>
      <c r="AB97" s="2020"/>
      <c r="AC97" s="2020"/>
    </row>
    <row r="98" spans="1:29" ht="15.75" thickTop="1">
      <c r="A98" s="569"/>
      <c r="B98" s="581">
        <f>B31</f>
        <v>0</v>
      </c>
      <c r="C98" s="622"/>
      <c r="D98" s="622"/>
      <c r="E98" s="622"/>
      <c r="F98" s="622"/>
      <c r="G98" s="622"/>
      <c r="H98" s="622"/>
      <c r="I98" s="622"/>
      <c r="J98" s="622"/>
      <c r="K98" s="623"/>
      <c r="L98" s="624"/>
      <c r="M98" s="625"/>
      <c r="N98" s="2039"/>
      <c r="O98" s="2039"/>
      <c r="P98" s="2040"/>
      <c r="Q98" s="2033"/>
      <c r="R98" s="2020"/>
      <c r="S98" s="2020"/>
      <c r="T98" s="2020"/>
      <c r="U98" s="2020"/>
      <c r="V98" s="2020"/>
      <c r="W98" s="2020"/>
      <c r="X98" s="2020"/>
      <c r="Y98" s="2020"/>
      <c r="Z98" s="2020"/>
      <c r="AA98" s="2020"/>
      <c r="AB98" s="2020"/>
      <c r="AC98" s="2020"/>
    </row>
    <row r="99" spans="1:29" ht="15.75" thickBot="1">
      <c r="A99" s="793"/>
      <c r="B99" s="599"/>
      <c r="C99" s="626"/>
      <c r="D99" s="626"/>
      <c r="E99" s="626"/>
      <c r="F99" s="626"/>
      <c r="G99" s="626"/>
      <c r="H99" s="626"/>
      <c r="I99" s="626"/>
      <c r="J99" s="626"/>
      <c r="K99" s="626"/>
      <c r="L99" s="626"/>
      <c r="M99" s="627"/>
      <c r="N99" s="2041"/>
      <c r="O99" s="2041"/>
      <c r="P99" s="2040"/>
      <c r="Q99" s="2033"/>
      <c r="R99" s="2020"/>
      <c r="S99" s="2020"/>
      <c r="T99" s="2020"/>
      <c r="U99" s="2020"/>
      <c r="V99" s="2020"/>
      <c r="W99" s="2020"/>
      <c r="X99" s="2020"/>
      <c r="Y99" s="2020"/>
      <c r="Z99" s="2020"/>
      <c r="AA99" s="2020"/>
      <c r="AB99" s="2020"/>
      <c r="AC99" s="2020"/>
    </row>
    <row r="100" spans="1:29">
      <c r="A100" s="564" t="s">
        <v>491</v>
      </c>
      <c r="B100" s="565" t="s">
        <v>686</v>
      </c>
      <c r="C100" s="3158" t="s">
        <v>3263</v>
      </c>
      <c r="D100" s="3158" t="s">
        <v>3236</v>
      </c>
      <c r="E100" s="498"/>
      <c r="F100" s="498"/>
      <c r="G100" s="498"/>
      <c r="H100" s="498"/>
      <c r="I100" s="498"/>
      <c r="J100" s="498"/>
      <c r="K100" s="566"/>
      <c r="L100" s="567"/>
      <c r="M100" s="568"/>
      <c r="N100" s="2039"/>
      <c r="O100" s="2039"/>
      <c r="P100" s="2040"/>
      <c r="Q100" s="2033"/>
      <c r="R100" s="2020"/>
      <c r="S100" s="2020"/>
      <c r="T100" s="2020"/>
      <c r="U100" s="2020"/>
      <c r="V100" s="2020"/>
      <c r="W100" s="2020"/>
      <c r="X100" s="2020"/>
      <c r="Y100" s="2020"/>
      <c r="Z100" s="2020"/>
      <c r="AA100" s="2020"/>
      <c r="AB100" s="2020"/>
      <c r="AC100" s="2020"/>
    </row>
    <row r="101" spans="1:29" ht="15.75" thickBot="1">
      <c r="A101" s="569"/>
      <c r="B101" s="578"/>
      <c r="C101" s="579">
        <v>100</v>
      </c>
      <c r="D101" s="579">
        <f t="shared" ref="D101:M101" si="19">C101-$K32</f>
        <v>95</v>
      </c>
      <c r="E101" s="579">
        <f t="shared" si="19"/>
        <v>90</v>
      </c>
      <c r="F101" s="579">
        <f t="shared" si="19"/>
        <v>85</v>
      </c>
      <c r="G101" s="579">
        <f t="shared" si="19"/>
        <v>80</v>
      </c>
      <c r="H101" s="579">
        <f t="shared" si="19"/>
        <v>75</v>
      </c>
      <c r="I101" s="579">
        <f t="shared" si="19"/>
        <v>70</v>
      </c>
      <c r="J101" s="579">
        <f t="shared" si="19"/>
        <v>65</v>
      </c>
      <c r="K101" s="579">
        <f t="shared" si="19"/>
        <v>60</v>
      </c>
      <c r="L101" s="579">
        <f t="shared" si="19"/>
        <v>55</v>
      </c>
      <c r="M101" s="579">
        <f t="shared" si="19"/>
        <v>50</v>
      </c>
      <c r="N101" s="2041"/>
      <c r="O101" s="2041"/>
      <c r="P101" s="2040"/>
      <c r="Q101" s="2033"/>
      <c r="R101" s="2020"/>
      <c r="S101" s="2020"/>
      <c r="T101" s="2020"/>
      <c r="U101" s="2020"/>
      <c r="V101" s="2020"/>
      <c r="W101" s="2020"/>
      <c r="X101" s="2020"/>
      <c r="Y101" s="2020"/>
      <c r="Z101" s="2020"/>
      <c r="AA101" s="2020"/>
      <c r="AB101" s="2020"/>
      <c r="AC101" s="2020"/>
    </row>
    <row r="102" spans="1:29" ht="15.75" thickTop="1">
      <c r="A102" s="569"/>
      <c r="B102" s="573" t="s">
        <v>687</v>
      </c>
      <c r="C102" s="608" t="str">
        <f>C103&amp;"(含)"&amp;"-"&amp;D103</f>
        <v>100(含)-</v>
      </c>
      <c r="D102" s="608" t="str">
        <f t="shared" ref="D102:L102" si="20">D103&amp;"(含)"&amp;"-"&amp;E103</f>
        <v>(含)-</v>
      </c>
      <c r="E102" s="608" t="str">
        <f t="shared" si="20"/>
        <v>(含)-</v>
      </c>
      <c r="F102" s="608" t="str">
        <f t="shared" si="20"/>
        <v>(含)-</v>
      </c>
      <c r="G102" s="608" t="str">
        <f t="shared" si="20"/>
        <v>(含)-</v>
      </c>
      <c r="H102" s="608" t="str">
        <f t="shared" si="20"/>
        <v>(含)-</v>
      </c>
      <c r="I102" s="608" t="str">
        <f t="shared" si="20"/>
        <v>(含)-</v>
      </c>
      <c r="J102" s="608" t="str">
        <f t="shared" si="20"/>
        <v>(含)-</v>
      </c>
      <c r="K102" s="608" t="str">
        <f t="shared" si="20"/>
        <v>(含)-</v>
      </c>
      <c r="L102" s="608" t="str">
        <f t="shared" si="20"/>
        <v>(含)-</v>
      </c>
      <c r="M102" s="608" t="str">
        <f>M103&amp;"(含)"&amp;"-"&amp;P103</f>
        <v>(含)-</v>
      </c>
      <c r="N102" s="2037"/>
      <c r="O102" s="2037"/>
      <c r="P102" s="2040"/>
      <c r="Q102" s="2033"/>
      <c r="R102" s="2020"/>
      <c r="S102" s="2020"/>
      <c r="T102" s="2020"/>
      <c r="U102" s="2020"/>
      <c r="V102" s="2020"/>
      <c r="W102" s="2020"/>
      <c r="X102" s="2020"/>
      <c r="Y102" s="2020"/>
      <c r="Z102" s="2020"/>
      <c r="AA102" s="2020"/>
      <c r="AB102" s="2020"/>
      <c r="AC102" s="2020"/>
    </row>
    <row r="103" spans="1:29" s="1227" customFormat="1">
      <c r="A103" s="628"/>
      <c r="B103" s="629"/>
      <c r="C103" s="630">
        <v>100</v>
      </c>
      <c r="D103" s="630"/>
      <c r="E103" s="630"/>
      <c r="F103" s="630"/>
      <c r="G103" s="630"/>
      <c r="H103" s="630"/>
      <c r="I103" s="630"/>
      <c r="J103" s="631"/>
      <c r="K103" s="631"/>
      <c r="L103" s="632"/>
      <c r="M103" s="633"/>
      <c r="N103" s="2042"/>
      <c r="O103" s="2042"/>
      <c r="P103" s="2043"/>
      <c r="Q103" s="2044"/>
      <c r="R103" s="2045"/>
      <c r="S103" s="2045"/>
      <c r="T103" s="2045"/>
      <c r="U103" s="2045"/>
      <c r="V103" s="2045"/>
      <c r="W103" s="2045"/>
      <c r="X103" s="2045"/>
      <c r="Y103" s="2045"/>
      <c r="Z103" s="2045"/>
      <c r="AA103" s="2045"/>
      <c r="AB103" s="2045"/>
      <c r="AC103" s="2045"/>
    </row>
    <row r="104" spans="1:29" s="1227" customFormat="1" ht="15.75" thickBot="1">
      <c r="A104" s="587"/>
      <c r="B104" s="578"/>
      <c r="C104" s="592">
        <v>100</v>
      </c>
      <c r="D104" s="571"/>
      <c r="E104" s="571"/>
      <c r="F104" s="571"/>
      <c r="G104" s="571"/>
      <c r="H104" s="571"/>
      <c r="I104" s="571"/>
      <c r="J104" s="571"/>
      <c r="K104" s="571"/>
      <c r="L104" s="571"/>
      <c r="M104" s="571"/>
      <c r="N104" s="2041"/>
      <c r="O104" s="2041"/>
      <c r="P104" s="2043"/>
      <c r="Q104" s="2044"/>
      <c r="R104" s="2045"/>
      <c r="S104" s="2045"/>
      <c r="T104" s="2045"/>
      <c r="U104" s="2045"/>
      <c r="V104" s="2045"/>
      <c r="W104" s="2045"/>
      <c r="X104" s="2045"/>
      <c r="Y104" s="2045"/>
      <c r="Z104" s="2045"/>
      <c r="AA104" s="2045"/>
      <c r="AB104" s="2045"/>
      <c r="AC104" s="2045"/>
    </row>
    <row r="105" spans="1:29" ht="15" thickTop="1">
      <c r="A105" s="635"/>
      <c r="B105" s="573" t="s">
        <v>688</v>
      </c>
      <c r="C105" s="3159" t="s">
        <v>3237</v>
      </c>
      <c r="D105" s="588"/>
      <c r="E105" s="618"/>
      <c r="F105" s="618"/>
      <c r="G105" s="618"/>
      <c r="H105" s="618"/>
      <c r="I105" s="618"/>
      <c r="J105" s="618"/>
      <c r="K105" s="619"/>
      <c r="L105" s="620"/>
      <c r="M105" s="621"/>
      <c r="N105" s="2039"/>
      <c r="O105" s="2039"/>
      <c r="P105" s="2040"/>
      <c r="Q105" s="2033"/>
      <c r="R105" s="2020"/>
      <c r="S105" s="2020"/>
      <c r="T105" s="2020"/>
      <c r="U105" s="2020"/>
      <c r="V105" s="2020"/>
      <c r="W105" s="2020"/>
      <c r="X105" s="2020"/>
      <c r="Y105" s="2020"/>
      <c r="Z105" s="2020"/>
      <c r="AA105" s="2020"/>
      <c r="AB105" s="2020"/>
      <c r="AC105" s="2020"/>
    </row>
    <row r="106" spans="1:29" ht="15.75" thickBot="1">
      <c r="A106" s="569"/>
      <c r="B106" s="578"/>
      <c r="C106" s="579">
        <v>100</v>
      </c>
      <c r="D106" s="579">
        <f t="shared" ref="D106:M106" si="21">C106-$K34</f>
        <v>95</v>
      </c>
      <c r="E106" s="579">
        <f t="shared" si="21"/>
        <v>90</v>
      </c>
      <c r="F106" s="579">
        <f t="shared" si="21"/>
        <v>85</v>
      </c>
      <c r="G106" s="579">
        <f t="shared" si="21"/>
        <v>80</v>
      </c>
      <c r="H106" s="579">
        <f t="shared" si="21"/>
        <v>75</v>
      </c>
      <c r="I106" s="579">
        <f t="shared" si="21"/>
        <v>70</v>
      </c>
      <c r="J106" s="579">
        <f t="shared" si="21"/>
        <v>65</v>
      </c>
      <c r="K106" s="579">
        <f t="shared" si="21"/>
        <v>60</v>
      </c>
      <c r="L106" s="579">
        <f t="shared" si="21"/>
        <v>55</v>
      </c>
      <c r="M106" s="579">
        <f t="shared" si="21"/>
        <v>50</v>
      </c>
      <c r="N106" s="2041"/>
      <c r="O106" s="2041"/>
      <c r="P106" s="2040"/>
      <c r="Q106" s="2033"/>
      <c r="R106" s="2020"/>
      <c r="S106" s="2020"/>
      <c r="T106" s="2020"/>
      <c r="U106" s="2020"/>
      <c r="V106" s="2020"/>
      <c r="W106" s="2020"/>
      <c r="X106" s="2020"/>
      <c r="Y106" s="2020"/>
      <c r="Z106" s="2020"/>
      <c r="AA106" s="2020"/>
      <c r="AB106" s="2020"/>
      <c r="AC106" s="2020"/>
    </row>
    <row r="107" spans="1:29" ht="15" thickTop="1">
      <c r="A107" s="635"/>
      <c r="B107" s="573" t="s">
        <v>689</v>
      </c>
      <c r="C107" s="3160" t="s">
        <v>3238</v>
      </c>
      <c r="D107" s="3160" t="s">
        <v>3240</v>
      </c>
      <c r="E107" s="618"/>
      <c r="F107" s="618"/>
      <c r="G107" s="618"/>
      <c r="H107" s="618"/>
      <c r="I107" s="618"/>
      <c r="J107" s="618"/>
      <c r="K107" s="619"/>
      <c r="L107" s="620"/>
      <c r="M107" s="621"/>
      <c r="N107" s="2039"/>
      <c r="O107" s="2039"/>
      <c r="P107" s="2040"/>
      <c r="Q107" s="2033"/>
      <c r="R107" s="2020"/>
      <c r="S107" s="2020"/>
      <c r="T107" s="2020"/>
      <c r="U107" s="2020"/>
      <c r="V107" s="2020"/>
      <c r="W107" s="2020"/>
      <c r="X107" s="2020"/>
      <c r="Y107" s="2020"/>
      <c r="Z107" s="2020"/>
      <c r="AA107" s="2020"/>
      <c r="AB107" s="2020"/>
      <c r="AC107" s="2020"/>
    </row>
    <row r="108" spans="1:29" ht="15.75" thickBot="1">
      <c r="A108" s="569"/>
      <c r="B108" s="578"/>
      <c r="C108" s="579">
        <v>100</v>
      </c>
      <c r="D108" s="579">
        <f t="shared" ref="D108:M108" si="22">C108-$K35</f>
        <v>95</v>
      </c>
      <c r="E108" s="579">
        <f t="shared" si="22"/>
        <v>90</v>
      </c>
      <c r="F108" s="579">
        <f t="shared" si="22"/>
        <v>85</v>
      </c>
      <c r="G108" s="579">
        <f t="shared" si="22"/>
        <v>80</v>
      </c>
      <c r="H108" s="579">
        <f t="shared" si="22"/>
        <v>75</v>
      </c>
      <c r="I108" s="579">
        <f t="shared" si="22"/>
        <v>70</v>
      </c>
      <c r="J108" s="579">
        <f t="shared" si="22"/>
        <v>65</v>
      </c>
      <c r="K108" s="579">
        <f t="shared" si="22"/>
        <v>60</v>
      </c>
      <c r="L108" s="579">
        <f t="shared" si="22"/>
        <v>55</v>
      </c>
      <c r="M108" s="579">
        <f t="shared" si="22"/>
        <v>50</v>
      </c>
      <c r="N108" s="2041"/>
      <c r="O108" s="2041"/>
      <c r="P108" s="2040"/>
      <c r="Q108" s="2033"/>
      <c r="R108" s="2020"/>
      <c r="S108" s="2020"/>
      <c r="T108" s="2020"/>
      <c r="U108" s="2020"/>
      <c r="V108" s="2020"/>
      <c r="W108" s="2020"/>
      <c r="X108" s="2020"/>
      <c r="Y108" s="2020"/>
      <c r="Z108" s="2020"/>
      <c r="AA108" s="2020"/>
      <c r="AB108" s="2020"/>
      <c r="AC108" s="2020"/>
    </row>
    <row r="109" spans="1:29" ht="15" thickTop="1">
      <c r="A109" s="635"/>
      <c r="B109" s="573" t="s">
        <v>690</v>
      </c>
      <c r="C109" s="3159" t="s">
        <v>3242</v>
      </c>
      <c r="D109" s="588"/>
      <c r="E109" s="588"/>
      <c r="F109" s="618"/>
      <c r="G109" s="618"/>
      <c r="H109" s="618"/>
      <c r="I109" s="618"/>
      <c r="J109" s="618"/>
      <c r="K109" s="619"/>
      <c r="L109" s="620"/>
      <c r="M109" s="621"/>
      <c r="N109" s="2039"/>
      <c r="O109" s="2039"/>
      <c r="P109" s="2040"/>
      <c r="Q109" s="2033"/>
      <c r="R109" s="2020"/>
      <c r="S109" s="2020"/>
      <c r="T109" s="2020"/>
      <c r="U109" s="2020"/>
      <c r="V109" s="2020"/>
      <c r="W109" s="2020"/>
      <c r="X109" s="2020"/>
      <c r="Y109" s="2020"/>
      <c r="Z109" s="2020"/>
      <c r="AA109" s="2020"/>
      <c r="AB109" s="2020"/>
      <c r="AC109" s="2020"/>
    </row>
    <row r="110" spans="1:29" ht="15.75" thickBot="1">
      <c r="A110" s="569"/>
      <c r="B110" s="578"/>
      <c r="C110" s="579">
        <v>100</v>
      </c>
      <c r="D110" s="579">
        <f t="shared" ref="D110:M110" si="23">C110-$K36</f>
        <v>98</v>
      </c>
      <c r="E110" s="579">
        <f t="shared" si="23"/>
        <v>96</v>
      </c>
      <c r="F110" s="579">
        <f t="shared" si="23"/>
        <v>94</v>
      </c>
      <c r="G110" s="579">
        <f t="shared" si="23"/>
        <v>92</v>
      </c>
      <c r="H110" s="579">
        <f t="shared" si="23"/>
        <v>90</v>
      </c>
      <c r="I110" s="579">
        <f t="shared" si="23"/>
        <v>88</v>
      </c>
      <c r="J110" s="579">
        <f t="shared" si="23"/>
        <v>86</v>
      </c>
      <c r="K110" s="579">
        <f t="shared" si="23"/>
        <v>84</v>
      </c>
      <c r="L110" s="579">
        <f t="shared" si="23"/>
        <v>82</v>
      </c>
      <c r="M110" s="579">
        <f t="shared" si="23"/>
        <v>80</v>
      </c>
      <c r="N110" s="2041"/>
      <c r="O110" s="2041"/>
      <c r="P110" s="2040"/>
      <c r="Q110" s="2033"/>
      <c r="R110" s="2020"/>
      <c r="S110" s="2020"/>
      <c r="T110" s="2020"/>
      <c r="U110" s="2020"/>
      <c r="V110" s="2020"/>
      <c r="W110" s="2020"/>
      <c r="X110" s="2020"/>
      <c r="Y110" s="2020"/>
      <c r="Z110" s="2020"/>
      <c r="AA110" s="2020"/>
      <c r="AB110" s="2020"/>
      <c r="AC110" s="2020"/>
    </row>
    <row r="111" spans="1:29" s="1227" customFormat="1" ht="15" thickTop="1">
      <c r="A111" s="628"/>
      <c r="B111" s="573" t="s">
        <v>691</v>
      </c>
      <c r="C111" s="608" t="str">
        <f>C112&amp;"(含)"&amp;"-"&amp;D112</f>
        <v>0.5(含)-0.6</v>
      </c>
      <c r="D111" s="608" t="str">
        <f>D112&amp;"(含)"&amp;"-"&amp;E112</f>
        <v>0.6(含)-0.7</v>
      </c>
      <c r="E111" s="608" t="str">
        <f>E112&amp;"(含)"&amp;"-"&amp;F112</f>
        <v>0.7(含)-0.8</v>
      </c>
      <c r="F111" s="608" t="str">
        <f>F112&amp;"(含)"&amp;"-"&amp;G112</f>
        <v>0.8(含)-0.9</v>
      </c>
      <c r="G111" s="608" t="str">
        <f>G112&amp;"(含)"&amp;"-"&amp;ROUND(H112,0)</f>
        <v>0.9(含)-1</v>
      </c>
      <c r="H111" s="608" t="str">
        <f>ROUND(H112,0)&amp;"(含)"&amp;"-"&amp;I112</f>
        <v>1(含)-</v>
      </c>
      <c r="I111" s="608"/>
      <c r="J111" s="613"/>
      <c r="K111" s="613"/>
      <c r="L111" s="614"/>
      <c r="M111" s="615"/>
      <c r="N111" s="2042"/>
      <c r="O111" s="2042"/>
      <c r="P111" s="2043"/>
      <c r="Q111" s="2044"/>
      <c r="R111" s="2045"/>
      <c r="S111" s="2045"/>
      <c r="T111" s="2045"/>
      <c r="U111" s="2045"/>
      <c r="V111" s="2045"/>
      <c r="W111" s="2045"/>
      <c r="X111" s="2045"/>
      <c r="Y111" s="2045"/>
      <c r="Z111" s="2045"/>
      <c r="AA111" s="2045"/>
      <c r="AB111" s="2045"/>
      <c r="AC111" s="2045"/>
    </row>
    <row r="112" spans="1:29" s="1227" customFormat="1">
      <c r="A112" s="628"/>
      <c r="B112" s="581"/>
      <c r="C112" s="794">
        <v>0.5</v>
      </c>
      <c r="D112" s="794">
        <v>0.6</v>
      </c>
      <c r="E112" s="794">
        <v>0.7</v>
      </c>
      <c r="F112" s="794">
        <v>0.8</v>
      </c>
      <c r="G112" s="794">
        <v>0.9</v>
      </c>
      <c r="H112" s="794">
        <v>1.0001</v>
      </c>
      <c r="I112" s="794"/>
      <c r="J112" s="795"/>
      <c r="K112" s="795"/>
      <c r="L112" s="796"/>
      <c r="M112" s="797"/>
      <c r="N112" s="2042"/>
      <c r="O112" s="2042"/>
      <c r="P112" s="2043"/>
      <c r="Q112" s="2044"/>
      <c r="R112" s="2045"/>
      <c r="S112" s="2045"/>
      <c r="T112" s="2045"/>
      <c r="U112" s="2045"/>
      <c r="V112" s="2045"/>
      <c r="W112" s="2045"/>
      <c r="X112" s="2045"/>
      <c r="Y112" s="2045"/>
      <c r="Z112" s="2045"/>
      <c r="AA112" s="2045"/>
      <c r="AB112" s="2045"/>
      <c r="AC112" s="2045"/>
    </row>
    <row r="113" spans="1:29" s="1227" customFormat="1" ht="15.75" thickBot="1">
      <c r="A113" s="587"/>
      <c r="B113" s="578"/>
      <c r="C113" s="612">
        <v>100</v>
      </c>
      <c r="D113" s="579">
        <f>C113+$K37</f>
        <v>102</v>
      </c>
      <c r="E113" s="579">
        <f>D113+$K37</f>
        <v>104</v>
      </c>
      <c r="F113" s="579">
        <f>E113+$K37</f>
        <v>106</v>
      </c>
      <c r="G113" s="579">
        <f>F113+$K37</f>
        <v>108</v>
      </c>
      <c r="H113" s="579">
        <f>G113+$K37</f>
        <v>110</v>
      </c>
      <c r="I113" s="612"/>
      <c r="J113" s="616"/>
      <c r="K113" s="616"/>
      <c r="L113" s="616"/>
      <c r="M113" s="617"/>
      <c r="N113" s="2042"/>
      <c r="O113" s="2042"/>
      <c r="P113" s="2043"/>
      <c r="Q113" s="2044"/>
      <c r="R113" s="2045"/>
      <c r="S113" s="2045"/>
      <c r="T113" s="2045"/>
      <c r="U113" s="2045"/>
      <c r="V113" s="2045"/>
      <c r="W113" s="2045"/>
      <c r="X113" s="2045"/>
      <c r="Y113" s="2045"/>
      <c r="Z113" s="2045"/>
      <c r="AA113" s="2045"/>
      <c r="AB113" s="2045"/>
      <c r="AC113" s="2045"/>
    </row>
    <row r="114" spans="1:29" ht="15" thickTop="1">
      <c r="A114" s="635"/>
      <c r="B114" s="573" t="s">
        <v>692</v>
      </c>
      <c r="C114" s="3159" t="s">
        <v>3244</v>
      </c>
      <c r="D114" s="3159" t="s">
        <v>3246</v>
      </c>
      <c r="E114" s="618"/>
      <c r="F114" s="618"/>
      <c r="G114" s="618"/>
      <c r="H114" s="618"/>
      <c r="I114" s="618"/>
      <c r="J114" s="618"/>
      <c r="K114" s="619"/>
      <c r="L114" s="620"/>
      <c r="M114" s="621"/>
      <c r="N114" s="2039"/>
      <c r="O114" s="2039"/>
      <c r="P114" s="2040"/>
      <c r="Q114" s="2033"/>
      <c r="R114" s="2020"/>
      <c r="S114" s="2020"/>
      <c r="T114" s="2020"/>
      <c r="U114" s="2020"/>
      <c r="V114" s="2020"/>
      <c r="W114" s="2020"/>
      <c r="X114" s="2020"/>
      <c r="Y114" s="2020"/>
      <c r="Z114" s="2020"/>
      <c r="AA114" s="2020"/>
      <c r="AB114" s="2020"/>
      <c r="AC114" s="2020"/>
    </row>
    <row r="115" spans="1:29" ht="15.75" thickBot="1">
      <c r="A115" s="569"/>
      <c r="B115" s="578"/>
      <c r="C115" s="579">
        <v>100</v>
      </c>
      <c r="D115" s="579">
        <f t="shared" ref="D115:M115" si="24">C115-$K38</f>
        <v>98</v>
      </c>
      <c r="E115" s="579">
        <f t="shared" si="24"/>
        <v>96</v>
      </c>
      <c r="F115" s="579">
        <f t="shared" si="24"/>
        <v>94</v>
      </c>
      <c r="G115" s="579">
        <f t="shared" si="24"/>
        <v>92</v>
      </c>
      <c r="H115" s="579">
        <f t="shared" si="24"/>
        <v>90</v>
      </c>
      <c r="I115" s="579">
        <f t="shared" si="24"/>
        <v>88</v>
      </c>
      <c r="J115" s="579">
        <f t="shared" si="24"/>
        <v>86</v>
      </c>
      <c r="K115" s="579">
        <f t="shared" si="24"/>
        <v>84</v>
      </c>
      <c r="L115" s="579">
        <f t="shared" si="24"/>
        <v>82</v>
      </c>
      <c r="M115" s="579">
        <f t="shared" si="24"/>
        <v>80</v>
      </c>
      <c r="N115" s="2041"/>
      <c r="O115" s="2041"/>
      <c r="P115" s="2040"/>
      <c r="Q115" s="2033"/>
      <c r="R115" s="2020"/>
      <c r="S115" s="2020"/>
      <c r="T115" s="2020"/>
      <c r="U115" s="2020"/>
      <c r="V115" s="2020"/>
      <c r="W115" s="2020"/>
      <c r="X115" s="2020"/>
      <c r="Y115" s="2020"/>
      <c r="Z115" s="2020"/>
      <c r="AA115" s="2020"/>
      <c r="AB115" s="2020"/>
      <c r="AC115" s="2020"/>
    </row>
    <row r="116" spans="1:29" ht="15" thickTop="1">
      <c r="A116" s="635"/>
      <c r="B116" s="1778" t="s">
        <v>2484</v>
      </c>
      <c r="C116" s="3159" t="s">
        <v>3247</v>
      </c>
      <c r="D116" s="3159" t="s">
        <v>3248</v>
      </c>
      <c r="E116" s="3159" t="s">
        <v>3249</v>
      </c>
      <c r="F116" s="3159" t="s">
        <v>3250</v>
      </c>
      <c r="G116" s="3159" t="s">
        <v>3251</v>
      </c>
      <c r="H116" s="618"/>
      <c r="I116" s="618"/>
      <c r="J116" s="618"/>
      <c r="K116" s="619"/>
      <c r="L116" s="620"/>
      <c r="M116" s="621"/>
      <c r="N116" s="2039"/>
      <c r="O116" s="2039"/>
      <c r="P116" s="2040"/>
      <c r="Q116" s="2033"/>
      <c r="R116" s="2020"/>
      <c r="S116" s="2020"/>
      <c r="T116" s="2020"/>
      <c r="U116" s="2020"/>
      <c r="V116" s="2020"/>
      <c r="W116" s="2020"/>
      <c r="X116" s="2020"/>
      <c r="Y116" s="2020"/>
      <c r="Z116" s="2020"/>
      <c r="AA116" s="2020"/>
      <c r="AB116" s="2020"/>
      <c r="AC116" s="2020"/>
    </row>
    <row r="117" spans="1:29" ht="15.75" thickBot="1">
      <c r="A117" s="569"/>
      <c r="B117" s="578"/>
      <c r="C117" s="579">
        <v>100</v>
      </c>
      <c r="D117" s="579">
        <f>C117-$K39</f>
        <v>98</v>
      </c>
      <c r="E117" s="579">
        <f>D117-$K39</f>
        <v>96</v>
      </c>
      <c r="F117" s="579">
        <f>E117-$K39</f>
        <v>94</v>
      </c>
      <c r="G117" s="579">
        <f>F117-$K39</f>
        <v>92</v>
      </c>
      <c r="H117" s="579"/>
      <c r="I117" s="579"/>
      <c r="J117" s="579"/>
      <c r="K117" s="579"/>
      <c r="L117" s="579"/>
      <c r="M117" s="580"/>
      <c r="N117" s="2041"/>
      <c r="O117" s="2041"/>
      <c r="P117" s="2040"/>
      <c r="Q117" s="2033"/>
      <c r="R117" s="2020"/>
      <c r="S117" s="2020"/>
      <c r="T117" s="2020"/>
      <c r="U117" s="2020"/>
      <c r="V117" s="2020"/>
      <c r="W117" s="2020"/>
      <c r="X117" s="2020"/>
      <c r="Y117" s="2020"/>
      <c r="Z117" s="2020"/>
      <c r="AA117" s="2020"/>
      <c r="AB117" s="2020"/>
      <c r="AC117" s="2020"/>
    </row>
    <row r="118" spans="1:29" ht="15" thickTop="1">
      <c r="A118" s="635"/>
      <c r="B118" s="573" t="s">
        <v>693</v>
      </c>
      <c r="C118" s="3160" t="s">
        <v>3253</v>
      </c>
      <c r="D118" s="618"/>
      <c r="E118" s="618"/>
      <c r="F118" s="618"/>
      <c r="G118" s="618"/>
      <c r="H118" s="618"/>
      <c r="I118" s="618"/>
      <c r="J118" s="618"/>
      <c r="K118" s="619"/>
      <c r="L118" s="620"/>
      <c r="M118" s="621"/>
      <c r="N118" s="2039"/>
      <c r="O118" s="2039"/>
      <c r="P118" s="2040"/>
      <c r="Q118" s="2033"/>
      <c r="R118" s="2020"/>
      <c r="S118" s="2020"/>
      <c r="T118" s="2020"/>
      <c r="U118" s="2020"/>
      <c r="V118" s="2020"/>
      <c r="W118" s="2020"/>
      <c r="X118" s="2020"/>
      <c r="Y118" s="2020"/>
      <c r="Z118" s="2020"/>
      <c r="AA118" s="2020"/>
      <c r="AB118" s="2020"/>
      <c r="AC118" s="2020"/>
    </row>
    <row r="119" spans="1:29" ht="15.75" thickBot="1">
      <c r="A119" s="569"/>
      <c r="B119" s="578"/>
      <c r="C119" s="579">
        <v>100</v>
      </c>
      <c r="D119" s="579">
        <f t="shared" ref="D119:M119" si="25">C119-$K40</f>
        <v>85</v>
      </c>
      <c r="E119" s="579">
        <f t="shared" si="25"/>
        <v>70</v>
      </c>
      <c r="F119" s="579">
        <f t="shared" si="25"/>
        <v>55</v>
      </c>
      <c r="G119" s="579">
        <f t="shared" si="25"/>
        <v>40</v>
      </c>
      <c r="H119" s="579">
        <f t="shared" si="25"/>
        <v>25</v>
      </c>
      <c r="I119" s="579">
        <f t="shared" si="25"/>
        <v>10</v>
      </c>
      <c r="J119" s="579">
        <f t="shared" si="25"/>
        <v>-5</v>
      </c>
      <c r="K119" s="579">
        <f t="shared" si="25"/>
        <v>-20</v>
      </c>
      <c r="L119" s="579">
        <f t="shared" si="25"/>
        <v>-35</v>
      </c>
      <c r="M119" s="579">
        <f t="shared" si="25"/>
        <v>-50</v>
      </c>
      <c r="N119" s="2041"/>
      <c r="O119" s="2041"/>
      <c r="P119" s="2040"/>
      <c r="Q119" s="2033"/>
      <c r="R119" s="2020"/>
      <c r="S119" s="2020"/>
      <c r="T119" s="2020"/>
      <c r="U119" s="2020"/>
      <c r="V119" s="2020"/>
      <c r="W119" s="2020"/>
      <c r="X119" s="2020"/>
      <c r="Y119" s="2020"/>
      <c r="Z119" s="2020"/>
      <c r="AA119" s="2020"/>
      <c r="AB119" s="2020"/>
      <c r="AC119" s="2020"/>
    </row>
    <row r="120" spans="1:29" s="1227" customFormat="1" ht="28.5" thickTop="1">
      <c r="A120" s="628"/>
      <c r="B120" s="573" t="s">
        <v>672</v>
      </c>
      <c r="C120" s="588"/>
      <c r="D120" s="588"/>
      <c r="E120" s="588"/>
      <c r="F120" s="588"/>
      <c r="G120" s="588"/>
      <c r="H120" s="588"/>
      <c r="I120" s="588"/>
      <c r="J120" s="588"/>
      <c r="K120" s="588"/>
      <c r="L120" s="790"/>
      <c r="M120" s="791"/>
      <c r="N120" s="2042"/>
      <c r="O120" s="2042"/>
      <c r="P120" s="2043"/>
      <c r="Q120" s="2044"/>
      <c r="R120" s="2045"/>
      <c r="S120" s="2045"/>
      <c r="T120" s="2045"/>
      <c r="U120" s="2045"/>
      <c r="V120" s="2045"/>
      <c r="W120" s="2045"/>
      <c r="X120" s="2045"/>
      <c r="Y120" s="2045"/>
      <c r="Z120" s="2045"/>
      <c r="AA120" s="2045"/>
      <c r="AB120" s="2045"/>
      <c r="AC120" s="2045"/>
    </row>
    <row r="121" spans="1:29" s="1227" customFormat="1" ht="15.75" thickBot="1">
      <c r="A121" s="587"/>
      <c r="B121" s="570"/>
      <c r="C121" s="592"/>
      <c r="D121" s="571"/>
      <c r="E121" s="571"/>
      <c r="F121" s="571"/>
      <c r="G121" s="571"/>
      <c r="H121" s="571"/>
      <c r="I121" s="571"/>
      <c r="J121" s="571"/>
      <c r="K121" s="571"/>
      <c r="L121" s="571"/>
      <c r="M121" s="571"/>
      <c r="N121" s="2042"/>
      <c r="O121" s="2042"/>
      <c r="P121" s="2043"/>
      <c r="Q121" s="2044"/>
      <c r="R121" s="2045"/>
      <c r="S121" s="2045"/>
      <c r="T121" s="2045"/>
      <c r="U121" s="2045"/>
      <c r="V121" s="2045"/>
      <c r="W121" s="2045"/>
      <c r="X121" s="2045"/>
      <c r="Y121" s="2045"/>
      <c r="Z121" s="2045"/>
      <c r="AA121" s="2045"/>
      <c r="AB121" s="2045"/>
      <c r="AC121" s="2045"/>
    </row>
    <row r="122" spans="1:29" ht="15" thickTop="1">
      <c r="A122" s="635"/>
      <c r="B122" s="573" t="s">
        <v>694</v>
      </c>
      <c r="C122" s="3159" t="s">
        <v>3254</v>
      </c>
      <c r="D122" s="3159" t="s">
        <v>3242</v>
      </c>
      <c r="E122" s="3159" t="s">
        <v>3256</v>
      </c>
      <c r="F122" s="618"/>
      <c r="G122" s="618"/>
      <c r="H122" s="618"/>
      <c r="I122" s="618"/>
      <c r="J122" s="618"/>
      <c r="K122" s="619"/>
      <c r="L122" s="620"/>
      <c r="M122" s="621"/>
      <c r="N122" s="2039"/>
      <c r="O122" s="2039"/>
      <c r="P122" s="2040"/>
      <c r="Q122" s="2033"/>
      <c r="R122" s="2020"/>
      <c r="S122" s="2020"/>
      <c r="T122" s="2020"/>
      <c r="U122" s="2020"/>
      <c r="V122" s="2020"/>
      <c r="W122" s="2020"/>
      <c r="X122" s="2020"/>
      <c r="Y122" s="2020"/>
      <c r="Z122" s="2020"/>
      <c r="AA122" s="2020"/>
      <c r="AB122" s="2020"/>
      <c r="AC122" s="2020"/>
    </row>
    <row r="123" spans="1:29" ht="15.75" thickBot="1">
      <c r="A123" s="569"/>
      <c r="B123" s="578"/>
      <c r="C123" s="579">
        <v>100</v>
      </c>
      <c r="D123" s="579">
        <f t="shared" ref="D123:M123" si="26">C123-$K42</f>
        <v>98</v>
      </c>
      <c r="E123" s="579">
        <f t="shared" si="26"/>
        <v>96</v>
      </c>
      <c r="F123" s="579">
        <f t="shared" si="26"/>
        <v>94</v>
      </c>
      <c r="G123" s="579">
        <f t="shared" si="26"/>
        <v>92</v>
      </c>
      <c r="H123" s="579">
        <f t="shared" si="26"/>
        <v>90</v>
      </c>
      <c r="I123" s="579">
        <f t="shared" si="26"/>
        <v>88</v>
      </c>
      <c r="J123" s="579">
        <f t="shared" si="26"/>
        <v>86</v>
      </c>
      <c r="K123" s="579">
        <f t="shared" si="26"/>
        <v>84</v>
      </c>
      <c r="L123" s="579">
        <f t="shared" si="26"/>
        <v>82</v>
      </c>
      <c r="M123" s="579">
        <f t="shared" si="26"/>
        <v>80</v>
      </c>
      <c r="N123" s="2041"/>
      <c r="O123" s="2041"/>
      <c r="P123" s="2040"/>
      <c r="Q123" s="2033"/>
      <c r="R123" s="2020"/>
      <c r="S123" s="2020"/>
      <c r="T123" s="2020"/>
      <c r="U123" s="2020"/>
      <c r="V123" s="2020"/>
      <c r="W123" s="2020"/>
      <c r="X123" s="2020"/>
      <c r="Y123" s="2020"/>
      <c r="Z123" s="2020"/>
      <c r="AA123" s="2020"/>
      <c r="AB123" s="2020"/>
      <c r="AC123" s="2020"/>
    </row>
    <row r="124" spans="1:29" ht="15" thickTop="1">
      <c r="A124" s="635"/>
      <c r="B124" s="573" t="s">
        <v>695</v>
      </c>
      <c r="C124" s="608" t="s">
        <v>519</v>
      </c>
      <c r="D124" s="608" t="s">
        <v>520</v>
      </c>
      <c r="E124" s="608" t="s">
        <v>521</v>
      </c>
      <c r="F124" s="608" t="s">
        <v>522</v>
      </c>
      <c r="G124" s="608" t="s">
        <v>523</v>
      </c>
      <c r="H124" s="574"/>
      <c r="I124" s="574"/>
      <c r="J124" s="574"/>
      <c r="K124" s="575"/>
      <c r="L124" s="576"/>
      <c r="M124" s="577"/>
      <c r="N124" s="2039"/>
      <c r="O124" s="2039"/>
      <c r="P124" s="2043"/>
      <c r="Q124" s="2033"/>
      <c r="R124" s="2020"/>
      <c r="S124" s="2020"/>
      <c r="T124" s="2020"/>
      <c r="U124" s="2020"/>
      <c r="V124" s="2020"/>
      <c r="W124" s="2020"/>
      <c r="X124" s="2020"/>
      <c r="Y124" s="2020"/>
      <c r="Z124" s="2020"/>
      <c r="AA124" s="2020"/>
      <c r="AB124" s="2020"/>
      <c r="AC124" s="2020"/>
    </row>
    <row r="125" spans="1:29" ht="15.75" thickBot="1">
      <c r="A125" s="569"/>
      <c r="B125" s="578"/>
      <c r="C125" s="579">
        <v>100</v>
      </c>
      <c r="D125" s="579">
        <f>C125-$K43</f>
        <v>98</v>
      </c>
      <c r="E125" s="579">
        <f>D125-$K43</f>
        <v>96</v>
      </c>
      <c r="F125" s="579">
        <f>E125-$K43</f>
        <v>94</v>
      </c>
      <c r="G125" s="579">
        <f>F125-$K43</f>
        <v>92</v>
      </c>
      <c r="H125" s="579"/>
      <c r="I125" s="579"/>
      <c r="J125" s="579"/>
      <c r="K125" s="579"/>
      <c r="L125" s="579"/>
      <c r="M125" s="580"/>
      <c r="N125" s="2041"/>
      <c r="O125" s="2041"/>
      <c r="P125" s="2040"/>
      <c r="Q125" s="2033"/>
      <c r="R125" s="2020"/>
      <c r="S125" s="2020"/>
      <c r="T125" s="2020"/>
      <c r="U125" s="2020"/>
      <c r="V125" s="2020"/>
      <c r="W125" s="2020"/>
      <c r="X125" s="2020"/>
      <c r="Y125" s="2020"/>
      <c r="Z125" s="2020"/>
      <c r="AA125" s="2020"/>
      <c r="AB125" s="2020"/>
      <c r="AC125" s="2020"/>
    </row>
    <row r="126" spans="1:29" s="1227" customFormat="1" ht="15" thickTop="1">
      <c r="A126" s="628"/>
      <c r="B126" s="573">
        <f>B44</f>
        <v>0</v>
      </c>
      <c r="C126" s="588"/>
      <c r="D126" s="588"/>
      <c r="E126" s="588"/>
      <c r="F126" s="588"/>
      <c r="G126" s="588"/>
      <c r="H126" s="589"/>
      <c r="I126" s="589"/>
      <c r="J126" s="589"/>
      <c r="K126" s="589"/>
      <c r="L126" s="590"/>
      <c r="M126" s="591"/>
      <c r="N126" s="2042"/>
      <c r="O126" s="2042"/>
      <c r="P126" s="2043"/>
      <c r="Q126" s="2044"/>
      <c r="R126" s="2045"/>
      <c r="S126" s="2045"/>
      <c r="T126" s="2045"/>
      <c r="U126" s="2045"/>
      <c r="V126" s="2045"/>
      <c r="W126" s="2045"/>
      <c r="X126" s="2045"/>
      <c r="Y126" s="2045"/>
      <c r="Z126" s="2045"/>
      <c r="AA126" s="2045"/>
      <c r="AB126" s="2045"/>
      <c r="AC126" s="2045"/>
    </row>
    <row r="127" spans="1:29" s="1227" customFormat="1" ht="15.75" thickBot="1">
      <c r="A127" s="587"/>
      <c r="B127" s="578"/>
      <c r="C127" s="592"/>
      <c r="D127" s="571"/>
      <c r="E127" s="571"/>
      <c r="F127" s="571"/>
      <c r="G127" s="592"/>
      <c r="H127" s="593"/>
      <c r="I127" s="593"/>
      <c r="J127" s="593"/>
      <c r="K127" s="593"/>
      <c r="L127" s="593"/>
      <c r="M127" s="594"/>
      <c r="N127" s="2042"/>
      <c r="O127" s="2042"/>
      <c r="P127" s="2043"/>
      <c r="Q127" s="2044"/>
      <c r="R127" s="2045"/>
      <c r="S127" s="2045"/>
      <c r="T127" s="2045"/>
      <c r="U127" s="2045"/>
      <c r="V127" s="2045"/>
      <c r="W127" s="2045"/>
      <c r="X127" s="2045"/>
      <c r="Y127" s="2045"/>
      <c r="Z127" s="2045"/>
      <c r="AA127" s="2045"/>
      <c r="AB127" s="2045"/>
      <c r="AC127" s="2045"/>
    </row>
    <row r="128" spans="1:29" ht="15" thickTop="1">
      <c r="A128" s="635"/>
      <c r="B128" s="573">
        <f>B45</f>
        <v>0</v>
      </c>
      <c r="C128" s="588"/>
      <c r="D128" s="588"/>
      <c r="E128" s="588"/>
      <c r="F128" s="588"/>
      <c r="G128" s="618"/>
      <c r="H128" s="618"/>
      <c r="I128" s="618"/>
      <c r="J128" s="618"/>
      <c r="K128" s="619"/>
      <c r="L128" s="620"/>
      <c r="M128" s="621"/>
      <c r="N128" s="2039"/>
      <c r="O128" s="2039"/>
      <c r="P128" s="2040"/>
      <c r="Q128" s="2033"/>
      <c r="R128" s="2020"/>
      <c r="S128" s="2020"/>
      <c r="T128" s="2020"/>
      <c r="U128" s="2020"/>
      <c r="V128" s="2020"/>
      <c r="W128" s="2020"/>
      <c r="X128" s="2020"/>
      <c r="Y128" s="2020"/>
      <c r="Z128" s="2020"/>
      <c r="AA128" s="2020"/>
      <c r="AB128" s="2020"/>
      <c r="AC128" s="2020"/>
    </row>
    <row r="129" spans="1:29" ht="15.75" thickBot="1">
      <c r="A129" s="569"/>
      <c r="B129" s="578"/>
      <c r="C129" s="592"/>
      <c r="D129" s="592"/>
      <c r="E129" s="592"/>
      <c r="F129" s="592"/>
      <c r="G129" s="571"/>
      <c r="H129" s="571"/>
      <c r="I129" s="571"/>
      <c r="J129" s="571"/>
      <c r="K129" s="571"/>
      <c r="L129" s="571"/>
      <c r="M129" s="572"/>
      <c r="N129" s="2041"/>
      <c r="O129" s="2041"/>
      <c r="P129" s="2040"/>
      <c r="Q129" s="2033"/>
      <c r="R129" s="2020"/>
      <c r="S129" s="2020"/>
      <c r="T129" s="2020"/>
      <c r="U129" s="2020"/>
      <c r="V129" s="2020"/>
      <c r="W129" s="2020"/>
      <c r="X129" s="2020"/>
      <c r="Y129" s="2020"/>
      <c r="Z129" s="2020"/>
      <c r="AA129" s="2020"/>
      <c r="AB129" s="2020"/>
      <c r="AC129" s="2020"/>
    </row>
    <row r="130" spans="1:29" ht="15" thickTop="1">
      <c r="A130" s="635"/>
      <c r="B130" s="581">
        <f>B46</f>
        <v>0</v>
      </c>
      <c r="C130" s="588"/>
      <c r="D130" s="588"/>
      <c r="E130" s="588"/>
      <c r="F130" s="588"/>
      <c r="G130" s="622"/>
      <c r="H130" s="622"/>
      <c r="I130" s="622"/>
      <c r="J130" s="622"/>
      <c r="K130" s="561"/>
      <c r="L130" s="562"/>
      <c r="M130" s="625"/>
      <c r="N130" s="2039"/>
      <c r="O130" s="2039"/>
      <c r="P130" s="2040"/>
      <c r="Q130" s="2033"/>
      <c r="R130" s="2020"/>
      <c r="S130" s="2020"/>
      <c r="T130" s="2020"/>
      <c r="U130" s="2020"/>
      <c r="V130" s="2020"/>
      <c r="W130" s="2020"/>
      <c r="X130" s="2020"/>
      <c r="Y130" s="2020"/>
      <c r="Z130" s="2020"/>
      <c r="AA130" s="2020"/>
      <c r="AB130" s="2020"/>
      <c r="AC130" s="2020"/>
    </row>
    <row r="131" spans="1:29" ht="15.75" thickBot="1">
      <c r="A131" s="793"/>
      <c r="B131" s="599"/>
      <c r="C131" s="600"/>
      <c r="D131" s="600"/>
      <c r="E131" s="600"/>
      <c r="F131" s="600"/>
      <c r="G131" s="626"/>
      <c r="H131" s="626"/>
      <c r="I131" s="626"/>
      <c r="J131" s="626"/>
      <c r="K131" s="626"/>
      <c r="L131" s="626"/>
      <c r="M131" s="627"/>
      <c r="N131" s="2041"/>
      <c r="O131" s="2041"/>
      <c r="P131" s="2040"/>
      <c r="Q131" s="2033"/>
      <c r="R131" s="2020"/>
      <c r="S131" s="2020"/>
      <c r="T131" s="2020"/>
      <c r="U131" s="2020"/>
      <c r="V131" s="2020"/>
      <c r="W131" s="2020"/>
      <c r="X131" s="2020"/>
      <c r="Y131" s="2020"/>
      <c r="Z131" s="2020"/>
      <c r="AA131" s="2020"/>
      <c r="AB131" s="2020"/>
      <c r="AC131" s="2020"/>
    </row>
    <row r="132" spans="1:29">
      <c r="A132" s="2054"/>
      <c r="B132" s="2054"/>
      <c r="C132" s="2054"/>
      <c r="D132" s="2054"/>
      <c r="E132" s="2054"/>
      <c r="F132" s="2054"/>
      <c r="G132" s="2054"/>
      <c r="H132" s="2054"/>
      <c r="I132" s="2054"/>
      <c r="J132" s="2054"/>
      <c r="K132" s="2055"/>
      <c r="L132" s="2056"/>
      <c r="M132" s="2054"/>
      <c r="N132" s="2054"/>
      <c r="O132" s="2054"/>
      <c r="P132" s="2054"/>
      <c r="Q132" s="2054"/>
      <c r="R132" s="2054"/>
      <c r="S132" s="2054"/>
      <c r="T132" s="2054"/>
      <c r="U132" s="2054"/>
      <c r="V132" s="2054"/>
      <c r="W132" s="2054"/>
      <c r="X132" s="2054"/>
      <c r="Y132" s="2054"/>
      <c r="Z132" s="2054"/>
      <c r="AA132" s="2054"/>
      <c r="AB132" s="2054"/>
      <c r="AC132" s="2054"/>
    </row>
    <row r="133" spans="1:29">
      <c r="A133" s="2054"/>
      <c r="B133" s="2054"/>
      <c r="C133" s="2054"/>
      <c r="D133" s="2054"/>
      <c r="E133" s="2054"/>
      <c r="F133" s="2054"/>
      <c r="G133" s="2054"/>
      <c r="H133" s="2054"/>
      <c r="I133" s="2054"/>
      <c r="J133" s="2054"/>
      <c r="K133" s="2055"/>
      <c r="L133" s="2056"/>
      <c r="M133" s="2054"/>
      <c r="N133" s="2054"/>
      <c r="O133" s="2054"/>
      <c r="P133" s="2054"/>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54"/>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ht="15" thickBot="1">
      <c r="A136" s="2054"/>
      <c r="B136" s="1797" t="s">
        <v>2190</v>
      </c>
      <c r="C136" s="1798"/>
      <c r="D136" s="1798"/>
      <c r="E136" s="1798"/>
      <c r="F136" s="1798"/>
      <c r="G136" s="1798"/>
      <c r="H136" s="1798"/>
      <c r="I136" s="1798"/>
      <c r="J136" s="1798"/>
      <c r="K136" s="1799"/>
      <c r="L136" s="2056"/>
      <c r="M136" s="2054"/>
      <c r="N136" s="2054"/>
      <c r="O136" s="2054"/>
      <c r="P136" s="2054"/>
      <c r="Q136" s="2054"/>
      <c r="R136" s="2054"/>
      <c r="S136" s="2054"/>
      <c r="T136" s="2054"/>
      <c r="U136" s="2054"/>
      <c r="V136" s="2054"/>
      <c r="W136" s="2054"/>
      <c r="X136" s="2054"/>
      <c r="Y136" s="2054"/>
      <c r="Z136" s="2054"/>
      <c r="AA136" s="2054"/>
      <c r="AB136" s="2054"/>
      <c r="AC136" s="2054"/>
    </row>
    <row r="137" spans="1:29">
      <c r="A137" s="2054"/>
      <c r="B137" s="1800" t="s">
        <v>2191</v>
      </c>
      <c r="C137" s="1801"/>
      <c r="D137" s="1801"/>
      <c r="E137" s="1801"/>
      <c r="F137" s="1801"/>
      <c r="G137" s="1802"/>
      <c r="H137" s="1803"/>
      <c r="I137" s="1804" t="s">
        <v>2192</v>
      </c>
      <c r="J137" s="1801"/>
      <c r="K137" s="1805"/>
      <c r="L137" s="2056"/>
      <c r="M137" s="2054"/>
      <c r="N137" s="2054"/>
      <c r="O137" s="2054"/>
      <c r="P137" s="2054"/>
      <c r="Q137" s="2054"/>
      <c r="R137" s="2054"/>
      <c r="S137" s="2054"/>
      <c r="T137" s="2054"/>
      <c r="U137" s="2054"/>
      <c r="V137" s="2054"/>
      <c r="W137" s="2054"/>
      <c r="X137" s="2054"/>
      <c r="Y137" s="2054"/>
      <c r="Z137" s="2054"/>
      <c r="AA137" s="2054"/>
      <c r="AB137" s="2054"/>
      <c r="AC137" s="2054"/>
    </row>
    <row r="138" spans="1:29">
      <c r="A138" s="2054"/>
      <c r="B138" s="1806"/>
      <c r="C138" s="1807" t="s">
        <v>2193</v>
      </c>
      <c r="D138" s="1807" t="s">
        <v>2194</v>
      </c>
      <c r="E138" s="1808" t="s">
        <v>2195</v>
      </c>
      <c r="F138" s="1809" t="s">
        <v>2196</v>
      </c>
      <c r="G138" s="1807" t="s">
        <v>2197</v>
      </c>
      <c r="H138" s="1810" t="s">
        <v>2198</v>
      </c>
      <c r="I138" s="1811"/>
      <c r="J138" s="1807" t="s">
        <v>2199</v>
      </c>
      <c r="K138" s="1810" t="s">
        <v>2200</v>
      </c>
      <c r="L138" s="2056"/>
      <c r="M138" s="2054"/>
      <c r="N138" s="2054"/>
      <c r="O138" s="2054"/>
      <c r="P138" s="2054"/>
      <c r="Q138" s="2054"/>
      <c r="R138" s="2054"/>
      <c r="S138" s="2054"/>
      <c r="T138" s="2054"/>
      <c r="U138" s="2054"/>
      <c r="V138" s="2054"/>
      <c r="W138" s="2054"/>
      <c r="X138" s="2054"/>
      <c r="Y138" s="2054"/>
      <c r="Z138" s="2054"/>
      <c r="AA138" s="2054"/>
      <c r="AB138" s="2054"/>
      <c r="AC138" s="2054"/>
    </row>
    <row r="139" spans="1:29" ht="15">
      <c r="A139" s="2054"/>
      <c r="B139" s="1779">
        <v>6</v>
      </c>
      <c r="C139" s="1780">
        <v>96</v>
      </c>
      <c r="D139" s="1812" t="s">
        <v>2201</v>
      </c>
      <c r="E139" s="1781">
        <v>100</v>
      </c>
      <c r="F139" s="1782">
        <v>102.5</v>
      </c>
      <c r="G139" s="1812" t="s">
        <v>2202</v>
      </c>
      <c r="H139" s="1783">
        <v>105</v>
      </c>
      <c r="I139" s="1813" t="s">
        <v>2203</v>
      </c>
      <c r="J139" s="1780">
        <v>20</v>
      </c>
      <c r="K139" s="1784">
        <f>C145/(J139-2)</f>
        <v>4.0555555555555553E-3</v>
      </c>
      <c r="L139" s="2056"/>
      <c r="M139" s="2054"/>
      <c r="N139" s="2054"/>
      <c r="O139" s="2054"/>
      <c r="P139" s="2054"/>
      <c r="Q139" s="2054"/>
      <c r="R139" s="2054"/>
      <c r="S139" s="2054"/>
      <c r="T139" s="2054"/>
      <c r="U139" s="2054"/>
      <c r="V139" s="2054"/>
      <c r="W139" s="2054"/>
      <c r="X139" s="2054"/>
      <c r="Y139" s="2054"/>
      <c r="Z139" s="2054"/>
      <c r="AA139" s="2054"/>
      <c r="AB139" s="2054"/>
      <c r="AC139" s="2054"/>
    </row>
    <row r="140" spans="1:29" ht="15">
      <c r="A140" s="2054"/>
      <c r="B140" s="1785">
        <v>5</v>
      </c>
      <c r="C140" s="1786">
        <v>100</v>
      </c>
      <c r="D140" s="1814"/>
      <c r="E140" s="1787"/>
      <c r="F140" s="1788">
        <v>102</v>
      </c>
      <c r="G140" s="1814"/>
      <c r="H140" s="1789"/>
      <c r="I140" s="1815" t="s">
        <v>2204</v>
      </c>
      <c r="J140" s="746">
        <f>ROUNDUP((J139-1)/2,0)</f>
        <v>10</v>
      </c>
      <c r="K140" s="1790">
        <v>100</v>
      </c>
      <c r="L140" s="2056"/>
      <c r="M140" s="2054"/>
      <c r="N140" s="2054"/>
      <c r="O140" s="2054"/>
      <c r="P140" s="2054"/>
      <c r="Q140" s="2054"/>
      <c r="R140" s="2054"/>
      <c r="S140" s="2054"/>
      <c r="T140" s="2054"/>
      <c r="U140" s="2054"/>
      <c r="V140" s="2054"/>
      <c r="W140" s="2054"/>
      <c r="X140" s="2054"/>
      <c r="Y140" s="2054"/>
      <c r="Z140" s="2054"/>
      <c r="AA140" s="2054"/>
      <c r="AB140" s="2054"/>
      <c r="AC140" s="2054"/>
    </row>
    <row r="141" spans="1:29" ht="15">
      <c r="A141" s="2054"/>
      <c r="B141" s="1785">
        <v>4</v>
      </c>
      <c r="C141" s="1786">
        <v>102</v>
      </c>
      <c r="D141" s="1814"/>
      <c r="E141" s="1787"/>
      <c r="F141" s="1788">
        <v>101.5</v>
      </c>
      <c r="G141" s="1814"/>
      <c r="H141" s="1789"/>
      <c r="I141" s="1815" t="s">
        <v>2205</v>
      </c>
      <c r="J141" s="746">
        <v>1</v>
      </c>
      <c r="K141" s="1791">
        <f>ROUND(100+(J141-J140)*K139*100,1)</f>
        <v>96.4</v>
      </c>
      <c r="L141" s="2056"/>
      <c r="M141" s="2054"/>
      <c r="N141" s="2054"/>
      <c r="O141" s="2054"/>
      <c r="P141" s="2054"/>
      <c r="Q141" s="2054"/>
      <c r="R141" s="2054"/>
      <c r="S141" s="2054"/>
      <c r="T141" s="2054"/>
      <c r="U141" s="2054"/>
      <c r="V141" s="2054"/>
      <c r="W141" s="2054"/>
      <c r="X141" s="2054"/>
      <c r="Y141" s="2054"/>
      <c r="Z141" s="2054"/>
      <c r="AA141" s="2054"/>
      <c r="AB141" s="2054"/>
      <c r="AC141" s="2054"/>
    </row>
    <row r="142" spans="1:29" ht="15">
      <c r="A142" s="2054"/>
      <c r="B142" s="1785">
        <v>3</v>
      </c>
      <c r="C142" s="1786">
        <v>103</v>
      </c>
      <c r="D142" s="1814"/>
      <c r="E142" s="1787"/>
      <c r="F142" s="1788">
        <v>101</v>
      </c>
      <c r="G142" s="1814"/>
      <c r="H142" s="1789"/>
      <c r="I142" s="1815" t="s">
        <v>2206</v>
      </c>
      <c r="J142" s="746">
        <f>J139</f>
        <v>20</v>
      </c>
      <c r="K142" s="1792">
        <v>95</v>
      </c>
      <c r="L142" s="2056"/>
      <c r="M142" s="2054"/>
      <c r="N142" s="2054"/>
      <c r="O142" s="2054"/>
      <c r="P142" s="2054"/>
      <c r="Q142" s="2054"/>
      <c r="R142" s="2054"/>
      <c r="S142" s="2054"/>
      <c r="T142" s="2054"/>
      <c r="U142" s="2054"/>
      <c r="V142" s="2054"/>
      <c r="W142" s="2054"/>
      <c r="X142" s="2054"/>
      <c r="Y142" s="2054"/>
      <c r="Z142" s="2054"/>
      <c r="AA142" s="2054"/>
      <c r="AB142" s="2054"/>
      <c r="AC142" s="2054"/>
    </row>
    <row r="143" spans="1:29" ht="15">
      <c r="A143" s="2054"/>
      <c r="B143" s="1785">
        <v>2</v>
      </c>
      <c r="C143" s="1786">
        <v>100</v>
      </c>
      <c r="D143" s="1814"/>
      <c r="E143" s="1787"/>
      <c r="F143" s="1788">
        <v>100.5</v>
      </c>
      <c r="G143" s="1814"/>
      <c r="H143" s="1789"/>
      <c r="I143" s="1815" t="s">
        <v>2207</v>
      </c>
      <c r="J143" s="1786">
        <v>15</v>
      </c>
      <c r="K143" s="1791">
        <f>ROUND(100+(J143-J140)*K139*100,1)</f>
        <v>102</v>
      </c>
      <c r="L143" s="2056"/>
      <c r="M143" s="2054"/>
      <c r="N143" s="2054"/>
      <c r="O143" s="2054"/>
      <c r="P143" s="2054"/>
      <c r="Q143" s="2054"/>
      <c r="R143" s="2054"/>
      <c r="S143" s="2054"/>
      <c r="T143" s="2054"/>
      <c r="U143" s="2054"/>
      <c r="V143" s="2054"/>
      <c r="W143" s="2054"/>
      <c r="X143" s="2054"/>
      <c r="Y143" s="2054"/>
      <c r="Z143" s="2054"/>
      <c r="AA143" s="2054"/>
      <c r="AB143" s="2054"/>
      <c r="AC143" s="2054"/>
    </row>
    <row r="144" spans="1:29" ht="15">
      <c r="A144" s="2054"/>
      <c r="B144" s="1785">
        <v>1</v>
      </c>
      <c r="C144" s="1786">
        <v>98</v>
      </c>
      <c r="D144" s="1816" t="s">
        <v>2208</v>
      </c>
      <c r="E144" s="1787">
        <v>102</v>
      </c>
      <c r="F144" s="1793">
        <v>100</v>
      </c>
      <c r="G144" s="1816" t="s">
        <v>2208</v>
      </c>
      <c r="H144" s="1789">
        <v>105</v>
      </c>
      <c r="I144" s="1815" t="s">
        <v>2207</v>
      </c>
      <c r="J144" s="1786">
        <v>18</v>
      </c>
      <c r="K144" s="1791">
        <f>ROUND(100+(J144-J140)*K139*100,1)</f>
        <v>103.2</v>
      </c>
      <c r="L144" s="2056"/>
      <c r="M144" s="2054"/>
      <c r="N144" s="2054"/>
      <c r="O144" s="2054"/>
      <c r="P144" s="2054"/>
      <c r="Q144" s="2054"/>
      <c r="R144" s="2054"/>
      <c r="S144" s="2054"/>
      <c r="T144" s="2054"/>
      <c r="U144" s="2054"/>
      <c r="V144" s="2054"/>
      <c r="W144" s="2054"/>
      <c r="X144" s="2054"/>
      <c r="Y144" s="2054"/>
      <c r="Z144" s="2054"/>
      <c r="AA144" s="2054"/>
      <c r="AB144" s="2054"/>
      <c r="AC144" s="2054"/>
    </row>
    <row r="145" spans="1:29" ht="15.75" thickBot="1">
      <c r="A145" s="2054"/>
      <c r="B145" s="1817" t="s">
        <v>2209</v>
      </c>
      <c r="C145" s="1794">
        <f>ROUND(MAX(C139:C144)/MIN(C139:C144)-1,3)</f>
        <v>7.2999999999999995E-2</v>
      </c>
      <c r="D145" s="1818"/>
      <c r="E145" s="1818"/>
      <c r="F145" s="1819" t="s">
        <v>2210</v>
      </c>
      <c r="G145" s="1820"/>
      <c r="H145" s="1821"/>
      <c r="I145" s="1822" t="s">
        <v>2207</v>
      </c>
      <c r="J145" s="1795">
        <v>8</v>
      </c>
      <c r="K145" s="1796">
        <f>ROUND(100+(J145-J140)*K139*100,1)</f>
        <v>99.2</v>
      </c>
      <c r="L145" s="2056"/>
      <c r="M145" s="2054"/>
      <c r="N145" s="2054"/>
      <c r="O145" s="2054"/>
      <c r="P145" s="2054"/>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c r="A147" s="2054"/>
      <c r="B147" s="1841" t="s">
        <v>2219</v>
      </c>
      <c r="L147" s="2056"/>
      <c r="M147" s="2054"/>
      <c r="N147" s="2054"/>
      <c r="O147" s="2054"/>
      <c r="P147" s="2054"/>
      <c r="Q147" s="2054"/>
      <c r="R147" s="2054"/>
      <c r="S147" s="2054"/>
      <c r="T147" s="2054"/>
      <c r="U147" s="2054"/>
      <c r="V147" s="2054"/>
      <c r="W147" s="2054"/>
      <c r="X147" s="2054"/>
      <c r="Y147" s="2054"/>
      <c r="Z147" s="2054"/>
      <c r="AA147" s="2054"/>
      <c r="AB147" s="2054"/>
      <c r="AC147" s="2054"/>
    </row>
    <row r="148" spans="1:29">
      <c r="A148" s="2054"/>
      <c r="B148" s="1841" t="s">
        <v>2220</v>
      </c>
      <c r="L148" s="2056"/>
      <c r="M148" s="2054"/>
      <c r="N148" s="2054"/>
      <c r="O148" s="2054"/>
      <c r="P148" s="2054"/>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c r="A256" s="2054"/>
      <c r="B256" s="2054"/>
      <c r="C256" s="2054"/>
      <c r="D256" s="2054"/>
      <c r="E256" s="2054"/>
      <c r="F256" s="2054"/>
      <c r="G256" s="2054"/>
      <c r="H256" s="2054"/>
      <c r="I256" s="2054"/>
      <c r="J256" s="2054"/>
      <c r="K256" s="2055"/>
      <c r="L256" s="2056"/>
      <c r="M256" s="2054"/>
      <c r="N256" s="2054"/>
      <c r="O256" s="2054"/>
      <c r="P256" s="2054"/>
      <c r="Q256" s="2054"/>
      <c r="R256" s="2054"/>
      <c r="S256" s="2054"/>
      <c r="T256" s="2054"/>
      <c r="U256" s="2054"/>
      <c r="V256" s="2054"/>
      <c r="W256" s="2054"/>
      <c r="X256" s="2054"/>
      <c r="Y256" s="2054"/>
      <c r="Z256" s="2054"/>
      <c r="AA256" s="2054"/>
      <c r="AB256" s="2054"/>
      <c r="AC256" s="2054"/>
    </row>
    <row r="257" spans="1:29">
      <c r="A257" s="2054"/>
      <c r="B257" s="2054"/>
      <c r="C257" s="2054"/>
      <c r="D257" s="2054"/>
      <c r="E257" s="2054"/>
      <c r="F257" s="2054"/>
      <c r="G257" s="2054"/>
      <c r="H257" s="2054"/>
      <c r="I257" s="2054"/>
      <c r="J257" s="2054"/>
      <c r="K257" s="2055"/>
      <c r="L257" s="2056"/>
      <c r="M257" s="2054"/>
      <c r="N257" s="2054"/>
      <c r="O257" s="2054"/>
      <c r="P257" s="2054"/>
      <c r="Q257" s="2054"/>
      <c r="R257" s="2054"/>
      <c r="S257" s="2054"/>
      <c r="T257" s="2054"/>
      <c r="U257" s="2054"/>
      <c r="V257" s="2054"/>
      <c r="W257" s="2054"/>
      <c r="X257" s="2054"/>
      <c r="Y257" s="2054"/>
      <c r="Z257" s="2054"/>
      <c r="AA257" s="2054"/>
      <c r="AB257" s="2054"/>
      <c r="AC257" s="2054"/>
    </row>
    <row r="258" spans="1:29">
      <c r="A258" s="2054"/>
      <c r="B258" s="2054"/>
      <c r="C258" s="2054"/>
      <c r="D258" s="2054"/>
      <c r="E258" s="2054"/>
      <c r="F258" s="2054"/>
      <c r="G258" s="2054"/>
      <c r="H258" s="2054"/>
      <c r="I258" s="2054"/>
      <c r="J258" s="2054"/>
      <c r="K258" s="2055"/>
      <c r="L258" s="2056"/>
      <c r="M258" s="2054"/>
      <c r="N258" s="2054"/>
      <c r="O258" s="2054"/>
      <c r="P258" s="2054"/>
      <c r="Q258" s="2054"/>
      <c r="R258" s="2054"/>
      <c r="S258" s="2054"/>
      <c r="T258" s="2054"/>
      <c r="U258" s="2054"/>
      <c r="V258" s="2054"/>
      <c r="W258" s="2054"/>
      <c r="X258" s="2054"/>
      <c r="Y258" s="2054"/>
      <c r="Z258" s="2054"/>
      <c r="AA258" s="2054"/>
      <c r="AB258" s="2054"/>
      <c r="AC258" s="2054"/>
    </row>
    <row r="259" spans="1:29">
      <c r="A259" s="2054"/>
      <c r="B259" s="2054"/>
      <c r="C259" s="2054"/>
      <c r="D259" s="2054"/>
      <c r="E259" s="2054"/>
      <c r="F259" s="2054"/>
      <c r="G259" s="2054"/>
      <c r="H259" s="2054"/>
      <c r="I259" s="2054"/>
      <c r="J259" s="2054"/>
      <c r="K259" s="2055"/>
      <c r="L259" s="2056"/>
      <c r="M259" s="2054"/>
      <c r="N259" s="2054"/>
      <c r="O259" s="2054"/>
      <c r="P259" s="2054"/>
      <c r="Q259" s="2054"/>
      <c r="R259" s="2054"/>
      <c r="S259" s="2054"/>
      <c r="T259" s="2054"/>
      <c r="U259" s="2054"/>
      <c r="V259" s="2054"/>
      <c r="W259" s="2054"/>
      <c r="X259" s="2054"/>
      <c r="Y259" s="2054"/>
      <c r="Z259" s="2054"/>
      <c r="AA259" s="2054"/>
      <c r="AB259" s="2054"/>
      <c r="AC259" s="2054"/>
    </row>
    <row r="260" spans="1:29">
      <c r="A260" s="2054"/>
      <c r="B260" s="2054"/>
      <c r="C260" s="2054"/>
      <c r="D260" s="2054"/>
      <c r="E260" s="2054"/>
      <c r="F260" s="2054"/>
      <c r="G260" s="2054"/>
      <c r="H260" s="2054"/>
      <c r="I260" s="2054"/>
      <c r="J260" s="2054"/>
      <c r="K260" s="2055"/>
      <c r="L260" s="2056"/>
      <c r="M260" s="2054"/>
      <c r="N260" s="2054"/>
      <c r="O260" s="2054"/>
      <c r="P260" s="2054"/>
      <c r="Q260" s="2054"/>
      <c r="R260" s="2054"/>
      <c r="S260" s="2054"/>
      <c r="T260" s="2054"/>
      <c r="U260" s="2054"/>
      <c r="V260" s="2054"/>
      <c r="W260" s="2054"/>
      <c r="X260" s="2054"/>
      <c r="Y260" s="2054"/>
      <c r="Z260" s="2054"/>
      <c r="AA260" s="2054"/>
      <c r="AB260" s="2054"/>
      <c r="AC260" s="2054"/>
    </row>
    <row r="261" spans="1:29">
      <c r="A261" s="2054"/>
      <c r="B261" s="2054"/>
      <c r="C261" s="2054"/>
      <c r="D261" s="2054"/>
      <c r="E261" s="2054"/>
      <c r="F261" s="2054"/>
      <c r="G261" s="2054"/>
      <c r="H261" s="2054"/>
      <c r="I261" s="2054"/>
      <c r="J261" s="2054"/>
      <c r="K261" s="2055"/>
      <c r="L261" s="2056"/>
      <c r="M261" s="2054"/>
      <c r="N261" s="2054"/>
      <c r="O261" s="2054"/>
      <c r="P261" s="2054"/>
      <c r="Q261" s="2054"/>
      <c r="R261" s="2054"/>
      <c r="S261" s="2054"/>
      <c r="T261" s="2054"/>
      <c r="U261" s="2054"/>
      <c r="V261" s="2054"/>
      <c r="W261" s="2054"/>
      <c r="X261" s="2054"/>
      <c r="Y261" s="2054"/>
      <c r="Z261" s="2054"/>
      <c r="AA261" s="2054"/>
      <c r="AB261" s="2054"/>
      <c r="AC261" s="2054"/>
    </row>
    <row r="262" spans="1:29">
      <c r="A262" s="2054"/>
      <c r="B262" s="2054"/>
      <c r="C262" s="2054"/>
      <c r="D262" s="2054"/>
      <c r="E262" s="2054"/>
      <c r="F262" s="2054"/>
      <c r="G262" s="2054"/>
      <c r="H262" s="2054"/>
      <c r="I262" s="2054"/>
      <c r="J262" s="2054"/>
      <c r="K262" s="2055"/>
      <c r="L262" s="2056"/>
      <c r="M262" s="2054"/>
      <c r="N262" s="2054"/>
      <c r="O262" s="2054"/>
      <c r="P262" s="2054"/>
      <c r="Q262" s="2054"/>
      <c r="R262" s="2054"/>
      <c r="S262" s="2054"/>
      <c r="T262" s="2054"/>
      <c r="U262" s="2054"/>
      <c r="V262" s="2054"/>
      <c r="W262" s="2054"/>
      <c r="X262" s="2054"/>
      <c r="Y262" s="2054"/>
      <c r="Z262" s="2054"/>
      <c r="AA262" s="2054"/>
      <c r="AB262" s="2054"/>
      <c r="AC262" s="2054"/>
    </row>
    <row r="263" spans="1:29">
      <c r="A263" s="2054"/>
      <c r="B263" s="2054"/>
      <c r="C263" s="2054"/>
      <c r="D263" s="2054"/>
      <c r="E263" s="2054"/>
      <c r="F263" s="2054"/>
      <c r="G263" s="2054"/>
      <c r="H263" s="2054"/>
      <c r="I263" s="2054"/>
      <c r="J263" s="2054"/>
      <c r="K263" s="2055"/>
      <c r="L263" s="2056"/>
      <c r="M263" s="2054"/>
      <c r="N263" s="2054"/>
      <c r="O263" s="2054"/>
      <c r="P263" s="2054"/>
      <c r="Q263" s="2054"/>
      <c r="R263" s="2054"/>
      <c r="S263" s="2054"/>
      <c r="T263" s="2054"/>
      <c r="U263" s="2054"/>
      <c r="V263" s="2054"/>
      <c r="W263" s="2054"/>
      <c r="X263" s="2054"/>
      <c r="Y263" s="2054"/>
      <c r="Z263" s="2054"/>
      <c r="AA263" s="2054"/>
      <c r="AB263" s="2054"/>
      <c r="AC263" s="2054"/>
    </row>
    <row r="264" spans="1:29">
      <c r="A264" s="2054"/>
      <c r="B264" s="2054"/>
      <c r="C264" s="2054"/>
      <c r="D264" s="2054"/>
      <c r="E264" s="2054"/>
      <c r="F264" s="2054"/>
      <c r="G264" s="2054"/>
      <c r="H264" s="2054"/>
      <c r="I264" s="2054"/>
      <c r="J264" s="2054"/>
      <c r="K264" s="2055"/>
      <c r="L264" s="2056"/>
      <c r="M264" s="2054"/>
      <c r="N264" s="2054"/>
      <c r="O264" s="2054"/>
      <c r="P264" s="2054"/>
      <c r="Q264" s="2054"/>
      <c r="R264" s="2054"/>
      <c r="S264" s="2054"/>
      <c r="T264" s="2054"/>
      <c r="U264" s="2054"/>
      <c r="V264" s="2054"/>
      <c r="W264" s="2054"/>
      <c r="X264" s="2054"/>
      <c r="Y264" s="2054"/>
      <c r="Z264" s="2054"/>
      <c r="AA264" s="2054"/>
      <c r="AB264" s="2054"/>
      <c r="AC264" s="2054"/>
    </row>
    <row r="265" spans="1:29">
      <c r="A265" s="2054"/>
      <c r="B265" s="2054"/>
      <c r="C265" s="2054"/>
      <c r="D265" s="2054"/>
      <c r="E265" s="2054"/>
      <c r="F265" s="2054"/>
      <c r="G265" s="2054"/>
      <c r="H265" s="2054"/>
      <c r="I265" s="2054"/>
      <c r="J265" s="2054"/>
      <c r="K265" s="2055"/>
      <c r="L265" s="2056"/>
      <c r="M265" s="2054"/>
      <c r="N265" s="2054"/>
      <c r="O265" s="2054"/>
      <c r="P265" s="2054"/>
      <c r="Q265" s="2054"/>
      <c r="R265" s="2054"/>
      <c r="S265" s="2054"/>
      <c r="T265" s="2054"/>
      <c r="U265" s="2054"/>
      <c r="V265" s="2054"/>
      <c r="W265" s="2054"/>
      <c r="X265" s="2054"/>
      <c r="Y265" s="2054"/>
      <c r="Z265" s="2054"/>
      <c r="AA265" s="2054"/>
      <c r="AB265" s="2054"/>
      <c r="AC265" s="2054"/>
    </row>
    <row r="266" spans="1:29">
      <c r="A266" s="2054"/>
      <c r="B266" s="2054"/>
      <c r="C266" s="2054"/>
      <c r="D266" s="2054"/>
      <c r="E266" s="2054"/>
      <c r="F266" s="2054"/>
      <c r="G266" s="2054"/>
      <c r="H266" s="2054"/>
      <c r="I266" s="2054"/>
      <c r="J266" s="2054"/>
      <c r="K266" s="2055"/>
      <c r="L266" s="2056"/>
      <c r="M266" s="2054"/>
      <c r="N266" s="2054"/>
      <c r="O266" s="2054"/>
      <c r="P266" s="2054"/>
      <c r="Q266" s="2054"/>
      <c r="R266" s="2054"/>
      <c r="S266" s="2054"/>
      <c r="T266" s="2054"/>
      <c r="U266" s="2054"/>
      <c r="V266" s="2054"/>
      <c r="W266" s="2054"/>
      <c r="X266" s="2054"/>
      <c r="Y266" s="2054"/>
      <c r="Z266" s="2054"/>
      <c r="AA266" s="2054"/>
      <c r="AB266" s="2054"/>
      <c r="AC266" s="2054"/>
    </row>
    <row r="267" spans="1:29">
      <c r="A267" s="2054"/>
      <c r="B267" s="2054"/>
      <c r="C267" s="2054"/>
      <c r="D267" s="2054"/>
      <c r="E267" s="2054"/>
      <c r="F267" s="2054"/>
      <c r="G267" s="2054"/>
      <c r="H267" s="2054"/>
      <c r="I267" s="2054"/>
      <c r="J267" s="2054"/>
      <c r="K267" s="2055"/>
      <c r="L267" s="2056"/>
      <c r="M267" s="2054"/>
      <c r="N267" s="2054"/>
      <c r="O267" s="2054"/>
      <c r="P267" s="2054"/>
      <c r="Q267" s="2054"/>
      <c r="R267" s="2054"/>
      <c r="S267" s="2054"/>
      <c r="T267" s="2054"/>
      <c r="U267" s="2054"/>
      <c r="V267" s="2054"/>
      <c r="W267" s="2054"/>
      <c r="X267" s="2054"/>
      <c r="Y267" s="2054"/>
      <c r="Z267" s="2054"/>
      <c r="AA267" s="2054"/>
      <c r="AB267" s="2054"/>
      <c r="AC267" s="2054"/>
    </row>
    <row r="268" spans="1:29">
      <c r="A268" s="2054"/>
      <c r="B268" s="2054"/>
      <c r="C268" s="2054"/>
      <c r="D268" s="2054"/>
      <c r="E268" s="2054"/>
      <c r="F268" s="2054"/>
      <c r="G268" s="2054"/>
      <c r="H268" s="2054"/>
      <c r="I268" s="2054"/>
      <c r="J268" s="2054"/>
      <c r="K268" s="2055"/>
      <c r="L268" s="2056"/>
      <c r="M268" s="2054"/>
      <c r="N268" s="2054"/>
      <c r="O268" s="2054"/>
      <c r="P268" s="2054"/>
      <c r="Q268" s="2054"/>
      <c r="R268" s="2054"/>
      <c r="S268" s="2054"/>
      <c r="T268" s="2054"/>
      <c r="U268" s="2054"/>
      <c r="V268" s="2054"/>
      <c r="W268" s="2054"/>
      <c r="X268" s="2054"/>
      <c r="Y268" s="2054"/>
      <c r="Z268" s="2054"/>
      <c r="AA268" s="2054"/>
      <c r="AB268" s="2054"/>
      <c r="AC268" s="20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78"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80" zoomScaleSheetLayoutView="85" workbookViewId="0">
      <selection activeCell="D6" sqref="D6"/>
    </sheetView>
  </sheetViews>
  <sheetFormatPr defaultColWidth="9" defaultRowHeight="15"/>
  <cols>
    <col min="1" max="1" width="9" style="1935" customWidth="1"/>
    <col min="2" max="2" width="24.125" style="1974" customWidth="1"/>
    <col min="3" max="3" width="11.875" style="1974" customWidth="1"/>
    <col min="4" max="4" width="40.5" style="1935" customWidth="1"/>
    <col min="5" max="5" width="15.75" style="1935" customWidth="1"/>
    <col min="6" max="6" width="10.625" style="1935" customWidth="1"/>
    <col min="7" max="7" width="4.875" style="1935" customWidth="1"/>
    <col min="8" max="8" width="8.5" style="1935" customWidth="1"/>
    <col min="9" max="9" width="21.25" style="1935" customWidth="1"/>
    <col min="10" max="10" width="12.25" style="1935" customWidth="1"/>
    <col min="11" max="11" width="40.125" style="1975" customWidth="1"/>
    <col min="12" max="12" width="18.375" style="1935" customWidth="1"/>
    <col min="13" max="13" width="13" style="1935" customWidth="1"/>
    <col min="14" max="14" width="9.5" style="1934" bestFit="1" customWidth="1"/>
    <col min="15" max="15" width="5.875" style="1934" customWidth="1"/>
    <col min="16" max="16" width="27.625" style="1934" customWidth="1"/>
    <col min="17" max="17" width="13.75" style="1972" customWidth="1"/>
    <col min="18" max="18" width="23.5" style="1934" customWidth="1"/>
    <col min="19" max="19" width="1.5" style="1934" customWidth="1"/>
    <col min="20" max="33" width="9" style="1934"/>
    <col min="34" max="16384" width="9" style="1935"/>
  </cols>
  <sheetData>
    <row r="1" spans="1:33" s="1929" customFormat="1" ht="21">
      <c r="A1" s="732" t="s">
        <v>1658</v>
      </c>
      <c r="B1" s="638"/>
      <c r="C1" s="673" t="s">
        <v>2923</v>
      </c>
      <c r="D1" s="2985" t="s">
        <v>3009</v>
      </c>
      <c r="E1" s="2257" t="s">
        <v>2302</v>
      </c>
      <c r="F1" s="2258">
        <f ca="1">J53</f>
        <v>38.950000000000003</v>
      </c>
      <c r="G1" s="674">
        <f>MATCH(C1,'数据-取费表'!A6:A16,0)+5</f>
        <v>7</v>
      </c>
      <c r="H1" s="1925"/>
      <c r="I1" s="1926"/>
      <c r="J1" s="1926"/>
      <c r="K1" s="1927"/>
      <c r="L1" s="1926"/>
      <c r="M1" s="1926"/>
      <c r="N1" s="1928"/>
      <c r="O1" s="1928"/>
      <c r="P1" s="1928"/>
      <c r="Q1" s="2259"/>
      <c r="R1" s="1928"/>
      <c r="S1" s="1928"/>
      <c r="T1" s="1928"/>
      <c r="U1" s="1928"/>
      <c r="V1" s="1928"/>
      <c r="W1" s="1928"/>
      <c r="X1" s="1928"/>
      <c r="Y1" s="1928"/>
      <c r="Z1" s="1928"/>
      <c r="AA1" s="1928"/>
      <c r="AB1" s="1928"/>
      <c r="AC1" s="1928"/>
      <c r="AD1" s="1928"/>
      <c r="AE1" s="1928"/>
      <c r="AF1" s="1928"/>
      <c r="AG1" s="1928"/>
    </row>
    <row r="2" spans="1:33" ht="18" customHeight="1">
      <c r="A2" s="323" t="s">
        <v>1659</v>
      </c>
      <c r="B2" s="675">
        <f ca="1">C40+J29+L46</f>
        <v>656</v>
      </c>
      <c r="C2" s="1932"/>
      <c r="D2" s="1930"/>
      <c r="E2" s="1931"/>
      <c r="F2" s="1931"/>
      <c r="G2" s="1478"/>
      <c r="H2" s="1932"/>
      <c r="I2" s="1932"/>
      <c r="J2" s="1932"/>
      <c r="K2" s="1933"/>
      <c r="L2" s="1932"/>
      <c r="M2" s="1932"/>
    </row>
    <row r="3" spans="1:33" ht="18" customHeight="1" thickBot="1">
      <c r="A3" s="733" t="s">
        <v>1660</v>
      </c>
      <c r="B3" s="734">
        <f ca="1">IF(ISERROR(B2*10000/F43),0,ROUND(B2*10000/F43,0))</f>
        <v>15582</v>
      </c>
      <c r="C3" s="1932"/>
      <c r="D3" s="1930"/>
      <c r="E3" s="1931"/>
      <c r="F3" s="1931"/>
      <c r="G3" s="1478"/>
      <c r="H3" s="676" t="s">
        <v>635</v>
      </c>
      <c r="I3" s="1251"/>
      <c r="J3" s="1251"/>
      <c r="K3" s="1479"/>
      <c r="L3" s="1251"/>
      <c r="M3" s="1251"/>
    </row>
    <row r="4" spans="1:33" ht="18" customHeight="1">
      <c r="A4" s="677" t="s">
        <v>1661</v>
      </c>
      <c r="B4" s="678" t="s">
        <v>1662</v>
      </c>
      <c r="C4" s="678" t="s">
        <v>1663</v>
      </c>
      <c r="D4" s="678" t="s">
        <v>573</v>
      </c>
      <c r="E4" s="679" t="s">
        <v>1664</v>
      </c>
      <c r="F4" s="680"/>
      <c r="G4" s="1480"/>
      <c r="H4" s="677" t="s">
        <v>1665</v>
      </c>
      <c r="I4" s="678" t="s">
        <v>1666</v>
      </c>
      <c r="J4" s="678" t="s">
        <v>1667</v>
      </c>
      <c r="K4" s="678" t="s">
        <v>1668</v>
      </c>
      <c r="L4" s="679" t="s">
        <v>1669</v>
      </c>
      <c r="M4" s="680"/>
    </row>
    <row r="5" spans="1:33" ht="18" customHeight="1">
      <c r="A5" s="681">
        <v>1</v>
      </c>
      <c r="B5" s="682" t="s">
        <v>2386</v>
      </c>
      <c r="C5" s="54">
        <f ca="1">C6+C10+C12</f>
        <v>36</v>
      </c>
      <c r="D5" s="2362" t="s">
        <v>2389</v>
      </c>
      <c r="E5" s="2356"/>
      <c r="F5" s="2357"/>
      <c r="G5" s="1480"/>
      <c r="H5" s="681">
        <v>1</v>
      </c>
      <c r="I5" s="682" t="s">
        <v>2386</v>
      </c>
      <c r="J5" s="54">
        <f ca="1">J6+J10+J12</f>
        <v>0</v>
      </c>
      <c r="K5" s="2362" t="s">
        <v>2389</v>
      </c>
      <c r="L5" s="2356"/>
      <c r="M5" s="2357"/>
    </row>
    <row r="6" spans="1:33" ht="18" customHeight="1">
      <c r="A6" s="1713" t="s">
        <v>1757</v>
      </c>
      <c r="B6" s="3451" t="s">
        <v>2391</v>
      </c>
      <c r="C6" s="683">
        <f ca="1">ROUND(F6*F8*F7*(1-F9)/10000,0)</f>
        <v>36</v>
      </c>
      <c r="D6" s="2363" t="s">
        <v>2390</v>
      </c>
      <c r="E6" s="684" t="s">
        <v>1671</v>
      </c>
      <c r="F6" s="685">
        <f ca="1">INDIRECT("'数据-取费表'!u"&amp;$G$1)</f>
        <v>2.5</v>
      </c>
      <c r="G6" s="1480"/>
      <c r="H6" s="2370" t="s">
        <v>2396</v>
      </c>
      <c r="I6" s="3451" t="s">
        <v>2391</v>
      </c>
      <c r="J6" s="683">
        <f ca="1">ROUND(M6*M8*M7*(1-M9)/10000,0)</f>
        <v>0</v>
      </c>
      <c r="K6" s="241" t="s">
        <v>1670</v>
      </c>
      <c r="L6" s="684" t="s">
        <v>1671</v>
      </c>
      <c r="M6" s="685">
        <f ca="1">INDIRECT("'数据-取费表'!z"&amp;$G$1)</f>
        <v>0</v>
      </c>
    </row>
    <row r="7" spans="1:33" ht="18" customHeight="1">
      <c r="A7" s="2366"/>
      <c r="B7" s="3452"/>
      <c r="C7" s="688"/>
      <c r="D7" s="689"/>
      <c r="E7" s="684" t="s">
        <v>1672</v>
      </c>
      <c r="F7" s="685">
        <f ca="1">IF(INDIRECT("'数据-取费表'!ah"&amp;$G$1)="",INDIRECT("'数据-取费表'!k"&amp;$G$1),INDIRECT("'数据-取费表'!ah"&amp;$G$1))</f>
        <v>421</v>
      </c>
      <c r="G7" s="1480"/>
      <c r="H7" s="2355"/>
      <c r="I7" s="3452"/>
      <c r="J7" s="688"/>
      <c r="K7" s="689"/>
      <c r="L7" s="684" t="s">
        <v>1672</v>
      </c>
      <c r="M7" s="685">
        <f ca="1">F7</f>
        <v>421</v>
      </c>
    </row>
    <row r="8" spans="1:33" ht="18" customHeight="1">
      <c r="A8" s="2359"/>
      <c r="B8" s="3453"/>
      <c r="C8" s="688"/>
      <c r="D8" s="689"/>
      <c r="E8" s="684" t="s">
        <v>1673</v>
      </c>
      <c r="F8" s="685">
        <f ca="1">INDIRECT("'数据-取费表'!ai"&amp;$G$1)</f>
        <v>365</v>
      </c>
      <c r="G8" s="1480"/>
      <c r="H8" s="2355"/>
      <c r="I8" s="3453"/>
      <c r="J8" s="688"/>
      <c r="K8" s="689"/>
      <c r="L8" s="684" t="s">
        <v>1673</v>
      </c>
      <c r="M8" s="685">
        <f ca="1">INDIRECT("'数据-取费表'!ai"&amp;$G$1)</f>
        <v>365</v>
      </c>
    </row>
    <row r="9" spans="1:33" ht="18" customHeight="1">
      <c r="A9" s="686"/>
      <c r="B9" s="3454"/>
      <c r="C9" s="688"/>
      <c r="D9" s="689"/>
      <c r="E9" s="684" t="s">
        <v>1674</v>
      </c>
      <c r="F9" s="694">
        <f ca="1">INDIRECT("'数据-取费表'!w"&amp;$G$1)</f>
        <v>0.05</v>
      </c>
      <c r="G9" s="1480"/>
      <c r="H9" s="2371"/>
      <c r="I9" s="3453"/>
      <c r="J9" s="688"/>
      <c r="K9" s="689"/>
      <c r="L9" s="695" t="s">
        <v>1674</v>
      </c>
      <c r="M9" s="696">
        <f ca="1">INDIRECT("'数据-取费表'!ab"&amp;$G$1)</f>
        <v>0</v>
      </c>
    </row>
    <row r="10" spans="1:33" ht="18" customHeight="1">
      <c r="A10" s="1713" t="s">
        <v>2394</v>
      </c>
      <c r="B10" s="2360" t="s">
        <v>2387</v>
      </c>
      <c r="C10" s="699">
        <f ca="1">ROUND(IF(F10="押一",C6/12*F11,IF(F10="押二",C6/12*2*F11,IF(F10="押三",C6/12*3*F11,C11*F11))),0)</f>
        <v>0</v>
      </c>
      <c r="D10" s="2367" t="s">
        <v>2888</v>
      </c>
      <c r="E10" s="2364" t="s">
        <v>2392</v>
      </c>
      <c r="F10" s="2486" t="s">
        <v>3008</v>
      </c>
      <c r="G10" s="1480"/>
      <c r="H10" s="2427" t="s">
        <v>2397</v>
      </c>
      <c r="I10" s="2432" t="s">
        <v>2387</v>
      </c>
      <c r="J10" s="683">
        <f ca="1">ROUND(IF(M10="押一",J6/12*M11,IF(M10="押二",J6/12*2*M11,IF(M10="押三",J6/12*3*M11,J11*M11))),0)</f>
        <v>0</v>
      </c>
      <c r="K10" s="2367" t="s">
        <v>2888</v>
      </c>
      <c r="L10" s="2364" t="s">
        <v>2392</v>
      </c>
      <c r="M10" s="2486"/>
    </row>
    <row r="11" spans="1:33" ht="18" customHeight="1">
      <c r="A11" s="690"/>
      <c r="B11" s="2361" t="s">
        <v>2501</v>
      </c>
      <c r="C11" s="2365"/>
      <c r="D11" s="689"/>
      <c r="E11" s="2364" t="s">
        <v>2393</v>
      </c>
      <c r="F11" s="696">
        <f ca="1">'数据-取费表'!B39</f>
        <v>1.4999999999999999E-2</v>
      </c>
      <c r="G11" s="1480"/>
      <c r="H11" s="2428"/>
      <c r="I11" s="2361" t="s">
        <v>2501</v>
      </c>
      <c r="J11" s="2365"/>
      <c r="K11" s="2429"/>
      <c r="L11" s="2364" t="s">
        <v>2393</v>
      </c>
      <c r="M11" s="2358">
        <f ca="1">'数据-取费表'!B39</f>
        <v>1.4999999999999999E-2</v>
      </c>
    </row>
    <row r="12" spans="1:33" ht="18" hidden="1" customHeight="1" thickBot="1">
      <c r="A12" s="2403" t="s">
        <v>2395</v>
      </c>
      <c r="B12" s="2404" t="s">
        <v>2388</v>
      </c>
      <c r="C12" s="2405"/>
      <c r="D12" s="2406"/>
      <c r="E12" s="2407"/>
      <c r="F12" s="2408"/>
      <c r="G12" s="1480"/>
      <c r="H12" s="2417" t="s">
        <v>2398</v>
      </c>
      <c r="I12" s="2430" t="s">
        <v>2388</v>
      </c>
      <c r="J12" s="2431"/>
      <c r="K12" s="2406"/>
      <c r="L12" s="2407"/>
      <c r="M12" s="2420"/>
    </row>
    <row r="13" spans="1:33" ht="18" customHeight="1">
      <c r="A13" s="1712">
        <v>2</v>
      </c>
      <c r="B13" s="1710" t="s">
        <v>1675</v>
      </c>
      <c r="C13" s="692">
        <f ca="1">ROUND(C29*F13,0)</f>
        <v>104</v>
      </c>
      <c r="D13" s="1717" t="s">
        <v>2228</v>
      </c>
      <c r="E13" s="1717" t="s">
        <v>1677</v>
      </c>
      <c r="F13" s="2402">
        <f ca="1">INDIRECT("'数据-取费表'!y"&amp;$G$1)</f>
        <v>1</v>
      </c>
      <c r="G13" s="1480"/>
      <c r="H13" s="1712">
        <v>2</v>
      </c>
      <c r="I13" s="1710" t="s">
        <v>1675</v>
      </c>
      <c r="J13" s="1702">
        <f ca="1">ROUND(J14*J15,0)</f>
        <v>0</v>
      </c>
      <c r="K13" s="1704" t="s">
        <v>1676</v>
      </c>
      <c r="L13" s="2418"/>
      <c r="M13" s="2419"/>
    </row>
    <row r="14" spans="1:33" ht="18" customHeight="1">
      <c r="A14" s="1536" t="s">
        <v>1817</v>
      </c>
      <c r="B14" s="684" t="s">
        <v>585</v>
      </c>
      <c r="C14" s="704">
        <f ca="1">INDIRECT("'数据-取费表'!m"&amp;$G$1)+INDIRECT("'数据-取费表'!t"&amp;$G$1)</f>
        <v>77</v>
      </c>
      <c r="D14" s="1861" t="s">
        <v>1678</v>
      </c>
      <c r="E14" s="1862"/>
      <c r="F14" s="705"/>
      <c r="G14" s="1480"/>
      <c r="H14" s="1537" t="s">
        <v>1763</v>
      </c>
      <c r="I14" s="2106" t="s">
        <v>2754</v>
      </c>
      <c r="J14" s="52">
        <f ca="1">C29</f>
        <v>104</v>
      </c>
      <c r="K14" s="25"/>
      <c r="L14" s="701"/>
      <c r="M14" s="702"/>
    </row>
    <row r="15" spans="1:33" s="1939" customFormat="1" ht="18" customHeight="1" thickBot="1">
      <c r="A15" s="1536" t="s">
        <v>1818</v>
      </c>
      <c r="B15" s="684" t="s">
        <v>587</v>
      </c>
      <c r="C15" s="52">
        <f ca="1">ROUND(C14*F15,0)</f>
        <v>2</v>
      </c>
      <c r="D15" s="706" t="s">
        <v>1679</v>
      </c>
      <c r="E15" s="706" t="s">
        <v>1680</v>
      </c>
      <c r="F15" s="707">
        <f>'数据-取费表'!B33</f>
        <v>0.03</v>
      </c>
      <c r="G15" s="1481"/>
      <c r="H15" s="2417" t="s">
        <v>1822</v>
      </c>
      <c r="I15" s="2412" t="s">
        <v>1677</v>
      </c>
      <c r="J15" s="2421">
        <f ca="1">INDIRECT("'数据-取费表'!ad"&amp;$G$1)</f>
        <v>0</v>
      </c>
      <c r="K15" s="2422"/>
      <c r="L15" s="2423"/>
      <c r="M15" s="2424"/>
      <c r="N15" s="1938"/>
      <c r="O15" s="1938"/>
      <c r="P15" s="1938"/>
      <c r="Q15" s="2260"/>
      <c r="R15" s="1938"/>
      <c r="S15" s="1938"/>
      <c r="T15" s="1938"/>
      <c r="U15" s="1938"/>
      <c r="V15" s="1938"/>
      <c r="W15" s="1938"/>
      <c r="X15" s="1938"/>
      <c r="Y15" s="1938"/>
      <c r="Z15" s="1938"/>
      <c r="AA15" s="1938"/>
      <c r="AB15" s="1938"/>
      <c r="AC15" s="1938"/>
      <c r="AD15" s="1938"/>
      <c r="AE15" s="1938"/>
      <c r="AF15" s="1938"/>
      <c r="AG15" s="1938"/>
    </row>
    <row r="16" spans="1:33" ht="18" customHeight="1" thickTop="1">
      <c r="A16" s="1536" t="s">
        <v>1819</v>
      </c>
      <c r="B16" s="684" t="s">
        <v>590</v>
      </c>
      <c r="C16" s="52">
        <f ca="1">ROUND(INDIRECT("'数据-取费表'!m"&amp;$G$1)*F16,0)</f>
        <v>0</v>
      </c>
      <c r="D16" s="684" t="s">
        <v>1679</v>
      </c>
      <c r="E16" s="684" t="s">
        <v>1680</v>
      </c>
      <c r="F16" s="709">
        <f ca="1">IF(INDIRECT("'数据-取费表'!c"&amp;$G$1)="住宅",'数据-取费表'!B34,0)</f>
        <v>0</v>
      </c>
      <c r="G16" s="1480"/>
      <c r="H16" s="1712" t="s">
        <v>1681</v>
      </c>
      <c r="I16" s="1710" t="s">
        <v>1682</v>
      </c>
      <c r="J16" s="692">
        <f ca="1">ROUND(J17+J22+J23+J24,0)</f>
        <v>11</v>
      </c>
      <c r="K16" s="1704" t="s">
        <v>1683</v>
      </c>
      <c r="L16" s="2353"/>
      <c r="M16" s="2357"/>
    </row>
    <row r="17" spans="1:33" s="1939" customFormat="1" ht="18" customHeight="1">
      <c r="A17" s="1536" t="s">
        <v>1820</v>
      </c>
      <c r="B17" s="684" t="s">
        <v>593</v>
      </c>
      <c r="C17" s="52">
        <f ca="1">ROUND(F17*(F43+INDIRECT("'数据-取费表'!S"&amp;$G$1))/10000,0)</f>
        <v>9</v>
      </c>
      <c r="D17" s="684" t="s">
        <v>1684</v>
      </c>
      <c r="E17" s="684" t="s">
        <v>1685</v>
      </c>
      <c r="F17" s="55">
        <f>'数据-取费表'!B35</f>
        <v>200</v>
      </c>
      <c r="G17" s="1481"/>
      <c r="H17" s="1537" t="s">
        <v>1763</v>
      </c>
      <c r="I17" s="684" t="s">
        <v>596</v>
      </c>
      <c r="J17" s="52">
        <f ca="1">ROUND(IF(项目基本情况!B11="自然人",J5*M17,J18+J19+J20),0)</f>
        <v>9</v>
      </c>
      <c r="K17" s="2352" t="s">
        <v>1686</v>
      </c>
      <c r="L17" s="2351" t="s">
        <v>1687</v>
      </c>
      <c r="M17" s="710" t="str">
        <f ca="1">IF(项目基本情况!B11="企业","",IF(INDIRECT("'数据-取费表'!c"&amp;$G$1)="住宅",5%,IF(M6*M7*M8/12/(1+'数据-取费表'!C42)&gt;20000,12%,7%)))</f>
        <v/>
      </c>
      <c r="N17" s="1938"/>
      <c r="O17" s="1938"/>
      <c r="P17" s="1938"/>
      <c r="Q17" s="2260"/>
      <c r="R17" s="1938"/>
      <c r="S17" s="1938"/>
      <c r="T17" s="1938"/>
      <c r="U17" s="1938"/>
      <c r="V17" s="1938"/>
      <c r="W17" s="1938"/>
      <c r="X17" s="1938"/>
      <c r="Y17" s="1938"/>
      <c r="Z17" s="1938"/>
      <c r="AA17" s="1938"/>
      <c r="AB17" s="1938"/>
      <c r="AC17" s="1938"/>
      <c r="AD17" s="1938"/>
      <c r="AE17" s="1938"/>
      <c r="AF17" s="1938"/>
      <c r="AG17" s="1938"/>
    </row>
    <row r="18" spans="1:33" s="1939" customFormat="1" ht="18" customHeight="1">
      <c r="A18" s="1536" t="s">
        <v>1821</v>
      </c>
      <c r="B18" s="684" t="s">
        <v>599</v>
      </c>
      <c r="C18" s="52">
        <f ca="1">ROUND(C14*F18,0)</f>
        <v>1</v>
      </c>
      <c r="D18" s="684" t="s">
        <v>1679</v>
      </c>
      <c r="E18" s="684" t="s">
        <v>1680</v>
      </c>
      <c r="F18" s="709">
        <f>'数据-取费表'!B36</f>
        <v>1.4999999999999999E-2</v>
      </c>
      <c r="G18" s="1481"/>
      <c r="H18" s="1536" t="s">
        <v>1817</v>
      </c>
      <c r="I18" s="684" t="s">
        <v>1688</v>
      </c>
      <c r="J18" s="52">
        <f ca="1">ROUND(J5*M18/1.05,1)</f>
        <v>0</v>
      </c>
      <c r="K18" s="2351" t="s">
        <v>1689</v>
      </c>
      <c r="L18" s="684" t="s">
        <v>1680</v>
      </c>
      <c r="M18" s="709">
        <f>'数据-取费表'!B41</f>
        <v>5.5000000000000007E-2</v>
      </c>
      <c r="N18" s="1938"/>
      <c r="O18" s="1938"/>
      <c r="P18" s="1938"/>
      <c r="Q18" s="2260"/>
      <c r="R18" s="1938"/>
      <c r="S18" s="1938"/>
      <c r="T18" s="1938"/>
      <c r="U18" s="1938"/>
      <c r="V18" s="1938"/>
      <c r="W18" s="1938"/>
      <c r="X18" s="1938"/>
      <c r="Y18" s="1938"/>
      <c r="Z18" s="1938"/>
      <c r="AA18" s="1938"/>
      <c r="AB18" s="1938"/>
      <c r="AC18" s="1938"/>
      <c r="AD18" s="1938"/>
      <c r="AE18" s="1938"/>
      <c r="AF18" s="1938"/>
      <c r="AG18" s="1938"/>
    </row>
    <row r="19" spans="1:33" ht="18" customHeight="1">
      <c r="A19" s="1537" t="s">
        <v>1763</v>
      </c>
      <c r="B19" s="684" t="s">
        <v>602</v>
      </c>
      <c r="C19" s="52">
        <f ca="1">SUM(C14:C18)</f>
        <v>89</v>
      </c>
      <c r="D19" s="165" t="s">
        <v>1690</v>
      </c>
      <c r="E19" s="1864"/>
      <c r="F19" s="55"/>
      <c r="G19" s="1480"/>
      <c r="H19" s="1536" t="s">
        <v>1818</v>
      </c>
      <c r="I19" s="684" t="s">
        <v>1691</v>
      </c>
      <c r="J19" s="52">
        <f ca="1">IF(K19="按租金收入计税",ROUND(J5*M19,1),ROUND(C29*F33*0.7,1))</f>
        <v>8.6999999999999993</v>
      </c>
      <c r="K19" s="711" t="s">
        <v>605</v>
      </c>
      <c r="L19" s="684" t="s">
        <v>1680</v>
      </c>
      <c r="M19" s="709">
        <f>IF(K19="按租金收入计税",'数据-取费表'!B51,'数据-取费表'!B50)</f>
        <v>1.2E-2</v>
      </c>
    </row>
    <row r="20" spans="1:33" s="1939" customFormat="1" ht="18" customHeight="1">
      <c r="A20" s="1537" t="s">
        <v>1822</v>
      </c>
      <c r="B20" s="684" t="s">
        <v>606</v>
      </c>
      <c r="C20" s="52">
        <f ca="1">ROUND(C19*F20,0)</f>
        <v>1</v>
      </c>
      <c r="D20" s="712" t="s">
        <v>1692</v>
      </c>
      <c r="E20" s="684" t="s">
        <v>1680</v>
      </c>
      <c r="F20" s="709">
        <f>'数据-取费表'!B37</f>
        <v>0.01</v>
      </c>
      <c r="G20" s="1481"/>
      <c r="H20" s="1539" t="s">
        <v>1813</v>
      </c>
      <c r="I20" s="241" t="s">
        <v>1693</v>
      </c>
      <c r="J20" s="53">
        <f ca="1">ROUND(M20*M21/10000,0)</f>
        <v>0</v>
      </c>
      <c r="K20" s="714" t="s">
        <v>1694</v>
      </c>
      <c r="L20" s="684" t="s">
        <v>1695</v>
      </c>
      <c r="M20" s="540">
        <f>'数据-取费表'!B52</f>
        <v>4</v>
      </c>
      <c r="N20" s="1938"/>
      <c r="O20" s="1938"/>
      <c r="P20" s="1938"/>
      <c r="Q20" s="2260"/>
      <c r="R20" s="1938"/>
      <c r="S20" s="1938"/>
      <c r="T20" s="1938"/>
      <c r="U20" s="1938"/>
      <c r="V20" s="1938"/>
      <c r="W20" s="1938"/>
      <c r="X20" s="1938"/>
      <c r="Y20" s="1938"/>
      <c r="Z20" s="1938"/>
      <c r="AA20" s="1938"/>
      <c r="AB20" s="1938"/>
      <c r="AC20" s="1938"/>
      <c r="AD20" s="1938"/>
      <c r="AE20" s="1938"/>
      <c r="AF20" s="1938"/>
      <c r="AG20" s="1938"/>
    </row>
    <row r="21" spans="1:33" s="1939" customFormat="1" ht="18" customHeight="1">
      <c r="A21" s="1537" t="s">
        <v>1823</v>
      </c>
      <c r="B21" s="684" t="s">
        <v>1696</v>
      </c>
      <c r="C21" s="52" t="s">
        <v>1697</v>
      </c>
      <c r="D21" s="712" t="s">
        <v>2229</v>
      </c>
      <c r="E21" s="684" t="s">
        <v>1698</v>
      </c>
      <c r="F21" s="709">
        <f>'数据-取费表'!B38</f>
        <v>0.01</v>
      </c>
      <c r="G21" s="1481"/>
      <c r="H21" s="2372"/>
      <c r="I21" s="693"/>
      <c r="J21" s="68"/>
      <c r="K21" s="716"/>
      <c r="L21" s="684" t="s">
        <v>1699</v>
      </c>
      <c r="M21" s="685">
        <f ca="1">INDIRECT("'数据-取费表'!r"&amp;$G$1)</f>
        <v>190.84</v>
      </c>
      <c r="N21" s="1938"/>
      <c r="O21" s="1938"/>
      <c r="P21" s="1938"/>
      <c r="Q21" s="2260"/>
      <c r="R21" s="1938"/>
      <c r="S21" s="1938"/>
      <c r="T21" s="1938"/>
      <c r="U21" s="1938"/>
      <c r="V21" s="1938"/>
      <c r="W21" s="1938"/>
      <c r="X21" s="1938"/>
      <c r="Y21" s="1938"/>
      <c r="Z21" s="1938"/>
      <c r="AA21" s="1938"/>
      <c r="AB21" s="1938"/>
      <c r="AC21" s="1938"/>
      <c r="AD21" s="1938"/>
      <c r="AE21" s="1938"/>
      <c r="AF21" s="1938"/>
      <c r="AG21" s="1938"/>
    </row>
    <row r="22" spans="1:33" ht="18" customHeight="1">
      <c r="A22" s="1537" t="s">
        <v>1824</v>
      </c>
      <c r="B22" s="684" t="s">
        <v>1700</v>
      </c>
      <c r="C22" s="52"/>
      <c r="D22" s="2438" t="str">
        <f>IF(F23&lt;=1,"单利计息。","复利计息。")&amp;"建造成本、管理费用、销售费用产生的利息。"</f>
        <v>单利计息。建造成本、管理费用、销售费用产生的利息。</v>
      </c>
      <c r="E22" s="1864"/>
      <c r="F22" s="55"/>
      <c r="G22" s="1480"/>
      <c r="H22" s="1537" t="s">
        <v>1822</v>
      </c>
      <c r="I22" s="684" t="s">
        <v>1701</v>
      </c>
      <c r="J22" s="52">
        <f ca="1">ROUND(J14*M22,0)</f>
        <v>2</v>
      </c>
      <c r="K22" s="2351" t="s">
        <v>1702</v>
      </c>
      <c r="L22" s="684" t="s">
        <v>1680</v>
      </c>
      <c r="M22" s="717">
        <f ca="1">INDIRECT("'数据-取费表'!Ak"&amp;$G$1)</f>
        <v>1.4999999999999999E-2</v>
      </c>
    </row>
    <row r="23" spans="1:33" s="1939" customFormat="1" ht="18" customHeight="1">
      <c r="A23" s="1536" t="s">
        <v>1764</v>
      </c>
      <c r="B23" s="684" t="s">
        <v>2463</v>
      </c>
      <c r="C23" s="52">
        <f ca="1">ROUND(IF('数据-取费表'!B22&lt;=1,(C19+C20)*F24*F23/2,(C19+C20)*(POWER((1+F24),F23/2)-1)),0)</f>
        <v>2</v>
      </c>
      <c r="D23" s="2437" t="str">
        <f>IF(F23&lt;=1,"(建造成本+管理费用)×利率×(建设周期÷2)","(建造成本+管理费用)×((1+利率)^(建设周期÷2)-1)")</f>
        <v>(建造成本+管理费用)×利率×(建设周期÷2)</v>
      </c>
      <c r="E23" s="684" t="s">
        <v>1703</v>
      </c>
      <c r="F23" s="540">
        <f>'数据-取费表'!B20</f>
        <v>1</v>
      </c>
      <c r="G23" s="1481"/>
      <c r="H23" s="1537" t="s">
        <v>1823</v>
      </c>
      <c r="I23" s="684" t="s">
        <v>619</v>
      </c>
      <c r="J23" s="52">
        <f ca="1">ROUND(J13*M23,0)</f>
        <v>0</v>
      </c>
      <c r="K23" s="2351" t="s">
        <v>1704</v>
      </c>
      <c r="L23" s="684" t="s">
        <v>1680</v>
      </c>
      <c r="M23" s="718">
        <f ca="1">INDIRECT("'数据-取费表'!Al"&amp;$G$1)</f>
        <v>1.5E-3</v>
      </c>
      <c r="N23" s="1938"/>
      <c r="O23" s="1938"/>
      <c r="P23" s="1938"/>
      <c r="Q23" s="2260"/>
      <c r="R23" s="1938"/>
      <c r="S23" s="1938"/>
      <c r="T23" s="1938"/>
      <c r="U23" s="1938"/>
      <c r="V23" s="1938"/>
      <c r="W23" s="1938"/>
      <c r="X23" s="1938"/>
      <c r="Y23" s="1938"/>
      <c r="Z23" s="1938"/>
      <c r="AA23" s="1938"/>
      <c r="AB23" s="1938"/>
      <c r="AC23" s="1938"/>
      <c r="AD23" s="1938"/>
      <c r="AE23" s="1938"/>
      <c r="AF23" s="1938"/>
      <c r="AG23" s="1938"/>
    </row>
    <row r="24" spans="1:33" s="1939" customFormat="1" ht="18" customHeight="1" thickBot="1">
      <c r="A24" s="1536" t="s">
        <v>1765</v>
      </c>
      <c r="B24" s="684" t="s">
        <v>1705</v>
      </c>
      <c r="C24" s="52">
        <f ca="1">ROUND(IF('数据-取费表'!B22&lt;=1,F21*F24*F23/2,F21*(POWER((1+F24),F23/2)-1)),4)</f>
        <v>2.0000000000000001E-4</v>
      </c>
      <c r="D24" s="2437" t="str">
        <f>IF(F23&lt;=1,"销售费用×利率×(建设周期÷2)","销售费用×((1+利率)^(建设周期÷2)-1)")</f>
        <v>销售费用×利率×(建设周期÷2)</v>
      </c>
      <c r="E24" s="684" t="s">
        <v>1706</v>
      </c>
      <c r="F24" s="719">
        <f ca="1">'数据-取费表'!B40</f>
        <v>4.3499999999999997E-2</v>
      </c>
      <c r="G24" s="1481"/>
      <c r="H24" s="2417" t="s">
        <v>1824</v>
      </c>
      <c r="I24" s="2412" t="s">
        <v>606</v>
      </c>
      <c r="J24" s="2410">
        <f ca="1">ROUND(J5*M24,0)</f>
        <v>0</v>
      </c>
      <c r="K24" s="2411" t="s">
        <v>1707</v>
      </c>
      <c r="L24" s="2412" t="s">
        <v>1680</v>
      </c>
      <c r="M24" s="2408">
        <f ca="1">INDIRECT("'数据-取费表'!Am"&amp;$G$1)</f>
        <v>0.01</v>
      </c>
      <c r="N24" s="1938"/>
      <c r="O24" s="1938"/>
      <c r="P24" s="1938"/>
      <c r="Q24" s="2260"/>
      <c r="R24" s="1938"/>
      <c r="S24" s="1938"/>
      <c r="T24" s="1938"/>
      <c r="U24" s="1938"/>
      <c r="V24" s="1938"/>
      <c r="W24" s="1938"/>
      <c r="X24" s="1938"/>
      <c r="Y24" s="1938"/>
      <c r="Z24" s="1938"/>
      <c r="AA24" s="1938"/>
      <c r="AB24" s="1938"/>
      <c r="AC24" s="1938"/>
      <c r="AD24" s="1938"/>
      <c r="AE24" s="1938"/>
      <c r="AF24" s="1938"/>
      <c r="AG24" s="1938"/>
    </row>
    <row r="25" spans="1:33" ht="18" customHeight="1" thickTop="1">
      <c r="A25" s="1538" t="s">
        <v>1773</v>
      </c>
      <c r="B25" s="684" t="s">
        <v>624</v>
      </c>
      <c r="C25" s="52"/>
      <c r="D25" s="165" t="s">
        <v>1708</v>
      </c>
      <c r="E25" s="1864"/>
      <c r="F25" s="55"/>
      <c r="G25" s="1480"/>
      <c r="H25" s="1712" t="s">
        <v>1709</v>
      </c>
      <c r="I25" s="2875" t="s">
        <v>2750</v>
      </c>
      <c r="J25" s="692">
        <f ca="1">J5-J16</f>
        <v>-11</v>
      </c>
      <c r="K25" s="2414" t="s">
        <v>1710</v>
      </c>
      <c r="L25" s="2415"/>
      <c r="M25" s="2416"/>
    </row>
    <row r="26" spans="1:33" ht="18" customHeight="1">
      <c r="A26" s="1536" t="s">
        <v>1764</v>
      </c>
      <c r="B26" s="684" t="s">
        <v>2366</v>
      </c>
      <c r="C26" s="52">
        <f ca="1">ROUND((C19+C20)*F26,0)</f>
        <v>5</v>
      </c>
      <c r="D26" s="712" t="s">
        <v>1711</v>
      </c>
      <c r="E26" s="695" t="s">
        <v>1712</v>
      </c>
      <c r="F26" s="694">
        <f ca="1">INDIRECT("'数据-取费表'!q"&amp;$G$1)</f>
        <v>0.05</v>
      </c>
      <c r="G26" s="1480"/>
      <c r="H26" s="2368" t="s">
        <v>1713</v>
      </c>
      <c r="I26" s="2107" t="s">
        <v>2755</v>
      </c>
      <c r="J26" s="683">
        <f ca="1">IF(J5&lt;&gt;0,ROUND(J25*(1-((1+M28)/(1+M26))^M27)/(M26-M28),0),0)</f>
        <v>0</v>
      </c>
      <c r="K26" s="714" t="s">
        <v>1714</v>
      </c>
      <c r="L26" s="684" t="s">
        <v>2347</v>
      </c>
      <c r="M26" s="694">
        <f ca="1">INDIRECT("'数据-取费表'!I"&amp;$G$1)</f>
        <v>5.5E-2</v>
      </c>
    </row>
    <row r="27" spans="1:33" ht="18" customHeight="1">
      <c r="A27" s="1536" t="s">
        <v>1765</v>
      </c>
      <c r="B27" s="684" t="s">
        <v>626</v>
      </c>
      <c r="C27" s="52">
        <f ca="1">ROUND(F21*F26,4)</f>
        <v>5.0000000000000001E-4</v>
      </c>
      <c r="D27" s="712" t="s">
        <v>1715</v>
      </c>
      <c r="E27" s="706"/>
      <c r="F27" s="707"/>
      <c r="G27" s="1480"/>
      <c r="H27" s="2369"/>
      <c r="I27" s="687"/>
      <c r="J27" s="688"/>
      <c r="K27" s="721" t="s">
        <v>1716</v>
      </c>
      <c r="L27" s="684" t="s">
        <v>1717</v>
      </c>
      <c r="M27" s="722">
        <f ca="1">INDIRECT("'数据-取费表'!ag"&amp;$G$1)</f>
        <v>0</v>
      </c>
    </row>
    <row r="28" spans="1:33" s="1939" customFormat="1" ht="18" customHeight="1">
      <c r="A28" s="1538" t="s">
        <v>1774</v>
      </c>
      <c r="B28" s="684" t="s">
        <v>627</v>
      </c>
      <c r="C28" s="52">
        <f>ROUND(F28/(1+'数据-取费表'!C42),4)</f>
        <v>5.2400000000000002E-2</v>
      </c>
      <c r="D28" s="712" t="s">
        <v>2230</v>
      </c>
      <c r="E28" s="684" t="s">
        <v>1718</v>
      </c>
      <c r="F28" s="709">
        <f>'数据-取费表'!B41</f>
        <v>5.5000000000000007E-2</v>
      </c>
      <c r="G28" s="1481"/>
      <c r="H28" s="1712"/>
      <c r="I28" s="691"/>
      <c r="J28" s="692"/>
      <c r="K28" s="716"/>
      <c r="L28" s="684" t="s">
        <v>1719</v>
      </c>
      <c r="M28" s="694">
        <f ca="1">INDIRECT("'数据-取费表'!aa"&amp;$G$1)</f>
        <v>0</v>
      </c>
      <c r="N28" s="1938"/>
      <c r="O28" s="1938"/>
      <c r="P28" s="1938"/>
      <c r="Q28" s="2260"/>
      <c r="R28" s="1938"/>
      <c r="S28" s="1938"/>
      <c r="T28" s="1938"/>
      <c r="U28" s="1938"/>
      <c r="V28" s="1938"/>
      <c r="W28" s="1938"/>
      <c r="X28" s="1938"/>
      <c r="Y28" s="1938"/>
      <c r="Z28" s="1938"/>
      <c r="AA28" s="1938"/>
      <c r="AB28" s="1938"/>
      <c r="AC28" s="1938"/>
      <c r="AD28" s="1938"/>
      <c r="AE28" s="1938"/>
      <c r="AF28" s="1938"/>
      <c r="AG28" s="1938"/>
    </row>
    <row r="29" spans="1:33" s="1939" customFormat="1" ht="18" customHeight="1" thickBot="1">
      <c r="A29" s="2409" t="s">
        <v>1825</v>
      </c>
      <c r="B29" s="2407" t="s">
        <v>2231</v>
      </c>
      <c r="C29" s="2410">
        <f ca="1">ROUND((C19+C20+C23+C26)/(1-F21-C24-C27-C28),0)</f>
        <v>104</v>
      </c>
      <c r="D29" s="2411"/>
      <c r="E29" s="2412"/>
      <c r="F29" s="2413"/>
      <c r="G29" s="1481"/>
      <c r="H29" s="723" t="s">
        <v>1720</v>
      </c>
      <c r="I29" s="724" t="s">
        <v>1721</v>
      </c>
      <c r="J29" s="725">
        <f ca="1">ROUND(J26/(1+F40)^F41,0)</f>
        <v>0</v>
      </c>
      <c r="K29" s="726" t="s">
        <v>1722</v>
      </c>
      <c r="L29" s="727"/>
      <c r="M29" s="728">
        <f ca="1">INDIRECT("'数据-取费表'!k"&amp;$G$1)</f>
        <v>421</v>
      </c>
      <c r="N29" s="1938"/>
      <c r="O29" s="1938"/>
      <c r="P29" s="1938"/>
      <c r="Q29" s="2260"/>
      <c r="R29" s="1938"/>
      <c r="S29" s="1938"/>
      <c r="T29" s="1938"/>
      <c r="U29" s="1938"/>
      <c r="V29" s="1938"/>
      <c r="W29" s="1938"/>
      <c r="X29" s="1938"/>
      <c r="Y29" s="1938"/>
      <c r="Z29" s="1938"/>
      <c r="AA29" s="1938"/>
      <c r="AB29" s="1938"/>
      <c r="AC29" s="1938"/>
      <c r="AD29" s="1938"/>
      <c r="AE29" s="1938"/>
      <c r="AF29" s="1938"/>
      <c r="AG29" s="1938"/>
    </row>
    <row r="30" spans="1:33" ht="18" customHeight="1" thickTop="1">
      <c r="A30" s="1712" t="s">
        <v>1826</v>
      </c>
      <c r="B30" s="1710" t="s">
        <v>1723</v>
      </c>
      <c r="C30" s="692">
        <f ca="1">ROUND(C31+C36+C37+C38,0)</f>
        <v>9</v>
      </c>
      <c r="D30" s="1704" t="s">
        <v>1724</v>
      </c>
      <c r="E30" s="2353"/>
      <c r="F30" s="2357"/>
      <c r="G30" s="1937"/>
      <c r="H30" s="1940"/>
      <c r="I30" s="1941"/>
      <c r="J30" s="1942"/>
      <c r="K30" s="1943"/>
      <c r="L30" s="1944"/>
      <c r="M30" s="1945"/>
    </row>
    <row r="31" spans="1:33" ht="18" customHeight="1">
      <c r="A31" s="1537" t="s">
        <v>1763</v>
      </c>
      <c r="B31" s="684" t="s">
        <v>596</v>
      </c>
      <c r="C31" s="52">
        <f ca="1">ROUND(IF(项目基本情况!B11="自然人",C5*F31,C32+C33+C34),1)</f>
        <v>6.3</v>
      </c>
      <c r="D31" s="1861" t="s">
        <v>1725</v>
      </c>
      <c r="E31" s="1859" t="s">
        <v>1726</v>
      </c>
      <c r="F31" s="710" t="str">
        <f ca="1">IF(项目基本情况!B11="企业","",IF(INDIRECT("'数据-取费表'!c"&amp;$G$1)="住宅",5%,IF(F6*F7*F8/12/(1+'数据-取费表'!C42)&gt;20000,12%,7%)))</f>
        <v/>
      </c>
      <c r="G31" s="1937"/>
      <c r="H31" s="1940"/>
      <c r="I31" s="1941"/>
      <c r="J31" s="1942"/>
      <c r="K31" s="1943"/>
      <c r="L31" s="1944"/>
      <c r="M31" s="1945"/>
    </row>
    <row r="32" spans="1:33" ht="18" customHeight="1">
      <c r="A32" s="1536" t="s">
        <v>1764</v>
      </c>
      <c r="B32" s="684" t="s">
        <v>1727</v>
      </c>
      <c r="C32" s="52">
        <f ca="1">ROUND(C5*F32/1.05,1)</f>
        <v>1.9</v>
      </c>
      <c r="D32" s="1859" t="s">
        <v>1728</v>
      </c>
      <c r="E32" s="684" t="s">
        <v>1729</v>
      </c>
      <c r="F32" s="709">
        <f>'数据-取费表'!B41</f>
        <v>5.5000000000000007E-2</v>
      </c>
      <c r="G32" s="1937"/>
      <c r="H32" s="1946"/>
      <c r="I32" s="1947"/>
      <c r="J32" s="1948"/>
      <c r="K32" s="1949"/>
      <c r="L32" s="1950"/>
      <c r="M32" s="1951"/>
    </row>
    <row r="33" spans="1:18" ht="18" customHeight="1">
      <c r="A33" s="1536" t="s">
        <v>1765</v>
      </c>
      <c r="B33" s="684" t="s">
        <v>1730</v>
      </c>
      <c r="C33" s="52">
        <f ca="1">IF(D33="按租金收入计税",ROUND(C5*F33,1),IF(D33="按房产原值计税",ROUND(C29*F33*0.7,1),INDIRECT("'数据-取费表'!Aj"&amp;$G$1)))</f>
        <v>4.3</v>
      </c>
      <c r="D33" s="711" t="s">
        <v>3007</v>
      </c>
      <c r="E33" s="684" t="s">
        <v>1729</v>
      </c>
      <c r="F33" s="709">
        <f>IF(D33="按租金收入计税",'数据-取费表'!B51,'数据-取费表'!B50)</f>
        <v>0.12</v>
      </c>
      <c r="G33" s="1937"/>
      <c r="H33" s="1952"/>
      <c r="I33" s="1952"/>
      <c r="J33" s="1952"/>
      <c r="K33" s="1953"/>
      <c r="L33" s="1952"/>
      <c r="M33" s="1952"/>
    </row>
    <row r="34" spans="1:18" ht="18" customHeight="1">
      <c r="A34" s="1539" t="s">
        <v>1766</v>
      </c>
      <c r="B34" s="241" t="s">
        <v>1731</v>
      </c>
      <c r="C34" s="53">
        <f ca="1">ROUND(F34*F35/10000,1)</f>
        <v>0.1</v>
      </c>
      <c r="D34" s="714" t="s">
        <v>1732</v>
      </c>
      <c r="E34" s="684" t="s">
        <v>1733</v>
      </c>
      <c r="F34" s="540">
        <f>'数据-取费表'!B52</f>
        <v>4</v>
      </c>
      <c r="G34" s="1937"/>
      <c r="H34" s="1940"/>
      <c r="I34" s="735" t="s">
        <v>1746</v>
      </c>
      <c r="J34" s="736"/>
      <c r="K34" s="1955"/>
      <c r="L34" s="1954"/>
      <c r="M34" s="1954"/>
    </row>
    <row r="35" spans="1:18" ht="18" customHeight="1">
      <c r="A35" s="715"/>
      <c r="B35" s="693"/>
      <c r="C35" s="68"/>
      <c r="D35" s="716"/>
      <c r="E35" s="684" t="s">
        <v>1734</v>
      </c>
      <c r="F35" s="685">
        <f ca="1">INDIRECT("'数据-取费表'!r"&amp;$G$1)</f>
        <v>190.84</v>
      </c>
      <c r="G35" s="1937"/>
      <c r="H35" s="1940"/>
      <c r="I35" s="737" t="s">
        <v>1747</v>
      </c>
      <c r="J35" s="738">
        <f ca="1">ROUND(C13*J36,0)</f>
        <v>9</v>
      </c>
      <c r="K35" s="1953"/>
      <c r="L35" s="1952"/>
      <c r="M35" s="1952"/>
    </row>
    <row r="36" spans="1:18" ht="18" customHeight="1">
      <c r="A36" s="1537" t="s">
        <v>1822</v>
      </c>
      <c r="B36" s="684" t="s">
        <v>1735</v>
      </c>
      <c r="C36" s="52">
        <f ca="1">ROUND(C29*F36,1)</f>
        <v>1.6</v>
      </c>
      <c r="D36" s="1859" t="s">
        <v>1736</v>
      </c>
      <c r="E36" s="684" t="s">
        <v>1729</v>
      </c>
      <c r="F36" s="717">
        <f ca="1">INDIRECT("'数据-取费表'!Ak"&amp;$G$1)</f>
        <v>1.4999999999999999E-2</v>
      </c>
      <c r="G36" s="1937"/>
      <c r="H36" s="1952"/>
      <c r="I36" s="739" t="s">
        <v>1748</v>
      </c>
      <c r="J36" s="740">
        <f ca="1">INDIRECT("'数据-取费表'!j"&amp;$G$1)</f>
        <v>8.5000000000000006E-2</v>
      </c>
      <c r="K36" s="1957"/>
      <c r="L36" s="1952"/>
      <c r="M36" s="1952"/>
    </row>
    <row r="37" spans="1:18" ht="18" customHeight="1">
      <c r="A37" s="1537" t="s">
        <v>1823</v>
      </c>
      <c r="B37" s="684" t="s">
        <v>619</v>
      </c>
      <c r="C37" s="52">
        <f ca="1">ROUND(C13*F37,1)</f>
        <v>0.2</v>
      </c>
      <c r="D37" s="1859" t="s">
        <v>1737</v>
      </c>
      <c r="E37" s="684" t="s">
        <v>1729</v>
      </c>
      <c r="F37" s="718">
        <f ca="1">INDIRECT("'数据-取费表'!Al"&amp;$G$1)</f>
        <v>1.5E-3</v>
      </c>
      <c r="G37" s="1937"/>
      <c r="H37" s="1952"/>
      <c r="I37" s="741" t="s">
        <v>1749</v>
      </c>
      <c r="J37" s="742"/>
      <c r="K37" s="1957"/>
      <c r="L37" s="1952"/>
      <c r="M37" s="1952"/>
    </row>
    <row r="38" spans="1:18" ht="18" customHeight="1" thickBot="1">
      <c r="A38" s="2417" t="s">
        <v>1824</v>
      </c>
      <c r="B38" s="2412" t="s">
        <v>606</v>
      </c>
      <c r="C38" s="2410">
        <f ca="1">ROUND(C5*F38,1)</f>
        <v>0.4</v>
      </c>
      <c r="D38" s="2411" t="s">
        <v>1738</v>
      </c>
      <c r="E38" s="2412" t="s">
        <v>1729</v>
      </c>
      <c r="F38" s="2408">
        <f ca="1">INDIRECT("'数据-取费表'!Am"&amp;$G$1)</f>
        <v>0.01</v>
      </c>
      <c r="G38" s="1937"/>
      <c r="H38" s="1952"/>
      <c r="I38" s="743" t="s">
        <v>1750</v>
      </c>
      <c r="J38" s="744"/>
      <c r="K38" s="1958"/>
      <c r="L38" s="1952"/>
      <c r="M38" s="1952"/>
    </row>
    <row r="39" spans="1:18" ht="24.6" customHeight="1" thickTop="1">
      <c r="A39" s="1712" t="s">
        <v>1827</v>
      </c>
      <c r="B39" s="2875" t="s">
        <v>2750</v>
      </c>
      <c r="C39" s="692">
        <f ca="1">C5-C30</f>
        <v>27</v>
      </c>
      <c r="D39" s="2414" t="s">
        <v>1739</v>
      </c>
      <c r="E39" s="2415"/>
      <c r="F39" s="2416"/>
      <c r="G39" s="1937"/>
      <c r="H39" s="1952"/>
      <c r="I39" s="737" t="s">
        <v>1751</v>
      </c>
      <c r="J39" s="745">
        <f ca="1">ROUND(J35/C39,3)</f>
        <v>0.33300000000000002</v>
      </c>
      <c r="K39" s="1958"/>
      <c r="L39" s="1952"/>
      <c r="M39" s="1952"/>
    </row>
    <row r="40" spans="1:18" ht="18" customHeight="1">
      <c r="A40" s="681" t="s">
        <v>1828</v>
      </c>
      <c r="B40" s="2107" t="s">
        <v>2232</v>
      </c>
      <c r="C40" s="683">
        <f ca="1">ROUND(C39*(1-((1+F42)/(1+F40))^F41)/(F40-F42),0)</f>
        <v>656</v>
      </c>
      <c r="D40" s="714" t="s">
        <v>1740</v>
      </c>
      <c r="E40" s="684" t="s">
        <v>2347</v>
      </c>
      <c r="F40" s="694">
        <f ca="1">INDIRECT("'数据-取费表'!I"&amp;$G$1)</f>
        <v>5.5E-2</v>
      </c>
      <c r="G40" s="1937"/>
      <c r="H40" s="1937"/>
      <c r="I40" s="737" t="s">
        <v>1752</v>
      </c>
      <c r="J40" s="745">
        <f ca="1">1-J39</f>
        <v>0.66700000000000004</v>
      </c>
      <c r="K40" s="1958"/>
      <c r="L40" s="1937"/>
      <c r="M40" s="1937"/>
    </row>
    <row r="41" spans="1:18" ht="18" customHeight="1">
      <c r="A41" s="686"/>
      <c r="B41" s="687"/>
      <c r="C41" s="688"/>
      <c r="D41" s="721" t="s">
        <v>1741</v>
      </c>
      <c r="E41" s="684" t="s">
        <v>2878</v>
      </c>
      <c r="F41" s="722">
        <f ca="1">IF(INDIRECT("'数据-取费表'!af"&amp;$G$1)=0,INDIRECT("'数据-取费表'!ae"&amp;$G$1),INDIRECT("'数据-取费表'!af"&amp;$G$1))</f>
        <v>38.950000000000003</v>
      </c>
      <c r="G41" s="1937"/>
      <c r="H41" s="1869"/>
      <c r="I41" s="743" t="s">
        <v>1753</v>
      </c>
      <c r="J41" s="746"/>
      <c r="K41" s="1957"/>
      <c r="L41" s="1869"/>
      <c r="M41" s="1869"/>
    </row>
    <row r="42" spans="1:18" ht="18" customHeight="1">
      <c r="A42" s="690"/>
      <c r="B42" s="691"/>
      <c r="C42" s="692"/>
      <c r="D42" s="716"/>
      <c r="E42" s="684" t="s">
        <v>1742</v>
      </c>
      <c r="F42" s="694">
        <f ca="1">INDIRECT("'数据-取费表'!v"&amp;$G$1)</f>
        <v>0.03</v>
      </c>
      <c r="G42" s="1937"/>
      <c r="H42" s="1869"/>
      <c r="I42" s="747" t="s">
        <v>1754</v>
      </c>
      <c r="J42" s="745">
        <f ca="1">ROUND(C13/C40,3)</f>
        <v>0.159</v>
      </c>
      <c r="K42" s="1957"/>
      <c r="L42" s="1869"/>
      <c r="M42" s="1869"/>
    </row>
    <row r="43" spans="1:18" ht="18" customHeight="1" thickBot="1">
      <c r="A43" s="723" t="s">
        <v>1720</v>
      </c>
      <c r="B43" s="724" t="s">
        <v>1743</v>
      </c>
      <c r="C43" s="725">
        <f ca="1">ROUND(C40*10000/F43,0)</f>
        <v>15582</v>
      </c>
      <c r="D43" s="726" t="s">
        <v>1744</v>
      </c>
      <c r="E43" s="727" t="s">
        <v>1745</v>
      </c>
      <c r="F43" s="728">
        <f ca="1">INDIRECT("'数据-取费表'!k"&amp;$G$1)</f>
        <v>421</v>
      </c>
      <c r="G43" s="1937"/>
      <c r="H43" s="1869"/>
      <c r="I43" s="747" t="s">
        <v>1755</v>
      </c>
      <c r="J43" s="748">
        <f ca="1">1-J42</f>
        <v>0.84099999999999997</v>
      </c>
      <c r="K43" s="1957"/>
      <c r="L43" s="1869"/>
      <c r="M43" s="1869"/>
    </row>
    <row r="44" spans="1:18" s="1934" customFormat="1" ht="18" customHeight="1">
      <c r="A44" s="1960"/>
      <c r="B44" s="1960"/>
      <c r="C44" s="1977"/>
      <c r="D44" s="1960"/>
      <c r="E44" s="1960"/>
      <c r="F44" s="1960"/>
      <c r="K44" s="1961"/>
      <c r="Q44" s="1972"/>
    </row>
    <row r="45" spans="1:18" s="1934" customFormat="1" ht="18" customHeight="1" thickBot="1">
      <c r="A45" s="1960"/>
      <c r="B45" s="1960"/>
      <c r="C45" s="1977"/>
      <c r="D45" s="1960"/>
      <c r="E45" s="1960"/>
      <c r="F45" s="1960"/>
      <c r="K45" s="1961"/>
      <c r="Q45" s="1972"/>
    </row>
    <row r="46" spans="1:18" s="1934" customFormat="1" ht="18" customHeight="1" thickBot="1">
      <c r="A46" s="2105" t="s">
        <v>2226</v>
      </c>
      <c r="B46" s="1960"/>
      <c r="C46" s="2440">
        <f ca="1">C67-C40</f>
        <v>-688</v>
      </c>
      <c r="D46" s="1960"/>
      <c r="E46" s="1960"/>
      <c r="F46" s="1960"/>
      <c r="I46" s="2224" t="s">
        <v>2270</v>
      </c>
      <c r="J46" s="2225"/>
      <c r="K46" s="2226"/>
      <c r="L46" s="2227">
        <f>IF(OR(M47="住宅",D1="土地（套用方法）"),0,IF(L48&gt;J51,L60,J60))</f>
        <v>0</v>
      </c>
      <c r="O46" s="2261" t="s">
        <v>2338</v>
      </c>
      <c r="P46" s="1480"/>
      <c r="Q46" s="1492"/>
      <c r="R46" s="1480"/>
    </row>
    <row r="47" spans="1:18" s="1934" customFormat="1" ht="18" customHeight="1" thickBot="1">
      <c r="A47" s="2218">
        <v>1</v>
      </c>
      <c r="B47" s="2219" t="s">
        <v>575</v>
      </c>
      <c r="C47" s="2440">
        <f ca="1">C48+C52+C54</f>
        <v>0</v>
      </c>
      <c r="D47" s="1960"/>
      <c r="E47" s="1960"/>
      <c r="F47" s="1960"/>
      <c r="I47" s="2228" t="s">
        <v>2271</v>
      </c>
      <c r="J47" s="2233" t="s">
        <v>3010</v>
      </c>
      <c r="K47" s="2234" t="s">
        <v>2277</v>
      </c>
      <c r="L47" s="2235">
        <f ca="1">INDIRECT("'数据-取费表'!d"&amp;$G$1)</f>
        <v>40</v>
      </c>
      <c r="M47" s="1492" t="str">
        <f>IF(ISNUMBER(FIND("住宅",C1)),"住宅","非住宅")</f>
        <v>非住宅</v>
      </c>
      <c r="O47" s="2262" t="s">
        <v>2303</v>
      </c>
      <c r="P47" s="2263" t="s">
        <v>2304</v>
      </c>
      <c r="Q47" s="2264" t="s">
        <v>2305</v>
      </c>
      <c r="R47" s="2263" t="s">
        <v>2306</v>
      </c>
    </row>
    <row r="48" spans="1:18" s="1934" customFormat="1" ht="18" customHeight="1" thickBot="1">
      <c r="A48" s="2507" t="s">
        <v>2465</v>
      </c>
      <c r="B48" s="2508" t="s">
        <v>2466</v>
      </c>
      <c r="C48" s="2220">
        <f ca="1">ROUND(F48*F50*F49*(1-F51)/10000,0)</f>
        <v>0</v>
      </c>
      <c r="D48" s="2221" t="s">
        <v>576</v>
      </c>
      <c r="E48" s="2222" t="s">
        <v>2227</v>
      </c>
      <c r="F48" s="2223"/>
      <c r="G48" s="1965"/>
      <c r="I48" s="2229" t="s">
        <v>2272</v>
      </c>
      <c r="J48" s="2236" t="s">
        <v>2278</v>
      </c>
      <c r="K48" s="2237" t="s">
        <v>2279</v>
      </c>
      <c r="L48" s="2238">
        <f ca="1">INDIRECT("'数据-取费表'!f"&amp;$G$1)</f>
        <v>39.950000000000003</v>
      </c>
      <c r="O48" s="2265" t="s">
        <v>2307</v>
      </c>
      <c r="P48" s="2266" t="s">
        <v>2333</v>
      </c>
      <c r="Q48" s="2267">
        <f ca="1">C40+J29</f>
        <v>656</v>
      </c>
      <c r="R48" s="2266" t="s">
        <v>2308</v>
      </c>
    </row>
    <row r="49" spans="1:18" s="1934" customFormat="1" ht="18" customHeight="1" thickBot="1">
      <c r="A49" s="686"/>
      <c r="B49" s="687"/>
      <c r="C49" s="688"/>
      <c r="D49" s="689"/>
      <c r="E49" s="684" t="s">
        <v>1672</v>
      </c>
      <c r="F49" s="685">
        <f ca="1">F7</f>
        <v>421</v>
      </c>
      <c r="G49" s="1965"/>
      <c r="H49" s="1968"/>
      <c r="I49" s="2229" t="s">
        <v>2273</v>
      </c>
      <c r="J49" s="2239"/>
      <c r="K49" s="2240" t="s">
        <v>2280</v>
      </c>
      <c r="L49" s="2241"/>
      <c r="O49" s="2265" t="s">
        <v>2309</v>
      </c>
      <c r="P49" s="2266" t="s">
        <v>2334</v>
      </c>
      <c r="Q49" s="2267" t="str">
        <f ca="1">J60</f>
        <v>0</v>
      </c>
      <c r="R49" s="2266" t="s">
        <v>2310</v>
      </c>
    </row>
    <row r="50" spans="1:18" s="1934" customFormat="1" ht="18" customHeight="1" thickBot="1">
      <c r="A50" s="686"/>
      <c r="B50" s="687"/>
      <c r="C50" s="688"/>
      <c r="D50" s="689"/>
      <c r="E50" s="684" t="s">
        <v>1673</v>
      </c>
      <c r="F50" s="685">
        <f ca="1">F8</f>
        <v>365</v>
      </c>
      <c r="G50" s="1970"/>
      <c r="H50" s="1968"/>
      <c r="I50" s="2229" t="s">
        <v>2274</v>
      </c>
      <c r="J50" s="2242">
        <f>SUMPRODUCT((I63:I65=J47)*(J62:L62=J48)*(J63:L65))</f>
        <v>60</v>
      </c>
      <c r="K50" s="2240" t="s">
        <v>2281</v>
      </c>
      <c r="L50" s="2241"/>
      <c r="O50" s="2268" t="s">
        <v>2311</v>
      </c>
      <c r="P50" s="2266" t="s">
        <v>2335</v>
      </c>
      <c r="Q50" s="2267">
        <f ca="1">C29</f>
        <v>104</v>
      </c>
      <c r="R50" s="2266" t="s">
        <v>2308</v>
      </c>
    </row>
    <row r="51" spans="1:18" s="1934" customFormat="1" ht="18" customHeight="1" thickBot="1">
      <c r="A51" s="686"/>
      <c r="B51" s="687"/>
      <c r="C51" s="688"/>
      <c r="D51" s="689"/>
      <c r="E51" s="684" t="s">
        <v>580</v>
      </c>
      <c r="F51" s="2217"/>
      <c r="H51" s="1968"/>
      <c r="I51" s="2230" t="s">
        <v>2275</v>
      </c>
      <c r="J51" s="2243">
        <f>IF(J49="",J50,J49+J50-YEAR('数据-取费表'!B2))</f>
        <v>60</v>
      </c>
      <c r="K51" s="2229" t="s">
        <v>2282</v>
      </c>
      <c r="L51" s="2244">
        <f ca="1">ROUND(-PV(INDIRECT("'数据-取费表'!h"&amp;$G$1),L48,(C39-C13*J36),0),0)</f>
        <v>311</v>
      </c>
      <c r="O51" s="2268" t="s">
        <v>2312</v>
      </c>
      <c r="P51" s="2266" t="s">
        <v>2313</v>
      </c>
      <c r="Q51" s="2269" t="e">
        <f ca="1">J58</f>
        <v>#VALUE!</v>
      </c>
      <c r="R51" s="2270"/>
    </row>
    <row r="52" spans="1:18" s="1934" customFormat="1" ht="18" customHeight="1" thickBot="1">
      <c r="A52" s="681" t="s">
        <v>2464</v>
      </c>
      <c r="B52" s="2360" t="s">
        <v>2387</v>
      </c>
      <c r="C52" s="699">
        <f ca="1">ROUND(IF(F52="押一",C48/12*F11,IF(F52="押二",C48/12*2*F11,IF(F52="押三",C48/12*3*F11,C53*F11))),0)</f>
        <v>0</v>
      </c>
      <c r="D52" s="2367" t="s">
        <v>2889</v>
      </c>
      <c r="E52" s="2364" t="s">
        <v>2392</v>
      </c>
      <c r="F52" s="2486"/>
      <c r="I52" s="2231" t="s">
        <v>2349</v>
      </c>
      <c r="J52" s="2245"/>
      <c r="K52" s="2231" t="s">
        <v>2348</v>
      </c>
      <c r="L52" s="2245"/>
      <c r="O52" s="2268" t="s">
        <v>2314</v>
      </c>
      <c r="P52" s="2266" t="s">
        <v>2315</v>
      </c>
      <c r="Q52" s="2269">
        <f>J52</f>
        <v>0</v>
      </c>
      <c r="R52" s="2270"/>
    </row>
    <row r="53" spans="1:18" s="1934" customFormat="1" ht="39.75" customHeight="1" thickBot="1">
      <c r="A53" s="686"/>
      <c r="B53" s="2361" t="s">
        <v>2501</v>
      </c>
      <c r="C53" s="2365"/>
      <c r="D53" s="2367"/>
      <c r="E53" s="2364"/>
      <c r="F53" s="700"/>
      <c r="I53" s="2232" t="s">
        <v>2276</v>
      </c>
      <c r="J53" s="2246">
        <f ca="1">IF(M47="住宅",J51,IF(D1="——",MIN(J51,L48),IF(D1="土地（套用方法）",MIN(J51,L48-'数据-取费表'!B20))))</f>
        <v>38.950000000000003</v>
      </c>
      <c r="K53" s="3496" t="s">
        <v>2880</v>
      </c>
      <c r="L53" s="3497"/>
      <c r="O53" s="2268" t="s">
        <v>2316</v>
      </c>
      <c r="P53" s="2266" t="s">
        <v>2317</v>
      </c>
      <c r="Q53" s="2267">
        <f ca="1">J53</f>
        <v>38.950000000000003</v>
      </c>
      <c r="R53" s="2266" t="s">
        <v>2318</v>
      </c>
    </row>
    <row r="54" spans="1:18" s="1934" customFormat="1" ht="18" customHeight="1" thickBot="1">
      <c r="A54" s="2403" t="s">
        <v>2395</v>
      </c>
      <c r="B54" s="2404" t="s">
        <v>2388</v>
      </c>
      <c r="C54" s="2405"/>
      <c r="D54" s="2367"/>
      <c r="E54" s="2364"/>
      <c r="F54" s="700"/>
      <c r="I54" s="19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1"/>
      <c r="O54" s="2265" t="s">
        <v>2319</v>
      </c>
      <c r="P54" s="2266" t="s">
        <v>2336</v>
      </c>
      <c r="Q54" s="2267">
        <f ca="1">Q48+Q49</f>
        <v>656</v>
      </c>
      <c r="R54" s="2270" t="s">
        <v>2320</v>
      </c>
    </row>
    <row r="55" spans="1:18" s="1934" customFormat="1" ht="18" customHeight="1" thickTop="1" thickBot="1">
      <c r="A55" s="697">
        <v>2</v>
      </c>
      <c r="B55" s="698" t="s">
        <v>584</v>
      </c>
      <c r="C55" s="699">
        <f ca="1">C13</f>
        <v>104</v>
      </c>
      <c r="D55" s="695"/>
      <c r="E55" s="695"/>
      <c r="F55" s="700"/>
      <c r="I55" s="2956" t="s">
        <v>2283</v>
      </c>
      <c r="J55" s="2955" t="e">
        <f ca="1">ROUND(IF(J47="钢混",J57/J50,1-(1-2%)*(J50-J57)/J50),3)</f>
        <v>#VALUE!</v>
      </c>
      <c r="K55" s="2247" t="s">
        <v>2284</v>
      </c>
      <c r="L55" s="2248"/>
      <c r="O55" s="2271" t="s">
        <v>2339</v>
      </c>
      <c r="P55" s="1480"/>
      <c r="Q55" s="1492"/>
      <c r="R55" s="1480"/>
    </row>
    <row r="56" spans="1:18" s="1934" customFormat="1" ht="42.75" customHeight="1" thickBot="1">
      <c r="A56" s="1538"/>
      <c r="B56" s="2106" t="s">
        <v>2233</v>
      </c>
      <c r="C56" s="52">
        <f ca="1">C29</f>
        <v>104</v>
      </c>
      <c r="D56" s="2504"/>
      <c r="E56" s="684"/>
      <c r="F56" s="709"/>
      <c r="I56" s="2249" t="s">
        <v>2285</v>
      </c>
      <c r="J56" s="2979" t="s">
        <v>1611</v>
      </c>
      <c r="K56" s="2229" t="s">
        <v>2290</v>
      </c>
      <c r="L56" s="2238" t="str">
        <f ca="1">IF(L48&lt;J51,"——",L48-J51)</f>
        <v>——</v>
      </c>
      <c r="O56" s="2262" t="s">
        <v>2303</v>
      </c>
      <c r="P56" s="2263" t="s">
        <v>2304</v>
      </c>
      <c r="Q56" s="2264" t="s">
        <v>2305</v>
      </c>
      <c r="R56" s="2263" t="s">
        <v>2306</v>
      </c>
    </row>
    <row r="57" spans="1:18" s="1934" customFormat="1" ht="28.5" customHeight="1" thickBot="1">
      <c r="A57" s="697" t="s">
        <v>1681</v>
      </c>
      <c r="B57" s="698" t="s">
        <v>591</v>
      </c>
      <c r="C57" s="699">
        <f ca="1">ROUND(C58+C63+C64+C65,0)</f>
        <v>2</v>
      </c>
      <c r="D57" s="25" t="s">
        <v>1683</v>
      </c>
      <c r="E57" s="2505"/>
      <c r="F57" s="55"/>
      <c r="I57" s="2250" t="s">
        <v>2286</v>
      </c>
      <c r="J57" s="2252" t="str">
        <f ca="1">IF(OR(M47="住宅",J51&lt;L48,J56="是"),"——",J51-L48)</f>
        <v>——</v>
      </c>
      <c r="K57" s="2229" t="s">
        <v>2291</v>
      </c>
      <c r="L57" s="2238" t="str">
        <f ca="1">IF(L48&lt;J51,"——",IF(L55="比较法",L49,IF(L55="基准地价",L50,L51)))</f>
        <v>——</v>
      </c>
      <c r="O57" s="2265" t="s">
        <v>2307</v>
      </c>
      <c r="P57" s="2266" t="s">
        <v>2337</v>
      </c>
      <c r="Q57" s="2267">
        <f ca="1">C40+J29</f>
        <v>656</v>
      </c>
      <c r="R57" s="2266" t="s">
        <v>2308</v>
      </c>
    </row>
    <row r="58" spans="1:18" s="1934" customFormat="1" ht="28.5" customHeight="1" thickBot="1">
      <c r="A58" s="1537" t="s">
        <v>1757</v>
      </c>
      <c r="B58" s="684" t="s">
        <v>596</v>
      </c>
      <c r="C58" s="52">
        <f ca="1">ROUND(IF(项目基本情况!B11="自然人",C47*F58,C59+C60+C61),1)</f>
        <v>0.1</v>
      </c>
      <c r="D58" s="2503" t="s">
        <v>597</v>
      </c>
      <c r="E58" s="2504" t="s">
        <v>630</v>
      </c>
      <c r="F58" s="710" t="str">
        <f ca="1">IF(项目基本情况!B11="企业","",IF(INDIRECT("'数据-取费表'!c"&amp;$G$1)="住宅",5%,IF(F48*F49*F50/12/(1+'数据-取费表'!C42)&gt;20000,12%,7%)))</f>
        <v/>
      </c>
      <c r="I58" s="2250" t="s">
        <v>2287</v>
      </c>
      <c r="J58" s="2957" t="e">
        <f ca="1">IF(J55&lt;0.4,0.4,J55)</f>
        <v>#VALUE!</v>
      </c>
      <c r="K58" s="2229" t="s">
        <v>2292</v>
      </c>
      <c r="L58" s="2238" t="e">
        <f ca="1">ROUND(POWER(1+L52,L47-L48)*(POWER(1+L52,L48)-1)/(POWER(1+L52,L47)-1),4)</f>
        <v>#DIV/0!</v>
      </c>
      <c r="O58" s="2265" t="s">
        <v>2309</v>
      </c>
      <c r="P58" s="2266" t="s">
        <v>2340</v>
      </c>
      <c r="Q58" s="2267">
        <f ca="1">L60</f>
        <v>0</v>
      </c>
      <c r="R58" s="2270" t="s">
        <v>2342</v>
      </c>
    </row>
    <row r="59" spans="1:18" s="1934" customFormat="1" ht="28.5" customHeight="1" thickBot="1">
      <c r="A59" s="1536" t="s">
        <v>1764</v>
      </c>
      <c r="B59" s="684" t="s">
        <v>600</v>
      </c>
      <c r="C59" s="52">
        <f ca="1">ROUND(C47*F59/1.05,1)</f>
        <v>0</v>
      </c>
      <c r="D59" s="2504" t="s">
        <v>1689</v>
      </c>
      <c r="E59" s="684" t="s">
        <v>1680</v>
      </c>
      <c r="F59" s="709">
        <f t="shared" ref="F59:F65" si="0">F32</f>
        <v>5.5000000000000007E-2</v>
      </c>
      <c r="I59" s="2250" t="s">
        <v>2288</v>
      </c>
      <c r="J59" s="2252" t="str">
        <f ca="1">IF(OR(M47="住宅",J51&lt;L48,J56="是"),"——",ROUND(C29*J58,0))</f>
        <v>——</v>
      </c>
      <c r="K59" s="2986" t="str">
        <f>IF(D1="——","建筑物剩余耐用年限下的土地年期修正系数Kn","建设期及建筑物耐用年限下的土地年期修正系数Kn")</f>
        <v>建设期及建筑物耐用年限下的土地年期修正系数Kn</v>
      </c>
      <c r="L59" s="2238" t="e">
        <f ca="1">ROUND(IF(D1="土地（套用方法）",POWER(1+L52,L47-(J51+'数据-取费表'!B20))*(POWER(1+L52,(J51+'数据-取费表'!B20))-1)/(POWER(1+L52,L47)-1),POWER(1+L52,L47-J51)*(POWER(1+L52,J51)-1)/(POWER(1+L52,L47)-1)),4)</f>
        <v>#DIV/0!</v>
      </c>
      <c r="O59" s="2268" t="s">
        <v>2311</v>
      </c>
      <c r="P59" s="2266" t="s">
        <v>2341</v>
      </c>
      <c r="Q59" s="2267">
        <f>IF(L55="比较法",L49,IF(L55="基准地价",L50,0))</f>
        <v>0</v>
      </c>
      <c r="R59" s="2266" t="s">
        <v>2308</v>
      </c>
    </row>
    <row r="60" spans="1:18" s="1934" customFormat="1" ht="18" customHeight="1" thickBot="1">
      <c r="A60" s="1536" t="s">
        <v>1765</v>
      </c>
      <c r="B60" s="684" t="s">
        <v>1691</v>
      </c>
      <c r="C60" s="52">
        <f ca="1">IF(D60="按租金收入计税",ROUND(C47*F60,1),IF(D60="按房产原值计税",ROUND(C56*F60*0.7,1),INDIRECT("'数据-取费表'!Aj"&amp;$G$1)))</f>
        <v>0</v>
      </c>
      <c r="D60" s="2504" t="str">
        <f>D33</f>
        <v>按租金收入计税</v>
      </c>
      <c r="E60" s="684" t="s">
        <v>1680</v>
      </c>
      <c r="F60" s="709">
        <f t="shared" si="0"/>
        <v>0.12</v>
      </c>
      <c r="I60" s="2251" t="s">
        <v>2289</v>
      </c>
      <c r="J60" s="2253" t="str">
        <f ca="1">IF(OR(M47="住宅",J51&lt;L48,J56="是"),"0",ROUND(J59/(1+J52)^J53,0))</f>
        <v>0</v>
      </c>
      <c r="K60" s="2254" t="s">
        <v>2294</v>
      </c>
      <c r="L60" s="2253">
        <f ca="1">IF(OR(M47="住宅",L48&lt;J51),0,ROUND(L57*(L58/L59-1),0))</f>
        <v>0</v>
      </c>
      <c r="O60" s="2268" t="s">
        <v>2312</v>
      </c>
      <c r="P60" s="2266" t="s">
        <v>2321</v>
      </c>
      <c r="Q60" s="2269">
        <f>L52</f>
        <v>0</v>
      </c>
      <c r="R60" s="2270"/>
    </row>
    <row r="61" spans="1:18" s="1934" customFormat="1" ht="18" customHeight="1" thickBot="1">
      <c r="A61" s="1539" t="s">
        <v>1766</v>
      </c>
      <c r="B61" s="241" t="s">
        <v>608</v>
      </c>
      <c r="C61" s="53">
        <f ca="1">ROUND(F61*F62/10000,1)</f>
        <v>0.1</v>
      </c>
      <c r="D61" s="714" t="s">
        <v>609</v>
      </c>
      <c r="E61" s="684" t="s">
        <v>610</v>
      </c>
      <c r="F61" s="540">
        <f t="shared" si="0"/>
        <v>4</v>
      </c>
      <c r="K61" s="1961"/>
      <c r="O61" s="2268" t="s">
        <v>2314</v>
      </c>
      <c r="P61" s="2266" t="s">
        <v>2322</v>
      </c>
      <c r="Q61" s="2267" t="e">
        <f ca="1">L58</f>
        <v>#DIV/0!</v>
      </c>
      <c r="R61" s="2270" t="s">
        <v>2323</v>
      </c>
    </row>
    <row r="62" spans="1:18" s="1934" customFormat="1" ht="15.75" thickBot="1">
      <c r="A62" s="715"/>
      <c r="B62" s="693"/>
      <c r="C62" s="68"/>
      <c r="D62" s="716"/>
      <c r="E62" s="684" t="s">
        <v>614</v>
      </c>
      <c r="F62" s="685">
        <f t="shared" ca="1" si="0"/>
        <v>190.84</v>
      </c>
      <c r="I62" s="2255" t="s">
        <v>2295</v>
      </c>
      <c r="J62" s="2256" t="s">
        <v>2296</v>
      </c>
      <c r="K62" s="2256" t="s">
        <v>2297</v>
      </c>
      <c r="L62" s="2256" t="s">
        <v>2278</v>
      </c>
      <c r="M62" s="2958" t="s">
        <v>2856</v>
      </c>
      <c r="O62" s="2268" t="s">
        <v>2316</v>
      </c>
      <c r="P62" s="2266" t="str">
        <f>K59</f>
        <v>建设期及建筑物耐用年限下的土地年期修正系数Kn</v>
      </c>
      <c r="Q62" s="2267" t="e">
        <f ca="1">L59</f>
        <v>#DIV/0!</v>
      </c>
      <c r="R62" s="2270" t="s">
        <v>2325</v>
      </c>
    </row>
    <row r="63" spans="1:18" s="1934" customFormat="1" ht="15.75" thickBot="1">
      <c r="A63" s="1537" t="s">
        <v>1822</v>
      </c>
      <c r="B63" s="684" t="s">
        <v>616</v>
      </c>
      <c r="C63" s="52">
        <f ca="1">ROUND(C56*F63,1)</f>
        <v>1.6</v>
      </c>
      <c r="D63" s="2504" t="s">
        <v>1736</v>
      </c>
      <c r="E63" s="684" t="s">
        <v>1680</v>
      </c>
      <c r="F63" s="717">
        <f t="shared" ca="1" si="0"/>
        <v>1.4999999999999999E-2</v>
      </c>
      <c r="I63" s="2255" t="s">
        <v>2298</v>
      </c>
      <c r="J63" s="2256">
        <v>70</v>
      </c>
      <c r="K63" s="2256">
        <v>50</v>
      </c>
      <c r="L63" s="2256">
        <v>80</v>
      </c>
      <c r="M63" s="2959">
        <v>0.02</v>
      </c>
      <c r="O63" s="2265" t="s">
        <v>2319</v>
      </c>
      <c r="P63" s="2266" t="s">
        <v>2336</v>
      </c>
      <c r="Q63" s="2267">
        <f ca="1">Q57+Q58</f>
        <v>656</v>
      </c>
      <c r="R63" s="2270" t="s">
        <v>2320</v>
      </c>
    </row>
    <row r="64" spans="1:18" s="1934" customFormat="1" ht="16.5" thickBot="1">
      <c r="A64" s="1537" t="s">
        <v>1823</v>
      </c>
      <c r="B64" s="684" t="s">
        <v>619</v>
      </c>
      <c r="C64" s="52">
        <f ca="1">ROUND(C55*F64,1)</f>
        <v>0.2</v>
      </c>
      <c r="D64" s="2504" t="s">
        <v>620</v>
      </c>
      <c r="E64" s="684" t="s">
        <v>1680</v>
      </c>
      <c r="F64" s="718">
        <f t="shared" ca="1" si="0"/>
        <v>1.5E-3</v>
      </c>
      <c r="I64" s="2255" t="s">
        <v>2299</v>
      </c>
      <c r="J64" s="2256">
        <v>50</v>
      </c>
      <c r="K64" s="2256">
        <v>35</v>
      </c>
      <c r="L64" s="2256">
        <v>60</v>
      </c>
      <c r="M64" s="2960">
        <v>0</v>
      </c>
      <c r="O64" s="2271" t="s">
        <v>2343</v>
      </c>
      <c r="P64" s="1480"/>
      <c r="Q64" s="1492"/>
      <c r="R64" s="1480"/>
    </row>
    <row r="65" spans="1:18" s="1934" customFormat="1" ht="15.75" thickBot="1">
      <c r="A65" s="1537" t="s">
        <v>1824</v>
      </c>
      <c r="B65" s="684" t="s">
        <v>606</v>
      </c>
      <c r="C65" s="52">
        <f ca="1">ROUND(C47*F65,1)</f>
        <v>0</v>
      </c>
      <c r="D65" s="2504" t="s">
        <v>623</v>
      </c>
      <c r="E65" s="684" t="s">
        <v>1680</v>
      </c>
      <c r="F65" s="694">
        <f t="shared" ca="1" si="0"/>
        <v>0.01</v>
      </c>
      <c r="I65" s="2255" t="s">
        <v>2300</v>
      </c>
      <c r="J65" s="2256">
        <v>40</v>
      </c>
      <c r="K65" s="2256">
        <v>30</v>
      </c>
      <c r="L65" s="2256">
        <v>50</v>
      </c>
      <c r="M65" s="2959">
        <v>0.02</v>
      </c>
      <c r="O65" s="2262" t="s">
        <v>2303</v>
      </c>
      <c r="P65" s="2263" t="s">
        <v>2304</v>
      </c>
      <c r="Q65" s="2264" t="s">
        <v>2305</v>
      </c>
      <c r="R65" s="2263" t="s">
        <v>2306</v>
      </c>
    </row>
    <row r="66" spans="1:18" s="1934" customFormat="1" ht="15.75" thickBot="1">
      <c r="A66" s="697" t="s">
        <v>1709</v>
      </c>
      <c r="B66" s="2876" t="s">
        <v>2750</v>
      </c>
      <c r="C66" s="699">
        <f ca="1">C47-C57</f>
        <v>-2</v>
      </c>
      <c r="D66" s="2503" t="s">
        <v>640</v>
      </c>
      <c r="E66" s="2502"/>
      <c r="F66" s="720"/>
      <c r="K66" s="1961"/>
      <c r="O66" s="2265" t="s">
        <v>2307</v>
      </c>
      <c r="P66" s="2266" t="s">
        <v>2337</v>
      </c>
      <c r="Q66" s="2267">
        <f ca="1">C40+J29</f>
        <v>656</v>
      </c>
      <c r="R66" s="2266" t="s">
        <v>2308</v>
      </c>
    </row>
    <row r="67" spans="1:18" s="1934" customFormat="1" ht="20.25" thickBot="1">
      <c r="A67" s="681" t="s">
        <v>1713</v>
      </c>
      <c r="B67" s="2107" t="s">
        <v>2232</v>
      </c>
      <c r="C67" s="683">
        <f ca="1">ROUND(C66*(1-((1+F69)/(1+F67))^F68)/(F67-F69),0)</f>
        <v>-32</v>
      </c>
      <c r="D67" s="714" t="s">
        <v>644</v>
      </c>
      <c r="E67" s="684" t="s">
        <v>645</v>
      </c>
      <c r="F67" s="694">
        <f ca="1">F40</f>
        <v>5.5E-2</v>
      </c>
      <c r="K67" s="1961"/>
      <c r="O67" s="2265" t="s">
        <v>2309</v>
      </c>
      <c r="P67" s="2266" t="s">
        <v>2340</v>
      </c>
      <c r="Q67" s="2267">
        <f ca="1">L60</f>
        <v>0</v>
      </c>
      <c r="R67" s="2270" t="s">
        <v>2342</v>
      </c>
    </row>
    <row r="68" spans="1:18" ht="21.75" thickBot="1">
      <c r="A68" s="686"/>
      <c r="B68" s="687"/>
      <c r="C68" s="688"/>
      <c r="D68" s="721" t="s">
        <v>1741</v>
      </c>
      <c r="E68" s="684" t="s">
        <v>1717</v>
      </c>
      <c r="F68" s="722">
        <f ca="1">F41</f>
        <v>38.950000000000003</v>
      </c>
      <c r="O68" s="2268" t="s">
        <v>2311</v>
      </c>
      <c r="P68" s="2266" t="s">
        <v>2341</v>
      </c>
      <c r="Q68" s="2272">
        <f ca="1">L51</f>
        <v>311</v>
      </c>
      <c r="R68" s="2273" t="s">
        <v>2344</v>
      </c>
    </row>
    <row r="69" spans="1:18" ht="20.25" thickBot="1">
      <c r="A69" s="690"/>
      <c r="B69" s="691"/>
      <c r="C69" s="692"/>
      <c r="D69" s="716"/>
      <c r="E69" s="684" t="s">
        <v>650</v>
      </c>
      <c r="F69" s="2217"/>
      <c r="O69" s="2268" t="s">
        <v>2312</v>
      </c>
      <c r="P69" s="2274" t="s">
        <v>2326</v>
      </c>
      <c r="Q69" s="2267">
        <f ca="1">ROUND(Q70-Q71*Q72,0)</f>
        <v>18</v>
      </c>
      <c r="R69" s="2270"/>
    </row>
    <row r="70" spans="1:18" ht="15.75" thickBot="1">
      <c r="A70" s="723" t="s">
        <v>1720</v>
      </c>
      <c r="B70" s="724" t="s">
        <v>1743</v>
      </c>
      <c r="C70" s="725">
        <f ca="1">ROUND(C67*10000/F70,0)</f>
        <v>-760</v>
      </c>
      <c r="D70" s="726" t="s">
        <v>1744</v>
      </c>
      <c r="E70" s="727" t="s">
        <v>1745</v>
      </c>
      <c r="F70" s="728">
        <f ca="1">F43</f>
        <v>421</v>
      </c>
      <c r="O70" s="2268" t="s">
        <v>2327</v>
      </c>
      <c r="P70" s="2274" t="s">
        <v>2328</v>
      </c>
      <c r="Q70" s="2267">
        <f ca="1">C39</f>
        <v>27</v>
      </c>
      <c r="R70" s="2266" t="s">
        <v>2308</v>
      </c>
    </row>
    <row r="71" spans="1:18" ht="15.75" thickBot="1">
      <c r="O71" s="2268" t="s">
        <v>2329</v>
      </c>
      <c r="P71" s="2274" t="s">
        <v>2330</v>
      </c>
      <c r="Q71" s="2267">
        <f ca="1">C13</f>
        <v>104</v>
      </c>
      <c r="R71" s="2266" t="s">
        <v>2308</v>
      </c>
    </row>
    <row r="72" spans="1:18" ht="15.75" thickBot="1">
      <c r="O72" s="2268" t="s">
        <v>2331</v>
      </c>
      <c r="P72" s="2274" t="s">
        <v>2332</v>
      </c>
      <c r="Q72" s="2269">
        <f ca="1">J36</f>
        <v>8.5000000000000006E-2</v>
      </c>
      <c r="R72" s="2270"/>
    </row>
    <row r="73" spans="1:18" ht="15.75" thickBot="1">
      <c r="O73" s="2268" t="s">
        <v>2314</v>
      </c>
      <c r="P73" s="2266" t="s">
        <v>2321</v>
      </c>
      <c r="Q73" s="2269">
        <f>L52</f>
        <v>0</v>
      </c>
      <c r="R73" s="2270"/>
    </row>
    <row r="74" spans="1:18" ht="20.25" thickBot="1">
      <c r="O74" s="2268" t="s">
        <v>2316</v>
      </c>
      <c r="P74" s="2266" t="s">
        <v>2322</v>
      </c>
      <c r="Q74" s="2267" t="e">
        <f ca="1">L58</f>
        <v>#DIV/0!</v>
      </c>
      <c r="R74" s="2270" t="s">
        <v>2323</v>
      </c>
    </row>
    <row r="75" spans="1:18" ht="15.75" thickBot="1">
      <c r="O75" s="2268" t="s">
        <v>2345</v>
      </c>
      <c r="P75" s="2266" t="str">
        <f>K59</f>
        <v>建设期及建筑物耐用年限下的土地年期修正系数Kn</v>
      </c>
      <c r="Q75" s="2267" t="e">
        <f ca="1">L59</f>
        <v>#DIV/0!</v>
      </c>
      <c r="R75" s="2270" t="s">
        <v>2325</v>
      </c>
    </row>
    <row r="76" spans="1:18" ht="15.75" thickBot="1">
      <c r="O76" s="2265" t="s">
        <v>2319</v>
      </c>
      <c r="P76" s="2266" t="s">
        <v>2336</v>
      </c>
      <c r="Q76" s="2267">
        <f ca="1">Q66+Q67</f>
        <v>656</v>
      </c>
      <c r="R76" s="2270" t="s">
        <v>2320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3"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80" zoomScaleSheetLayoutView="85" workbookViewId="0">
      <selection activeCell="F10" sqref="F10"/>
    </sheetView>
  </sheetViews>
  <sheetFormatPr defaultColWidth="9" defaultRowHeight="15"/>
  <cols>
    <col min="1" max="1" width="9" style="1935" customWidth="1"/>
    <col min="2" max="2" width="24.125" style="1974" customWidth="1"/>
    <col min="3" max="3" width="11.875" style="1974" customWidth="1"/>
    <col min="4" max="4" width="40.5" style="1935" customWidth="1"/>
    <col min="5" max="5" width="15.75" style="1935" customWidth="1"/>
    <col min="6" max="6" width="10.625" style="1935" customWidth="1"/>
    <col min="7" max="7" width="4.875" style="1935" customWidth="1"/>
    <col min="8" max="8" width="8.5" style="1935" customWidth="1"/>
    <col min="9" max="9" width="21.25" style="1935" customWidth="1"/>
    <col min="10" max="10" width="12.25" style="1935" customWidth="1"/>
    <col min="11" max="11" width="40.125" style="1975" customWidth="1"/>
    <col min="12" max="12" width="18.375" style="1935" customWidth="1"/>
    <col min="13" max="13" width="13" style="1935" customWidth="1"/>
    <col min="14" max="14" width="9.5" style="1934" bestFit="1" customWidth="1"/>
    <col min="15" max="15" width="5.875" style="1934" customWidth="1"/>
    <col min="16" max="16" width="27.625" style="1934" customWidth="1"/>
    <col min="17" max="17" width="13.75" style="1972" customWidth="1"/>
    <col min="18" max="18" width="23.5" style="1934" customWidth="1"/>
    <col min="19" max="19" width="1.5" style="1934" customWidth="1"/>
    <col min="20" max="33" width="9" style="1934"/>
    <col min="34" max="16384" width="9" style="1935"/>
  </cols>
  <sheetData>
    <row r="1" spans="1:33" s="1929" customFormat="1" ht="21">
      <c r="A1" s="732" t="s">
        <v>1658</v>
      </c>
      <c r="B1" s="638"/>
      <c r="C1" s="673" t="s">
        <v>35</v>
      </c>
      <c r="D1" s="2985" t="s">
        <v>3009</v>
      </c>
      <c r="E1" s="2257" t="s">
        <v>803</v>
      </c>
      <c r="F1" s="2258">
        <f ca="1">J53</f>
        <v>38.950000000000003</v>
      </c>
      <c r="G1" s="674">
        <f>MATCH(C1,'数据-取费表'!A6:A16,0)+5</f>
        <v>8</v>
      </c>
      <c r="H1" s="1925"/>
      <c r="I1" s="1926"/>
      <c r="J1" s="1926"/>
      <c r="K1" s="1927"/>
      <c r="L1" s="1926"/>
      <c r="M1" s="1926"/>
      <c r="N1" s="1928"/>
      <c r="O1" s="1928"/>
      <c r="P1" s="1928"/>
      <c r="Q1" s="2259"/>
      <c r="R1" s="1928"/>
      <c r="S1" s="1928"/>
      <c r="T1" s="1928"/>
      <c r="U1" s="1928"/>
      <c r="V1" s="1928"/>
      <c r="W1" s="1928"/>
      <c r="X1" s="1928"/>
      <c r="Y1" s="1928"/>
      <c r="Z1" s="1928"/>
      <c r="AA1" s="1928"/>
      <c r="AB1" s="1928"/>
      <c r="AC1" s="1928"/>
      <c r="AD1" s="1928"/>
      <c r="AE1" s="1928"/>
      <c r="AF1" s="1928"/>
      <c r="AG1" s="1928"/>
    </row>
    <row r="2" spans="1:33" ht="18" customHeight="1">
      <c r="A2" s="323" t="s">
        <v>407</v>
      </c>
      <c r="B2" s="675">
        <f ca="1">C40+J29+L46</f>
        <v>4402</v>
      </c>
      <c r="C2" s="1932"/>
      <c r="D2" s="1930"/>
      <c r="E2" s="1931"/>
      <c r="F2" s="1931"/>
      <c r="G2" s="1478"/>
      <c r="H2" s="1932"/>
      <c r="I2" s="1932"/>
      <c r="J2" s="1932"/>
      <c r="K2" s="1933"/>
      <c r="L2" s="1932"/>
      <c r="M2" s="1932"/>
    </row>
    <row r="3" spans="1:33" ht="18" customHeight="1" thickBot="1">
      <c r="A3" s="733" t="s">
        <v>459</v>
      </c>
      <c r="B3" s="734">
        <f ca="1">IF(ISERROR(B2*10000/F43),0,ROUND(B2*10000/F43,0))</f>
        <v>3043</v>
      </c>
      <c r="C3" s="1932"/>
      <c r="D3" s="1930"/>
      <c r="E3" s="1931"/>
      <c r="F3" s="1931"/>
      <c r="G3" s="1478"/>
      <c r="H3" s="676" t="s">
        <v>635</v>
      </c>
      <c r="I3" s="1251"/>
      <c r="J3" s="1251"/>
      <c r="K3" s="1479"/>
      <c r="L3" s="1251"/>
      <c r="M3" s="1251"/>
    </row>
    <row r="4" spans="1:33" ht="18" customHeight="1">
      <c r="A4" s="677" t="s">
        <v>570</v>
      </c>
      <c r="B4" s="678" t="s">
        <v>571</v>
      </c>
      <c r="C4" s="678" t="s">
        <v>572</v>
      </c>
      <c r="D4" s="678" t="s">
        <v>573</v>
      </c>
      <c r="E4" s="679" t="s">
        <v>574</v>
      </c>
      <c r="F4" s="680"/>
      <c r="G4" s="1480"/>
      <c r="H4" s="677" t="s">
        <v>570</v>
      </c>
      <c r="I4" s="678" t="s">
        <v>571</v>
      </c>
      <c r="J4" s="678" t="s">
        <v>572</v>
      </c>
      <c r="K4" s="678" t="s">
        <v>573</v>
      </c>
      <c r="L4" s="679" t="s">
        <v>574</v>
      </c>
      <c r="M4" s="680"/>
    </row>
    <row r="5" spans="1:33" ht="18" customHeight="1">
      <c r="A5" s="681">
        <v>1</v>
      </c>
      <c r="B5" s="682" t="s">
        <v>2386</v>
      </c>
      <c r="C5" s="54">
        <f ca="1">C6+C10+C12</f>
        <v>288</v>
      </c>
      <c r="D5" s="2362" t="s">
        <v>2389</v>
      </c>
      <c r="E5" s="2356"/>
      <c r="F5" s="2357"/>
      <c r="G5" s="1480"/>
      <c r="H5" s="681">
        <v>1</v>
      </c>
      <c r="I5" s="682" t="s">
        <v>2386</v>
      </c>
      <c r="J5" s="54">
        <f ca="1">J6+J10+J12</f>
        <v>0</v>
      </c>
      <c r="K5" s="2362" t="s">
        <v>2389</v>
      </c>
      <c r="L5" s="2356"/>
      <c r="M5" s="2357"/>
    </row>
    <row r="6" spans="1:33" ht="18" customHeight="1">
      <c r="A6" s="1713" t="s">
        <v>1757</v>
      </c>
      <c r="B6" s="3451" t="s">
        <v>2391</v>
      </c>
      <c r="C6" s="683">
        <f ca="1">ROUND(F6*F8*F7*(1-F9)/10000,0)</f>
        <v>288</v>
      </c>
      <c r="D6" s="2363" t="s">
        <v>2390</v>
      </c>
      <c r="E6" s="684" t="s">
        <v>577</v>
      </c>
      <c r="F6" s="685">
        <f ca="1">INDIRECT("'数据-取费表'!u"&amp;$G$1)</f>
        <v>560</v>
      </c>
      <c r="G6" s="1480"/>
      <c r="H6" s="2370" t="s">
        <v>1757</v>
      </c>
      <c r="I6" s="3451" t="s">
        <v>2391</v>
      </c>
      <c r="J6" s="683">
        <f ca="1">ROUND(M6*M8*M7*(1-M9)/10000,0)</f>
        <v>0</v>
      </c>
      <c r="K6" s="241" t="s">
        <v>576</v>
      </c>
      <c r="L6" s="684" t="s">
        <v>577</v>
      </c>
      <c r="M6" s="685">
        <f ca="1">INDIRECT("'数据-取费表'!z"&amp;$G$1)</f>
        <v>0</v>
      </c>
    </row>
    <row r="7" spans="1:33" ht="18" customHeight="1">
      <c r="A7" s="2366"/>
      <c r="B7" s="3452"/>
      <c r="C7" s="688"/>
      <c r="D7" s="689"/>
      <c r="E7" s="684" t="s">
        <v>578</v>
      </c>
      <c r="F7" s="685">
        <f ca="1">IF(INDIRECT("'数据-取费表'!ah"&amp;$G$1)="",INDIRECT("'数据-取费表'!k"&amp;$G$1),INDIRECT("'数据-取费表'!ah"&amp;$G$1))</f>
        <v>476</v>
      </c>
      <c r="G7" s="1480"/>
      <c r="H7" s="2355"/>
      <c r="I7" s="3452"/>
      <c r="J7" s="688"/>
      <c r="K7" s="689"/>
      <c r="L7" s="684" t="s">
        <v>578</v>
      </c>
      <c r="M7" s="685">
        <f ca="1">F7</f>
        <v>476</v>
      </c>
    </row>
    <row r="8" spans="1:33" ht="18" customHeight="1">
      <c r="A8" s="2359"/>
      <c r="B8" s="3453"/>
      <c r="C8" s="688"/>
      <c r="D8" s="689"/>
      <c r="E8" s="684" t="s">
        <v>579</v>
      </c>
      <c r="F8" s="685">
        <f ca="1">INDIRECT("'数据-取费表'!ai"&amp;$G$1)</f>
        <v>12</v>
      </c>
      <c r="G8" s="1480"/>
      <c r="H8" s="2355"/>
      <c r="I8" s="3453"/>
      <c r="J8" s="688"/>
      <c r="K8" s="689"/>
      <c r="L8" s="684" t="s">
        <v>579</v>
      </c>
      <c r="M8" s="685">
        <f ca="1">INDIRECT("'数据-取费表'!ai"&amp;$G$1)</f>
        <v>12</v>
      </c>
    </row>
    <row r="9" spans="1:33" ht="18" customHeight="1">
      <c r="A9" s="686"/>
      <c r="B9" s="3454"/>
      <c r="C9" s="688"/>
      <c r="D9" s="689"/>
      <c r="E9" s="684" t="s">
        <v>580</v>
      </c>
      <c r="F9" s="694">
        <f ca="1">INDIRECT("'数据-取费表'!w"&amp;$G$1)</f>
        <v>0.1</v>
      </c>
      <c r="G9" s="1480"/>
      <c r="H9" s="2371"/>
      <c r="I9" s="3453"/>
      <c r="J9" s="688"/>
      <c r="K9" s="689"/>
      <c r="L9" s="695" t="s">
        <v>580</v>
      </c>
      <c r="M9" s="696">
        <f ca="1">INDIRECT("'数据-取费表'!ab"&amp;$G$1)</f>
        <v>0</v>
      </c>
    </row>
    <row r="10" spans="1:33" ht="18" customHeight="1">
      <c r="A10" s="1713" t="s">
        <v>1758</v>
      </c>
      <c r="B10" s="2360" t="s">
        <v>2387</v>
      </c>
      <c r="C10" s="699">
        <f ca="1">ROUND(IF(F10="押一",C6/12*F11,IF(F10="押二",C6/12*2*F11,IF(F10="押三",C6/12*3*F11,C11*F11))),0)</f>
        <v>0</v>
      </c>
      <c r="D10" s="2367" t="s">
        <v>2888</v>
      </c>
      <c r="E10" s="2364" t="s">
        <v>2392</v>
      </c>
      <c r="F10" s="2486" t="s">
        <v>3265</v>
      </c>
      <c r="G10" s="1480"/>
      <c r="H10" s="2427" t="s">
        <v>1758</v>
      </c>
      <c r="I10" s="2432" t="s">
        <v>2387</v>
      </c>
      <c r="J10" s="683">
        <f ca="1">ROUND(IF(M10="押一",J6/12*M11,IF(M10="押二",J6/12*2*M11,IF(M10="押三",J6/12*3*M11,J11*M11))),0)</f>
        <v>0</v>
      </c>
      <c r="K10" s="2367" t="s">
        <v>2888</v>
      </c>
      <c r="L10" s="2364" t="s">
        <v>2392</v>
      </c>
      <c r="M10" s="2486"/>
    </row>
    <row r="11" spans="1:33" ht="18" customHeight="1">
      <c r="A11" s="690"/>
      <c r="B11" s="2361" t="s">
        <v>2501</v>
      </c>
      <c r="C11" s="2365"/>
      <c r="D11" s="689"/>
      <c r="E11" s="2364" t="s">
        <v>2384</v>
      </c>
      <c r="F11" s="696">
        <f ca="1">'数据-取费表'!B39</f>
        <v>1.4999999999999999E-2</v>
      </c>
      <c r="G11" s="1480"/>
      <c r="H11" s="2428"/>
      <c r="I11" s="2361" t="s">
        <v>2501</v>
      </c>
      <c r="J11" s="2365"/>
      <c r="K11" s="2429"/>
      <c r="L11" s="2364" t="s">
        <v>2384</v>
      </c>
      <c r="M11" s="2358">
        <f ca="1">'数据-取费表'!B39</f>
        <v>1.4999999999999999E-2</v>
      </c>
    </row>
    <row r="12" spans="1:33" ht="18" hidden="1" customHeight="1" thickBot="1">
      <c r="A12" s="2403" t="s">
        <v>2395</v>
      </c>
      <c r="B12" s="2404" t="s">
        <v>2388</v>
      </c>
      <c r="C12" s="2405"/>
      <c r="D12" s="2406"/>
      <c r="E12" s="2407"/>
      <c r="F12" s="2408"/>
      <c r="G12" s="1480"/>
      <c r="H12" s="2417" t="s">
        <v>2395</v>
      </c>
      <c r="I12" s="2430" t="s">
        <v>2388</v>
      </c>
      <c r="J12" s="2431"/>
      <c r="K12" s="2406"/>
      <c r="L12" s="2407"/>
      <c r="M12" s="2420"/>
    </row>
    <row r="13" spans="1:33" ht="18" customHeight="1">
      <c r="A13" s="1712">
        <v>2</v>
      </c>
      <c r="B13" s="1710" t="s">
        <v>584</v>
      </c>
      <c r="C13" s="692">
        <f ca="1">ROUND(C29*F13,0)</f>
        <v>3991</v>
      </c>
      <c r="D13" s="1717" t="s">
        <v>2228</v>
      </c>
      <c r="E13" s="1717" t="s">
        <v>583</v>
      </c>
      <c r="F13" s="2402">
        <f ca="1">INDIRECT("'数据-取费表'!y"&amp;$G$1)</f>
        <v>1</v>
      </c>
      <c r="G13" s="1480"/>
      <c r="H13" s="1712">
        <v>2</v>
      </c>
      <c r="I13" s="1710" t="s">
        <v>584</v>
      </c>
      <c r="J13" s="1702">
        <f ca="1">ROUND(J14*J15,0)</f>
        <v>0</v>
      </c>
      <c r="K13" s="1704" t="s">
        <v>582</v>
      </c>
      <c r="L13" s="2418"/>
      <c r="M13" s="2419"/>
    </row>
    <row r="14" spans="1:33" ht="18" customHeight="1">
      <c r="A14" s="1536" t="s">
        <v>1764</v>
      </c>
      <c r="B14" s="684" t="s">
        <v>585</v>
      </c>
      <c r="C14" s="704">
        <f ca="1">INDIRECT("'数据-取费表'!m"&amp;$G$1)+INDIRECT("'数据-取费表'!t"&amp;$G$1)</f>
        <v>3075</v>
      </c>
      <c r="D14" s="3168" t="s">
        <v>586</v>
      </c>
      <c r="E14" s="3167"/>
      <c r="F14" s="705"/>
      <c r="G14" s="1480"/>
      <c r="H14" s="1537" t="s">
        <v>1757</v>
      </c>
      <c r="I14" s="2106" t="s">
        <v>2753</v>
      </c>
      <c r="J14" s="52">
        <f ca="1">C29</f>
        <v>3991</v>
      </c>
      <c r="K14" s="25"/>
      <c r="L14" s="701"/>
      <c r="M14" s="702"/>
    </row>
    <row r="15" spans="1:33" s="1939" customFormat="1" ht="18" customHeight="1" thickBot="1">
      <c r="A15" s="1536" t="s">
        <v>1765</v>
      </c>
      <c r="B15" s="684" t="s">
        <v>587</v>
      </c>
      <c r="C15" s="52">
        <f ca="1">ROUND(C14*F15,0)</f>
        <v>92</v>
      </c>
      <c r="D15" s="706" t="s">
        <v>588</v>
      </c>
      <c r="E15" s="706" t="s">
        <v>589</v>
      </c>
      <c r="F15" s="707">
        <f>'数据-取费表'!B33</f>
        <v>0.03</v>
      </c>
      <c r="G15" s="1481"/>
      <c r="H15" s="2417" t="s">
        <v>1822</v>
      </c>
      <c r="I15" s="2412" t="s">
        <v>583</v>
      </c>
      <c r="J15" s="2421">
        <f ca="1">INDIRECT("'数据-取费表'!ad"&amp;$G$1)</f>
        <v>0</v>
      </c>
      <c r="K15" s="2422"/>
      <c r="L15" s="2423"/>
      <c r="M15" s="2424"/>
      <c r="N15" s="1938"/>
      <c r="O15" s="1938"/>
      <c r="P15" s="1938"/>
      <c r="Q15" s="2260"/>
      <c r="R15" s="1938"/>
      <c r="S15" s="1938"/>
      <c r="T15" s="1938"/>
      <c r="U15" s="1938"/>
      <c r="V15" s="1938"/>
      <c r="W15" s="1938"/>
      <c r="X15" s="1938"/>
      <c r="Y15" s="1938"/>
      <c r="Z15" s="1938"/>
      <c r="AA15" s="1938"/>
      <c r="AB15" s="1938"/>
      <c r="AC15" s="1938"/>
      <c r="AD15" s="1938"/>
      <c r="AE15" s="1938"/>
      <c r="AF15" s="1938"/>
      <c r="AG15" s="1938"/>
    </row>
    <row r="16" spans="1:33" ht="18" customHeight="1" thickTop="1">
      <c r="A16" s="1536" t="s">
        <v>1766</v>
      </c>
      <c r="B16" s="684" t="s">
        <v>590</v>
      </c>
      <c r="C16" s="52">
        <f ca="1">ROUND(INDIRECT("'数据-取费表'!m"&amp;$G$1)*F16,0)</f>
        <v>0</v>
      </c>
      <c r="D16" s="684" t="s">
        <v>588</v>
      </c>
      <c r="E16" s="684" t="s">
        <v>589</v>
      </c>
      <c r="F16" s="709">
        <f ca="1">IF(INDIRECT("'数据-取费表'!c"&amp;$G$1)="住宅",'数据-取费表'!B34,0)</f>
        <v>0</v>
      </c>
      <c r="G16" s="1480"/>
      <c r="H16" s="1712" t="s">
        <v>7</v>
      </c>
      <c r="I16" s="1710" t="s">
        <v>591</v>
      </c>
      <c r="J16" s="692">
        <f ca="1">ROUND(J17+J22+J23+J24,0)</f>
        <v>398</v>
      </c>
      <c r="K16" s="1704" t="s">
        <v>592</v>
      </c>
      <c r="L16" s="3170"/>
      <c r="M16" s="2357"/>
    </row>
    <row r="17" spans="1:33" s="1939" customFormat="1" ht="18" customHeight="1">
      <c r="A17" s="1536" t="s">
        <v>1820</v>
      </c>
      <c r="B17" s="684" t="s">
        <v>593</v>
      </c>
      <c r="C17" s="52">
        <f ca="1">ROUND(F17*(F43+INDIRECT("'数据-取费表'!S"&amp;$G$1))/10000,0)</f>
        <v>308</v>
      </c>
      <c r="D17" s="684" t="s">
        <v>594</v>
      </c>
      <c r="E17" s="684" t="s">
        <v>595</v>
      </c>
      <c r="F17" s="55">
        <f>'数据-取费表'!B35</f>
        <v>200</v>
      </c>
      <c r="G17" s="1481"/>
      <c r="H17" s="1537" t="s">
        <v>1757</v>
      </c>
      <c r="I17" s="684" t="s">
        <v>596</v>
      </c>
      <c r="J17" s="52">
        <f ca="1">ROUND(IF(项目基本情况!B11="自然人",J5*M17,J18+J19+J20),0)</f>
        <v>338</v>
      </c>
      <c r="K17" s="3168" t="s">
        <v>597</v>
      </c>
      <c r="L17" s="3169" t="s">
        <v>598</v>
      </c>
      <c r="M17" s="710" t="str">
        <f ca="1">IF(项目基本情况!B11="企业","",IF(INDIRECT("'数据-取费表'!c"&amp;$G$1)="住宅",5%,IF(M6*M7*M8/12/(1+'数据-取费表'!C42)&gt;20000,12%,7%)))</f>
        <v/>
      </c>
      <c r="N17" s="1938"/>
      <c r="O17" s="1938"/>
      <c r="P17" s="1938"/>
      <c r="Q17" s="2260"/>
      <c r="R17" s="1938"/>
      <c r="S17" s="1938"/>
      <c r="T17" s="1938"/>
      <c r="U17" s="1938"/>
      <c r="V17" s="1938"/>
      <c r="W17" s="1938"/>
      <c r="X17" s="1938"/>
      <c r="Y17" s="1938"/>
      <c r="Z17" s="1938"/>
      <c r="AA17" s="1938"/>
      <c r="AB17" s="1938"/>
      <c r="AC17" s="1938"/>
      <c r="AD17" s="1938"/>
      <c r="AE17" s="1938"/>
      <c r="AF17" s="1938"/>
      <c r="AG17" s="1938"/>
    </row>
    <row r="18" spans="1:33" s="1939" customFormat="1" ht="18" customHeight="1">
      <c r="A18" s="1536" t="s">
        <v>1821</v>
      </c>
      <c r="B18" s="684" t="s">
        <v>599</v>
      </c>
      <c r="C18" s="52">
        <f ca="1">ROUND(C14*F18,0)</f>
        <v>46</v>
      </c>
      <c r="D18" s="684" t="s">
        <v>588</v>
      </c>
      <c r="E18" s="684" t="s">
        <v>589</v>
      </c>
      <c r="F18" s="709">
        <f>'数据-取费表'!B36</f>
        <v>1.4999999999999999E-2</v>
      </c>
      <c r="G18" s="1481"/>
      <c r="H18" s="1536" t="s">
        <v>1764</v>
      </c>
      <c r="I18" s="684" t="s">
        <v>600</v>
      </c>
      <c r="J18" s="52">
        <f ca="1">ROUND(J5*M18/1.05,1)</f>
        <v>0</v>
      </c>
      <c r="K18" s="3169" t="s">
        <v>601</v>
      </c>
      <c r="L18" s="684" t="s">
        <v>589</v>
      </c>
      <c r="M18" s="709">
        <f>'数据-取费表'!B41</f>
        <v>5.5000000000000007E-2</v>
      </c>
      <c r="N18" s="1938"/>
      <c r="O18" s="1938"/>
      <c r="P18" s="1938"/>
      <c r="Q18" s="2260"/>
      <c r="R18" s="1938"/>
      <c r="S18" s="1938"/>
      <c r="T18" s="1938"/>
      <c r="U18" s="1938"/>
      <c r="V18" s="1938"/>
      <c r="W18" s="1938"/>
      <c r="X18" s="1938"/>
      <c r="Y18" s="1938"/>
      <c r="Z18" s="1938"/>
      <c r="AA18" s="1938"/>
      <c r="AB18" s="1938"/>
      <c r="AC18" s="1938"/>
      <c r="AD18" s="1938"/>
      <c r="AE18" s="1938"/>
      <c r="AF18" s="1938"/>
      <c r="AG18" s="1938"/>
    </row>
    <row r="19" spans="1:33" ht="18" customHeight="1">
      <c r="A19" s="1537" t="s">
        <v>1757</v>
      </c>
      <c r="B19" s="684" t="s">
        <v>602</v>
      </c>
      <c r="C19" s="52">
        <f ca="1">SUM(C14:C18)</f>
        <v>3521</v>
      </c>
      <c r="D19" s="165" t="s">
        <v>603</v>
      </c>
      <c r="E19" s="3171"/>
      <c r="F19" s="55"/>
      <c r="G19" s="1480"/>
      <c r="H19" s="1536" t="s">
        <v>1765</v>
      </c>
      <c r="I19" s="684" t="s">
        <v>604</v>
      </c>
      <c r="J19" s="52">
        <f ca="1">IF(K19="按租金收入计税",ROUND(J5*M19,1),ROUND(C29*F33*0.7,1))</f>
        <v>335.2</v>
      </c>
      <c r="K19" s="711" t="s">
        <v>605</v>
      </c>
      <c r="L19" s="684" t="s">
        <v>589</v>
      </c>
      <c r="M19" s="709">
        <f>IF(K19="按租金收入计税",'数据-取费表'!B51,'数据-取费表'!B50)</f>
        <v>1.2E-2</v>
      </c>
    </row>
    <row r="20" spans="1:33" s="1939" customFormat="1" ht="18" customHeight="1">
      <c r="A20" s="1537" t="s">
        <v>1822</v>
      </c>
      <c r="B20" s="684" t="s">
        <v>606</v>
      </c>
      <c r="C20" s="52">
        <f ca="1">ROUND(C19*F20,0)</f>
        <v>35</v>
      </c>
      <c r="D20" s="712" t="s">
        <v>607</v>
      </c>
      <c r="E20" s="684" t="s">
        <v>589</v>
      </c>
      <c r="F20" s="709">
        <f>'数据-取费表'!B37</f>
        <v>0.01</v>
      </c>
      <c r="G20" s="1481"/>
      <c r="H20" s="1539" t="s">
        <v>1766</v>
      </c>
      <c r="I20" s="241" t="s">
        <v>608</v>
      </c>
      <c r="J20" s="53">
        <f ca="1">ROUND(M20*M21/10000,0)</f>
        <v>3</v>
      </c>
      <c r="K20" s="714" t="s">
        <v>609</v>
      </c>
      <c r="L20" s="684" t="s">
        <v>610</v>
      </c>
      <c r="M20" s="540">
        <f>'数据-取费表'!B52</f>
        <v>4</v>
      </c>
      <c r="N20" s="1938"/>
      <c r="O20" s="1938"/>
      <c r="P20" s="1938"/>
      <c r="Q20" s="2260"/>
      <c r="R20" s="1938"/>
      <c r="S20" s="1938"/>
      <c r="T20" s="1938"/>
      <c r="U20" s="1938"/>
      <c r="V20" s="1938"/>
      <c r="W20" s="1938"/>
      <c r="X20" s="1938"/>
      <c r="Y20" s="1938"/>
      <c r="Z20" s="1938"/>
      <c r="AA20" s="1938"/>
      <c r="AB20" s="1938"/>
      <c r="AC20" s="1938"/>
      <c r="AD20" s="1938"/>
      <c r="AE20" s="1938"/>
      <c r="AF20" s="1938"/>
      <c r="AG20" s="1938"/>
    </row>
    <row r="21" spans="1:33" s="1939" customFormat="1" ht="18" customHeight="1">
      <c r="A21" s="1537" t="s">
        <v>1823</v>
      </c>
      <c r="B21" s="684" t="s">
        <v>611</v>
      </c>
      <c r="C21" s="52" t="s">
        <v>1</v>
      </c>
      <c r="D21" s="712" t="s">
        <v>2229</v>
      </c>
      <c r="E21" s="684" t="s">
        <v>613</v>
      </c>
      <c r="F21" s="709">
        <f>'数据-取费表'!B38</f>
        <v>0.01</v>
      </c>
      <c r="G21" s="1481"/>
      <c r="H21" s="2372"/>
      <c r="I21" s="693"/>
      <c r="J21" s="68"/>
      <c r="K21" s="716"/>
      <c r="L21" s="684" t="s">
        <v>614</v>
      </c>
      <c r="M21" s="685">
        <f ca="1">INDIRECT("'数据-取费表'!r"&amp;$G$1)</f>
        <v>6557.91</v>
      </c>
      <c r="N21" s="1938"/>
      <c r="O21" s="1938"/>
      <c r="P21" s="1938"/>
      <c r="Q21" s="2260"/>
      <c r="R21" s="1938"/>
      <c r="S21" s="1938"/>
      <c r="T21" s="1938"/>
      <c r="U21" s="1938"/>
      <c r="V21" s="1938"/>
      <c r="W21" s="1938"/>
      <c r="X21" s="1938"/>
      <c r="Y21" s="1938"/>
      <c r="Z21" s="1938"/>
      <c r="AA21" s="1938"/>
      <c r="AB21" s="1938"/>
      <c r="AC21" s="1938"/>
      <c r="AD21" s="1938"/>
      <c r="AE21" s="1938"/>
      <c r="AF21" s="1938"/>
      <c r="AG21" s="1938"/>
    </row>
    <row r="22" spans="1:33" ht="18" customHeight="1">
      <c r="A22" s="1537" t="s">
        <v>1824</v>
      </c>
      <c r="B22" s="684" t="s">
        <v>615</v>
      </c>
      <c r="C22" s="52"/>
      <c r="D22" s="2438" t="str">
        <f>IF(F23&lt;=1,"单利计息。","复利计息。")&amp;"建造成本、管理费用、销售费用产生的利息。"</f>
        <v>单利计息。建造成本、管理费用、销售费用产生的利息。</v>
      </c>
      <c r="E22" s="3171"/>
      <c r="F22" s="55"/>
      <c r="G22" s="1480"/>
      <c r="H22" s="1537" t="s">
        <v>1822</v>
      </c>
      <c r="I22" s="684" t="s">
        <v>616</v>
      </c>
      <c r="J22" s="52">
        <f ca="1">ROUND(J14*M22,0)</f>
        <v>60</v>
      </c>
      <c r="K22" s="3169" t="s">
        <v>617</v>
      </c>
      <c r="L22" s="684" t="s">
        <v>589</v>
      </c>
      <c r="M22" s="717">
        <f ca="1">INDIRECT("'数据-取费表'!Ak"&amp;$G$1)</f>
        <v>1.4999999999999999E-2</v>
      </c>
    </row>
    <row r="23" spans="1:33" s="1939" customFormat="1" ht="18" customHeight="1">
      <c r="A23" s="1536" t="s">
        <v>1764</v>
      </c>
      <c r="B23" s="684" t="s">
        <v>2365</v>
      </c>
      <c r="C23" s="52">
        <f ca="1">ROUND(IF('数据-取费表'!B22&lt;=1,(C19+C20)*F24*F23/2,(C19+C20)*(POWER((1+F24),F23/2)-1)),0)</f>
        <v>77</v>
      </c>
      <c r="D23" s="2437" t="str">
        <f>IF(F23&lt;=1,"(建造成本+管理费用)×利率×(建设周期÷2)","(建造成本+管理费用)×((1+利率)^(建设周期÷2)-1)")</f>
        <v>(建造成本+管理费用)×利率×(建设周期÷2)</v>
      </c>
      <c r="E23" s="684" t="s">
        <v>618</v>
      </c>
      <c r="F23" s="540">
        <f>'数据-取费表'!B20</f>
        <v>1</v>
      </c>
      <c r="G23" s="1481"/>
      <c r="H23" s="1537" t="s">
        <v>1823</v>
      </c>
      <c r="I23" s="684" t="s">
        <v>619</v>
      </c>
      <c r="J23" s="52">
        <f ca="1">ROUND(J13*M23,0)</f>
        <v>0</v>
      </c>
      <c r="K23" s="3169" t="s">
        <v>620</v>
      </c>
      <c r="L23" s="684" t="s">
        <v>589</v>
      </c>
      <c r="M23" s="718">
        <f ca="1">INDIRECT("'数据-取费表'!Al"&amp;$G$1)</f>
        <v>1.5E-3</v>
      </c>
      <c r="N23" s="1938"/>
      <c r="O23" s="1938"/>
      <c r="P23" s="1938"/>
      <c r="Q23" s="2260"/>
      <c r="R23" s="1938"/>
      <c r="S23" s="1938"/>
      <c r="T23" s="1938"/>
      <c r="U23" s="1938"/>
      <c r="V23" s="1938"/>
      <c r="W23" s="1938"/>
      <c r="X23" s="1938"/>
      <c r="Y23" s="1938"/>
      <c r="Z23" s="1938"/>
      <c r="AA23" s="1938"/>
      <c r="AB23" s="1938"/>
      <c r="AC23" s="1938"/>
      <c r="AD23" s="1938"/>
      <c r="AE23" s="1938"/>
      <c r="AF23" s="1938"/>
      <c r="AG23" s="1938"/>
    </row>
    <row r="24" spans="1:33" s="1939" customFormat="1" ht="18" customHeight="1" thickBot="1">
      <c r="A24" s="1536" t="s">
        <v>1765</v>
      </c>
      <c r="B24" s="684" t="s">
        <v>621</v>
      </c>
      <c r="C24" s="52">
        <f ca="1">ROUND(IF('数据-取费表'!B22&lt;=1,F21*F24*F23/2,F21*(POWER((1+F24),F23/2)-1)),4)</f>
        <v>2.0000000000000001E-4</v>
      </c>
      <c r="D24" s="2437" t="str">
        <f>IF(F23&lt;=1,"销售费用×利率×(建设周期÷2)","销售费用×((1+利率)^(建设周期÷2)-1)")</f>
        <v>销售费用×利率×(建设周期÷2)</v>
      </c>
      <c r="E24" s="684" t="s">
        <v>622</v>
      </c>
      <c r="F24" s="719">
        <f ca="1">'数据-取费表'!B40</f>
        <v>4.3499999999999997E-2</v>
      </c>
      <c r="G24" s="1481"/>
      <c r="H24" s="2417" t="s">
        <v>1824</v>
      </c>
      <c r="I24" s="2412" t="s">
        <v>606</v>
      </c>
      <c r="J24" s="2410">
        <f ca="1">ROUND(J5*M24,0)</f>
        <v>0</v>
      </c>
      <c r="K24" s="2411" t="s">
        <v>623</v>
      </c>
      <c r="L24" s="2412" t="s">
        <v>589</v>
      </c>
      <c r="M24" s="2408">
        <f ca="1">INDIRECT("'数据-取费表'!Am"&amp;$G$1)</f>
        <v>0.01</v>
      </c>
      <c r="N24" s="1938"/>
      <c r="O24" s="1938"/>
      <c r="P24" s="1938"/>
      <c r="Q24" s="2260"/>
      <c r="R24" s="1938"/>
      <c r="S24" s="1938"/>
      <c r="T24" s="1938"/>
      <c r="U24" s="1938"/>
      <c r="V24" s="1938"/>
      <c r="W24" s="1938"/>
      <c r="X24" s="1938"/>
      <c r="Y24" s="1938"/>
      <c r="Z24" s="1938"/>
      <c r="AA24" s="1938"/>
      <c r="AB24" s="1938"/>
      <c r="AC24" s="1938"/>
      <c r="AD24" s="1938"/>
      <c r="AE24" s="1938"/>
      <c r="AF24" s="1938"/>
      <c r="AG24" s="1938"/>
    </row>
    <row r="25" spans="1:33" ht="18" customHeight="1" thickTop="1">
      <c r="A25" s="1538" t="s">
        <v>1773</v>
      </c>
      <c r="B25" s="684" t="s">
        <v>624</v>
      </c>
      <c r="C25" s="52"/>
      <c r="D25" s="165" t="s">
        <v>625</v>
      </c>
      <c r="E25" s="3171"/>
      <c r="F25" s="55"/>
      <c r="G25" s="1480"/>
      <c r="H25" s="1712" t="s">
        <v>1709</v>
      </c>
      <c r="I25" s="2875" t="s">
        <v>2750</v>
      </c>
      <c r="J25" s="692">
        <f ca="1">J5-J16</f>
        <v>-398</v>
      </c>
      <c r="K25" s="2414" t="s">
        <v>640</v>
      </c>
      <c r="L25" s="2415"/>
      <c r="M25" s="2416"/>
    </row>
    <row r="26" spans="1:33" ht="18" customHeight="1">
      <c r="A26" s="1536" t="s">
        <v>1764</v>
      </c>
      <c r="B26" s="684" t="s">
        <v>2366</v>
      </c>
      <c r="C26" s="52">
        <f ca="1">ROUND((C19+C20)*F26,0)</f>
        <v>107</v>
      </c>
      <c r="D26" s="712" t="s">
        <v>641</v>
      </c>
      <c r="E26" s="695" t="s">
        <v>642</v>
      </c>
      <c r="F26" s="694">
        <f ca="1">INDIRECT("'数据-取费表'!q"&amp;$G$1)</f>
        <v>0.03</v>
      </c>
      <c r="G26" s="1480"/>
      <c r="H26" s="2368" t="s">
        <v>1713</v>
      </c>
      <c r="I26" s="2107" t="s">
        <v>2755</v>
      </c>
      <c r="J26" s="683">
        <f ca="1">IF(J5&lt;&gt;0,ROUND(J25*(1-((1+M28)/(1+M26))^M27)/(M26-M28),0),0)</f>
        <v>0</v>
      </c>
      <c r="K26" s="714" t="s">
        <v>644</v>
      </c>
      <c r="L26" s="684" t="s">
        <v>2347</v>
      </c>
      <c r="M26" s="694">
        <f ca="1">INDIRECT("'数据-取费表'!I"&amp;$G$1)</f>
        <v>0.05</v>
      </c>
    </row>
    <row r="27" spans="1:33" ht="18" customHeight="1">
      <c r="A27" s="1536" t="s">
        <v>1765</v>
      </c>
      <c r="B27" s="684" t="s">
        <v>626</v>
      </c>
      <c r="C27" s="52">
        <f ca="1">ROUND(F21*F26,4)</f>
        <v>2.9999999999999997E-4</v>
      </c>
      <c r="D27" s="712" t="s">
        <v>646</v>
      </c>
      <c r="E27" s="706"/>
      <c r="F27" s="707"/>
      <c r="G27" s="1480"/>
      <c r="H27" s="2369"/>
      <c r="I27" s="687"/>
      <c r="J27" s="688"/>
      <c r="K27" s="721" t="s">
        <v>647</v>
      </c>
      <c r="L27" s="684" t="s">
        <v>648</v>
      </c>
      <c r="M27" s="722">
        <f ca="1">INDIRECT("'数据-取费表'!ag"&amp;$G$1)</f>
        <v>0</v>
      </c>
    </row>
    <row r="28" spans="1:33" s="1939" customFormat="1" ht="18" customHeight="1">
      <c r="A28" s="1538" t="s">
        <v>1774</v>
      </c>
      <c r="B28" s="684" t="s">
        <v>627</v>
      </c>
      <c r="C28" s="52">
        <f>ROUND(F28/(1+'数据-取费表'!C42),4)</f>
        <v>5.2400000000000002E-2</v>
      </c>
      <c r="D28" s="712" t="s">
        <v>2230</v>
      </c>
      <c r="E28" s="684" t="s">
        <v>589</v>
      </c>
      <c r="F28" s="709">
        <f>'数据-取费表'!B41</f>
        <v>5.5000000000000007E-2</v>
      </c>
      <c r="G28" s="1481"/>
      <c r="H28" s="1712"/>
      <c r="I28" s="691"/>
      <c r="J28" s="692"/>
      <c r="K28" s="716"/>
      <c r="L28" s="684" t="s">
        <v>650</v>
      </c>
      <c r="M28" s="694">
        <f ca="1">INDIRECT("'数据-取费表'!aa"&amp;$G$1)</f>
        <v>0</v>
      </c>
      <c r="N28" s="1938"/>
      <c r="O28" s="1938"/>
      <c r="P28" s="1938"/>
      <c r="Q28" s="2260"/>
      <c r="R28" s="1938"/>
      <c r="S28" s="1938"/>
      <c r="T28" s="1938"/>
      <c r="U28" s="1938"/>
      <c r="V28" s="1938"/>
      <c r="W28" s="1938"/>
      <c r="X28" s="1938"/>
      <c r="Y28" s="1938"/>
      <c r="Z28" s="1938"/>
      <c r="AA28" s="1938"/>
      <c r="AB28" s="1938"/>
      <c r="AC28" s="1938"/>
      <c r="AD28" s="1938"/>
      <c r="AE28" s="1938"/>
      <c r="AF28" s="1938"/>
      <c r="AG28" s="1938"/>
    </row>
    <row r="29" spans="1:33" s="1939" customFormat="1" ht="18" customHeight="1" thickBot="1">
      <c r="A29" s="2409" t="s">
        <v>1825</v>
      </c>
      <c r="B29" s="2407" t="s">
        <v>2231</v>
      </c>
      <c r="C29" s="2410">
        <f ca="1">ROUND((C19+C20+C23+C26)/(1-F21-C24-C27-C28),0)</f>
        <v>3991</v>
      </c>
      <c r="D29" s="2411"/>
      <c r="E29" s="2412"/>
      <c r="F29" s="2413"/>
      <c r="G29" s="1481"/>
      <c r="H29" s="723" t="s">
        <v>1720</v>
      </c>
      <c r="I29" s="724" t="s">
        <v>1721</v>
      </c>
      <c r="J29" s="725">
        <f ca="1">ROUND(J26/(1+F40)^F41,0)</f>
        <v>0</v>
      </c>
      <c r="K29" s="726" t="s">
        <v>628</v>
      </c>
      <c r="L29" s="727"/>
      <c r="M29" s="728">
        <f ca="1">INDIRECT("'数据-取费表'!k"&amp;$G$1)</f>
        <v>14467</v>
      </c>
      <c r="N29" s="1938"/>
      <c r="O29" s="1938"/>
      <c r="P29" s="1938"/>
      <c r="Q29" s="2260"/>
      <c r="R29" s="1938"/>
      <c r="S29" s="1938"/>
      <c r="T29" s="1938"/>
      <c r="U29" s="1938"/>
      <c r="V29" s="1938"/>
      <c r="W29" s="1938"/>
      <c r="X29" s="1938"/>
      <c r="Y29" s="1938"/>
      <c r="Z29" s="1938"/>
      <c r="AA29" s="1938"/>
      <c r="AB29" s="1938"/>
      <c r="AC29" s="1938"/>
      <c r="AD29" s="1938"/>
      <c r="AE29" s="1938"/>
      <c r="AF29" s="1938"/>
      <c r="AG29" s="1938"/>
    </row>
    <row r="30" spans="1:33" ht="18" customHeight="1" thickTop="1">
      <c r="A30" s="1712" t="s">
        <v>7</v>
      </c>
      <c r="B30" s="1710" t="s">
        <v>591</v>
      </c>
      <c r="C30" s="692">
        <f ca="1">ROUND(C31+C36+C37+C38,0)</f>
        <v>121</v>
      </c>
      <c r="D30" s="1704" t="s">
        <v>592</v>
      </c>
      <c r="E30" s="3170"/>
      <c r="F30" s="2357"/>
      <c r="G30" s="1937"/>
      <c r="H30" s="1940"/>
      <c r="I30" s="1941"/>
      <c r="J30" s="1942"/>
      <c r="K30" s="1943"/>
      <c r="L30" s="1944"/>
      <c r="M30" s="1945"/>
    </row>
    <row r="31" spans="1:33" ht="18" customHeight="1">
      <c r="A31" s="1537" t="s">
        <v>1757</v>
      </c>
      <c r="B31" s="684" t="s">
        <v>596</v>
      </c>
      <c r="C31" s="52">
        <f ca="1">ROUND(IF(项目基本情况!B11="自然人",C5*F31,C32+C33+C34),1)</f>
        <v>52.3</v>
      </c>
      <c r="D31" s="3168" t="s">
        <v>597</v>
      </c>
      <c r="E31" s="3169" t="s">
        <v>630</v>
      </c>
      <c r="F31" s="710" t="str">
        <f ca="1">IF(项目基本情况!B11="企业","",IF(INDIRECT("'数据-取费表'!c"&amp;$G$1)="住宅",5%,IF(F6*F7*F8/12/(1+'数据-取费表'!C42)&gt;20000,12%,7%)))</f>
        <v/>
      </c>
      <c r="G31" s="1937"/>
      <c r="H31" s="1940"/>
      <c r="I31" s="1941"/>
      <c r="J31" s="1942"/>
      <c r="K31" s="1943"/>
      <c r="L31" s="1944"/>
      <c r="M31" s="1945"/>
    </row>
    <row r="32" spans="1:33" ht="18" customHeight="1">
      <c r="A32" s="1536" t="s">
        <v>1764</v>
      </c>
      <c r="B32" s="684" t="s">
        <v>600</v>
      </c>
      <c r="C32" s="52">
        <f ca="1">ROUND(C5*F32/1.05,1)</f>
        <v>15.1</v>
      </c>
      <c r="D32" s="3169" t="s">
        <v>601</v>
      </c>
      <c r="E32" s="684" t="s">
        <v>589</v>
      </c>
      <c r="F32" s="709">
        <f>'数据-取费表'!B41</f>
        <v>5.5000000000000007E-2</v>
      </c>
      <c r="G32" s="1937"/>
      <c r="H32" s="1946"/>
      <c r="I32" s="1947"/>
      <c r="J32" s="1948"/>
      <c r="K32" s="1949"/>
      <c r="L32" s="1950"/>
      <c r="M32" s="1951"/>
    </row>
    <row r="33" spans="1:18" ht="18" customHeight="1">
      <c r="A33" s="1536" t="s">
        <v>1765</v>
      </c>
      <c r="B33" s="684" t="s">
        <v>604</v>
      </c>
      <c r="C33" s="52">
        <f ca="1">IF(D33="按租金收入计税",ROUND(C5*F33,1),IF(D33="按房产原值计税",ROUND(C29*F33*0.7,1),INDIRECT("'数据-取费表'!Aj"&amp;$G$1)))</f>
        <v>34.6</v>
      </c>
      <c r="D33" s="711" t="s">
        <v>3007</v>
      </c>
      <c r="E33" s="684" t="s">
        <v>589</v>
      </c>
      <c r="F33" s="709">
        <f>IF(D33="按租金收入计税",'数据-取费表'!B51,'数据-取费表'!B50)</f>
        <v>0.12</v>
      </c>
      <c r="G33" s="1937"/>
      <c r="H33" s="1952"/>
      <c r="I33" s="1952"/>
      <c r="J33" s="1952"/>
      <c r="K33" s="1953"/>
      <c r="L33" s="1952"/>
      <c r="M33" s="1952"/>
    </row>
    <row r="34" spans="1:18" ht="18" customHeight="1">
      <c r="A34" s="1539" t="s">
        <v>1766</v>
      </c>
      <c r="B34" s="241" t="s">
        <v>608</v>
      </c>
      <c r="C34" s="53">
        <f ca="1">ROUND(F34*F35/10000,1)</f>
        <v>2.6</v>
      </c>
      <c r="D34" s="714" t="s">
        <v>609</v>
      </c>
      <c r="E34" s="684" t="s">
        <v>610</v>
      </c>
      <c r="F34" s="540">
        <f>'数据-取费表'!B52</f>
        <v>4</v>
      </c>
      <c r="G34" s="1937"/>
      <c r="H34" s="1940"/>
      <c r="I34" s="735" t="s">
        <v>1746</v>
      </c>
      <c r="J34" s="736"/>
      <c r="K34" s="1955"/>
      <c r="L34" s="1954"/>
      <c r="M34" s="1954"/>
    </row>
    <row r="35" spans="1:18" ht="18" customHeight="1">
      <c r="A35" s="715"/>
      <c r="B35" s="693"/>
      <c r="C35" s="68"/>
      <c r="D35" s="716"/>
      <c r="E35" s="684" t="s">
        <v>614</v>
      </c>
      <c r="F35" s="685">
        <f ca="1">INDIRECT("'数据-取费表'!r"&amp;$G$1)</f>
        <v>6557.91</v>
      </c>
      <c r="G35" s="1937"/>
      <c r="H35" s="1940"/>
      <c r="I35" s="737" t="s">
        <v>1747</v>
      </c>
      <c r="J35" s="738">
        <f ca="1">ROUND(C13*J36,0)</f>
        <v>339</v>
      </c>
      <c r="K35" s="1953"/>
      <c r="L35" s="1952"/>
      <c r="M35" s="1952"/>
    </row>
    <row r="36" spans="1:18" ht="18" customHeight="1">
      <c r="A36" s="1537" t="s">
        <v>1822</v>
      </c>
      <c r="B36" s="684" t="s">
        <v>616</v>
      </c>
      <c r="C36" s="52">
        <f ca="1">ROUND(C29*F36,1)</f>
        <v>59.9</v>
      </c>
      <c r="D36" s="3169" t="s">
        <v>631</v>
      </c>
      <c r="E36" s="684" t="s">
        <v>589</v>
      </c>
      <c r="F36" s="717">
        <f ca="1">INDIRECT("'数据-取费表'!Ak"&amp;$G$1)</f>
        <v>1.4999999999999999E-2</v>
      </c>
      <c r="G36" s="1937"/>
      <c r="H36" s="1952"/>
      <c r="I36" s="739" t="s">
        <v>1748</v>
      </c>
      <c r="J36" s="740">
        <f ca="1">INDIRECT("'数据-取费表'!j"&amp;$G$1)</f>
        <v>8.5000000000000006E-2</v>
      </c>
      <c r="K36" s="1957"/>
      <c r="L36" s="1952"/>
      <c r="M36" s="1952"/>
    </row>
    <row r="37" spans="1:18" ht="18" customHeight="1">
      <c r="A37" s="1537" t="s">
        <v>1823</v>
      </c>
      <c r="B37" s="684" t="s">
        <v>619</v>
      </c>
      <c r="C37" s="52">
        <f ca="1">ROUND(C13*F37,1)</f>
        <v>6</v>
      </c>
      <c r="D37" s="3169" t="s">
        <v>620</v>
      </c>
      <c r="E37" s="684" t="s">
        <v>589</v>
      </c>
      <c r="F37" s="718">
        <f ca="1">INDIRECT("'数据-取费表'!Al"&amp;$G$1)</f>
        <v>1.5E-3</v>
      </c>
      <c r="G37" s="1937"/>
      <c r="H37" s="1952"/>
      <c r="I37" s="741" t="s">
        <v>1749</v>
      </c>
      <c r="J37" s="742"/>
      <c r="K37" s="1957"/>
      <c r="L37" s="1952"/>
      <c r="M37" s="1952"/>
    </row>
    <row r="38" spans="1:18" ht="18" customHeight="1" thickBot="1">
      <c r="A38" s="2417" t="s">
        <v>1824</v>
      </c>
      <c r="B38" s="2412" t="s">
        <v>606</v>
      </c>
      <c r="C38" s="2410">
        <f ca="1">ROUND(C5*F38,1)</f>
        <v>2.9</v>
      </c>
      <c r="D38" s="2411" t="s">
        <v>623</v>
      </c>
      <c r="E38" s="2412" t="s">
        <v>589</v>
      </c>
      <c r="F38" s="2408">
        <f ca="1">INDIRECT("'数据-取费表'!Am"&amp;$G$1)</f>
        <v>0.01</v>
      </c>
      <c r="G38" s="1937"/>
      <c r="H38" s="1952"/>
      <c r="I38" s="743" t="s">
        <v>1750</v>
      </c>
      <c r="J38" s="744"/>
      <c r="K38" s="1958"/>
      <c r="L38" s="1952"/>
      <c r="M38" s="1952"/>
    </row>
    <row r="39" spans="1:18" ht="24.6" customHeight="1" thickTop="1">
      <c r="A39" s="1712" t="s">
        <v>1709</v>
      </c>
      <c r="B39" s="2875" t="s">
        <v>2750</v>
      </c>
      <c r="C39" s="692">
        <f ca="1">C5-C30</f>
        <v>167</v>
      </c>
      <c r="D39" s="2414" t="s">
        <v>640</v>
      </c>
      <c r="E39" s="2415"/>
      <c r="F39" s="2416"/>
      <c r="G39" s="1937"/>
      <c r="H39" s="1952"/>
      <c r="I39" s="737" t="s">
        <v>1751</v>
      </c>
      <c r="J39" s="745">
        <f ca="1">ROUND(J35/C39,3)</f>
        <v>2.0299999999999998</v>
      </c>
      <c r="K39" s="1958"/>
      <c r="L39" s="1952"/>
      <c r="M39" s="1952"/>
    </row>
    <row r="40" spans="1:18" ht="18" customHeight="1">
      <c r="A40" s="681" t="s">
        <v>1713</v>
      </c>
      <c r="B40" s="2107" t="s">
        <v>2232</v>
      </c>
      <c r="C40" s="683">
        <f ca="1">ROUND(C39*(1-((1+F42)/(1+F40))^F41)/(F40-F42),0)</f>
        <v>4402</v>
      </c>
      <c r="D40" s="714" t="s">
        <v>644</v>
      </c>
      <c r="E40" s="684" t="s">
        <v>2347</v>
      </c>
      <c r="F40" s="694">
        <f ca="1">INDIRECT("'数据-取费表'!I"&amp;$G$1)</f>
        <v>0.05</v>
      </c>
      <c r="G40" s="1937"/>
      <c r="H40" s="1937"/>
      <c r="I40" s="737" t="s">
        <v>1752</v>
      </c>
      <c r="J40" s="745">
        <f ca="1">1-J39</f>
        <v>-1.0299999999999998</v>
      </c>
      <c r="K40" s="1958"/>
      <c r="L40" s="1937"/>
      <c r="M40" s="1937"/>
    </row>
    <row r="41" spans="1:18" ht="18" customHeight="1">
      <c r="A41" s="686"/>
      <c r="B41" s="687"/>
      <c r="C41" s="688"/>
      <c r="D41" s="721" t="s">
        <v>1741</v>
      </c>
      <c r="E41" s="684" t="s">
        <v>648</v>
      </c>
      <c r="F41" s="722">
        <f ca="1">IF(INDIRECT("'数据-取费表'!af"&amp;$G$1)=0,INDIRECT("'数据-取费表'!ae"&amp;$G$1),INDIRECT("'数据-取费表'!af"&amp;$G$1))</f>
        <v>38.950000000000003</v>
      </c>
      <c r="G41" s="1937"/>
      <c r="H41" s="1869"/>
      <c r="I41" s="743" t="s">
        <v>1753</v>
      </c>
      <c r="J41" s="746"/>
      <c r="K41" s="1957"/>
      <c r="L41" s="1869"/>
      <c r="M41" s="1869"/>
    </row>
    <row r="42" spans="1:18" ht="18" customHeight="1">
      <c r="A42" s="690"/>
      <c r="B42" s="691"/>
      <c r="C42" s="692"/>
      <c r="D42" s="716"/>
      <c r="E42" s="684" t="s">
        <v>650</v>
      </c>
      <c r="F42" s="694">
        <f ca="1">INDIRECT("'数据-取费表'!v"&amp;$G$1)</f>
        <v>0.03</v>
      </c>
      <c r="G42" s="1937"/>
      <c r="H42" s="1869"/>
      <c r="I42" s="747" t="s">
        <v>1754</v>
      </c>
      <c r="J42" s="745">
        <f ca="1">ROUND(C13/C40,3)</f>
        <v>0.90700000000000003</v>
      </c>
      <c r="K42" s="1957"/>
      <c r="L42" s="1869"/>
      <c r="M42" s="1869"/>
    </row>
    <row r="43" spans="1:18" ht="18" customHeight="1" thickBot="1">
      <c r="A43" s="723" t="s">
        <v>1720</v>
      </c>
      <c r="B43" s="724" t="s">
        <v>1743</v>
      </c>
      <c r="C43" s="725">
        <f ca="1">ROUND(C40*10000/F43,0)</f>
        <v>3043</v>
      </c>
      <c r="D43" s="726" t="s">
        <v>1744</v>
      </c>
      <c r="E43" s="727" t="s">
        <v>1745</v>
      </c>
      <c r="F43" s="728">
        <f ca="1">INDIRECT("'数据-取费表'!k"&amp;$G$1)</f>
        <v>14467</v>
      </c>
      <c r="G43" s="1937"/>
      <c r="H43" s="1869"/>
      <c r="I43" s="747" t="s">
        <v>1755</v>
      </c>
      <c r="J43" s="748">
        <f ca="1">1-J42</f>
        <v>9.2999999999999972E-2</v>
      </c>
      <c r="K43" s="1957"/>
      <c r="L43" s="1869"/>
      <c r="M43" s="1869"/>
    </row>
    <row r="44" spans="1:18" s="1934" customFormat="1" ht="18" customHeight="1">
      <c r="A44" s="1960"/>
      <c r="B44" s="1960"/>
      <c r="C44" s="1977"/>
      <c r="D44" s="1960"/>
      <c r="E44" s="1960"/>
      <c r="F44" s="1960"/>
      <c r="K44" s="1961"/>
      <c r="Q44" s="1972"/>
    </row>
    <row r="45" spans="1:18" s="1934" customFormat="1" ht="18" customHeight="1" thickBot="1">
      <c r="A45" s="1960"/>
      <c r="B45" s="1960"/>
      <c r="C45" s="1977"/>
      <c r="D45" s="1960"/>
      <c r="E45" s="1960"/>
      <c r="F45" s="1960"/>
      <c r="K45" s="1961"/>
      <c r="Q45" s="1972"/>
    </row>
    <row r="46" spans="1:18" s="1934" customFormat="1" ht="18" customHeight="1" thickBot="1">
      <c r="A46" s="2105" t="s">
        <v>2226</v>
      </c>
      <c r="B46" s="1960"/>
      <c r="C46" s="2440">
        <f ca="1">C67-C40</f>
        <v>-5576</v>
      </c>
      <c r="D46" s="1960"/>
      <c r="E46" s="1960"/>
      <c r="F46" s="1960"/>
      <c r="I46" s="2224" t="s">
        <v>2270</v>
      </c>
      <c r="J46" s="2225"/>
      <c r="K46" s="2226"/>
      <c r="L46" s="2227">
        <f>IF(OR(M47="住宅",D1="土地（套用方法）"),0,IF(L48&gt;J51,L60,J60))</f>
        <v>0</v>
      </c>
      <c r="O46" s="2261" t="s">
        <v>2338</v>
      </c>
      <c r="P46" s="1480"/>
      <c r="Q46" s="1492"/>
      <c r="R46" s="1480"/>
    </row>
    <row r="47" spans="1:18" s="1934" customFormat="1" ht="18" customHeight="1" thickBot="1">
      <c r="A47" s="2218">
        <v>1</v>
      </c>
      <c r="B47" s="2219" t="s">
        <v>575</v>
      </c>
      <c r="C47" s="2440">
        <f ca="1">C48+C52+C54</f>
        <v>0</v>
      </c>
      <c r="D47" s="1960"/>
      <c r="E47" s="1960"/>
      <c r="F47" s="1960"/>
      <c r="I47" s="2228" t="s">
        <v>2271</v>
      </c>
      <c r="J47" s="2233" t="s">
        <v>3010</v>
      </c>
      <c r="K47" s="2234" t="s">
        <v>2277</v>
      </c>
      <c r="L47" s="2235">
        <f ca="1">INDIRECT("'数据-取费表'!d"&amp;$G$1)</f>
        <v>40</v>
      </c>
      <c r="M47" s="1492" t="str">
        <f>IF(ISNUMBER(FIND("住宅",C1)),"住宅","非住宅")</f>
        <v>非住宅</v>
      </c>
      <c r="O47" s="2262" t="s">
        <v>2303</v>
      </c>
      <c r="P47" s="2263" t="s">
        <v>2304</v>
      </c>
      <c r="Q47" s="2264" t="s">
        <v>2305</v>
      </c>
      <c r="R47" s="2263" t="s">
        <v>2306</v>
      </c>
    </row>
    <row r="48" spans="1:18" s="1934" customFormat="1" ht="18" customHeight="1" thickBot="1">
      <c r="A48" s="2507" t="s">
        <v>1803</v>
      </c>
      <c r="B48" s="2508" t="s">
        <v>2466</v>
      </c>
      <c r="C48" s="2220">
        <f ca="1">ROUND(F48*F50*F49*(1-F51)/10000,0)</f>
        <v>0</v>
      </c>
      <c r="D48" s="2221" t="s">
        <v>576</v>
      </c>
      <c r="E48" s="2222" t="s">
        <v>2227</v>
      </c>
      <c r="F48" s="2223"/>
      <c r="G48" s="1965"/>
      <c r="I48" s="2229" t="s">
        <v>2272</v>
      </c>
      <c r="J48" s="2236" t="s">
        <v>2278</v>
      </c>
      <c r="K48" s="2237" t="s">
        <v>2279</v>
      </c>
      <c r="L48" s="2238">
        <f ca="1">INDIRECT("'数据-取费表'!f"&amp;$G$1)</f>
        <v>39.950000000000003</v>
      </c>
      <c r="O48" s="2265" t="s">
        <v>2307</v>
      </c>
      <c r="P48" s="2266" t="s">
        <v>2333</v>
      </c>
      <c r="Q48" s="2267">
        <f ca="1">C40+J29</f>
        <v>4402</v>
      </c>
      <c r="R48" s="2266" t="s">
        <v>2308</v>
      </c>
    </row>
    <row r="49" spans="1:18" s="1934" customFormat="1" ht="18" customHeight="1" thickBot="1">
      <c r="A49" s="686"/>
      <c r="B49" s="687"/>
      <c r="C49" s="688"/>
      <c r="D49" s="689"/>
      <c r="E49" s="684" t="s">
        <v>578</v>
      </c>
      <c r="F49" s="685">
        <f ca="1">F7</f>
        <v>476</v>
      </c>
      <c r="G49" s="1965"/>
      <c r="H49" s="1968"/>
      <c r="I49" s="2229" t="s">
        <v>2273</v>
      </c>
      <c r="J49" s="2239"/>
      <c r="K49" s="2240" t="s">
        <v>2280</v>
      </c>
      <c r="L49" s="2241"/>
      <c r="O49" s="2265" t="s">
        <v>2309</v>
      </c>
      <c r="P49" s="2266" t="s">
        <v>2334</v>
      </c>
      <c r="Q49" s="2267" t="str">
        <f ca="1">J60</f>
        <v>0</v>
      </c>
      <c r="R49" s="2266" t="s">
        <v>2310</v>
      </c>
    </row>
    <row r="50" spans="1:18" s="1934" customFormat="1" ht="18" customHeight="1" thickBot="1">
      <c r="A50" s="686"/>
      <c r="B50" s="687"/>
      <c r="C50" s="688"/>
      <c r="D50" s="689"/>
      <c r="E50" s="684" t="s">
        <v>579</v>
      </c>
      <c r="F50" s="685">
        <f ca="1">F8</f>
        <v>12</v>
      </c>
      <c r="G50" s="1970"/>
      <c r="H50" s="1968"/>
      <c r="I50" s="2229" t="s">
        <v>2274</v>
      </c>
      <c r="J50" s="2242">
        <f>SUMPRODUCT((I63:I65=J47)*(J62:L62=J48)*(J63:L65))</f>
        <v>60</v>
      </c>
      <c r="K50" s="2240" t="s">
        <v>2281</v>
      </c>
      <c r="L50" s="2241"/>
      <c r="O50" s="2268" t="s">
        <v>2311</v>
      </c>
      <c r="P50" s="2266" t="s">
        <v>2335</v>
      </c>
      <c r="Q50" s="2267">
        <f ca="1">C29</f>
        <v>3991</v>
      </c>
      <c r="R50" s="2266" t="s">
        <v>2308</v>
      </c>
    </row>
    <row r="51" spans="1:18" s="1934" customFormat="1" ht="18" customHeight="1" thickBot="1">
      <c r="A51" s="686"/>
      <c r="B51" s="687"/>
      <c r="C51" s="688"/>
      <c r="D51" s="689"/>
      <c r="E51" s="684" t="s">
        <v>580</v>
      </c>
      <c r="F51" s="2217"/>
      <c r="H51" s="1968"/>
      <c r="I51" s="2230" t="s">
        <v>2275</v>
      </c>
      <c r="J51" s="2243">
        <f>IF(J49="",J50,J49+J50-YEAR('数据-取费表'!B2))</f>
        <v>60</v>
      </c>
      <c r="K51" s="2229" t="s">
        <v>2282</v>
      </c>
      <c r="L51" s="2244">
        <f ca="1">ROUND(-PV(INDIRECT("'数据-取费表'!h"&amp;$G$1),L48,(C39-C13*J36),0),0)</f>
        <v>-3168</v>
      </c>
      <c r="O51" s="2268" t="s">
        <v>2312</v>
      </c>
      <c r="P51" s="2266" t="s">
        <v>2313</v>
      </c>
      <c r="Q51" s="2269" t="e">
        <f ca="1">J58</f>
        <v>#VALUE!</v>
      </c>
      <c r="R51" s="2270"/>
    </row>
    <row r="52" spans="1:18" s="1934" customFormat="1" ht="18" customHeight="1" thickBot="1">
      <c r="A52" s="681" t="s">
        <v>2464</v>
      </c>
      <c r="B52" s="2360" t="s">
        <v>2387</v>
      </c>
      <c r="C52" s="699">
        <f ca="1">ROUND(IF(F52="押一",C48/12*F11,IF(F52="押二",C48/12*2*F11,IF(F52="押三",C48/12*3*F11,C53*F11))),0)</f>
        <v>0</v>
      </c>
      <c r="D52" s="2367" t="s">
        <v>2888</v>
      </c>
      <c r="E52" s="2364" t="s">
        <v>2392</v>
      </c>
      <c r="F52" s="2486"/>
      <c r="I52" s="2231" t="s">
        <v>2349</v>
      </c>
      <c r="J52" s="2245"/>
      <c r="K52" s="2231" t="s">
        <v>2348</v>
      </c>
      <c r="L52" s="2245"/>
      <c r="O52" s="2268" t="s">
        <v>2314</v>
      </c>
      <c r="P52" s="2266" t="s">
        <v>2315</v>
      </c>
      <c r="Q52" s="2269">
        <f>J52</f>
        <v>0</v>
      </c>
      <c r="R52" s="2270"/>
    </row>
    <row r="53" spans="1:18" s="1934" customFormat="1" ht="39.75" customHeight="1" thickBot="1">
      <c r="A53" s="686"/>
      <c r="B53" s="2361" t="s">
        <v>2501</v>
      </c>
      <c r="C53" s="2365"/>
      <c r="D53" s="2367"/>
      <c r="E53" s="2364"/>
      <c r="F53" s="700"/>
      <c r="I53" s="2232" t="s">
        <v>2276</v>
      </c>
      <c r="J53" s="2246">
        <f ca="1">IF(M47="住宅",J51,IF(D1="——",MIN(J51,L48),IF(D1="土地（套用方法）",MIN(J51,L48-'数据-取费表'!B20))))</f>
        <v>38.950000000000003</v>
      </c>
      <c r="K53" s="3496" t="s">
        <v>2880</v>
      </c>
      <c r="L53" s="3497"/>
      <c r="O53" s="2268" t="s">
        <v>2316</v>
      </c>
      <c r="P53" s="2266" t="s">
        <v>2317</v>
      </c>
      <c r="Q53" s="2267">
        <f ca="1">J53</f>
        <v>38.950000000000003</v>
      </c>
      <c r="R53" s="2266" t="s">
        <v>2318</v>
      </c>
    </row>
    <row r="54" spans="1:18" s="1934" customFormat="1" ht="18" customHeight="1" thickBot="1">
      <c r="A54" s="2403" t="s">
        <v>2395</v>
      </c>
      <c r="B54" s="2404" t="s">
        <v>2388</v>
      </c>
      <c r="C54" s="2405"/>
      <c r="D54" s="2367"/>
      <c r="E54" s="2364"/>
      <c r="F54" s="700"/>
      <c r="I54" s="19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1"/>
      <c r="O54" s="2265" t="s">
        <v>2319</v>
      </c>
      <c r="P54" s="2266" t="s">
        <v>2336</v>
      </c>
      <c r="Q54" s="2267">
        <f ca="1">Q48+Q49</f>
        <v>4402</v>
      </c>
      <c r="R54" s="2270" t="s">
        <v>2320</v>
      </c>
    </row>
    <row r="55" spans="1:18" s="1934" customFormat="1" ht="18" customHeight="1" thickTop="1" thickBot="1">
      <c r="A55" s="697">
        <v>2</v>
      </c>
      <c r="B55" s="698" t="s">
        <v>584</v>
      </c>
      <c r="C55" s="699">
        <f ca="1">C13</f>
        <v>3991</v>
      </c>
      <c r="D55" s="695"/>
      <c r="E55" s="695"/>
      <c r="F55" s="700"/>
      <c r="I55" s="2956" t="s">
        <v>2283</v>
      </c>
      <c r="J55" s="2955" t="e">
        <f ca="1">ROUND(IF(J47="钢混",J57/J50,1-(1-2%)*(J50-J57)/J50),3)</f>
        <v>#VALUE!</v>
      </c>
      <c r="K55" s="2247" t="s">
        <v>2284</v>
      </c>
      <c r="L55" s="2248"/>
      <c r="O55" s="2271" t="s">
        <v>2339</v>
      </c>
      <c r="P55" s="1480"/>
      <c r="Q55" s="1492"/>
      <c r="R55" s="1480"/>
    </row>
    <row r="56" spans="1:18" s="1934" customFormat="1" ht="42.75" customHeight="1" thickBot="1">
      <c r="A56" s="1538"/>
      <c r="B56" s="2106" t="s">
        <v>2231</v>
      </c>
      <c r="C56" s="52">
        <f ca="1">C29</f>
        <v>3991</v>
      </c>
      <c r="D56" s="3169"/>
      <c r="E56" s="684"/>
      <c r="F56" s="709"/>
      <c r="I56" s="2249" t="s">
        <v>2285</v>
      </c>
      <c r="J56" s="2979" t="s">
        <v>1611</v>
      </c>
      <c r="K56" s="2229" t="s">
        <v>2290</v>
      </c>
      <c r="L56" s="2238" t="str">
        <f ca="1">IF(L48&lt;J51,"——",L48-J51)</f>
        <v>——</v>
      </c>
      <c r="O56" s="2262" t="s">
        <v>2303</v>
      </c>
      <c r="P56" s="2263" t="s">
        <v>2304</v>
      </c>
      <c r="Q56" s="2264" t="s">
        <v>2305</v>
      </c>
      <c r="R56" s="2263" t="s">
        <v>2306</v>
      </c>
    </row>
    <row r="57" spans="1:18" s="1934" customFormat="1" ht="28.5" customHeight="1" thickBot="1">
      <c r="A57" s="697" t="s">
        <v>7</v>
      </c>
      <c r="B57" s="698" t="s">
        <v>591</v>
      </c>
      <c r="C57" s="699">
        <f ca="1">ROUND(C58+C63+C64+C65,0)</f>
        <v>69</v>
      </c>
      <c r="D57" s="25" t="s">
        <v>592</v>
      </c>
      <c r="E57" s="3171"/>
      <c r="F57" s="55"/>
      <c r="I57" s="2250" t="s">
        <v>2286</v>
      </c>
      <c r="J57" s="2252" t="str">
        <f ca="1">IF(OR(M47="住宅",J51&lt;L48,J56="是"),"——",J51-L48)</f>
        <v>——</v>
      </c>
      <c r="K57" s="2229" t="s">
        <v>2291</v>
      </c>
      <c r="L57" s="2238" t="str">
        <f ca="1">IF(L48&lt;J51,"——",IF(L55="比较法",L49,IF(L55="基准地价",L50,L51)))</f>
        <v>——</v>
      </c>
      <c r="O57" s="2265" t="s">
        <v>2307</v>
      </c>
      <c r="P57" s="2266" t="s">
        <v>2333</v>
      </c>
      <c r="Q57" s="2267">
        <f ca="1">C40+J29</f>
        <v>4402</v>
      </c>
      <c r="R57" s="2266" t="s">
        <v>2308</v>
      </c>
    </row>
    <row r="58" spans="1:18" s="1934" customFormat="1" ht="28.5" customHeight="1" thickBot="1">
      <c r="A58" s="1537" t="s">
        <v>1757</v>
      </c>
      <c r="B58" s="684" t="s">
        <v>596</v>
      </c>
      <c r="C58" s="52">
        <f ca="1">ROUND(IF(项目基本情况!B11="自然人",C47*F58,C59+C60+C61),1)</f>
        <v>2.6</v>
      </c>
      <c r="D58" s="3168" t="s">
        <v>597</v>
      </c>
      <c r="E58" s="3169" t="s">
        <v>630</v>
      </c>
      <c r="F58" s="710" t="str">
        <f ca="1">IF(项目基本情况!B11="企业","",IF(INDIRECT("'数据-取费表'!c"&amp;$G$1)="住宅",5%,IF(F48*F49*F50/12/(1+'数据-取费表'!C42)&gt;20000,12%,7%)))</f>
        <v/>
      </c>
      <c r="I58" s="2250" t="s">
        <v>2287</v>
      </c>
      <c r="J58" s="2957" t="e">
        <f ca="1">IF(J55&lt;0.4,0.4,J55)</f>
        <v>#VALUE!</v>
      </c>
      <c r="K58" s="2229" t="s">
        <v>2292</v>
      </c>
      <c r="L58" s="2238" t="e">
        <f ca="1">ROUND(POWER(1+L52,L47-L48)*(POWER(1+L52,L48)-1)/(POWER(1+L52,L47)-1),4)</f>
        <v>#DIV/0!</v>
      </c>
      <c r="O58" s="2265" t="s">
        <v>2309</v>
      </c>
      <c r="P58" s="2266" t="s">
        <v>2340</v>
      </c>
      <c r="Q58" s="2267">
        <f ca="1">L60</f>
        <v>0</v>
      </c>
      <c r="R58" s="2270" t="s">
        <v>2342</v>
      </c>
    </row>
    <row r="59" spans="1:18" s="1934" customFormat="1" ht="28.5" customHeight="1" thickBot="1">
      <c r="A59" s="1536" t="s">
        <v>1764</v>
      </c>
      <c r="B59" s="684" t="s">
        <v>600</v>
      </c>
      <c r="C59" s="52">
        <f ca="1">ROUND(C47*F59/1.05,1)</f>
        <v>0</v>
      </c>
      <c r="D59" s="3169" t="s">
        <v>601</v>
      </c>
      <c r="E59" s="684" t="s">
        <v>589</v>
      </c>
      <c r="F59" s="709">
        <f t="shared" ref="F59:F65" si="0">F32</f>
        <v>5.5000000000000007E-2</v>
      </c>
      <c r="I59" s="2250" t="s">
        <v>2288</v>
      </c>
      <c r="J59" s="2252" t="str">
        <f ca="1">IF(OR(M47="住宅",J51&lt;L48,J56="是"),"——",ROUND(C29*J58,0))</f>
        <v>——</v>
      </c>
      <c r="K59" s="2986" t="str">
        <f>IF(D1="——","建筑物剩余耐用年限下的土地年期修正系数Kn","建设期及建筑物耐用年限下的土地年期修正系数Kn")</f>
        <v>建设期及建筑物耐用年限下的土地年期修正系数Kn</v>
      </c>
      <c r="L59" s="2238" t="e">
        <f ca="1">ROUND(IF(D1="土地（套用方法）",POWER(1+L52,L47-(J51+'数据-取费表'!B20))*(POWER(1+L52,(J51+'数据-取费表'!B20))-1)/(POWER(1+L52,L47)-1),POWER(1+L52,L47-J51)*(POWER(1+L52,J51)-1)/(POWER(1+L52,L47)-1)),4)</f>
        <v>#DIV/0!</v>
      </c>
      <c r="O59" s="2268" t="s">
        <v>2311</v>
      </c>
      <c r="P59" s="2266" t="s">
        <v>2341</v>
      </c>
      <c r="Q59" s="2267">
        <f>IF(L55="比较法",L49,IF(L55="基准地价",L50,0))</f>
        <v>0</v>
      </c>
      <c r="R59" s="2266" t="s">
        <v>2308</v>
      </c>
    </row>
    <row r="60" spans="1:18" s="1934" customFormat="1" ht="18" customHeight="1" thickBot="1">
      <c r="A60" s="1536" t="s">
        <v>1765</v>
      </c>
      <c r="B60" s="684" t="s">
        <v>604</v>
      </c>
      <c r="C60" s="52">
        <f ca="1">IF(D60="按租金收入计税",ROUND(C47*F60,1),IF(D60="按房产原值计税",ROUND(C56*F60*0.7,1),INDIRECT("'数据-取费表'!Aj"&amp;$G$1)))</f>
        <v>0</v>
      </c>
      <c r="D60" s="3169" t="str">
        <f>D33</f>
        <v>按租金收入计税</v>
      </c>
      <c r="E60" s="684" t="s">
        <v>589</v>
      </c>
      <c r="F60" s="709">
        <f t="shared" si="0"/>
        <v>0.12</v>
      </c>
      <c r="I60" s="2251" t="s">
        <v>2289</v>
      </c>
      <c r="J60" s="2253" t="str">
        <f ca="1">IF(OR(M47="住宅",J51&lt;L48,J56="是"),"0",ROUND(J59/(1+J52)^J53,0))</f>
        <v>0</v>
      </c>
      <c r="K60" s="2254" t="s">
        <v>2294</v>
      </c>
      <c r="L60" s="2253">
        <f ca="1">IF(OR(M47="住宅",L48&lt;J51),0,ROUND(L57*(L58/L59-1),0))</f>
        <v>0</v>
      </c>
      <c r="O60" s="2268" t="s">
        <v>2312</v>
      </c>
      <c r="P60" s="2266" t="s">
        <v>2321</v>
      </c>
      <c r="Q60" s="2269">
        <f>L52</f>
        <v>0</v>
      </c>
      <c r="R60" s="2270"/>
    </row>
    <row r="61" spans="1:18" s="1934" customFormat="1" ht="18" customHeight="1" thickBot="1">
      <c r="A61" s="1539" t="s">
        <v>1766</v>
      </c>
      <c r="B61" s="241" t="s">
        <v>608</v>
      </c>
      <c r="C61" s="53">
        <f ca="1">ROUND(F61*F62/10000,1)</f>
        <v>2.6</v>
      </c>
      <c r="D61" s="714" t="s">
        <v>609</v>
      </c>
      <c r="E61" s="684" t="s">
        <v>610</v>
      </c>
      <c r="F61" s="540">
        <f t="shared" si="0"/>
        <v>4</v>
      </c>
      <c r="K61" s="1961"/>
      <c r="O61" s="2268" t="s">
        <v>2314</v>
      </c>
      <c r="P61" s="2266" t="s">
        <v>2322</v>
      </c>
      <c r="Q61" s="2267" t="e">
        <f ca="1">L58</f>
        <v>#DIV/0!</v>
      </c>
      <c r="R61" s="2270" t="s">
        <v>2323</v>
      </c>
    </row>
    <row r="62" spans="1:18" s="1934" customFormat="1" ht="15.75" thickBot="1">
      <c r="A62" s="715"/>
      <c r="B62" s="693"/>
      <c r="C62" s="68"/>
      <c r="D62" s="716"/>
      <c r="E62" s="684" t="s">
        <v>614</v>
      </c>
      <c r="F62" s="685">
        <f t="shared" ca="1" si="0"/>
        <v>6557.91</v>
      </c>
      <c r="I62" s="2255" t="s">
        <v>2295</v>
      </c>
      <c r="J62" s="2256" t="s">
        <v>2296</v>
      </c>
      <c r="K62" s="2256" t="s">
        <v>2297</v>
      </c>
      <c r="L62" s="2256" t="s">
        <v>2278</v>
      </c>
      <c r="M62" s="2958" t="s">
        <v>2856</v>
      </c>
      <c r="O62" s="2268" t="s">
        <v>2316</v>
      </c>
      <c r="P62" s="2266" t="str">
        <f>K59</f>
        <v>建设期及建筑物耐用年限下的土地年期修正系数Kn</v>
      </c>
      <c r="Q62" s="2267" t="e">
        <f ca="1">L59</f>
        <v>#DIV/0!</v>
      </c>
      <c r="R62" s="2270" t="s">
        <v>2325</v>
      </c>
    </row>
    <row r="63" spans="1:18" s="1934" customFormat="1" ht="15.75" thickBot="1">
      <c r="A63" s="1537" t="s">
        <v>1822</v>
      </c>
      <c r="B63" s="684" t="s">
        <v>616</v>
      </c>
      <c r="C63" s="52">
        <f ca="1">ROUND(C56*F63,1)</f>
        <v>59.9</v>
      </c>
      <c r="D63" s="3169" t="s">
        <v>631</v>
      </c>
      <c r="E63" s="684" t="s">
        <v>589</v>
      </c>
      <c r="F63" s="717">
        <f t="shared" ca="1" si="0"/>
        <v>1.4999999999999999E-2</v>
      </c>
      <c r="I63" s="2255" t="s">
        <v>2298</v>
      </c>
      <c r="J63" s="2256">
        <v>70</v>
      </c>
      <c r="K63" s="2256">
        <v>50</v>
      </c>
      <c r="L63" s="2256">
        <v>80</v>
      </c>
      <c r="M63" s="2959">
        <v>0.02</v>
      </c>
      <c r="O63" s="2265" t="s">
        <v>2319</v>
      </c>
      <c r="P63" s="2266" t="s">
        <v>2336</v>
      </c>
      <c r="Q63" s="2267">
        <f ca="1">Q57+Q58</f>
        <v>4402</v>
      </c>
      <c r="R63" s="2270" t="s">
        <v>2320</v>
      </c>
    </row>
    <row r="64" spans="1:18" s="1934" customFormat="1" ht="16.5" thickBot="1">
      <c r="A64" s="1537" t="s">
        <v>1823</v>
      </c>
      <c r="B64" s="684" t="s">
        <v>619</v>
      </c>
      <c r="C64" s="52">
        <f ca="1">ROUND(C55*F64,1)</f>
        <v>6</v>
      </c>
      <c r="D64" s="3169" t="s">
        <v>620</v>
      </c>
      <c r="E64" s="684" t="s">
        <v>589</v>
      </c>
      <c r="F64" s="718">
        <f t="shared" ca="1" si="0"/>
        <v>1.5E-3</v>
      </c>
      <c r="I64" s="2255" t="s">
        <v>2299</v>
      </c>
      <c r="J64" s="2256">
        <v>50</v>
      </c>
      <c r="K64" s="2256">
        <v>35</v>
      </c>
      <c r="L64" s="2256">
        <v>60</v>
      </c>
      <c r="M64" s="2960">
        <v>0</v>
      </c>
      <c r="O64" s="2271" t="s">
        <v>2343</v>
      </c>
      <c r="P64" s="1480"/>
      <c r="Q64" s="1492"/>
      <c r="R64" s="1480"/>
    </row>
    <row r="65" spans="1:18" s="1934" customFormat="1" ht="15.75" thickBot="1">
      <c r="A65" s="1537" t="s">
        <v>1824</v>
      </c>
      <c r="B65" s="684" t="s">
        <v>606</v>
      </c>
      <c r="C65" s="52">
        <f ca="1">ROUND(C47*F65,1)</f>
        <v>0</v>
      </c>
      <c r="D65" s="3169" t="s">
        <v>623</v>
      </c>
      <c r="E65" s="684" t="s">
        <v>589</v>
      </c>
      <c r="F65" s="694">
        <f t="shared" ca="1" si="0"/>
        <v>0.01</v>
      </c>
      <c r="I65" s="2255" t="s">
        <v>2300</v>
      </c>
      <c r="J65" s="2256">
        <v>40</v>
      </c>
      <c r="K65" s="2256">
        <v>30</v>
      </c>
      <c r="L65" s="2256">
        <v>50</v>
      </c>
      <c r="M65" s="2959">
        <v>0.02</v>
      </c>
      <c r="O65" s="2262" t="s">
        <v>2303</v>
      </c>
      <c r="P65" s="2263" t="s">
        <v>2304</v>
      </c>
      <c r="Q65" s="2264" t="s">
        <v>2305</v>
      </c>
      <c r="R65" s="2263" t="s">
        <v>2306</v>
      </c>
    </row>
    <row r="66" spans="1:18" s="1934" customFormat="1" ht="15.75" thickBot="1">
      <c r="A66" s="697" t="s">
        <v>1709</v>
      </c>
      <c r="B66" s="2876" t="s">
        <v>2750</v>
      </c>
      <c r="C66" s="699">
        <f ca="1">C47-C57</f>
        <v>-69</v>
      </c>
      <c r="D66" s="3168" t="s">
        <v>640</v>
      </c>
      <c r="E66" s="3166"/>
      <c r="F66" s="720"/>
      <c r="K66" s="1961"/>
      <c r="O66" s="2265" t="s">
        <v>2307</v>
      </c>
      <c r="P66" s="2266" t="s">
        <v>2333</v>
      </c>
      <c r="Q66" s="2267">
        <f ca="1">C40+J29</f>
        <v>4402</v>
      </c>
      <c r="R66" s="2266" t="s">
        <v>2308</v>
      </c>
    </row>
    <row r="67" spans="1:18" s="1934" customFormat="1" ht="20.25" thickBot="1">
      <c r="A67" s="681" t="s">
        <v>1713</v>
      </c>
      <c r="B67" s="2107" t="s">
        <v>2232</v>
      </c>
      <c r="C67" s="683">
        <f ca="1">ROUND(C66*(1-((1+F69)/(1+F67))^F68)/(F67-F69),0)</f>
        <v>-1174</v>
      </c>
      <c r="D67" s="714" t="s">
        <v>644</v>
      </c>
      <c r="E67" s="684" t="s">
        <v>645</v>
      </c>
      <c r="F67" s="694">
        <f ca="1">F40</f>
        <v>0.05</v>
      </c>
      <c r="K67" s="1961"/>
      <c r="O67" s="2265" t="s">
        <v>2309</v>
      </c>
      <c r="P67" s="2266" t="s">
        <v>2340</v>
      </c>
      <c r="Q67" s="2267">
        <f ca="1">L60</f>
        <v>0</v>
      </c>
      <c r="R67" s="2270" t="s">
        <v>2342</v>
      </c>
    </row>
    <row r="68" spans="1:18" ht="21.75" thickBot="1">
      <c r="A68" s="686"/>
      <c r="B68" s="687"/>
      <c r="C68" s="688"/>
      <c r="D68" s="721" t="s">
        <v>1741</v>
      </c>
      <c r="E68" s="684" t="s">
        <v>648</v>
      </c>
      <c r="F68" s="722">
        <f ca="1">F41</f>
        <v>38.950000000000003</v>
      </c>
      <c r="O68" s="2268" t="s">
        <v>2311</v>
      </c>
      <c r="P68" s="2266" t="s">
        <v>2341</v>
      </c>
      <c r="Q68" s="2272">
        <f ca="1">L51</f>
        <v>-3168</v>
      </c>
      <c r="R68" s="2273" t="s">
        <v>2344</v>
      </c>
    </row>
    <row r="69" spans="1:18" ht="20.25" thickBot="1">
      <c r="A69" s="690"/>
      <c r="B69" s="691"/>
      <c r="C69" s="692"/>
      <c r="D69" s="716"/>
      <c r="E69" s="684" t="s">
        <v>650</v>
      </c>
      <c r="F69" s="2217"/>
      <c r="O69" s="2268" t="s">
        <v>2312</v>
      </c>
      <c r="P69" s="2274" t="s">
        <v>2326</v>
      </c>
      <c r="Q69" s="2267">
        <f ca="1">ROUND(Q70-Q71*Q72,0)</f>
        <v>-172</v>
      </c>
      <c r="R69" s="2270"/>
    </row>
    <row r="70" spans="1:18" ht="15.75" thickBot="1">
      <c r="A70" s="723" t="s">
        <v>1720</v>
      </c>
      <c r="B70" s="724" t="s">
        <v>1743</v>
      </c>
      <c r="C70" s="725">
        <f ca="1">ROUND(C67*10000/F70,0)</f>
        <v>-812</v>
      </c>
      <c r="D70" s="726" t="s">
        <v>1744</v>
      </c>
      <c r="E70" s="727" t="s">
        <v>1745</v>
      </c>
      <c r="F70" s="728">
        <f ca="1">F43</f>
        <v>14467</v>
      </c>
      <c r="O70" s="2268" t="s">
        <v>2327</v>
      </c>
      <c r="P70" s="2274" t="s">
        <v>2328</v>
      </c>
      <c r="Q70" s="2267">
        <f ca="1">C39</f>
        <v>167</v>
      </c>
      <c r="R70" s="2266" t="s">
        <v>2308</v>
      </c>
    </row>
    <row r="71" spans="1:18" ht="15.75" thickBot="1">
      <c r="O71" s="2268" t="s">
        <v>2329</v>
      </c>
      <c r="P71" s="2274" t="s">
        <v>2330</v>
      </c>
      <c r="Q71" s="2267">
        <f ca="1">C13</f>
        <v>3991</v>
      </c>
      <c r="R71" s="2266" t="s">
        <v>2308</v>
      </c>
    </row>
    <row r="72" spans="1:18" ht="15.75" thickBot="1">
      <c r="O72" s="2268" t="s">
        <v>2331</v>
      </c>
      <c r="P72" s="2274" t="s">
        <v>2332</v>
      </c>
      <c r="Q72" s="2269">
        <f ca="1">J36</f>
        <v>8.5000000000000006E-2</v>
      </c>
      <c r="R72" s="2270"/>
    </row>
    <row r="73" spans="1:18" ht="15.75" thickBot="1">
      <c r="O73" s="2268" t="s">
        <v>2314</v>
      </c>
      <c r="P73" s="2266" t="s">
        <v>2321</v>
      </c>
      <c r="Q73" s="2269">
        <f>L52</f>
        <v>0</v>
      </c>
      <c r="R73" s="2270"/>
    </row>
    <row r="74" spans="1:18" ht="20.25" thickBot="1">
      <c r="O74" s="2268" t="s">
        <v>2316</v>
      </c>
      <c r="P74" s="2266" t="s">
        <v>2322</v>
      </c>
      <c r="Q74" s="2267" t="e">
        <f ca="1">L58</f>
        <v>#DIV/0!</v>
      </c>
      <c r="R74" s="2270" t="s">
        <v>2323</v>
      </c>
    </row>
    <row r="75" spans="1:18" ht="15.75" thickBot="1">
      <c r="O75" s="2268" t="s">
        <v>2345</v>
      </c>
      <c r="P75" s="2266" t="str">
        <f>K59</f>
        <v>建设期及建筑物耐用年限下的土地年期修正系数Kn</v>
      </c>
      <c r="Q75" s="2267" t="e">
        <f ca="1">L59</f>
        <v>#DIV/0!</v>
      </c>
      <c r="R75" s="2270" t="s">
        <v>2325</v>
      </c>
    </row>
    <row r="76" spans="1:18" ht="15.75" thickBot="1">
      <c r="O76" s="2265" t="s">
        <v>2319</v>
      </c>
      <c r="P76" s="2266" t="s">
        <v>2336</v>
      </c>
      <c r="Q76" s="2267">
        <f ca="1">Q66+Q67</f>
        <v>4402</v>
      </c>
      <c r="R76" s="2270" t="s">
        <v>2320</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3"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225" customWidth="1"/>
    <col min="2" max="2" width="15.75" style="1225" customWidth="1"/>
    <col min="3" max="3" width="14.375" style="1225" customWidth="1"/>
    <col min="4" max="4" width="12.25" style="1225" customWidth="1"/>
    <col min="5" max="5" width="14.3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658</v>
      </c>
      <c r="B1" s="403" t="s">
        <v>696</v>
      </c>
      <c r="C1" s="404" t="s">
        <v>660</v>
      </c>
      <c r="D1" s="2216"/>
      <c r="E1" s="406"/>
      <c r="F1" s="2672"/>
      <c r="G1" s="1489" t="s">
        <v>661</v>
      </c>
      <c r="H1" s="406"/>
      <c r="I1" s="406"/>
      <c r="J1" s="406"/>
      <c r="K1" s="407"/>
      <c r="L1" s="1450"/>
      <c r="M1" s="1451"/>
      <c r="N1" s="1451"/>
      <c r="O1" s="1451"/>
      <c r="P1" s="1452"/>
      <c r="Q1" s="1452"/>
      <c r="R1" s="1452"/>
      <c r="S1" s="1452"/>
      <c r="T1" s="1452"/>
      <c r="U1" s="1452"/>
      <c r="V1" s="1452"/>
      <c r="W1" s="1452"/>
      <c r="X1" s="1452"/>
      <c r="Y1" s="1452"/>
      <c r="Z1" s="1452"/>
      <c r="AA1" s="1452"/>
      <c r="AB1" s="1452"/>
      <c r="AC1" s="1453"/>
    </row>
    <row r="2" spans="1:29" s="1224" customFormat="1" ht="28.5" customHeight="1">
      <c r="A2" s="323" t="s">
        <v>407</v>
      </c>
      <c r="B2" s="750" t="e">
        <f>ROUND(B3*D3/10000,0)</f>
        <v>#DIV/0!</v>
      </c>
      <c r="C2" s="2002"/>
      <c r="D2" s="2002"/>
      <c r="E2" s="1936"/>
      <c r="F2" s="2004"/>
      <c r="G2" s="2003"/>
      <c r="H2" s="2003"/>
      <c r="I2" s="2003"/>
      <c r="J2" s="2003"/>
      <c r="K2" s="2003"/>
      <c r="L2" s="2006"/>
      <c r="M2" s="2007"/>
      <c r="N2" s="2007"/>
      <c r="O2" s="2007"/>
      <c r="P2" s="1452"/>
      <c r="Q2" s="1452"/>
      <c r="R2" s="1452"/>
      <c r="S2" s="1452"/>
      <c r="T2" s="1452"/>
      <c r="U2" s="1452"/>
      <c r="V2" s="1452"/>
      <c r="W2" s="1452"/>
      <c r="X2" s="1452"/>
      <c r="Y2" s="1452"/>
      <c r="Z2" s="1452"/>
      <c r="AA2" s="1452"/>
      <c r="AB2" s="1452"/>
      <c r="AC2" s="1453"/>
    </row>
    <row r="3" spans="1:29" s="1224" customFormat="1" ht="28.5" customHeight="1" thickBot="1">
      <c r="A3" s="409" t="s">
        <v>459</v>
      </c>
      <c r="B3" s="410" t="e">
        <f>C49</f>
        <v>#DIV/0!</v>
      </c>
      <c r="C3" s="752" t="s">
        <v>662</v>
      </c>
      <c r="D3" s="751">
        <f>SUMIF('数据-汇总表'!$C19:$C33,D1,'数据-汇总表'!$E19:$E33)</f>
        <v>0</v>
      </c>
      <c r="E3" s="1936"/>
      <c r="F3" s="2004"/>
      <c r="G3" s="2003"/>
      <c r="H3" s="2003"/>
      <c r="I3" s="2003"/>
      <c r="J3" s="2003"/>
      <c r="K3" s="2005"/>
      <c r="L3" s="2006"/>
      <c r="M3" s="2007"/>
      <c r="N3" s="2007"/>
      <c r="O3" s="2007"/>
      <c r="P3" s="1452"/>
      <c r="Q3" s="1452"/>
      <c r="R3" s="1452"/>
      <c r="S3" s="1452"/>
      <c r="T3" s="1452"/>
      <c r="U3" s="1452"/>
      <c r="V3" s="1452"/>
      <c r="W3" s="1452"/>
      <c r="X3" s="1452"/>
      <c r="Y3" s="1452"/>
      <c r="Z3" s="1452"/>
      <c r="AA3" s="1452"/>
      <c r="AB3" s="1452"/>
      <c r="AC3" s="328"/>
    </row>
    <row r="4" spans="1:29" ht="15">
      <c r="A4" s="412" t="s">
        <v>461</v>
      </c>
      <c r="B4" s="413"/>
      <c r="C4" s="3384" t="s">
        <v>462</v>
      </c>
      <c r="D4" s="3385"/>
      <c r="E4" s="3418" t="s">
        <v>463</v>
      </c>
      <c r="F4" s="3419"/>
      <c r="G4" s="3384" t="s">
        <v>464</v>
      </c>
      <c r="H4" s="3385"/>
      <c r="I4" s="3384" t="s">
        <v>465</v>
      </c>
      <c r="J4" s="3385"/>
      <c r="K4" s="414" t="s">
        <v>466</v>
      </c>
      <c r="L4" s="2008"/>
      <c r="M4" s="2009"/>
      <c r="N4" s="2009"/>
      <c r="O4" s="2009"/>
      <c r="P4" s="3386" t="s">
        <v>467</v>
      </c>
      <c r="Q4" s="3387"/>
      <c r="R4" s="3392" t="s">
        <v>463</v>
      </c>
      <c r="S4" s="3393"/>
      <c r="T4" s="3392" t="s">
        <v>464</v>
      </c>
      <c r="U4" s="3393"/>
      <c r="V4" s="3379" t="s">
        <v>465</v>
      </c>
      <c r="W4" s="3379"/>
      <c r="X4" s="1455"/>
      <c r="Y4" s="3392" t="s">
        <v>467</v>
      </c>
      <c r="Z4" s="3393"/>
      <c r="AA4" s="3381" t="s">
        <v>463</v>
      </c>
      <c r="AB4" s="3379" t="s">
        <v>464</v>
      </c>
      <c r="AC4" s="3381" t="s">
        <v>465</v>
      </c>
    </row>
    <row r="5" spans="1:29" ht="15">
      <c r="A5" s="415"/>
      <c r="B5" s="416"/>
      <c r="C5" s="3400" t="s">
        <v>2841</v>
      </c>
      <c r="D5" s="3401"/>
      <c r="E5" s="3420" t="s">
        <v>2842</v>
      </c>
      <c r="F5" s="3421"/>
      <c r="G5" s="3400" t="s">
        <v>2843</v>
      </c>
      <c r="H5" s="3401"/>
      <c r="I5" s="3400" t="s">
        <v>2844</v>
      </c>
      <c r="J5" s="3401"/>
      <c r="K5" s="414"/>
      <c r="L5" s="2008"/>
      <c r="M5" s="2009"/>
      <c r="N5" s="2009"/>
      <c r="O5" s="2009"/>
      <c r="P5" s="3388"/>
      <c r="Q5" s="3389"/>
      <c r="R5" s="3394"/>
      <c r="S5" s="3395"/>
      <c r="T5" s="3394"/>
      <c r="U5" s="3395"/>
      <c r="V5" s="3379"/>
      <c r="W5" s="3379"/>
      <c r="X5" s="1455"/>
      <c r="Y5" s="3394"/>
      <c r="Z5" s="3395"/>
      <c r="AA5" s="3382"/>
      <c r="AB5" s="3379"/>
      <c r="AC5" s="3382"/>
    </row>
    <row r="6" spans="1:29" ht="15.75" thickBot="1">
      <c r="A6" s="417"/>
      <c r="B6" s="418"/>
      <c r="C6" s="3398" t="s">
        <v>2845</v>
      </c>
      <c r="D6" s="3399"/>
      <c r="E6" s="3416" t="s">
        <v>2845</v>
      </c>
      <c r="F6" s="3417"/>
      <c r="G6" s="3398" t="s">
        <v>2845</v>
      </c>
      <c r="H6" s="3399"/>
      <c r="I6" s="3398" t="s">
        <v>2845</v>
      </c>
      <c r="J6" s="3399"/>
      <c r="K6" s="414" t="s">
        <v>468</v>
      </c>
      <c r="L6" s="2008"/>
      <c r="M6" s="2009"/>
      <c r="N6" s="2009"/>
      <c r="O6" s="2009"/>
      <c r="P6" s="3390"/>
      <c r="Q6" s="3391"/>
      <c r="R6" s="3394"/>
      <c r="S6" s="3395"/>
      <c r="T6" s="3396"/>
      <c r="U6" s="3397"/>
      <c r="V6" s="3379"/>
      <c r="W6" s="3379"/>
      <c r="X6" s="1455"/>
      <c r="Y6" s="3396"/>
      <c r="Z6" s="3397"/>
      <c r="AA6" s="3383"/>
      <c r="AB6" s="3379"/>
      <c r="AC6" s="3383"/>
    </row>
    <row r="7" spans="1:29" s="1108" customFormat="1" ht="15.75" thickBot="1">
      <c r="A7" s="2777"/>
      <c r="B7" s="2784" t="s">
        <v>469</v>
      </c>
      <c r="C7" s="419">
        <f>'数据-取费表'!B2</f>
        <v>43240</v>
      </c>
      <c r="D7" s="420">
        <v>100</v>
      </c>
      <c r="E7" s="421"/>
      <c r="F7" s="422">
        <f>SUMIF(58:58,YEAR(E7)&amp;"-"&amp;MONTH(E7),59:59)</f>
        <v>0</v>
      </c>
      <c r="G7" s="421"/>
      <c r="H7" s="420">
        <f>SUMIF(58:58,YEAR(G7)&amp;"-"&amp;MONTH(G7),59:59)</f>
        <v>0</v>
      </c>
      <c r="I7" s="421"/>
      <c r="J7" s="420">
        <f>SUMIF(58:58,YEAR(I7)&amp;"-"&amp;MONTH(I7),59:59)</f>
        <v>0</v>
      </c>
      <c r="K7" s="424"/>
      <c r="L7" s="2010"/>
      <c r="M7" s="2011"/>
      <c r="N7" s="2011"/>
      <c r="O7" s="2011"/>
      <c r="P7" s="3409" t="s">
        <v>470</v>
      </c>
      <c r="Q7" s="3411"/>
      <c r="R7" s="1456" t="s">
        <v>8</v>
      </c>
      <c r="S7" s="1457">
        <f t="shared" ref="S7:S15" si="0">F7</f>
        <v>0</v>
      </c>
      <c r="T7" s="1456" t="s">
        <v>8</v>
      </c>
      <c r="U7" s="1457">
        <f t="shared" ref="U7:U15" si="1">H7</f>
        <v>0</v>
      </c>
      <c r="V7" s="1456" t="s">
        <v>8</v>
      </c>
      <c r="W7" s="1457">
        <f t="shared" ref="W7:W15" si="2">J7</f>
        <v>0</v>
      </c>
      <c r="X7" s="1458"/>
      <c r="Y7" s="3409" t="s">
        <v>470</v>
      </c>
      <c r="Z7" s="3410"/>
      <c r="AA7" s="1459" t="e">
        <f>D7/F7</f>
        <v>#DIV/0!</v>
      </c>
      <c r="AB7" s="1459" t="e">
        <f>D7/H7</f>
        <v>#DIV/0!</v>
      </c>
      <c r="AC7" s="1459" t="e">
        <f>D7/J7</f>
        <v>#DIV/0!</v>
      </c>
    </row>
    <row r="8" spans="1:29" s="1108" customFormat="1" ht="15.75" thickBot="1">
      <c r="A8" s="2778"/>
      <c r="B8" s="2785" t="s">
        <v>471</v>
      </c>
      <c r="C8" s="425" t="s">
        <v>516</v>
      </c>
      <c r="D8" s="420">
        <v>100</v>
      </c>
      <c r="E8" s="425"/>
      <c r="F8" s="422">
        <f>SUMIF(61:61,E8,62:62)-SUMIF(61:61,C8,62:62)+100</f>
        <v>0</v>
      </c>
      <c r="G8" s="425"/>
      <c r="H8" s="420">
        <f>SUMIF(61:61,G8,62:62)-SUMIF(61:61,C8,62:62)+100</f>
        <v>0</v>
      </c>
      <c r="I8" s="425"/>
      <c r="J8" s="420">
        <f>SUMIF(61:61,I8,62:62)-SUMIF(61:61,C8,62:62)+100</f>
        <v>0</v>
      </c>
      <c r="K8" s="424"/>
      <c r="L8" s="2010"/>
      <c r="M8" s="2011"/>
      <c r="N8" s="2011"/>
      <c r="O8" s="2011"/>
      <c r="P8" s="3409" t="s">
        <v>473</v>
      </c>
      <c r="Q8" s="3410"/>
      <c r="R8" s="1456" t="s">
        <v>8</v>
      </c>
      <c r="S8" s="1457">
        <f t="shared" si="0"/>
        <v>0</v>
      </c>
      <c r="T8" s="1456" t="s">
        <v>8</v>
      </c>
      <c r="U8" s="1457">
        <f t="shared" si="1"/>
        <v>0</v>
      </c>
      <c r="V8" s="1456" t="s">
        <v>8</v>
      </c>
      <c r="W8" s="1457">
        <f t="shared" si="2"/>
        <v>0</v>
      </c>
      <c r="X8" s="1458"/>
      <c r="Y8" s="3409" t="s">
        <v>473</v>
      </c>
      <c r="Z8" s="3410"/>
      <c r="AA8" s="1459" t="e">
        <f t="shared" ref="AA8:AA46" si="3">D8/F8</f>
        <v>#DIV/0!</v>
      </c>
      <c r="AB8" s="1459" t="e">
        <f t="shared" ref="AB8:AB46" si="4">D8/H8</f>
        <v>#DIV/0!</v>
      </c>
      <c r="AC8" s="1459" t="e">
        <f t="shared" ref="AC8:AC46" si="5">D8/J8</f>
        <v>#DIV/0!</v>
      </c>
    </row>
    <row r="9" spans="1:29" s="1108" customFormat="1" ht="15">
      <c r="A9" s="2779"/>
      <c r="B9" s="2786" t="s">
        <v>2684</v>
      </c>
      <c r="C9" s="757"/>
      <c r="D9" s="158">
        <v>100</v>
      </c>
      <c r="E9" s="760"/>
      <c r="F9" s="158">
        <f>SUMIF(63:63,E9,64:64)-SUMIF(63:63,C9,64:64)+100</f>
        <v>100</v>
      </c>
      <c r="G9" s="758"/>
      <c r="H9" s="158">
        <f>SUMIF(63:63,G9,64:64)-SUMIF(63:63,C9,64:64)+100</f>
        <v>100</v>
      </c>
      <c r="I9" s="758"/>
      <c r="J9" s="158">
        <f>SUMIF(63:63,I9,64:64)-SUMIF(63:63,C9,64:64)+100</f>
        <v>100</v>
      </c>
      <c r="K9" s="424"/>
      <c r="L9" s="2010"/>
      <c r="M9" s="2011"/>
      <c r="N9" s="2011"/>
      <c r="O9" s="2012"/>
      <c r="P9" s="3378" t="s">
        <v>475</v>
      </c>
      <c r="Q9" s="1049" t="str">
        <f t="shared" ref="Q9:Q15" si="6">B9</f>
        <v>用途</v>
      </c>
      <c r="R9" s="1456" t="s">
        <v>8</v>
      </c>
      <c r="S9" s="1457">
        <f t="shared" si="0"/>
        <v>100</v>
      </c>
      <c r="T9" s="1456" t="s">
        <v>8</v>
      </c>
      <c r="U9" s="1457">
        <f t="shared" si="1"/>
        <v>100</v>
      </c>
      <c r="V9" s="1456" t="s">
        <v>8</v>
      </c>
      <c r="W9" s="1457">
        <f t="shared" si="2"/>
        <v>100</v>
      </c>
      <c r="X9" s="1458"/>
      <c r="Y9" s="3324" t="s">
        <v>476</v>
      </c>
      <c r="Z9" s="1048" t="str">
        <f t="shared" ref="Z9:Z15" si="7">Q9</f>
        <v>用途</v>
      </c>
      <c r="AA9" s="1459">
        <f t="shared" si="3"/>
        <v>1</v>
      </c>
      <c r="AB9" s="1459">
        <f t="shared" si="4"/>
        <v>1</v>
      </c>
      <c r="AC9" s="1459">
        <f t="shared" si="5"/>
        <v>1</v>
      </c>
    </row>
    <row r="10" spans="1:29" s="1226" customFormat="1" ht="27">
      <c r="A10" s="2780"/>
      <c r="B10" s="2785" t="s">
        <v>2685</v>
      </c>
      <c r="C10" s="761"/>
      <c r="D10" s="159">
        <v>100</v>
      </c>
      <c r="E10" s="761"/>
      <c r="F10" s="159">
        <f>SUMIF(65:65,E10,66:66)-SUMIF(65:65,C10,66:66)+100</f>
        <v>100</v>
      </c>
      <c r="G10" s="762"/>
      <c r="H10" s="159">
        <f>SUMIF(65:65,G10,66:66)-SUMIF(65:65,C10,66:66)+100</f>
        <v>100</v>
      </c>
      <c r="I10" s="761"/>
      <c r="J10" s="159">
        <f>SUMIF(65:65,I10,66:66)-SUMIF(65:65,C10,66:66)+100</f>
        <v>100</v>
      </c>
      <c r="K10" s="484"/>
      <c r="L10" s="2013"/>
      <c r="M10" s="2053"/>
      <c r="N10" s="2053"/>
      <c r="O10" s="2014"/>
      <c r="P10" s="3378"/>
      <c r="Q10" s="1049" t="str">
        <f t="shared" si="6"/>
        <v>土地使用年限（年）</v>
      </c>
      <c r="R10" s="1456" t="s">
        <v>8</v>
      </c>
      <c r="S10" s="1457">
        <f t="shared" si="0"/>
        <v>100</v>
      </c>
      <c r="T10" s="1456" t="s">
        <v>8</v>
      </c>
      <c r="U10" s="1457">
        <f t="shared" si="1"/>
        <v>100</v>
      </c>
      <c r="V10" s="1456" t="s">
        <v>8</v>
      </c>
      <c r="W10" s="1457">
        <f t="shared" si="2"/>
        <v>100</v>
      </c>
      <c r="X10" s="1458"/>
      <c r="Y10" s="3324"/>
      <c r="Z10" s="1048" t="str">
        <f t="shared" si="7"/>
        <v>土地使用年限（年）</v>
      </c>
      <c r="AA10" s="1459">
        <f t="shared" si="3"/>
        <v>1</v>
      </c>
      <c r="AB10" s="1459">
        <f t="shared" si="4"/>
        <v>1</v>
      </c>
      <c r="AC10" s="1459">
        <f t="shared" si="5"/>
        <v>1</v>
      </c>
    </row>
    <row r="11" spans="1:29" ht="15">
      <c r="A11" s="2781"/>
      <c r="B11" s="2785" t="s">
        <v>2686</v>
      </c>
      <c r="C11" s="433"/>
      <c r="D11" s="159">
        <v>100</v>
      </c>
      <c r="E11" s="433"/>
      <c r="F11" s="159" t="e">
        <f>LOOKUP(E11,68:68,69:69)-LOOKUP(C11,68:68,69:69)+100</f>
        <v>#N/A</v>
      </c>
      <c r="G11" s="434"/>
      <c r="H11" s="159" t="e">
        <f>LOOKUP(G11,68:68,69:69)-LOOKUP(C11,68:68,69:69)+100</f>
        <v>#N/A</v>
      </c>
      <c r="I11" s="433"/>
      <c r="J11" s="159" t="e">
        <f>LOOKUP(I11,68:68,69:69)-LOOKUP(C11,68:68,69:69)+100</f>
        <v>#N/A</v>
      </c>
      <c r="K11" s="484"/>
      <c r="L11" s="2015"/>
      <c r="M11" s="2009"/>
      <c r="N11" s="2009"/>
      <c r="O11" s="2016"/>
      <c r="P11" s="3378"/>
      <c r="Q11" s="1049" t="str">
        <f t="shared" si="6"/>
        <v>容积率</v>
      </c>
      <c r="R11" s="1456" t="s">
        <v>8</v>
      </c>
      <c r="S11" s="1457" t="e">
        <f t="shared" si="0"/>
        <v>#N/A</v>
      </c>
      <c r="T11" s="1456" t="s">
        <v>8</v>
      </c>
      <c r="U11" s="1457" t="e">
        <f t="shared" si="1"/>
        <v>#N/A</v>
      </c>
      <c r="V11" s="1456" t="s">
        <v>8</v>
      </c>
      <c r="W11" s="1457" t="e">
        <f t="shared" si="2"/>
        <v>#N/A</v>
      </c>
      <c r="X11" s="1458"/>
      <c r="Y11" s="3324"/>
      <c r="Z11" s="1048" t="str">
        <f t="shared" si="7"/>
        <v>容积率</v>
      </c>
      <c r="AA11" s="1459" t="e">
        <f t="shared" si="3"/>
        <v>#N/A</v>
      </c>
      <c r="AB11" s="1459" t="e">
        <f t="shared" si="4"/>
        <v>#N/A</v>
      </c>
      <c r="AC11" s="1459" t="e">
        <f t="shared" si="5"/>
        <v>#N/A</v>
      </c>
    </row>
    <row r="12" spans="1:29" s="1108" customFormat="1" ht="15">
      <c r="A12" s="2782"/>
      <c r="B12" s="2788">
        <v>111</v>
      </c>
      <c r="C12" s="428"/>
      <c r="D12" s="438">
        <v>100</v>
      </c>
      <c r="E12" s="439"/>
      <c r="F12" s="159">
        <f>SUMIF(70:70,E12,71:71)-SUMIF(70:70,C12,71:71)+100</f>
        <v>100</v>
      </c>
      <c r="G12" s="812"/>
      <c r="H12" s="159">
        <f>SUMIF(70:70,G12,71:71)-SUMIF(70:70,C12,71:71)+100</f>
        <v>100</v>
      </c>
      <c r="I12" s="439"/>
      <c r="J12" s="159">
        <f>SUMIF(70:70,I12,71:71)-SUMIF(70:70,C12,71:71)+100</f>
        <v>100</v>
      </c>
      <c r="K12" s="481"/>
      <c r="L12" s="2010"/>
      <c r="M12" s="2011"/>
      <c r="N12" s="2011"/>
      <c r="O12" s="2012"/>
      <c r="P12" s="3378"/>
      <c r="Q12" s="1049">
        <f t="shared" si="6"/>
        <v>111</v>
      </c>
      <c r="R12" s="1456" t="s">
        <v>8</v>
      </c>
      <c r="S12" s="1457">
        <f t="shared" si="0"/>
        <v>100</v>
      </c>
      <c r="T12" s="1456" t="s">
        <v>8</v>
      </c>
      <c r="U12" s="1457">
        <f t="shared" si="1"/>
        <v>100</v>
      </c>
      <c r="V12" s="1456" t="s">
        <v>8</v>
      </c>
      <c r="W12" s="1457">
        <f t="shared" si="2"/>
        <v>100</v>
      </c>
      <c r="X12" s="1458"/>
      <c r="Y12" s="3324"/>
      <c r="Z12" s="1048">
        <f t="shared" si="7"/>
        <v>111</v>
      </c>
      <c r="AA12" s="1459">
        <f>D12/F12</f>
        <v>1</v>
      </c>
      <c r="AB12" s="1459">
        <f>D12/H12</f>
        <v>1</v>
      </c>
      <c r="AC12" s="1459">
        <f>D12/J12</f>
        <v>1</v>
      </c>
    </row>
    <row r="13" spans="1:29" ht="15">
      <c r="A13" s="2782"/>
      <c r="B13" s="2788">
        <v>111</v>
      </c>
      <c r="C13" s="439"/>
      <c r="D13" s="440">
        <v>100</v>
      </c>
      <c r="E13" s="439"/>
      <c r="F13" s="159">
        <f>SUMIF(72:72,E13,73:73)-SUMIF(72:72,C13,73:73)+100</f>
        <v>100</v>
      </c>
      <c r="G13" s="812"/>
      <c r="H13" s="440">
        <f>SUMIF(72:72,G13,73:73)-SUMIF(72:72,C13,73:73)+100</f>
        <v>100</v>
      </c>
      <c r="I13" s="439"/>
      <c r="J13" s="440">
        <f>SUMIF(72:72,I13,73:73)-SUMIF(72:72,C13,73:73)+100</f>
        <v>100</v>
      </c>
      <c r="K13" s="481"/>
      <c r="L13" s="2017"/>
      <c r="M13" s="2009"/>
      <c r="N13" s="2009"/>
      <c r="O13" s="2016"/>
      <c r="P13" s="3378"/>
      <c r="Q13" s="1049">
        <f t="shared" si="6"/>
        <v>111</v>
      </c>
      <c r="R13" s="1456" t="s">
        <v>8</v>
      </c>
      <c r="S13" s="1457">
        <f t="shared" si="0"/>
        <v>100</v>
      </c>
      <c r="T13" s="1456" t="s">
        <v>8</v>
      </c>
      <c r="U13" s="1457">
        <f t="shared" si="1"/>
        <v>100</v>
      </c>
      <c r="V13" s="1456" t="s">
        <v>8</v>
      </c>
      <c r="W13" s="1457">
        <f t="shared" si="2"/>
        <v>100</v>
      </c>
      <c r="X13" s="1458"/>
      <c r="Y13" s="3324"/>
      <c r="Z13" s="1048">
        <f t="shared" si="7"/>
        <v>111</v>
      </c>
      <c r="AA13" s="1459">
        <f t="shared" si="3"/>
        <v>1</v>
      </c>
      <c r="AB13" s="1459">
        <f t="shared" si="4"/>
        <v>1</v>
      </c>
      <c r="AC13" s="1459">
        <f t="shared" si="5"/>
        <v>1</v>
      </c>
    </row>
    <row r="14" spans="1:29" ht="15.75" thickBot="1">
      <c r="A14" s="2783"/>
      <c r="B14" s="2789">
        <v>111</v>
      </c>
      <c r="C14" s="445"/>
      <c r="D14" s="446">
        <v>100</v>
      </c>
      <c r="E14" s="445"/>
      <c r="F14" s="446">
        <f>SUMIF(74:74,E14,75:75)-SUMIF(74:74,C14,75:75)+100</f>
        <v>100</v>
      </c>
      <c r="G14" s="812"/>
      <c r="H14" s="446">
        <f>SUMIF(74:74,G14,75:75)-SUMIF(74:74,C14,75:75)+100</f>
        <v>100</v>
      </c>
      <c r="I14" s="439"/>
      <c r="J14" s="446">
        <f>SUMIF(74:74,I14,75:75)-SUMIF(74:74,C14,75:75)+100</f>
        <v>100</v>
      </c>
      <c r="K14" s="481"/>
      <c r="L14" s="2017"/>
      <c r="M14" s="2009"/>
      <c r="N14" s="2009"/>
      <c r="O14" s="2016"/>
      <c r="P14" s="3378"/>
      <c r="Q14" s="1049">
        <f t="shared" si="6"/>
        <v>111</v>
      </c>
      <c r="R14" s="1456" t="s">
        <v>8</v>
      </c>
      <c r="S14" s="1457">
        <f t="shared" si="0"/>
        <v>100</v>
      </c>
      <c r="T14" s="1456" t="s">
        <v>8</v>
      </c>
      <c r="U14" s="1457">
        <f t="shared" si="1"/>
        <v>100</v>
      </c>
      <c r="V14" s="1456" t="s">
        <v>8</v>
      </c>
      <c r="W14" s="1457">
        <f t="shared" si="2"/>
        <v>100</v>
      </c>
      <c r="X14" s="1458"/>
      <c r="Y14" s="3324"/>
      <c r="Z14" s="1048">
        <f t="shared" si="7"/>
        <v>111</v>
      </c>
      <c r="AA14" s="1459">
        <f t="shared" si="3"/>
        <v>1</v>
      </c>
      <c r="AB14" s="1459">
        <f t="shared" si="4"/>
        <v>1</v>
      </c>
      <c r="AC14" s="1459">
        <f t="shared" si="5"/>
        <v>1</v>
      </c>
    </row>
    <row r="15" spans="1:29" ht="28.5">
      <c r="A15" s="2775" t="s">
        <v>2682</v>
      </c>
      <c r="B15" s="146" t="s">
        <v>481</v>
      </c>
      <c r="C15" s="767" t="str">
        <f>估价对象房地状况!C4</f>
        <v>集贸百货、村镇商业</v>
      </c>
      <c r="D15" s="449">
        <v>100</v>
      </c>
      <c r="E15" s="450"/>
      <c r="F15" s="451">
        <f>SUMIF(76:76,E16,77:77)-SUMIF(76:76,C16,77:77)+100</f>
        <v>100</v>
      </c>
      <c r="G15" s="452"/>
      <c r="H15" s="449">
        <f>SUMIF(76:76,G16,77:77)-SUMIF(76:76,C16,77:77)+100</f>
        <v>100</v>
      </c>
      <c r="I15" s="450"/>
      <c r="J15" s="449">
        <f>SUMIF(76:76,I16,77:77)-SUMIF(76:76,C16,77:77)+100</f>
        <v>100</v>
      </c>
      <c r="K15" s="798"/>
      <c r="L15" s="2017"/>
      <c r="M15" s="2009"/>
      <c r="N15" s="2009"/>
      <c r="O15" s="2016"/>
      <c r="P15" s="3412" t="s">
        <v>480</v>
      </c>
      <c r="Q15" s="1460" t="str">
        <f t="shared" si="6"/>
        <v>商业繁华度</v>
      </c>
      <c r="R15" s="1461" t="s">
        <v>8</v>
      </c>
      <c r="S15" s="1462">
        <f t="shared" si="0"/>
        <v>100</v>
      </c>
      <c r="T15" s="1461" t="s">
        <v>8</v>
      </c>
      <c r="U15" s="1462">
        <f t="shared" si="1"/>
        <v>100</v>
      </c>
      <c r="V15" s="1461" t="s">
        <v>8</v>
      </c>
      <c r="W15" s="1462">
        <f t="shared" si="2"/>
        <v>100</v>
      </c>
      <c r="X15" s="1455"/>
      <c r="Y15" s="3412" t="s">
        <v>480</v>
      </c>
      <c r="Z15" s="1463" t="str">
        <f t="shared" si="7"/>
        <v>商业繁华度</v>
      </c>
      <c r="AA15" s="1464">
        <f t="shared" si="3"/>
        <v>1</v>
      </c>
      <c r="AB15" s="1464">
        <f t="shared" si="4"/>
        <v>1</v>
      </c>
      <c r="AC15" s="1464">
        <f t="shared" si="5"/>
        <v>1</v>
      </c>
    </row>
    <row r="16" spans="1:29" ht="15">
      <c r="A16" s="432"/>
      <c r="B16" s="769"/>
      <c r="C16" s="476"/>
      <c r="D16" s="455"/>
      <c r="E16" s="476"/>
      <c r="F16" s="457"/>
      <c r="G16" s="476"/>
      <c r="H16" s="459"/>
      <c r="I16" s="476"/>
      <c r="J16" s="455"/>
      <c r="K16" s="799"/>
      <c r="L16" s="2017"/>
      <c r="M16" s="2009"/>
      <c r="N16" s="2009"/>
      <c r="O16" s="2016"/>
      <c r="P16" s="3413"/>
      <c r="Q16" s="1460"/>
      <c r="R16" s="1461"/>
      <c r="S16" s="1462"/>
      <c r="T16" s="1461"/>
      <c r="U16" s="1462"/>
      <c r="V16" s="1461"/>
      <c r="W16" s="1462"/>
      <c r="X16" s="1455"/>
      <c r="Y16" s="3413"/>
      <c r="Z16" s="1463"/>
      <c r="AA16" s="1464">
        <v>1</v>
      </c>
      <c r="AB16" s="1464">
        <v>1</v>
      </c>
      <c r="AC16" s="1464">
        <v>1</v>
      </c>
    </row>
    <row r="17" spans="1:29" ht="71.25">
      <c r="A17" s="432"/>
      <c r="B17" s="771" t="s">
        <v>236</v>
      </c>
      <c r="C17" s="772" t="str">
        <f>估价对象房地状况!C6</f>
        <v>233路、平湖k166路；大云镇客运站；嘉善南站；1高速、1省道</v>
      </c>
      <c r="D17" s="459">
        <v>100</v>
      </c>
      <c r="E17" s="462"/>
      <c r="F17" s="463">
        <f>SUMIF(78:78,E18,79:79)-SUMIF(78:78,C18,79:79)+100</f>
        <v>100</v>
      </c>
      <c r="G17" s="464"/>
      <c r="H17" s="465">
        <f>SUMIF(78:78,G18,79:79)-SUMIF(78:78,C18,79:79)+100</f>
        <v>100</v>
      </c>
      <c r="I17" s="462"/>
      <c r="J17" s="465">
        <f>SUMIF(78:78,I18,79:79)-SUMIF(78:78,C18,79:79)+100</f>
        <v>100</v>
      </c>
      <c r="K17" s="798"/>
      <c r="L17" s="2017"/>
      <c r="M17" s="2009"/>
      <c r="N17" s="2009"/>
      <c r="O17" s="2016"/>
      <c r="P17" s="3413"/>
      <c r="Q17" s="1460" t="str">
        <f>B17</f>
        <v>交通便捷度</v>
      </c>
      <c r="R17" s="1461" t="s">
        <v>8</v>
      </c>
      <c r="S17" s="1462">
        <f>F17</f>
        <v>100</v>
      </c>
      <c r="T17" s="1461" t="s">
        <v>8</v>
      </c>
      <c r="U17" s="1462">
        <f>H17</f>
        <v>100</v>
      </c>
      <c r="V17" s="1461" t="s">
        <v>8</v>
      </c>
      <c r="W17" s="1462">
        <f>J17</f>
        <v>100</v>
      </c>
      <c r="X17" s="1455"/>
      <c r="Y17" s="3413"/>
      <c r="Z17" s="1463" t="str">
        <f>Q17</f>
        <v>交通便捷度</v>
      </c>
      <c r="AA17" s="1464">
        <f t="shared" si="3"/>
        <v>1</v>
      </c>
      <c r="AB17" s="1464">
        <f t="shared" si="4"/>
        <v>1</v>
      </c>
      <c r="AC17" s="1464">
        <f t="shared" si="5"/>
        <v>1</v>
      </c>
    </row>
    <row r="18" spans="1:29" ht="15">
      <c r="A18" s="432"/>
      <c r="B18" s="495"/>
      <c r="C18" s="773"/>
      <c r="D18" s="459"/>
      <c r="E18" s="468"/>
      <c r="F18" s="463"/>
      <c r="G18" s="469"/>
      <c r="H18" s="455"/>
      <c r="I18" s="468"/>
      <c r="J18" s="455"/>
      <c r="K18" s="799"/>
      <c r="L18" s="2017"/>
      <c r="M18" s="2009"/>
      <c r="N18" s="2009"/>
      <c r="O18" s="2016"/>
      <c r="P18" s="3413"/>
      <c r="Q18" s="1460"/>
      <c r="R18" s="1461"/>
      <c r="S18" s="1462"/>
      <c r="T18" s="1461"/>
      <c r="U18" s="1462"/>
      <c r="V18" s="1461"/>
      <c r="W18" s="1462"/>
      <c r="X18" s="1455"/>
      <c r="Y18" s="3413"/>
      <c r="Z18" s="1463"/>
      <c r="AA18" s="1464">
        <v>1</v>
      </c>
      <c r="AB18" s="1464">
        <v>1</v>
      </c>
      <c r="AC18" s="1464">
        <v>1</v>
      </c>
    </row>
    <row r="19" spans="1:29" ht="28.5">
      <c r="A19" s="432"/>
      <c r="B19" s="2466" t="s">
        <v>2474</v>
      </c>
      <c r="C19" s="772" t="str">
        <f>估价对象房地状况!C7</f>
        <v>医院、学校、银行、餐饮</v>
      </c>
      <c r="D19" s="465">
        <v>100</v>
      </c>
      <c r="E19" s="470"/>
      <c r="F19" s="471">
        <f>SUMIF(80:80,E20,81:81)-SUMIF(80:80,C20,81:81)+100</f>
        <v>100</v>
      </c>
      <c r="G19" s="472"/>
      <c r="H19" s="459">
        <f>SUMIF(80:80,G20,81:81)-SUMIF(80:80,C20,81:81)+100</f>
        <v>100</v>
      </c>
      <c r="I19" s="470"/>
      <c r="J19" s="459">
        <f>SUMIF(80:80,I20,81:81)-SUMIF(80:80,C20,81:81)+100</f>
        <v>100</v>
      </c>
      <c r="K19" s="798"/>
      <c r="L19" s="2017"/>
      <c r="M19" s="2009"/>
      <c r="N19" s="2009"/>
      <c r="O19" s="2016"/>
      <c r="P19" s="3413"/>
      <c r="Q19" s="1460" t="str">
        <f>B19</f>
        <v>公共配套设施</v>
      </c>
      <c r="R19" s="1461" t="s">
        <v>8</v>
      </c>
      <c r="S19" s="1462">
        <f>F19</f>
        <v>100</v>
      </c>
      <c r="T19" s="1461" t="s">
        <v>8</v>
      </c>
      <c r="U19" s="1462">
        <f>H19</f>
        <v>100</v>
      </c>
      <c r="V19" s="1461" t="s">
        <v>8</v>
      </c>
      <c r="W19" s="1462">
        <f>J19</f>
        <v>100</v>
      </c>
      <c r="X19" s="1455"/>
      <c r="Y19" s="3413"/>
      <c r="Z19" s="1463" t="str">
        <f>Q19</f>
        <v>公共配套设施</v>
      </c>
      <c r="AA19" s="1464">
        <f t="shared" si="3"/>
        <v>1</v>
      </c>
      <c r="AB19" s="1464">
        <f t="shared" si="4"/>
        <v>1</v>
      </c>
      <c r="AC19" s="1464">
        <f t="shared" si="5"/>
        <v>1</v>
      </c>
    </row>
    <row r="20" spans="1:29" ht="15">
      <c r="A20" s="432"/>
      <c r="B20" s="495"/>
      <c r="C20" s="476"/>
      <c r="D20" s="455"/>
      <c r="E20" s="456"/>
      <c r="F20" s="457"/>
      <c r="G20" s="458"/>
      <c r="H20" s="455"/>
      <c r="I20" s="456"/>
      <c r="J20" s="455"/>
      <c r="K20" s="799"/>
      <c r="L20" s="2017"/>
      <c r="M20" s="2009"/>
      <c r="N20" s="2009"/>
      <c r="O20" s="2016"/>
      <c r="P20" s="3413"/>
      <c r="Q20" s="1460"/>
      <c r="R20" s="1461"/>
      <c r="S20" s="1462"/>
      <c r="T20" s="1461"/>
      <c r="U20" s="1462"/>
      <c r="V20" s="1461"/>
      <c r="W20" s="1462"/>
      <c r="X20" s="1455"/>
      <c r="Y20" s="3413"/>
      <c r="Z20" s="1463"/>
      <c r="AA20" s="1464">
        <v>1</v>
      </c>
      <c r="AB20" s="1464">
        <v>1</v>
      </c>
      <c r="AC20" s="1464">
        <v>1</v>
      </c>
    </row>
    <row r="21" spans="1:29" ht="15">
      <c r="A21" s="432"/>
      <c r="B21" s="2459" t="s">
        <v>2486</v>
      </c>
      <c r="C21" s="772" t="str">
        <f>估价对象房地状况!C8</f>
        <v>六通</v>
      </c>
      <c r="D21" s="465">
        <v>100</v>
      </c>
      <c r="E21" s="472"/>
      <c r="F21" s="471">
        <f>SUMIF(82:82,E22,83:83)-SUMIF(82:82,C22,83:83)+100</f>
        <v>100</v>
      </c>
      <c r="G21" s="472"/>
      <c r="H21" s="465">
        <f>SUMIF(82:82,G22,83:83)-SUMIF(82:82,C22,83:83)+100</f>
        <v>100</v>
      </c>
      <c r="I21" s="470"/>
      <c r="J21" s="465">
        <f>SUMIF(82:82,I22,83:83)-SUMIF(82:82,C22,83:83)+100</f>
        <v>100</v>
      </c>
      <c r="K21" s="798"/>
      <c r="L21" s="2017"/>
      <c r="M21" s="2009"/>
      <c r="N21" s="2009"/>
      <c r="O21" s="2016"/>
      <c r="P21" s="3413"/>
      <c r="Q21" s="2445" t="str">
        <f>B21</f>
        <v>基础设施水平</v>
      </c>
      <c r="R21" s="1461" t="s">
        <v>8</v>
      </c>
      <c r="S21" s="1462">
        <f>F21</f>
        <v>100</v>
      </c>
      <c r="T21" s="1461" t="s">
        <v>8</v>
      </c>
      <c r="U21" s="1462">
        <f>H21</f>
        <v>100</v>
      </c>
      <c r="V21" s="1461" t="s">
        <v>8</v>
      </c>
      <c r="W21" s="1462">
        <f>J21</f>
        <v>100</v>
      </c>
      <c r="X21" s="2447"/>
      <c r="Y21" s="3413"/>
      <c r="Z21" s="2446" t="str">
        <f>Q21</f>
        <v>基础设施水平</v>
      </c>
      <c r="AA21" s="1464">
        <f>D21/F21</f>
        <v>1</v>
      </c>
      <c r="AB21" s="1464">
        <f>D21/H21</f>
        <v>1</v>
      </c>
      <c r="AC21" s="1464">
        <f>D21/J21</f>
        <v>1</v>
      </c>
    </row>
    <row r="22" spans="1:29" ht="15">
      <c r="A22" s="432"/>
      <c r="B22" s="822"/>
      <c r="C22" s="773"/>
      <c r="D22" s="455"/>
      <c r="E22" s="476"/>
      <c r="F22" s="457"/>
      <c r="G22" s="476"/>
      <c r="H22" s="455"/>
      <c r="I22" s="476"/>
      <c r="J22" s="455"/>
      <c r="K22" s="2468"/>
      <c r="L22" s="2017"/>
      <c r="M22" s="2009"/>
      <c r="N22" s="2009"/>
      <c r="O22" s="2016"/>
      <c r="P22" s="3413"/>
      <c r="Q22" s="2445"/>
      <c r="R22" s="1461"/>
      <c r="S22" s="1462"/>
      <c r="T22" s="1461"/>
      <c r="U22" s="1462"/>
      <c r="V22" s="1461"/>
      <c r="W22" s="1462"/>
      <c r="X22" s="2447"/>
      <c r="Y22" s="3413"/>
      <c r="Z22" s="2446"/>
      <c r="AA22" s="1464">
        <v>1</v>
      </c>
      <c r="AB22" s="1464">
        <v>1</v>
      </c>
      <c r="AC22" s="1464">
        <v>1</v>
      </c>
    </row>
    <row r="23" spans="1:29" ht="15">
      <c r="A23" s="432"/>
      <c r="B23" s="771" t="s">
        <v>237</v>
      </c>
      <c r="C23" s="800" t="str">
        <f>估价对象房地状况!C9</f>
        <v>六生河</v>
      </c>
      <c r="D23" s="459">
        <v>100</v>
      </c>
      <c r="E23" s="462"/>
      <c r="F23" s="463">
        <f>SUMIF(84:84,E24,85:85)-SUMIF(84:84,C24,85:85)+100</f>
        <v>100</v>
      </c>
      <c r="G23" s="464"/>
      <c r="H23" s="459">
        <f>SUMIF(84:84,G24,85:85)-SUMIF(84:84,C24,85:85)+100</f>
        <v>100</v>
      </c>
      <c r="I23" s="462"/>
      <c r="J23" s="459">
        <f>SUMIF(84:84,I24,85:85)-SUMIF(84:84,C24,85:85)+100</f>
        <v>100</v>
      </c>
      <c r="K23" s="798"/>
      <c r="L23" s="2017"/>
      <c r="M23" s="2009"/>
      <c r="N23" s="2009"/>
      <c r="O23" s="2016"/>
      <c r="P23" s="3413"/>
      <c r="Q23" s="1460" t="str">
        <f>B23</f>
        <v>自然及人文环境</v>
      </c>
      <c r="R23" s="1461" t="s">
        <v>8</v>
      </c>
      <c r="S23" s="1462">
        <f>F23</f>
        <v>100</v>
      </c>
      <c r="T23" s="1461" t="s">
        <v>8</v>
      </c>
      <c r="U23" s="1462">
        <f>H23</f>
        <v>100</v>
      </c>
      <c r="V23" s="1461" t="s">
        <v>8</v>
      </c>
      <c r="W23" s="1462">
        <f>J23</f>
        <v>100</v>
      </c>
      <c r="X23" s="1455"/>
      <c r="Y23" s="3413"/>
      <c r="Z23" s="1463" t="str">
        <f>Q23</f>
        <v>自然及人文环境</v>
      </c>
      <c r="AA23" s="1464">
        <f t="shared" si="3"/>
        <v>1</v>
      </c>
      <c r="AB23" s="1464">
        <f t="shared" si="4"/>
        <v>1</v>
      </c>
      <c r="AC23" s="1464">
        <f t="shared" si="5"/>
        <v>1</v>
      </c>
    </row>
    <row r="24" spans="1:29" ht="15">
      <c r="A24" s="432"/>
      <c r="B24" s="495"/>
      <c r="C24" s="476"/>
      <c r="D24" s="455"/>
      <c r="E24" s="456"/>
      <c r="F24" s="457"/>
      <c r="G24" s="458"/>
      <c r="H24" s="455"/>
      <c r="I24" s="456"/>
      <c r="J24" s="455"/>
      <c r="K24" s="799"/>
      <c r="L24" s="2017"/>
      <c r="M24" s="2009"/>
      <c r="N24" s="2009"/>
      <c r="O24" s="2016"/>
      <c r="P24" s="3413"/>
      <c r="Q24" s="1460"/>
      <c r="R24" s="1461"/>
      <c r="S24" s="1462"/>
      <c r="T24" s="1461"/>
      <c r="U24" s="1462"/>
      <c r="V24" s="1461"/>
      <c r="W24" s="1462"/>
      <c r="X24" s="1455"/>
      <c r="Y24" s="3413"/>
      <c r="Z24" s="1463"/>
      <c r="AA24" s="1464">
        <v>1</v>
      </c>
      <c r="AB24" s="1464">
        <v>1</v>
      </c>
      <c r="AC24" s="1464">
        <v>1</v>
      </c>
    </row>
    <row r="25" spans="1:29" ht="15">
      <c r="A25" s="432"/>
      <c r="B25" s="427" t="s">
        <v>487</v>
      </c>
      <c r="C25" s="483"/>
      <c r="D25" s="440">
        <v>100</v>
      </c>
      <c r="E25" s="483"/>
      <c r="F25" s="475">
        <f>SUMIF(86:86,E25,87:87)-SUMIF(86:86,C25,87:87)+100</f>
        <v>100</v>
      </c>
      <c r="G25" s="483"/>
      <c r="H25" s="440">
        <f>SUMIF(86:86,G25,87:87)-SUMIF(86:86,C25,87:87)+100</f>
        <v>100</v>
      </c>
      <c r="I25" s="483"/>
      <c r="J25" s="440">
        <f>SUMIF(86:86,I25,87:87)-SUMIF(86:86,C25,87:87)+100</f>
        <v>100</v>
      </c>
      <c r="K25" s="484"/>
      <c r="L25" s="2017"/>
      <c r="M25" s="2009"/>
      <c r="N25" s="2009"/>
      <c r="O25" s="2016"/>
      <c r="P25" s="3413"/>
      <c r="Q25" s="1460" t="str">
        <f t="shared" ref="Q25:Q46" si="8">B25</f>
        <v>临街状况</v>
      </c>
      <c r="R25" s="1461" t="s">
        <v>8</v>
      </c>
      <c r="S25" s="1462">
        <f>F25</f>
        <v>100</v>
      </c>
      <c r="T25" s="1461" t="s">
        <v>8</v>
      </c>
      <c r="U25" s="1462">
        <f>H25</f>
        <v>100</v>
      </c>
      <c r="V25" s="1461" t="s">
        <v>8</v>
      </c>
      <c r="W25" s="1462">
        <f>J25</f>
        <v>100</v>
      </c>
      <c r="X25" s="1455"/>
      <c r="Y25" s="3413"/>
      <c r="Z25" s="1463" t="str">
        <f>Q25</f>
        <v>临街状况</v>
      </c>
      <c r="AA25" s="1464">
        <f t="shared" si="3"/>
        <v>1</v>
      </c>
      <c r="AB25" s="1464">
        <f t="shared" si="4"/>
        <v>1</v>
      </c>
      <c r="AC25" s="1464">
        <f t="shared" si="5"/>
        <v>1</v>
      </c>
    </row>
    <row r="26" spans="1:29" ht="15">
      <c r="A26" s="432"/>
      <c r="B26" s="777" t="s">
        <v>697</v>
      </c>
      <c r="C26" s="439"/>
      <c r="D26" s="440">
        <v>100</v>
      </c>
      <c r="E26" s="439"/>
      <c r="F26" s="475">
        <f>SUMIF(88:88,E26,89:89)-SUMIF(88:88,C26,89:89)+100</f>
        <v>100</v>
      </c>
      <c r="G26" s="439"/>
      <c r="H26" s="440">
        <f>SUMIF(88:88,G26,89:89)-SUMIF(88:88,C26,89:89)+100</f>
        <v>100</v>
      </c>
      <c r="I26" s="439"/>
      <c r="J26" s="440">
        <f>SUMIF(88:88,I26,89:89)-SUMIF(88:88,C26,89:89)+100</f>
        <v>100</v>
      </c>
      <c r="K26" s="481"/>
      <c r="L26" s="2017"/>
      <c r="M26" s="2009"/>
      <c r="N26" s="2009"/>
      <c r="O26" s="2016"/>
      <c r="P26" s="3413"/>
      <c r="Q26" s="1460" t="str">
        <f t="shared" si="8"/>
        <v>平面位置/可视性</v>
      </c>
      <c r="R26" s="1461" t="s">
        <v>8</v>
      </c>
      <c r="S26" s="1462">
        <f>F26</f>
        <v>100</v>
      </c>
      <c r="T26" s="1461" t="s">
        <v>8</v>
      </c>
      <c r="U26" s="1462">
        <f>H26</f>
        <v>100</v>
      </c>
      <c r="V26" s="1461" t="s">
        <v>8</v>
      </c>
      <c r="W26" s="1462">
        <f>J26</f>
        <v>100</v>
      </c>
      <c r="X26" s="1455"/>
      <c r="Y26" s="3413"/>
      <c r="Z26" s="1463" t="str">
        <f>Q26</f>
        <v>平面位置/可视性</v>
      </c>
      <c r="AA26" s="1464">
        <f t="shared" si="3"/>
        <v>1</v>
      </c>
      <c r="AB26" s="1464">
        <f t="shared" si="4"/>
        <v>1</v>
      </c>
      <c r="AC26" s="1464">
        <f t="shared" si="5"/>
        <v>1</v>
      </c>
    </row>
    <row r="27" spans="1:29" s="1108" customFormat="1" ht="15">
      <c r="A27" s="436"/>
      <c r="B27" s="771" t="s">
        <v>698</v>
      </c>
      <c r="C27" s="801"/>
      <c r="D27" s="775">
        <v>100</v>
      </c>
      <c r="E27" s="801"/>
      <c r="F27" s="776">
        <f>SUMIF(90:90,E27,91:91)-SUMIF(90:90,C27,91:91)+100</f>
        <v>100</v>
      </c>
      <c r="G27" s="801"/>
      <c r="H27" s="775">
        <f>SUMIF(90:90,G27,91:91)-SUMIF(90:90,C27,91:91)+100</f>
        <v>100</v>
      </c>
      <c r="I27" s="801"/>
      <c r="J27" s="775">
        <f>SUMIF(90:90,I27,91:91)-SUMIF(90:90,C27,91:91)+100</f>
        <v>100</v>
      </c>
      <c r="K27" s="484"/>
      <c r="L27" s="2010"/>
      <c r="M27" s="2011"/>
      <c r="N27" s="2011"/>
      <c r="O27" s="2012"/>
      <c r="P27" s="3413"/>
      <c r="Q27" s="1049" t="str">
        <f t="shared" si="8"/>
        <v>人流量</v>
      </c>
      <c r="R27" s="1456" t="s">
        <v>8</v>
      </c>
      <c r="S27" s="1457">
        <f>F27</f>
        <v>100</v>
      </c>
      <c r="T27" s="1456" t="s">
        <v>8</v>
      </c>
      <c r="U27" s="1457">
        <f>H27</f>
        <v>100</v>
      </c>
      <c r="V27" s="1456" t="s">
        <v>8</v>
      </c>
      <c r="W27" s="1457">
        <f>J27</f>
        <v>100</v>
      </c>
      <c r="X27" s="1458"/>
      <c r="Y27" s="3413"/>
      <c r="Z27" s="1048" t="str">
        <f>Q27</f>
        <v>人流量</v>
      </c>
      <c r="AA27" s="1464">
        <f>D27/F27</f>
        <v>1</v>
      </c>
      <c r="AB27" s="1464">
        <f>D27/H27</f>
        <v>1</v>
      </c>
      <c r="AC27" s="1464">
        <f>D27/J27</f>
        <v>1</v>
      </c>
    </row>
    <row r="28" spans="1:29" ht="15">
      <c r="A28" s="432"/>
      <c r="B28" s="427" t="s">
        <v>700</v>
      </c>
      <c r="C28" s="483"/>
      <c r="D28" s="440">
        <v>100</v>
      </c>
      <c r="E28" s="483"/>
      <c r="F28" s="475">
        <f>SUMIF(92:92,E28,93:93)-SUMIF(92:92,C28,93:93)+100</f>
        <v>100</v>
      </c>
      <c r="G28" s="483"/>
      <c r="H28" s="440">
        <f>SUMIF(92:92,G28,93:93)-SUMIF(92:92,C28,93:93)+100</f>
        <v>100</v>
      </c>
      <c r="I28" s="483"/>
      <c r="J28" s="440">
        <f>SUMIF(92:92,I28,93:93)-SUMIF(92:92,C28,93:93)+100</f>
        <v>100</v>
      </c>
      <c r="K28" s="481"/>
      <c r="L28" s="2017"/>
      <c r="M28" s="2009"/>
      <c r="N28" s="2009"/>
      <c r="O28" s="2016"/>
      <c r="P28" s="3413"/>
      <c r="Q28" s="1460" t="str">
        <f t="shared" si="8"/>
        <v>楼层</v>
      </c>
      <c r="R28" s="1461" t="s">
        <v>8</v>
      </c>
      <c r="S28" s="1462">
        <f t="shared" ref="S28:S46" si="9">F28</f>
        <v>100</v>
      </c>
      <c r="T28" s="1461" t="s">
        <v>8</v>
      </c>
      <c r="U28" s="1462">
        <f t="shared" ref="U28:U46" si="10">H28</f>
        <v>100</v>
      </c>
      <c r="V28" s="1461" t="s">
        <v>8</v>
      </c>
      <c r="W28" s="1462">
        <f t="shared" ref="W28:W46" si="11">J28</f>
        <v>100</v>
      </c>
      <c r="X28" s="1455"/>
      <c r="Y28" s="3413"/>
      <c r="Z28" s="1463" t="str">
        <f t="shared" ref="Z28:Z46" si="12">Q28</f>
        <v>楼层</v>
      </c>
      <c r="AA28" s="1464">
        <f t="shared" si="3"/>
        <v>1</v>
      </c>
      <c r="AB28" s="1464">
        <f t="shared" si="4"/>
        <v>1</v>
      </c>
      <c r="AC28" s="1464">
        <f t="shared" si="5"/>
        <v>1</v>
      </c>
    </row>
    <row r="29" spans="1:29" ht="15">
      <c r="A29" s="432"/>
      <c r="B29" s="777">
        <v>111</v>
      </c>
      <c r="C29" s="439"/>
      <c r="D29" s="440">
        <v>100</v>
      </c>
      <c r="E29" s="439"/>
      <c r="F29" s="475">
        <f>SUMIF(94:94,E29,95:95)-SUMIF(94:94,C29,95:95)+100</f>
        <v>100</v>
      </c>
      <c r="G29" s="439"/>
      <c r="H29" s="440">
        <f>SUMIF(94:94,G29,95:95)-SUMIF(94:94,C29,95:95)+100</f>
        <v>100</v>
      </c>
      <c r="I29" s="439"/>
      <c r="J29" s="440">
        <f>SUMIF(94:94,I29,95:95)-SUMIF(94:94,C29,95:95)+100</f>
        <v>100</v>
      </c>
      <c r="K29" s="481"/>
      <c r="L29" s="2017"/>
      <c r="M29" s="2009"/>
      <c r="N29" s="2009"/>
      <c r="O29" s="2016"/>
      <c r="P29" s="3413"/>
      <c r="Q29" s="1460">
        <f t="shared" si="8"/>
        <v>111</v>
      </c>
      <c r="R29" s="1461" t="s">
        <v>8</v>
      </c>
      <c r="S29" s="1462">
        <f t="shared" si="9"/>
        <v>100</v>
      </c>
      <c r="T29" s="1461" t="s">
        <v>8</v>
      </c>
      <c r="U29" s="1462">
        <f t="shared" si="10"/>
        <v>100</v>
      </c>
      <c r="V29" s="1461" t="s">
        <v>8</v>
      </c>
      <c r="W29" s="1462">
        <f t="shared" si="11"/>
        <v>100</v>
      </c>
      <c r="X29" s="1455"/>
      <c r="Y29" s="3413"/>
      <c r="Z29" s="1463">
        <f t="shared" si="12"/>
        <v>111</v>
      </c>
      <c r="AA29" s="1464">
        <f t="shared" si="3"/>
        <v>1</v>
      </c>
      <c r="AB29" s="1464">
        <f t="shared" si="4"/>
        <v>1</v>
      </c>
      <c r="AC29" s="1464">
        <f t="shared" si="5"/>
        <v>1</v>
      </c>
    </row>
    <row r="30" spans="1:29" ht="15">
      <c r="A30" s="432"/>
      <c r="B30" s="777">
        <v>111</v>
      </c>
      <c r="C30" s="439"/>
      <c r="D30" s="440">
        <v>100</v>
      </c>
      <c r="E30" s="439"/>
      <c r="F30" s="475">
        <f>SUMIF(96:96,E30,97:97)-SUMIF(96:96,C30,97:97)+100</f>
        <v>100</v>
      </c>
      <c r="G30" s="439"/>
      <c r="H30" s="440">
        <f>SUMIF(96:96,G30,97:97)-SUMIF(96:96,C30,97:97)+100</f>
        <v>100</v>
      </c>
      <c r="I30" s="439"/>
      <c r="J30" s="440">
        <f>SUMIF(96:96,I30,97:97)-SUMIF(96:96,C30,97:97)+100</f>
        <v>100</v>
      </c>
      <c r="K30" s="481"/>
      <c r="L30" s="2017"/>
      <c r="M30" s="2009"/>
      <c r="N30" s="2009"/>
      <c r="O30" s="2016"/>
      <c r="P30" s="3413"/>
      <c r="Q30" s="1460">
        <f t="shared" si="8"/>
        <v>111</v>
      </c>
      <c r="R30" s="1461" t="s">
        <v>8</v>
      </c>
      <c r="S30" s="1462">
        <f t="shared" si="9"/>
        <v>100</v>
      </c>
      <c r="T30" s="1461" t="s">
        <v>8</v>
      </c>
      <c r="U30" s="1462">
        <f t="shared" si="10"/>
        <v>100</v>
      </c>
      <c r="V30" s="1461" t="s">
        <v>8</v>
      </c>
      <c r="W30" s="1462">
        <f t="shared" si="11"/>
        <v>100</v>
      </c>
      <c r="X30" s="1455"/>
      <c r="Y30" s="3413"/>
      <c r="Z30" s="1463">
        <f t="shared" si="12"/>
        <v>111</v>
      </c>
      <c r="AA30" s="1464">
        <f t="shared" si="3"/>
        <v>1</v>
      </c>
      <c r="AB30" s="1464">
        <f t="shared" si="4"/>
        <v>1</v>
      </c>
      <c r="AC30" s="1464">
        <f t="shared" si="5"/>
        <v>1</v>
      </c>
    </row>
    <row r="31" spans="1:29" ht="15.75" thickBot="1">
      <c r="A31" s="443"/>
      <c r="B31" s="777">
        <v>111</v>
      </c>
      <c r="C31" s="445"/>
      <c r="D31" s="446">
        <v>100</v>
      </c>
      <c r="E31" s="439"/>
      <c r="F31" s="766">
        <f>SUMIF(98:98,E31,99:99)-SUMIF(98:98,C31,99:99)+100</f>
        <v>100</v>
      </c>
      <c r="G31" s="439"/>
      <c r="H31" s="446">
        <f>SUMIF(98:98,G31,99:99)-SUMIF(98:98,C31,99:99)+100</f>
        <v>100</v>
      </c>
      <c r="I31" s="439"/>
      <c r="J31" s="446">
        <f>SUMIF(98:98,I31,99:99)-SUMIF(98:98,C31,99:99)+100</f>
        <v>100</v>
      </c>
      <c r="K31" s="481"/>
      <c r="L31" s="2017"/>
      <c r="M31" s="2009"/>
      <c r="N31" s="2009"/>
      <c r="O31" s="2016"/>
      <c r="P31" s="3413"/>
      <c r="Q31" s="1460">
        <f t="shared" si="8"/>
        <v>111</v>
      </c>
      <c r="R31" s="1461" t="s">
        <v>8</v>
      </c>
      <c r="S31" s="1462">
        <f t="shared" si="9"/>
        <v>100</v>
      </c>
      <c r="T31" s="1461" t="s">
        <v>8</v>
      </c>
      <c r="U31" s="1462">
        <f t="shared" si="10"/>
        <v>100</v>
      </c>
      <c r="V31" s="1461" t="s">
        <v>8</v>
      </c>
      <c r="W31" s="1462">
        <f t="shared" si="11"/>
        <v>100</v>
      </c>
      <c r="X31" s="1455"/>
      <c r="Y31" s="3413"/>
      <c r="Z31" s="1463">
        <f t="shared" si="12"/>
        <v>111</v>
      </c>
      <c r="AA31" s="1464">
        <f t="shared" si="3"/>
        <v>1</v>
      </c>
      <c r="AB31" s="1464">
        <f t="shared" si="4"/>
        <v>1</v>
      </c>
      <c r="AC31" s="1464">
        <f t="shared" si="5"/>
        <v>1</v>
      </c>
    </row>
    <row r="32" spans="1:29" ht="15">
      <c r="A32" s="2772" t="s">
        <v>2683</v>
      </c>
      <c r="B32" s="148" t="s">
        <v>701</v>
      </c>
      <c r="C32" s="778"/>
      <c r="D32" s="497">
        <v>100</v>
      </c>
      <c r="E32" s="778"/>
      <c r="F32" s="475">
        <f>SUMIF(100:100,E32,101:101)-SUMIF(100:100,C32,101:101)+100</f>
        <v>100</v>
      </c>
      <c r="G32" s="778"/>
      <c r="H32" s="440">
        <f>SUMIF(100:100,G32,101:101)-SUMIF(100:100,C32,101:101)+100</f>
        <v>100</v>
      </c>
      <c r="I32" s="778"/>
      <c r="J32" s="497">
        <f>SUMIF(100:100,I32,101:101)-SUMIF(100:100,C32,101:101)+100</f>
        <v>100</v>
      </c>
      <c r="K32" s="484"/>
      <c r="L32" s="2017"/>
      <c r="M32" s="2009"/>
      <c r="N32" s="2009"/>
      <c r="O32" s="2016"/>
      <c r="P32" s="3414" t="s">
        <v>490</v>
      </c>
      <c r="Q32" s="1460" t="str">
        <f t="shared" si="8"/>
        <v>商业类型</v>
      </c>
      <c r="R32" s="1461" t="s">
        <v>8</v>
      </c>
      <c r="S32" s="1462">
        <f t="shared" si="9"/>
        <v>100</v>
      </c>
      <c r="T32" s="1461" t="s">
        <v>8</v>
      </c>
      <c r="U32" s="1462">
        <f t="shared" si="10"/>
        <v>100</v>
      </c>
      <c r="V32" s="1461" t="s">
        <v>8</v>
      </c>
      <c r="W32" s="1462">
        <f t="shared" si="11"/>
        <v>100</v>
      </c>
      <c r="X32" s="1455"/>
      <c r="Y32" s="3415" t="s">
        <v>490</v>
      </c>
      <c r="Z32" s="1463" t="str">
        <f t="shared" si="12"/>
        <v>商业类型</v>
      </c>
      <c r="AA32" s="1464">
        <f t="shared" si="3"/>
        <v>1</v>
      </c>
      <c r="AB32" s="1464">
        <f t="shared" si="4"/>
        <v>1</v>
      </c>
      <c r="AC32" s="1464">
        <f t="shared" si="5"/>
        <v>1</v>
      </c>
    </row>
    <row r="33" spans="1:29" s="1227" customFormat="1" ht="15">
      <c r="A33" s="503"/>
      <c r="B33" s="427" t="s">
        <v>665</v>
      </c>
      <c r="C33" s="780"/>
      <c r="D33" s="159">
        <v>100</v>
      </c>
      <c r="E33" s="434"/>
      <c r="F33" s="763" t="e">
        <f>LOOKUP(E33,103:103,104:104)-LOOKUP(C33,103:103,104:104)+100</f>
        <v>#N/A</v>
      </c>
      <c r="G33" s="433"/>
      <c r="H33" s="159" t="e">
        <f>LOOKUP(G33,103:103,104:104)-LOOKUP(C33,103:103,104:104)+100</f>
        <v>#N/A</v>
      </c>
      <c r="I33" s="433"/>
      <c r="J33" s="159" t="e">
        <f>LOOKUP(I33,103:103,104:104)-LOOKUP(C33,103:103,104:104)+100</f>
        <v>#N/A</v>
      </c>
      <c r="K33" s="481"/>
      <c r="L33" s="2015"/>
      <c r="M33" s="2046"/>
      <c r="N33" s="2046"/>
      <c r="O33" s="2018"/>
      <c r="P33" s="3415"/>
      <c r="Q33" s="1493" t="str">
        <f t="shared" si="8"/>
        <v>项目建筑规模</v>
      </c>
      <c r="R33" s="1465" t="s">
        <v>8</v>
      </c>
      <c r="S33" s="1466" t="e">
        <f t="shared" si="9"/>
        <v>#N/A</v>
      </c>
      <c r="T33" s="1465" t="s">
        <v>8</v>
      </c>
      <c r="U33" s="1466" t="e">
        <f t="shared" si="10"/>
        <v>#N/A</v>
      </c>
      <c r="V33" s="1465" t="s">
        <v>8</v>
      </c>
      <c r="W33" s="1466" t="e">
        <f t="shared" si="11"/>
        <v>#N/A</v>
      </c>
      <c r="X33" s="1467"/>
      <c r="Y33" s="3415"/>
      <c r="Z33" s="1468" t="str">
        <f t="shared" si="12"/>
        <v>项目建筑规模</v>
      </c>
      <c r="AA33" s="1464" t="e">
        <f t="shared" si="3"/>
        <v>#N/A</v>
      </c>
      <c r="AB33" s="1464" t="e">
        <f t="shared" si="4"/>
        <v>#N/A</v>
      </c>
      <c r="AC33" s="1464" t="e">
        <f t="shared" si="5"/>
        <v>#N/A</v>
      </c>
    </row>
    <row r="34" spans="1:29" ht="15">
      <c r="A34" s="494"/>
      <c r="B34" s="427" t="s">
        <v>666</v>
      </c>
      <c r="C34" s="781"/>
      <c r="D34" s="440">
        <v>100</v>
      </c>
      <c r="E34" s="782"/>
      <c r="F34" s="475">
        <f>SUMIF(105:105,E34,106:106)-SUMIF(105:105,C34,106:106)+100</f>
        <v>100</v>
      </c>
      <c r="G34" s="781"/>
      <c r="H34" s="440">
        <f>SUMIF(105:105,G34,106:106)-SUMIF(105:105,C34,106:106)+100</f>
        <v>100</v>
      </c>
      <c r="I34" s="781"/>
      <c r="J34" s="440">
        <f>SUMIF(105:105,I34,106:106)-SUMIF(105:105,C34,106:106)+100</f>
        <v>100</v>
      </c>
      <c r="K34" s="484"/>
      <c r="L34" s="2017"/>
      <c r="M34" s="2009"/>
      <c r="N34" s="2009"/>
      <c r="O34" s="2016"/>
      <c r="P34" s="3415"/>
      <c r="Q34" s="1460" t="str">
        <f t="shared" si="8"/>
        <v>建筑结构</v>
      </c>
      <c r="R34" s="1461" t="s">
        <v>8</v>
      </c>
      <c r="S34" s="1462">
        <f t="shared" si="9"/>
        <v>100</v>
      </c>
      <c r="T34" s="1461" t="s">
        <v>8</v>
      </c>
      <c r="U34" s="1462">
        <f t="shared" si="10"/>
        <v>100</v>
      </c>
      <c r="V34" s="1461" t="s">
        <v>8</v>
      </c>
      <c r="W34" s="1462">
        <f t="shared" si="11"/>
        <v>100</v>
      </c>
      <c r="X34" s="1455"/>
      <c r="Y34" s="3415"/>
      <c r="Z34" s="1463" t="str">
        <f t="shared" si="12"/>
        <v>建筑结构</v>
      </c>
      <c r="AA34" s="1464">
        <f t="shared" si="3"/>
        <v>1</v>
      </c>
      <c r="AB34" s="1464">
        <f t="shared" si="4"/>
        <v>1</v>
      </c>
      <c r="AC34" s="1464">
        <f t="shared" si="5"/>
        <v>1</v>
      </c>
    </row>
    <row r="35" spans="1:29" ht="15">
      <c r="A35" s="494"/>
      <c r="B35" s="427" t="s">
        <v>702</v>
      </c>
      <c r="C35" s="499"/>
      <c r="D35" s="440">
        <v>100</v>
      </c>
      <c r="E35" s="499"/>
      <c r="F35" s="475">
        <f>SUMIF(107:107,E35,108:108)-SUMIF(107:107,C35,108:108)+100</f>
        <v>100</v>
      </c>
      <c r="G35" s="499"/>
      <c r="H35" s="440">
        <f>SUMIF(107:107,G35,108:108)-SUMIF(107:107,C35,108:108)+100</f>
        <v>100</v>
      </c>
      <c r="I35" s="499"/>
      <c r="J35" s="440">
        <f>SUMIF(107:107,I35,108:108)-SUMIF(107:107,C35,108:108)+100</f>
        <v>100</v>
      </c>
      <c r="K35" s="484"/>
      <c r="L35" s="2017"/>
      <c r="M35" s="2009"/>
      <c r="N35" s="2009"/>
      <c r="O35" s="2016"/>
      <c r="P35" s="3415"/>
      <c r="Q35" s="1460" t="str">
        <f t="shared" si="8"/>
        <v>公共部分装修</v>
      </c>
      <c r="R35" s="1461" t="s">
        <v>8</v>
      </c>
      <c r="S35" s="1462">
        <f t="shared" si="9"/>
        <v>100</v>
      </c>
      <c r="T35" s="1461" t="s">
        <v>8</v>
      </c>
      <c r="U35" s="1462">
        <f t="shared" si="10"/>
        <v>100</v>
      </c>
      <c r="V35" s="1461" t="s">
        <v>8</v>
      </c>
      <c r="W35" s="1462">
        <f t="shared" si="11"/>
        <v>100</v>
      </c>
      <c r="X35" s="1455"/>
      <c r="Y35" s="3415"/>
      <c r="Z35" s="1463" t="str">
        <f t="shared" si="12"/>
        <v>公共部分装修</v>
      </c>
      <c r="AA35" s="1464">
        <f t="shared" si="3"/>
        <v>1</v>
      </c>
      <c r="AB35" s="1464">
        <f t="shared" si="4"/>
        <v>1</v>
      </c>
      <c r="AC35" s="1464">
        <f t="shared" si="5"/>
        <v>1</v>
      </c>
    </row>
    <row r="36" spans="1:29" ht="15">
      <c r="A36" s="494"/>
      <c r="B36" s="427" t="s">
        <v>703</v>
      </c>
      <c r="C36" s="783"/>
      <c r="D36" s="440">
        <v>100</v>
      </c>
      <c r="E36" s="783"/>
      <c r="F36" s="475" t="e">
        <f>LOOKUP(E36,110:110,111:111)-LOOKUP(C36,110:110,111:111)+100</f>
        <v>#N/A</v>
      </c>
      <c r="G36" s="783"/>
      <c r="H36" s="475" t="e">
        <f>LOOKUP(G36,110:110,111:111)-LOOKUP(C36,110:110,111:111)+100</f>
        <v>#N/A</v>
      </c>
      <c r="I36" s="783"/>
      <c r="J36" s="440" t="e">
        <f>LOOKUP(I36,110:110,111:111)-LOOKUP(C36,110:110,111:111)+100</f>
        <v>#N/A</v>
      </c>
      <c r="K36" s="484"/>
      <c r="L36" s="2017"/>
      <c r="M36" s="2009"/>
      <c r="N36" s="2009"/>
      <c r="O36" s="2016"/>
      <c r="P36" s="3415"/>
      <c r="Q36" s="1460" t="str">
        <f t="shared" si="8"/>
        <v>成新度</v>
      </c>
      <c r="R36" s="1461" t="s">
        <v>8</v>
      </c>
      <c r="S36" s="1462" t="e">
        <f t="shared" si="9"/>
        <v>#N/A</v>
      </c>
      <c r="T36" s="1461" t="s">
        <v>8</v>
      </c>
      <c r="U36" s="1462" t="e">
        <f t="shared" si="10"/>
        <v>#N/A</v>
      </c>
      <c r="V36" s="1461" t="s">
        <v>8</v>
      </c>
      <c r="W36" s="1462" t="e">
        <f t="shared" si="11"/>
        <v>#N/A</v>
      </c>
      <c r="X36" s="1455"/>
      <c r="Y36" s="3415"/>
      <c r="Z36" s="1463" t="str">
        <f t="shared" si="12"/>
        <v>成新度</v>
      </c>
      <c r="AA36" s="1464" t="e">
        <f t="shared" si="3"/>
        <v>#N/A</v>
      </c>
      <c r="AB36" s="1464" t="e">
        <f t="shared" si="4"/>
        <v>#N/A</v>
      </c>
      <c r="AC36" s="1464" t="e">
        <f t="shared" si="5"/>
        <v>#N/A</v>
      </c>
    </row>
    <row r="37" spans="1:29" s="1108" customFormat="1" ht="15">
      <c r="A37" s="500"/>
      <c r="B37" s="1777" t="s">
        <v>2493</v>
      </c>
      <c r="C37" s="499"/>
      <c r="D37" s="159">
        <v>100</v>
      </c>
      <c r="E37" s="499"/>
      <c r="F37" s="475">
        <f>SUMIF(112:112,E37,113:113)-SUMIF(112:112,C37,113:113)+100</f>
        <v>100</v>
      </c>
      <c r="G37" s="499"/>
      <c r="H37" s="440">
        <f>SUMIF(112:112,G37,113:113)-SUMIF(112:112,C37,113:113)+100</f>
        <v>100</v>
      </c>
      <c r="I37" s="499"/>
      <c r="J37" s="440">
        <f>SUMIF(112:112,I37,113:113)-SUMIF(112:112,C37,113:113)+100</f>
        <v>100</v>
      </c>
      <c r="K37" s="484"/>
      <c r="L37" s="2010"/>
      <c r="M37" s="2011"/>
      <c r="N37" s="2011"/>
      <c r="O37" s="2012"/>
      <c r="P37" s="3415"/>
      <c r="Q37" s="1049" t="str">
        <f t="shared" si="8"/>
        <v>市政基础设施</v>
      </c>
      <c r="R37" s="1456" t="s">
        <v>8</v>
      </c>
      <c r="S37" s="1457">
        <f t="shared" si="9"/>
        <v>100</v>
      </c>
      <c r="T37" s="1456" t="s">
        <v>8</v>
      </c>
      <c r="U37" s="1457">
        <f t="shared" si="10"/>
        <v>100</v>
      </c>
      <c r="V37" s="1456" t="s">
        <v>8</v>
      </c>
      <c r="W37" s="1457">
        <f t="shared" si="11"/>
        <v>100</v>
      </c>
      <c r="X37" s="1458"/>
      <c r="Y37" s="3415"/>
      <c r="Z37" s="1048" t="str">
        <f t="shared" si="12"/>
        <v>市政基础设施</v>
      </c>
      <c r="AA37" s="1459">
        <f t="shared" si="3"/>
        <v>1</v>
      </c>
      <c r="AB37" s="1459">
        <f t="shared" si="4"/>
        <v>1</v>
      </c>
      <c r="AC37" s="1459">
        <f t="shared" si="5"/>
        <v>1</v>
      </c>
    </row>
    <row r="38" spans="1:29" ht="15">
      <c r="A38" s="494"/>
      <c r="B38" s="427" t="s">
        <v>704</v>
      </c>
      <c r="C38" s="499"/>
      <c r="D38" s="440">
        <v>100</v>
      </c>
      <c r="E38" s="499"/>
      <c r="F38" s="475">
        <f>SUMIF(114:114,E38,115:115)-SUMIF(114:114,C38,115:115)+100</f>
        <v>100</v>
      </c>
      <c r="G38" s="499"/>
      <c r="H38" s="440">
        <f>SUMIF(114:114,G38,115:115)-SUMIF(114:114,C38,115:115)+100</f>
        <v>100</v>
      </c>
      <c r="I38" s="499"/>
      <c r="J38" s="440">
        <f>SUMIF(114:114,I38,115:115)-SUMIF(114:114,C38,115:115)+100</f>
        <v>100</v>
      </c>
      <c r="K38" s="484"/>
      <c r="L38" s="2017"/>
      <c r="M38" s="2009"/>
      <c r="N38" s="2009"/>
      <c r="O38" s="2016"/>
      <c r="P38" s="3415" t="s">
        <v>705</v>
      </c>
      <c r="Q38" s="1460" t="str">
        <f t="shared" si="8"/>
        <v>业态</v>
      </c>
      <c r="R38" s="1461" t="s">
        <v>8</v>
      </c>
      <c r="S38" s="1462">
        <f t="shared" si="9"/>
        <v>100</v>
      </c>
      <c r="T38" s="1461" t="s">
        <v>8</v>
      </c>
      <c r="U38" s="1462">
        <f t="shared" si="10"/>
        <v>100</v>
      </c>
      <c r="V38" s="1461" t="s">
        <v>8</v>
      </c>
      <c r="W38" s="1462">
        <f t="shared" si="11"/>
        <v>100</v>
      </c>
      <c r="X38" s="1455"/>
      <c r="Y38" s="3415" t="s">
        <v>705</v>
      </c>
      <c r="Z38" s="1463" t="str">
        <f t="shared" si="12"/>
        <v>业态</v>
      </c>
      <c r="AA38" s="1464">
        <f t="shared" si="3"/>
        <v>1</v>
      </c>
      <c r="AB38" s="1464">
        <f t="shared" si="4"/>
        <v>1</v>
      </c>
      <c r="AC38" s="1464">
        <f t="shared" si="5"/>
        <v>1</v>
      </c>
    </row>
    <row r="39" spans="1:29" ht="15">
      <c r="A39" s="494"/>
      <c r="B39" s="427" t="s">
        <v>706</v>
      </c>
      <c r="C39" s="499"/>
      <c r="D39" s="440">
        <v>100</v>
      </c>
      <c r="E39" s="499"/>
      <c r="F39" s="475">
        <f>SUMIF(116:116,E39,117:117)-SUMIF(116:116,C39,117:117)+100</f>
        <v>100</v>
      </c>
      <c r="G39" s="499"/>
      <c r="H39" s="440">
        <f>SUMIF(116:116,G39,117:117)-SUMIF(116:116,C39,117:117)+100</f>
        <v>100</v>
      </c>
      <c r="I39" s="499"/>
      <c r="J39" s="440">
        <f>SUMIF(116:116,I39,117:117)-SUMIF(116:116,C39,117:117)+100</f>
        <v>100</v>
      </c>
      <c r="K39" s="484"/>
      <c r="L39" s="2017"/>
      <c r="M39" s="2009"/>
      <c r="N39" s="2009"/>
      <c r="O39" s="2016"/>
      <c r="P39" s="3415"/>
      <c r="Q39" s="1460" t="str">
        <f t="shared" si="8"/>
        <v>层高</v>
      </c>
      <c r="R39" s="1461" t="s">
        <v>8</v>
      </c>
      <c r="S39" s="1462">
        <f t="shared" si="9"/>
        <v>100</v>
      </c>
      <c r="T39" s="1461" t="s">
        <v>8</v>
      </c>
      <c r="U39" s="1462">
        <f t="shared" si="10"/>
        <v>100</v>
      </c>
      <c r="V39" s="1461" t="s">
        <v>8</v>
      </c>
      <c r="W39" s="1462">
        <f t="shared" si="11"/>
        <v>100</v>
      </c>
      <c r="X39" s="1455"/>
      <c r="Y39" s="3415"/>
      <c r="Z39" s="1463" t="str">
        <f t="shared" si="12"/>
        <v>层高</v>
      </c>
      <c r="AA39" s="1464">
        <f t="shared" si="3"/>
        <v>1</v>
      </c>
      <c r="AB39" s="1464">
        <f t="shared" si="4"/>
        <v>1</v>
      </c>
      <c r="AC39" s="1464">
        <f t="shared" si="5"/>
        <v>1</v>
      </c>
    </row>
    <row r="40" spans="1:29" ht="15">
      <c r="A40" s="494"/>
      <c r="B40" s="427" t="s">
        <v>707</v>
      </c>
      <c r="C40" s="802"/>
      <c r="D40" s="440">
        <v>100</v>
      </c>
      <c r="E40" s="803"/>
      <c r="F40" s="475">
        <f>SUMIF(118:118,E40,119:119)-SUMIF(118:118,C40,119:119)+100</f>
        <v>100</v>
      </c>
      <c r="G40" s="803"/>
      <c r="H40" s="440">
        <f>SUMIF(118:118,G40,119:119)-SUMIF(118:118,C40,119:119)+100</f>
        <v>100</v>
      </c>
      <c r="I40" s="803"/>
      <c r="J40" s="440">
        <f>SUMIF(118:118,I40,119:119)-SUMIF(118:118,C40,119:119)+100</f>
        <v>100</v>
      </c>
      <c r="K40" s="481"/>
      <c r="L40" s="2017"/>
      <c r="M40" s="2009"/>
      <c r="N40" s="2009"/>
      <c r="O40" s="2016"/>
      <c r="P40" s="3415"/>
      <c r="Q40" s="1460" t="str">
        <f t="shared" si="8"/>
        <v>单套建筑面积</v>
      </c>
      <c r="R40" s="1461" t="s">
        <v>8</v>
      </c>
      <c r="S40" s="1462">
        <f t="shared" si="9"/>
        <v>100</v>
      </c>
      <c r="T40" s="1461" t="s">
        <v>8</v>
      </c>
      <c r="U40" s="1462">
        <f t="shared" si="10"/>
        <v>100</v>
      </c>
      <c r="V40" s="1461" t="s">
        <v>8</v>
      </c>
      <c r="W40" s="1462">
        <f t="shared" si="11"/>
        <v>100</v>
      </c>
      <c r="X40" s="1455"/>
      <c r="Y40" s="3415"/>
      <c r="Z40" s="1463" t="str">
        <f t="shared" si="12"/>
        <v>单套建筑面积</v>
      </c>
      <c r="AA40" s="1464">
        <f t="shared" si="3"/>
        <v>1</v>
      </c>
      <c r="AB40" s="1464">
        <f t="shared" si="4"/>
        <v>1</v>
      </c>
      <c r="AC40" s="1464">
        <f t="shared" si="5"/>
        <v>1</v>
      </c>
    </row>
    <row r="41" spans="1:29" s="1227" customFormat="1" ht="15">
      <c r="A41" s="503"/>
      <c r="B41" s="804" t="s">
        <v>708</v>
      </c>
      <c r="C41" s="483"/>
      <c r="D41" s="440">
        <v>100</v>
      </c>
      <c r="E41" s="483"/>
      <c r="F41" s="475">
        <f>SUMIF(120:120,E41,121:121)-SUMIF(120:120,C41,121:121)+100</f>
        <v>100</v>
      </c>
      <c r="G41" s="483"/>
      <c r="H41" s="440">
        <f>SUMIF(120:120,G41,121:121)-SUMIF(120:120,C41,121:121)+100</f>
        <v>100</v>
      </c>
      <c r="I41" s="483"/>
      <c r="J41" s="440">
        <f>SUMIF(120:120,I41,121:121)-SUMIF(120:120,C41,121:121)+100</f>
        <v>100</v>
      </c>
      <c r="K41" s="484"/>
      <c r="L41" s="2015"/>
      <c r="M41" s="2046"/>
      <c r="N41" s="2046"/>
      <c r="O41" s="2018"/>
      <c r="P41" s="3415"/>
      <c r="Q41" s="1493" t="str">
        <f t="shared" si="8"/>
        <v>进深比</v>
      </c>
      <c r="R41" s="1465" t="s">
        <v>8</v>
      </c>
      <c r="S41" s="1466">
        <f t="shared" si="9"/>
        <v>100</v>
      </c>
      <c r="T41" s="1465" t="s">
        <v>8</v>
      </c>
      <c r="U41" s="1466">
        <f t="shared" si="10"/>
        <v>100</v>
      </c>
      <c r="V41" s="1465" t="s">
        <v>8</v>
      </c>
      <c r="W41" s="1466">
        <f t="shared" si="11"/>
        <v>100</v>
      </c>
      <c r="X41" s="1467"/>
      <c r="Y41" s="3415"/>
      <c r="Z41" s="1468" t="str">
        <f t="shared" si="12"/>
        <v>进深比</v>
      </c>
      <c r="AA41" s="1464">
        <f t="shared" si="3"/>
        <v>1</v>
      </c>
      <c r="AB41" s="1464">
        <f t="shared" si="4"/>
        <v>1</v>
      </c>
      <c r="AC41" s="1464">
        <f t="shared" si="5"/>
        <v>1</v>
      </c>
    </row>
    <row r="42" spans="1:29" ht="15">
      <c r="A42" s="494"/>
      <c r="B42" s="427" t="s">
        <v>709</v>
      </c>
      <c r="C42" s="499"/>
      <c r="D42" s="440">
        <v>100</v>
      </c>
      <c r="E42" s="499"/>
      <c r="F42" s="475">
        <f>SUMIF(122:122,E42,123:123)-SUMIF(122:122,C42,123:123)+100</f>
        <v>100</v>
      </c>
      <c r="G42" s="499"/>
      <c r="H42" s="440">
        <f>SUMIF(122:122,G42,123:123)-SUMIF(122:122,C42,123:123)+100</f>
        <v>100</v>
      </c>
      <c r="I42" s="499"/>
      <c r="J42" s="440">
        <f>SUMIF(122:122,I42,123:123)-SUMIF(122:122,C42,123:123)+100</f>
        <v>100</v>
      </c>
      <c r="K42" s="484"/>
      <c r="L42" s="2017"/>
      <c r="M42" s="2009"/>
      <c r="N42" s="2009"/>
      <c r="O42" s="2016"/>
      <c r="P42" s="3415"/>
      <c r="Q42" s="1460" t="str">
        <f t="shared" si="8"/>
        <v>内部装修</v>
      </c>
      <c r="R42" s="1461" t="s">
        <v>8</v>
      </c>
      <c r="S42" s="1462">
        <f t="shared" si="9"/>
        <v>100</v>
      </c>
      <c r="T42" s="1461" t="s">
        <v>8</v>
      </c>
      <c r="U42" s="1462">
        <f t="shared" si="10"/>
        <v>100</v>
      </c>
      <c r="V42" s="1461" t="s">
        <v>8</v>
      </c>
      <c r="W42" s="1462">
        <f t="shared" si="11"/>
        <v>100</v>
      </c>
      <c r="X42" s="1455"/>
      <c r="Y42" s="3415"/>
      <c r="Z42" s="1463" t="str">
        <f t="shared" si="12"/>
        <v>内部装修</v>
      </c>
      <c r="AA42" s="1464">
        <f t="shared" si="3"/>
        <v>1</v>
      </c>
      <c r="AB42" s="1464">
        <f t="shared" si="4"/>
        <v>1</v>
      </c>
      <c r="AC42" s="1464">
        <f t="shared" si="5"/>
        <v>1</v>
      </c>
    </row>
    <row r="43" spans="1:29" ht="27">
      <c r="A43" s="494"/>
      <c r="B43" s="427" t="s">
        <v>674</v>
      </c>
      <c r="C43" s="499"/>
      <c r="D43" s="440">
        <v>100</v>
      </c>
      <c r="E43" s="499"/>
      <c r="F43" s="475">
        <f>SUMIF(124:124,E43,125:125)-SUMIF(124:124,C43,125:125)+100</f>
        <v>100</v>
      </c>
      <c r="G43" s="499"/>
      <c r="H43" s="440">
        <f>SUMIF(124:124,G43,125:125)-SUMIF(124:124,C43,125:125)+100</f>
        <v>100</v>
      </c>
      <c r="I43" s="499"/>
      <c r="J43" s="440">
        <f>SUMIF(124:124,I43,125:125)-SUMIF(124:124,C43,125:125)+100</f>
        <v>100</v>
      </c>
      <c r="K43" s="484"/>
      <c r="L43" s="2017"/>
      <c r="M43" s="2009"/>
      <c r="N43" s="2009"/>
      <c r="O43" s="2016"/>
      <c r="P43" s="3415"/>
      <c r="Q43" s="1460" t="str">
        <f t="shared" si="8"/>
        <v>内部装修维护情况</v>
      </c>
      <c r="R43" s="1461" t="s">
        <v>8</v>
      </c>
      <c r="S43" s="1462">
        <f t="shared" si="9"/>
        <v>100</v>
      </c>
      <c r="T43" s="1461" t="s">
        <v>8</v>
      </c>
      <c r="U43" s="1462">
        <f t="shared" si="10"/>
        <v>100</v>
      </c>
      <c r="V43" s="1461" t="s">
        <v>8</v>
      </c>
      <c r="W43" s="1462">
        <f t="shared" si="11"/>
        <v>100</v>
      </c>
      <c r="X43" s="1455"/>
      <c r="Y43" s="3415"/>
      <c r="Z43" s="1463" t="str">
        <f t="shared" si="12"/>
        <v>内部装修维护情况</v>
      </c>
      <c r="AA43" s="1464">
        <f t="shared" si="3"/>
        <v>1</v>
      </c>
      <c r="AB43" s="1464">
        <f t="shared" si="4"/>
        <v>1</v>
      </c>
      <c r="AC43" s="1464">
        <f t="shared" si="5"/>
        <v>1</v>
      </c>
    </row>
    <row r="44" spans="1:29" s="1108" customFormat="1" ht="15">
      <c r="A44" s="500"/>
      <c r="B44" s="777">
        <v>111</v>
      </c>
      <c r="C44" s="780"/>
      <c r="D44" s="159">
        <v>100</v>
      </c>
      <c r="E44" s="439"/>
      <c r="F44" s="763">
        <f>SUMIF(126:126,E44,127:127)-SUMIF(126:126,C44,127:127)+100</f>
        <v>100</v>
      </c>
      <c r="G44" s="439"/>
      <c r="H44" s="159">
        <f>SUMIF(126:126,G44,127:127)-SUMIF(126:126,C44,127:127)+100</f>
        <v>100</v>
      </c>
      <c r="I44" s="439"/>
      <c r="J44" s="159">
        <f>SUMIF(126:126,I44,127:127)-SUMIF(126:126,C44,127:127)+100</f>
        <v>100</v>
      </c>
      <c r="K44" s="481"/>
      <c r="L44" s="2010"/>
      <c r="M44" s="2011"/>
      <c r="N44" s="2011"/>
      <c r="O44" s="2012"/>
      <c r="P44" s="3415"/>
      <c r="Q44" s="1049">
        <f t="shared" si="8"/>
        <v>111</v>
      </c>
      <c r="R44" s="1456" t="s">
        <v>8</v>
      </c>
      <c r="S44" s="1457">
        <f t="shared" si="9"/>
        <v>100</v>
      </c>
      <c r="T44" s="1456" t="s">
        <v>8</v>
      </c>
      <c r="U44" s="1457">
        <f t="shared" si="10"/>
        <v>100</v>
      </c>
      <c r="V44" s="1456" t="s">
        <v>8</v>
      </c>
      <c r="W44" s="1457">
        <f t="shared" si="11"/>
        <v>100</v>
      </c>
      <c r="X44" s="1458"/>
      <c r="Y44" s="3415"/>
      <c r="Z44" s="1048">
        <f t="shared" si="12"/>
        <v>111</v>
      </c>
      <c r="AA44" s="1459">
        <f t="shared" si="3"/>
        <v>1</v>
      </c>
      <c r="AB44" s="1459">
        <f t="shared" si="4"/>
        <v>1</v>
      </c>
      <c r="AC44" s="1459">
        <f t="shared" si="5"/>
        <v>1</v>
      </c>
    </row>
    <row r="45" spans="1:29" ht="15">
      <c r="A45" s="494"/>
      <c r="B45" s="777">
        <v>111</v>
      </c>
      <c r="C45" s="439"/>
      <c r="D45" s="440">
        <v>100</v>
      </c>
      <c r="E45" s="439"/>
      <c r="F45" s="475">
        <f>SUMIF(128:128,E45,129:129)-SUMIF(128:128,C45,129:129)+100</f>
        <v>100</v>
      </c>
      <c r="G45" s="439"/>
      <c r="H45" s="440">
        <f>SUMIF(128:128,G45,129:129)-SUMIF(128:128,C45,129:129)+100</f>
        <v>100</v>
      </c>
      <c r="I45" s="439"/>
      <c r="J45" s="440">
        <f>SUMIF(128:128,I45,129:129)-SUMIF(128:128,C45,129:129)+100</f>
        <v>100</v>
      </c>
      <c r="K45" s="481"/>
      <c r="L45" s="2017"/>
      <c r="M45" s="2009"/>
      <c r="N45" s="2009"/>
      <c r="O45" s="2016"/>
      <c r="P45" s="3415"/>
      <c r="Q45" s="1460">
        <f t="shared" si="8"/>
        <v>111</v>
      </c>
      <c r="R45" s="1461" t="s">
        <v>8</v>
      </c>
      <c r="S45" s="1462">
        <f t="shared" si="9"/>
        <v>100</v>
      </c>
      <c r="T45" s="1461" t="s">
        <v>8</v>
      </c>
      <c r="U45" s="1462">
        <f t="shared" si="10"/>
        <v>100</v>
      </c>
      <c r="V45" s="1461" t="s">
        <v>8</v>
      </c>
      <c r="W45" s="1462">
        <f t="shared" si="11"/>
        <v>100</v>
      </c>
      <c r="X45" s="1455"/>
      <c r="Y45" s="3415"/>
      <c r="Z45" s="1463">
        <f t="shared" si="12"/>
        <v>111</v>
      </c>
      <c r="AA45" s="1464">
        <f t="shared" si="3"/>
        <v>1</v>
      </c>
      <c r="AB45" s="1464">
        <f t="shared" si="4"/>
        <v>1</v>
      </c>
      <c r="AC45" s="1464">
        <f t="shared" si="5"/>
        <v>1</v>
      </c>
    </row>
    <row r="46" spans="1:29" ht="15.75" thickBot="1">
      <c r="A46" s="786"/>
      <c r="B46" s="444">
        <v>111</v>
      </c>
      <c r="C46" s="445"/>
      <c r="D46" s="446">
        <v>100</v>
      </c>
      <c r="E46" s="439"/>
      <c r="F46" s="766">
        <f>SUMIF(130:130,E46,131:131)-SUMIF(130:130,C46,131:131)+100</f>
        <v>100</v>
      </c>
      <c r="G46" s="439"/>
      <c r="H46" s="446">
        <f>SUMIF(130:130,G46,131:131)-SUMIF(130:130,C46,131:131)+100</f>
        <v>100</v>
      </c>
      <c r="I46" s="439"/>
      <c r="J46" s="446">
        <f>SUMIF(130:130,I46,131:131)-SUMIF(130:130,C46,131:131)+100</f>
        <v>100</v>
      </c>
      <c r="K46" s="481"/>
      <c r="L46" s="2017"/>
      <c r="M46" s="2009"/>
      <c r="N46" s="2009"/>
      <c r="O46" s="2016"/>
      <c r="P46" s="3490"/>
      <c r="Q46" s="1460">
        <f t="shared" si="8"/>
        <v>111</v>
      </c>
      <c r="R46" s="1461" t="s">
        <v>8</v>
      </c>
      <c r="S46" s="1462">
        <f t="shared" si="9"/>
        <v>100</v>
      </c>
      <c r="T46" s="1461" t="s">
        <v>8</v>
      </c>
      <c r="U46" s="1462">
        <f t="shared" si="10"/>
        <v>100</v>
      </c>
      <c r="V46" s="1461" t="s">
        <v>8</v>
      </c>
      <c r="W46" s="1462">
        <f t="shared" si="11"/>
        <v>100</v>
      </c>
      <c r="X46" s="1455"/>
      <c r="Y46" s="3490"/>
      <c r="Z46" s="1463">
        <f t="shared" si="12"/>
        <v>111</v>
      </c>
      <c r="AA46" s="1464">
        <f t="shared" si="3"/>
        <v>1</v>
      </c>
      <c r="AB46" s="1464">
        <f t="shared" si="4"/>
        <v>1</v>
      </c>
      <c r="AC46" s="1464">
        <f t="shared" si="5"/>
        <v>1</v>
      </c>
    </row>
    <row r="47" spans="1:29" ht="15">
      <c r="A47" s="507" t="s">
        <v>675</v>
      </c>
      <c r="B47" s="787"/>
      <c r="C47" s="2492" t="s">
        <v>1</v>
      </c>
      <c r="D47" s="2493"/>
      <c r="E47" s="2494"/>
      <c r="F47" s="2495"/>
      <c r="G47" s="2496"/>
      <c r="H47" s="2497"/>
      <c r="I47" s="2494"/>
      <c r="J47" s="2497"/>
      <c r="K47" s="1499"/>
      <c r="L47" s="2019"/>
      <c r="M47" s="2020"/>
      <c r="N47" s="2009"/>
      <c r="O47" s="2020"/>
      <c r="P47" s="3378" t="str">
        <f>A47</f>
        <v>成交单价（元/平方米）</v>
      </c>
      <c r="Q47" s="3378"/>
      <c r="R47" s="3489">
        <f>E47</f>
        <v>0</v>
      </c>
      <c r="S47" s="3489"/>
      <c r="T47" s="3489">
        <f>G47</f>
        <v>0</v>
      </c>
      <c r="U47" s="3489"/>
      <c r="V47" s="3489">
        <f>I47</f>
        <v>0</v>
      </c>
      <c r="W47" s="3489"/>
      <c r="X47" s="1447"/>
      <c r="Y47" s="1469"/>
      <c r="Z47" s="1447"/>
      <c r="AA47" s="1447"/>
      <c r="AB47" s="1447"/>
      <c r="AC47" s="1447"/>
    </row>
    <row r="48" spans="1:29" ht="15.75" thickBot="1">
      <c r="A48" s="515" t="s">
        <v>2688</v>
      </c>
      <c r="B48" s="788"/>
      <c r="C48" s="2498" t="e">
        <f>R49</f>
        <v>#DIV/0!</v>
      </c>
      <c r="D48" s="2499"/>
      <c r="E48" s="2500" t="e">
        <f>R48</f>
        <v>#DIV/0!</v>
      </c>
      <c r="F48" s="2500"/>
      <c r="G48" s="2498" t="e">
        <f>T48</f>
        <v>#DIV/0!</v>
      </c>
      <c r="H48" s="2499"/>
      <c r="I48" s="2500" t="e">
        <f>V48</f>
        <v>#DIV/0!</v>
      </c>
      <c r="J48" s="2499"/>
      <c r="K48" s="1500"/>
      <c r="L48" s="2019"/>
      <c r="M48" s="2020"/>
      <c r="N48" s="2009"/>
      <c r="O48" s="2020"/>
      <c r="P48" s="3378" t="str">
        <f>A48</f>
        <v>比较价格（元/平方米）</v>
      </c>
      <c r="Q48" s="3378"/>
      <c r="R48" s="3489" t="e">
        <f>IF(F1="售价",ROUND(PRODUCT(R47,AA7:AA46),0),ROUND(PRODUCT(R47,AA7:AA46),1))</f>
        <v>#DIV/0!</v>
      </c>
      <c r="S48" s="3489"/>
      <c r="T48" s="3489" t="e">
        <f>IF(F1="售价",ROUND(PRODUCT(T47,AB7:AB46),0),ROUND(PRODUCT(T47,AB7:AB46),1))</f>
        <v>#DIV/0!</v>
      </c>
      <c r="U48" s="3489"/>
      <c r="V48" s="3489" t="e">
        <f>IF(F1="售价",ROUND(PRODUCT(V47,AC7:AC46),0),ROUND(PRODUCT(V47,AC7:AC46),1))</f>
        <v>#DIV/0!</v>
      </c>
      <c r="W48" s="3489"/>
      <c r="X48" s="1447"/>
      <c r="Y48" s="1447"/>
      <c r="Z48" s="1447"/>
      <c r="AA48" s="1447"/>
      <c r="AB48" s="1447"/>
      <c r="AC48" s="1447"/>
    </row>
    <row r="49" spans="1:29" ht="15.75" thickBot="1">
      <c r="A49" s="521" t="s">
        <v>2847</v>
      </c>
      <c r="B49" s="522"/>
      <c r="C49" s="2501" t="e">
        <f>R49</f>
        <v>#DIV/0!</v>
      </c>
      <c r="D49" s="2501"/>
      <c r="E49" s="2501"/>
      <c r="F49" s="2501"/>
      <c r="G49" s="2501"/>
      <c r="H49" s="2501"/>
      <c r="I49" s="2501"/>
      <c r="J49" s="2501"/>
      <c r="K49" s="1501"/>
      <c r="L49" s="2019"/>
      <c r="M49" s="2020"/>
      <c r="N49" s="2009"/>
      <c r="O49" s="2020"/>
      <c r="P49" s="3375" t="str">
        <f>A49</f>
        <v>估价对象XX用房的比较价格（楼面单价，元/平方米）</v>
      </c>
      <c r="Q49" s="3376"/>
      <c r="R49" s="3488" t="e">
        <f>IF(F1="售价",ROUND(AVERAGE(R48:V48),0),ROUND(AVERAGE(R48:V48),1))</f>
        <v>#DIV/0!</v>
      </c>
      <c r="S49" s="3488"/>
      <c r="T49" s="3488"/>
      <c r="U49" s="3488"/>
      <c r="V49" s="3488"/>
      <c r="W49" s="3488"/>
      <c r="X49" s="1447"/>
      <c r="Y49" s="1447"/>
      <c r="Z49" s="1447"/>
      <c r="AA49" s="1447"/>
      <c r="AB49" s="1447"/>
      <c r="AC49" s="1447"/>
    </row>
    <row r="50" spans="1:29">
      <c r="A50" s="2020"/>
      <c r="B50" s="2020"/>
      <c r="C50" s="2020"/>
      <c r="D50" s="2020"/>
      <c r="E50" s="2020"/>
      <c r="F50" s="2020"/>
      <c r="G50" s="2023"/>
      <c r="H50" s="2020"/>
      <c r="I50" s="2020"/>
      <c r="J50" s="2020"/>
      <c r="K50" s="2024"/>
      <c r="L50" s="2025"/>
      <c r="M50" s="2020"/>
      <c r="N50" s="2020"/>
      <c r="O50" s="2020"/>
      <c r="P50" s="2020"/>
      <c r="Q50" s="2020"/>
      <c r="R50" s="2020"/>
      <c r="S50" s="2020"/>
      <c r="T50" s="2020"/>
      <c r="U50" s="2020"/>
      <c r="V50" s="2020"/>
      <c r="W50" s="2020"/>
      <c r="X50" s="2020"/>
      <c r="Y50" s="2020"/>
      <c r="Z50" s="2020"/>
      <c r="AA50" s="2020"/>
      <c r="AB50" s="2020"/>
      <c r="AC50" s="2020"/>
    </row>
    <row r="51" spans="1:29">
      <c r="A51" s="2020"/>
      <c r="B51" s="2020"/>
      <c r="C51" s="2020"/>
      <c r="D51" s="2020"/>
      <c r="E51" s="2020"/>
      <c r="F51" s="2020"/>
      <c r="G51" s="2020"/>
      <c r="H51" s="2020"/>
      <c r="I51" s="2020"/>
      <c r="J51" s="2020"/>
      <c r="K51" s="2024"/>
      <c r="L51" s="2025"/>
      <c r="M51" s="2020"/>
      <c r="N51" s="2020"/>
      <c r="O51" s="2020"/>
      <c r="P51" s="2020"/>
      <c r="Q51" s="2020"/>
      <c r="R51" s="2020"/>
      <c r="S51" s="2020"/>
      <c r="T51" s="2020"/>
      <c r="U51" s="2020"/>
      <c r="V51" s="2020"/>
      <c r="W51" s="2020"/>
      <c r="X51" s="2020"/>
      <c r="Y51" s="2020"/>
      <c r="Z51" s="2020"/>
      <c r="AA51" s="2020"/>
      <c r="AB51" s="2020"/>
      <c r="AC51" s="2020"/>
    </row>
    <row r="52" spans="1:29" ht="13.5" customHeight="1">
      <c r="A52" s="2020"/>
      <c r="B52" s="2020"/>
      <c r="C52" s="524" t="s">
        <v>497</v>
      </c>
      <c r="D52" s="525"/>
      <c r="E52" s="526" t="e">
        <f>IF(E47&lt;E48,E48/E47-1,E47/E48-1)</f>
        <v>#DIV/0!</v>
      </c>
      <c r="F52" s="527" t="e">
        <f>IF(OR(E52&gt;=0.3,E52&lt;=-0.3),"超过30%","")</f>
        <v>#DIV/0!</v>
      </c>
      <c r="G52" s="526" t="e">
        <f>IF(G47&lt;G48,G48/G47-1,G47/G48-1)</f>
        <v>#DIV/0!</v>
      </c>
      <c r="H52" s="527" t="e">
        <f>IF(OR(G52&gt;=0.3,G52&lt;=-0.3),"超过30%","")</f>
        <v>#DIV/0!</v>
      </c>
      <c r="I52" s="526" t="e">
        <f>IF(I47&lt;I48,I48/I47-1,I47/I48-1)</f>
        <v>#DIV/0!</v>
      </c>
      <c r="J52" s="527" t="e">
        <f>IF(OR(I52&gt;=0.3,I52&lt;=-0.3),"超过30%","")</f>
        <v>#DIV/0!</v>
      </c>
      <c r="K52" s="2024"/>
      <c r="L52" s="2025"/>
      <c r="M52" s="2020"/>
      <c r="N52" s="2020"/>
      <c r="O52" s="2020"/>
      <c r="P52" s="2020"/>
      <c r="Q52" s="2020"/>
      <c r="R52" s="2020"/>
      <c r="S52" s="2020"/>
      <c r="T52" s="2020"/>
      <c r="U52" s="2020"/>
      <c r="V52" s="2020"/>
      <c r="W52" s="2020"/>
      <c r="X52" s="2020"/>
      <c r="Y52" s="2020"/>
      <c r="Z52" s="2020"/>
      <c r="AA52" s="2020"/>
      <c r="AB52" s="2020"/>
      <c r="AC52" s="2020"/>
    </row>
    <row r="53" spans="1:29" ht="13.5" customHeight="1">
      <c r="A53" s="2020"/>
      <c r="B53" s="2020"/>
      <c r="C53" s="524" t="s">
        <v>498</v>
      </c>
      <c r="D53" s="528"/>
      <c r="E53" s="526" t="e">
        <f>IF(E48&lt;G48,G48/E48-1,E48/G48-1)</f>
        <v>#DIV/0!</v>
      </c>
      <c r="F53" s="527" t="e">
        <f>IF(OR(E53&gt;=0.2,E53&lt;=-0.2),"超过20%","")</f>
        <v>#DIV/0!</v>
      </c>
      <c r="G53" s="526" t="e">
        <f>IF(G48&lt;I48,I48/G48-1,G48/I48-1)</f>
        <v>#DIV/0!</v>
      </c>
      <c r="H53" s="527" t="e">
        <f>IF(OR(G53&gt;=0.2,G53&lt;=-0.2),"超过20%","")</f>
        <v>#DIV/0!</v>
      </c>
      <c r="I53" s="526" t="e">
        <f>IF(I48&lt;E48,E48/I48-1,I48/E48-1)</f>
        <v>#DIV/0!</v>
      </c>
      <c r="J53" s="527" t="e">
        <f>IF(OR(I53&gt;=0.2,I53&lt;=-0.2),"超过20%","")</f>
        <v>#DIV/0!</v>
      </c>
      <c r="K53" s="2024"/>
      <c r="L53" s="2025"/>
      <c r="M53" s="2020"/>
      <c r="N53" s="2020"/>
      <c r="O53" s="2020"/>
      <c r="P53" s="2020"/>
      <c r="Q53" s="2020"/>
      <c r="R53" s="2020"/>
      <c r="S53" s="2020"/>
      <c r="T53" s="2020"/>
      <c r="U53" s="2020"/>
      <c r="V53" s="2020"/>
      <c r="W53" s="2020"/>
      <c r="X53" s="2020"/>
      <c r="Y53" s="2020"/>
      <c r="Z53" s="2020"/>
      <c r="AA53" s="2020"/>
      <c r="AB53" s="2020"/>
      <c r="AC53" s="2020"/>
    </row>
    <row r="54" spans="1:29" s="1233" customFormat="1" ht="13.5" customHeight="1">
      <c r="A54" s="2021"/>
      <c r="B54" s="2021"/>
      <c r="C54" s="524" t="s">
        <v>499</v>
      </c>
      <c r="D54" s="528"/>
      <c r="E54" s="526" t="e">
        <f>IF(E47&lt;G47,G47/E47-1,E47/G47-1)</f>
        <v>#DIV/0!</v>
      </c>
      <c r="F54" s="527" t="e">
        <f>IF(OR(E54&gt;=0.3,E54&lt;=-0.3),"超过30%","")</f>
        <v>#DIV/0!</v>
      </c>
      <c r="G54" s="526" t="e">
        <f>IF(G47&lt;I47,I47/G47-1,G47/I47-1)</f>
        <v>#DIV/0!</v>
      </c>
      <c r="H54" s="527" t="e">
        <f>IF(OR(G54&gt;=0.3,G54&lt;=-0.3),"超过30%","")</f>
        <v>#DIV/0!</v>
      </c>
      <c r="I54" s="526" t="e">
        <f>IF(I47&lt;E47,E47/I47-1,I47/E47-1)</f>
        <v>#DIV/0!</v>
      </c>
      <c r="J54" s="527" t="e">
        <f>IF(OR(I54&gt;=0.3,I54&lt;=-0.3),"超过30%","")</f>
        <v>#DIV/0!</v>
      </c>
      <c r="K54" s="2027"/>
      <c r="L54" s="2028"/>
      <c r="M54" s="2021"/>
      <c r="N54" s="2021"/>
      <c r="O54" s="2021"/>
      <c r="P54" s="2021"/>
      <c r="Q54" s="2021"/>
      <c r="R54" s="2021"/>
      <c r="S54" s="2021"/>
      <c r="T54" s="2021"/>
      <c r="U54" s="2021"/>
      <c r="V54" s="2021"/>
      <c r="W54" s="2021"/>
      <c r="X54" s="2021"/>
      <c r="Y54" s="2021"/>
      <c r="Z54" s="2021"/>
      <c r="AA54" s="2021"/>
      <c r="AB54" s="2021"/>
      <c r="AC54" s="2021"/>
    </row>
    <row r="55" spans="1:29" s="1233" customFormat="1">
      <c r="A55" s="2021"/>
      <c r="B55" s="2022"/>
      <c r="C55" s="2026"/>
      <c r="D55" s="2021"/>
      <c r="E55" s="2021"/>
      <c r="F55" s="2021"/>
      <c r="G55" s="2021"/>
      <c r="H55" s="2021"/>
      <c r="I55" s="2021"/>
      <c r="J55" s="2021"/>
      <c r="K55" s="2027"/>
      <c r="L55" s="2028"/>
      <c r="M55" s="2021"/>
      <c r="N55" s="2021"/>
      <c r="O55" s="2021"/>
      <c r="P55" s="2021"/>
      <c r="Q55" s="2021"/>
      <c r="R55" s="2021"/>
      <c r="S55" s="2021"/>
      <c r="T55" s="2021"/>
      <c r="U55" s="2021"/>
      <c r="V55" s="2021"/>
      <c r="W55" s="2021"/>
      <c r="X55" s="2021"/>
      <c r="Y55" s="2021"/>
      <c r="Z55" s="2021"/>
      <c r="AA55" s="2021"/>
      <c r="AB55" s="2021"/>
      <c r="AC55" s="2021"/>
    </row>
    <row r="56" spans="1:29">
      <c r="A56" s="2020"/>
      <c r="B56" s="2022"/>
      <c r="C56" s="2026"/>
      <c r="D56" s="2020"/>
      <c r="E56" s="2020"/>
      <c r="F56" s="2020"/>
      <c r="G56" s="2020"/>
      <c r="H56" s="2020"/>
      <c r="I56" s="2020"/>
      <c r="J56" s="2020"/>
      <c r="K56" s="2024"/>
      <c r="L56" s="2025"/>
      <c r="M56" s="2020"/>
      <c r="N56" s="2020"/>
      <c r="O56" s="2020"/>
      <c r="P56" s="2020"/>
      <c r="Q56" s="2020"/>
      <c r="R56" s="2020"/>
      <c r="S56" s="2020"/>
      <c r="T56" s="2020"/>
      <c r="U56" s="2020"/>
      <c r="V56" s="2020"/>
      <c r="W56" s="2020"/>
      <c r="X56" s="2020"/>
      <c r="Y56" s="2020"/>
      <c r="Z56" s="2020"/>
      <c r="AA56" s="2020"/>
      <c r="AB56" s="2020"/>
      <c r="AC56" s="2020"/>
    </row>
    <row r="57" spans="1:29" ht="21.75" thickBot="1">
      <c r="A57" s="1472" t="s">
        <v>514</v>
      </c>
      <c r="B57" s="1447"/>
      <c r="C57" s="1471"/>
      <c r="D57" s="1471"/>
      <c r="E57" s="1471"/>
      <c r="F57" s="1473"/>
      <c r="G57" s="1473"/>
      <c r="H57" s="1471"/>
      <c r="I57" s="1471"/>
      <c r="J57" s="1471"/>
      <c r="K57" s="1474"/>
      <c r="L57" s="1470"/>
      <c r="M57" s="1471"/>
      <c r="N57" s="1471"/>
      <c r="O57" s="1471"/>
      <c r="P57" s="2032"/>
      <c r="Q57" s="2033"/>
      <c r="R57" s="2020"/>
      <c r="S57" s="2020"/>
      <c r="T57" s="2020"/>
      <c r="U57" s="2020"/>
      <c r="V57" s="2020"/>
      <c r="W57" s="2020"/>
      <c r="X57" s="2020"/>
      <c r="Y57" s="2020"/>
      <c r="Z57" s="2020"/>
      <c r="AA57" s="2020"/>
      <c r="AB57" s="2020"/>
      <c r="AC57" s="2020"/>
    </row>
    <row r="58" spans="1:29" s="1235" customFormat="1" ht="15">
      <c r="A58" s="545" t="s">
        <v>469</v>
      </c>
      <c r="B58" s="546"/>
      <c r="C58" s="2667" t="str">
        <f>YEAR(C7)&amp;"-"&amp;MONTH(C7)</f>
        <v>2018-5</v>
      </c>
      <c r="D58" s="2669">
        <f>EDATE(C58,-1)</f>
        <v>43191</v>
      </c>
      <c r="E58" s="2669">
        <f t="shared" ref="E58:O58" si="13">EDATE(D58,-1)</f>
        <v>43160</v>
      </c>
      <c r="F58" s="2669">
        <f t="shared" si="13"/>
        <v>43132</v>
      </c>
      <c r="G58" s="2669">
        <f t="shared" si="13"/>
        <v>43101</v>
      </c>
      <c r="H58" s="2669">
        <f t="shared" si="13"/>
        <v>43070</v>
      </c>
      <c r="I58" s="2669">
        <f t="shared" si="13"/>
        <v>43040</v>
      </c>
      <c r="J58" s="2669">
        <f t="shared" si="13"/>
        <v>43009</v>
      </c>
      <c r="K58" s="2669">
        <f t="shared" si="13"/>
        <v>42979</v>
      </c>
      <c r="L58" s="2669">
        <f t="shared" si="13"/>
        <v>42948</v>
      </c>
      <c r="M58" s="2669">
        <f t="shared" si="13"/>
        <v>42917</v>
      </c>
      <c r="N58" s="2669">
        <f t="shared" si="13"/>
        <v>42887</v>
      </c>
      <c r="O58" s="2669">
        <f t="shared" si="13"/>
        <v>42856</v>
      </c>
      <c r="P58" s="2035"/>
      <c r="Q58" s="2036"/>
      <c r="R58" s="2036"/>
      <c r="S58" s="2036"/>
      <c r="T58" s="2036"/>
      <c r="U58" s="2036"/>
      <c r="V58" s="2036"/>
      <c r="W58" s="2036"/>
      <c r="X58" s="2036"/>
      <c r="Y58" s="2036"/>
      <c r="Z58" s="2036"/>
      <c r="AA58" s="2036"/>
      <c r="AB58" s="2036"/>
      <c r="AC58" s="2036"/>
    </row>
    <row r="59" spans="1:29" s="1108" customFormat="1" ht="15">
      <c r="A59" s="547"/>
      <c r="B59" s="548"/>
      <c r="C59" s="549">
        <v>100</v>
      </c>
      <c r="D59" s="550"/>
      <c r="E59" s="550"/>
      <c r="F59" s="550"/>
      <c r="G59" s="550"/>
      <c r="H59" s="550"/>
      <c r="I59" s="550"/>
      <c r="J59" s="550"/>
      <c r="K59" s="550"/>
      <c r="L59" s="550"/>
      <c r="M59" s="551"/>
      <c r="N59" s="550"/>
      <c r="O59" s="552"/>
      <c r="P59" s="2033"/>
      <c r="Q59" s="1872"/>
      <c r="R59" s="1872"/>
      <c r="S59" s="1872"/>
      <c r="T59" s="1872"/>
      <c r="U59" s="1872"/>
      <c r="V59" s="1872"/>
      <c r="W59" s="1872"/>
      <c r="X59" s="1872"/>
      <c r="Y59" s="1872"/>
      <c r="Z59" s="1872"/>
      <c r="AA59" s="1872"/>
      <c r="AB59" s="1872"/>
      <c r="AC59" s="1872"/>
    </row>
    <row r="60" spans="1:29" s="1108" customFormat="1" ht="15.75" thickBot="1">
      <c r="A60" s="553" t="s">
        <v>515</v>
      </c>
      <c r="B60" s="554"/>
      <c r="C60" s="555"/>
      <c r="D60" s="556"/>
      <c r="E60" s="556"/>
      <c r="F60" s="556"/>
      <c r="G60" s="556"/>
      <c r="H60" s="556"/>
      <c r="I60" s="556"/>
      <c r="J60" s="556"/>
      <c r="K60" s="556"/>
      <c r="L60" s="556"/>
      <c r="M60" s="557"/>
      <c r="N60" s="556"/>
      <c r="O60" s="558"/>
      <c r="P60" s="2033"/>
      <c r="Q60" s="2033"/>
      <c r="R60" s="1872"/>
      <c r="S60" s="1872"/>
      <c r="T60" s="1872"/>
      <c r="U60" s="1872"/>
      <c r="V60" s="1872"/>
      <c r="W60" s="1872"/>
      <c r="X60" s="1872"/>
      <c r="Y60" s="1872"/>
      <c r="Z60" s="1872"/>
      <c r="AA60" s="1872"/>
      <c r="AB60" s="1872"/>
      <c r="AC60" s="1872"/>
    </row>
    <row r="61" spans="1:29" s="1108" customFormat="1" ht="15">
      <c r="A61" s="559" t="s">
        <v>471</v>
      </c>
      <c r="B61" s="548"/>
      <c r="C61" s="560" t="s">
        <v>516</v>
      </c>
      <c r="D61" s="561"/>
      <c r="E61" s="561"/>
      <c r="F61" s="561"/>
      <c r="G61" s="561"/>
      <c r="H61" s="561"/>
      <c r="I61" s="561"/>
      <c r="J61" s="561"/>
      <c r="K61" s="561"/>
      <c r="L61" s="562"/>
      <c r="M61" s="563"/>
      <c r="N61" s="2037"/>
      <c r="O61" s="2037"/>
      <c r="P61" s="2038"/>
      <c r="Q61" s="2033"/>
      <c r="R61" s="1872"/>
      <c r="S61" s="1872"/>
      <c r="T61" s="1872"/>
      <c r="U61" s="1872"/>
      <c r="V61" s="1872"/>
      <c r="W61" s="1872"/>
      <c r="X61" s="1872"/>
      <c r="Y61" s="1872"/>
      <c r="Z61" s="1872"/>
      <c r="AA61" s="1872"/>
      <c r="AB61" s="1872"/>
      <c r="AC61" s="1872"/>
    </row>
    <row r="62" spans="1:29" s="1108" customFormat="1" ht="15.75" thickBot="1">
      <c r="A62" s="559"/>
      <c r="B62" s="548"/>
      <c r="C62" s="789">
        <v>100</v>
      </c>
      <c r="D62" s="550"/>
      <c r="E62" s="550"/>
      <c r="F62" s="550"/>
      <c r="G62" s="550"/>
      <c r="H62" s="550"/>
      <c r="I62" s="550"/>
      <c r="J62" s="550"/>
      <c r="K62" s="550"/>
      <c r="L62" s="550"/>
      <c r="M62" s="552"/>
      <c r="N62" s="2037"/>
      <c r="O62" s="2037"/>
      <c r="P62" s="2033"/>
      <c r="Q62" s="2033"/>
      <c r="R62" s="1872"/>
      <c r="S62" s="1872"/>
      <c r="T62" s="1872"/>
      <c r="U62" s="1872"/>
      <c r="V62" s="1872"/>
      <c r="W62" s="1872"/>
      <c r="X62" s="1872"/>
      <c r="Y62" s="1872"/>
      <c r="Z62" s="1872"/>
      <c r="AA62" s="1872"/>
      <c r="AB62" s="1872"/>
      <c r="AC62" s="1102"/>
    </row>
    <row r="63" spans="1:29">
      <c r="A63" s="564" t="s">
        <v>517</v>
      </c>
      <c r="B63" s="565" t="s">
        <v>474</v>
      </c>
      <c r="C63" s="604">
        <f>C9</f>
        <v>0</v>
      </c>
      <c r="D63" s="498"/>
      <c r="E63" s="498"/>
      <c r="F63" s="498"/>
      <c r="G63" s="498"/>
      <c r="H63" s="498"/>
      <c r="I63" s="498"/>
      <c r="J63" s="498"/>
      <c r="K63" s="566"/>
      <c r="L63" s="567"/>
      <c r="M63" s="568"/>
      <c r="N63" s="2039"/>
      <c r="O63" s="2039"/>
      <c r="P63" s="2040"/>
      <c r="Q63" s="2033"/>
      <c r="R63" s="2020"/>
      <c r="S63" s="2020"/>
      <c r="T63" s="2020"/>
      <c r="U63" s="2020"/>
      <c r="V63" s="2020"/>
      <c r="W63" s="2020"/>
      <c r="X63" s="2020"/>
      <c r="Y63" s="2020"/>
      <c r="Z63" s="2020"/>
      <c r="AA63" s="2020"/>
      <c r="AB63" s="2020"/>
      <c r="AC63" s="2020"/>
    </row>
    <row r="64" spans="1:29" ht="15.75" thickBot="1">
      <c r="A64" s="569"/>
      <c r="B64" s="570"/>
      <c r="C64" s="571"/>
      <c r="D64" s="571"/>
      <c r="E64" s="571"/>
      <c r="F64" s="571"/>
      <c r="G64" s="571"/>
      <c r="H64" s="571"/>
      <c r="I64" s="571"/>
      <c r="J64" s="571"/>
      <c r="K64" s="571"/>
      <c r="L64" s="571"/>
      <c r="M64" s="572"/>
      <c r="N64" s="2041"/>
      <c r="O64" s="2041"/>
      <c r="P64" s="2040"/>
      <c r="Q64" s="2033"/>
      <c r="R64" s="2020"/>
      <c r="S64" s="2020"/>
      <c r="T64" s="2020"/>
      <c r="U64" s="2020"/>
      <c r="V64" s="2020"/>
      <c r="W64" s="2020"/>
      <c r="X64" s="2020"/>
      <c r="Y64" s="2020"/>
      <c r="Z64" s="2020"/>
      <c r="AA64" s="2020"/>
      <c r="AB64" s="2020"/>
      <c r="AC64" s="2020"/>
    </row>
    <row r="65" spans="1:29" ht="27.75" thickTop="1">
      <c r="A65" s="569"/>
      <c r="B65" s="573" t="s">
        <v>477</v>
      </c>
      <c r="C65" s="574" t="s">
        <v>676</v>
      </c>
      <c r="D65" s="574" t="s">
        <v>677</v>
      </c>
      <c r="E65" s="574" t="s">
        <v>678</v>
      </c>
      <c r="F65" s="574" t="s">
        <v>679</v>
      </c>
      <c r="G65" s="574" t="s">
        <v>680</v>
      </c>
      <c r="H65" s="574" t="s">
        <v>681</v>
      </c>
      <c r="I65" s="574" t="s">
        <v>682</v>
      </c>
      <c r="J65" s="574"/>
      <c r="K65" s="575"/>
      <c r="L65" s="576"/>
      <c r="M65" s="577"/>
      <c r="N65" s="2039"/>
      <c r="O65" s="2039"/>
      <c r="P65" s="2040"/>
      <c r="Q65" s="2033"/>
      <c r="R65" s="2020"/>
      <c r="S65" s="2020"/>
      <c r="T65" s="2020"/>
      <c r="U65" s="2020"/>
      <c r="V65" s="2020"/>
      <c r="W65" s="2020"/>
      <c r="X65" s="2020"/>
      <c r="Y65" s="2020"/>
      <c r="Z65" s="2020"/>
      <c r="AA65" s="2020"/>
      <c r="AB65" s="2020"/>
      <c r="AC65" s="2020"/>
    </row>
    <row r="66" spans="1:29" ht="15.75" thickBot="1">
      <c r="A66" s="569"/>
      <c r="B66" s="578"/>
      <c r="C66" s="579" t="s">
        <v>14</v>
      </c>
      <c r="D66" s="579" t="s">
        <v>15</v>
      </c>
      <c r="E66" s="579" t="s">
        <v>16</v>
      </c>
      <c r="F66" s="579">
        <v>100</v>
      </c>
      <c r="G66" s="579">
        <f>F66-$K10</f>
        <v>100</v>
      </c>
      <c r="H66" s="579">
        <f>G66-$K10</f>
        <v>100</v>
      </c>
      <c r="I66" s="579">
        <f>H66-$K10</f>
        <v>100</v>
      </c>
      <c r="J66" s="579"/>
      <c r="K66" s="579"/>
      <c r="L66" s="579"/>
      <c r="M66" s="580"/>
      <c r="N66" s="2041"/>
      <c r="O66" s="2041"/>
      <c r="P66" s="2040"/>
      <c r="Q66" s="2033"/>
      <c r="R66" s="2020"/>
      <c r="S66" s="2020"/>
      <c r="T66" s="2020"/>
      <c r="U66" s="2020"/>
      <c r="V66" s="2020"/>
      <c r="W66" s="2020"/>
      <c r="X66" s="2020"/>
      <c r="Y66" s="2020"/>
      <c r="Z66" s="2020"/>
      <c r="AA66" s="2020"/>
      <c r="AB66" s="2020"/>
      <c r="AC66" s="2020"/>
    </row>
    <row r="67" spans="1:29" ht="15.75" thickTop="1">
      <c r="A67" s="569"/>
      <c r="B67" s="581" t="s">
        <v>478</v>
      </c>
      <c r="C67" s="582" t="str">
        <f>C68&amp;"（含）"&amp;"-"&amp;D68</f>
        <v>（含）-</v>
      </c>
      <c r="D67" s="582" t="str">
        <f t="shared" ref="D67:L67" si="14">D68&amp;"（含）"&amp;"-"&amp;E68</f>
        <v>（含）-</v>
      </c>
      <c r="E67" s="582" t="str">
        <f t="shared" si="14"/>
        <v>（含）-</v>
      </c>
      <c r="F67" s="582" t="str">
        <f t="shared" si="14"/>
        <v>（含）-</v>
      </c>
      <c r="G67" s="582" t="str">
        <f t="shared" si="14"/>
        <v>（含）-</v>
      </c>
      <c r="H67" s="582" t="str">
        <f t="shared" si="14"/>
        <v>（含）-</v>
      </c>
      <c r="I67" s="582" t="str">
        <f t="shared" si="14"/>
        <v>（含）-</v>
      </c>
      <c r="J67" s="582" t="str">
        <f t="shared" si="14"/>
        <v>（含）-</v>
      </c>
      <c r="K67" s="582" t="str">
        <f t="shared" si="14"/>
        <v>（含）-</v>
      </c>
      <c r="L67" s="582" t="str">
        <f t="shared" si="14"/>
        <v>（含）-</v>
      </c>
      <c r="M67" s="455" t="str">
        <f>M68&amp;"（含）"&amp;"-"&amp;P68</f>
        <v>（含）-</v>
      </c>
      <c r="N67" s="2041"/>
      <c r="O67" s="2041"/>
      <c r="P67" s="2040"/>
      <c r="Q67" s="2033"/>
      <c r="R67" s="2020"/>
      <c r="S67" s="2020"/>
      <c r="T67" s="2020"/>
      <c r="U67" s="2020"/>
      <c r="V67" s="2020"/>
      <c r="W67" s="2020"/>
      <c r="X67" s="2020"/>
      <c r="Y67" s="2020"/>
      <c r="Z67" s="2020"/>
      <c r="AA67" s="2020"/>
      <c r="AB67" s="2020"/>
      <c r="AC67" s="2020"/>
    </row>
    <row r="68" spans="1:29" ht="15">
      <c r="A68" s="569"/>
      <c r="B68" s="583"/>
      <c r="C68" s="441"/>
      <c r="D68" s="441"/>
      <c r="E68" s="441"/>
      <c r="F68" s="441"/>
      <c r="G68" s="441"/>
      <c r="H68" s="441"/>
      <c r="I68" s="441"/>
      <c r="J68" s="441"/>
      <c r="K68" s="584"/>
      <c r="L68" s="585"/>
      <c r="M68" s="586"/>
      <c r="N68" s="2039"/>
      <c r="O68" s="2039"/>
      <c r="P68" s="2040"/>
      <c r="Q68" s="2033"/>
      <c r="R68" s="2020"/>
      <c r="S68" s="2020"/>
      <c r="T68" s="2020"/>
      <c r="U68" s="2020"/>
      <c r="V68" s="2020"/>
      <c r="W68" s="2020"/>
      <c r="X68" s="2020"/>
      <c r="Y68" s="2020"/>
      <c r="Z68" s="2020"/>
      <c r="AA68" s="2020"/>
      <c r="AB68" s="2020"/>
      <c r="AC68" s="2020"/>
    </row>
    <row r="69" spans="1:29" ht="15.75" thickBot="1">
      <c r="A69" s="569"/>
      <c r="B69" s="570"/>
      <c r="C69" s="579">
        <v>100</v>
      </c>
      <c r="D69" s="579">
        <f t="shared" ref="D69:M69" si="15">C69-$K11</f>
        <v>100</v>
      </c>
      <c r="E69" s="579">
        <f t="shared" si="15"/>
        <v>100</v>
      </c>
      <c r="F69" s="579">
        <f t="shared" si="15"/>
        <v>100</v>
      </c>
      <c r="G69" s="579">
        <f t="shared" si="15"/>
        <v>100</v>
      </c>
      <c r="H69" s="579">
        <f t="shared" si="15"/>
        <v>100</v>
      </c>
      <c r="I69" s="579">
        <f t="shared" si="15"/>
        <v>100</v>
      </c>
      <c r="J69" s="579">
        <f t="shared" si="15"/>
        <v>100</v>
      </c>
      <c r="K69" s="579">
        <f t="shared" si="15"/>
        <v>100</v>
      </c>
      <c r="L69" s="579">
        <f t="shared" si="15"/>
        <v>100</v>
      </c>
      <c r="M69" s="580">
        <f t="shared" si="15"/>
        <v>100</v>
      </c>
      <c r="N69" s="2041"/>
      <c r="O69" s="2041"/>
      <c r="P69" s="2040"/>
      <c r="Q69" s="2033"/>
      <c r="R69" s="2020"/>
      <c r="S69" s="2020"/>
      <c r="T69" s="2020"/>
      <c r="U69" s="2020"/>
      <c r="V69" s="2020"/>
      <c r="W69" s="2020"/>
      <c r="X69" s="2020"/>
      <c r="Y69" s="2020"/>
      <c r="Z69" s="2020"/>
      <c r="AA69" s="2020"/>
      <c r="AB69" s="2020"/>
      <c r="AC69" s="2020"/>
    </row>
    <row r="70" spans="1:29" s="1227" customFormat="1" ht="15.75" thickTop="1">
      <c r="A70" s="587"/>
      <c r="B70" s="573">
        <f>B12</f>
        <v>111</v>
      </c>
      <c r="C70" s="588"/>
      <c r="D70" s="588"/>
      <c r="E70" s="588"/>
      <c r="F70" s="588"/>
      <c r="G70" s="588"/>
      <c r="H70" s="589"/>
      <c r="I70" s="589"/>
      <c r="J70" s="589"/>
      <c r="K70" s="589"/>
      <c r="L70" s="590"/>
      <c r="M70" s="591"/>
      <c r="N70" s="2042"/>
      <c r="O70" s="2042"/>
      <c r="P70" s="2043"/>
      <c r="Q70" s="2044"/>
      <c r="R70" s="2045"/>
      <c r="S70" s="2045"/>
      <c r="T70" s="2045"/>
      <c r="U70" s="2045"/>
      <c r="V70" s="2045"/>
      <c r="W70" s="2045"/>
      <c r="X70" s="2045"/>
      <c r="Y70" s="2045"/>
      <c r="Z70" s="2045"/>
      <c r="AA70" s="2045"/>
      <c r="AB70" s="2045"/>
      <c r="AC70" s="2045"/>
    </row>
    <row r="71" spans="1:29" s="1227" customFormat="1" ht="15.75" thickBot="1">
      <c r="A71" s="587"/>
      <c r="B71" s="578"/>
      <c r="C71" s="592"/>
      <c r="D71" s="571"/>
      <c r="E71" s="571"/>
      <c r="F71" s="571"/>
      <c r="G71" s="571"/>
      <c r="H71" s="571"/>
      <c r="I71" s="571"/>
      <c r="J71" s="571"/>
      <c r="K71" s="571"/>
      <c r="L71" s="571"/>
      <c r="M71" s="572"/>
      <c r="N71" s="2041"/>
      <c r="O71" s="2041"/>
      <c r="P71" s="2043"/>
      <c r="Q71" s="2044"/>
      <c r="R71" s="2045"/>
      <c r="S71" s="2045"/>
      <c r="T71" s="2045"/>
      <c r="U71" s="2045"/>
      <c r="V71" s="2045"/>
      <c r="W71" s="2045"/>
      <c r="X71" s="2045"/>
      <c r="Y71" s="2045"/>
      <c r="Z71" s="2045"/>
      <c r="AA71" s="2045"/>
      <c r="AB71" s="2045"/>
      <c r="AC71" s="2045"/>
    </row>
    <row r="72" spans="1:29" s="1227" customFormat="1" ht="15.75" thickTop="1">
      <c r="A72" s="587"/>
      <c r="B72" s="573">
        <f>B13</f>
        <v>111</v>
      </c>
      <c r="C72" s="588"/>
      <c r="D72" s="588"/>
      <c r="E72" s="588"/>
      <c r="F72" s="588"/>
      <c r="G72" s="588"/>
      <c r="H72" s="589"/>
      <c r="I72" s="589"/>
      <c r="J72" s="589"/>
      <c r="K72" s="589"/>
      <c r="L72" s="590"/>
      <c r="M72" s="591"/>
      <c r="N72" s="2042"/>
      <c r="O72" s="2042"/>
      <c r="P72" s="2046"/>
      <c r="Q72" s="2047"/>
      <c r="R72" s="2045"/>
      <c r="S72" s="2045"/>
      <c r="T72" s="2045"/>
      <c r="U72" s="2045"/>
      <c r="V72" s="2045"/>
      <c r="W72" s="2045"/>
      <c r="X72" s="2045"/>
      <c r="Y72" s="2045"/>
      <c r="Z72" s="2045"/>
      <c r="AA72" s="2045"/>
      <c r="AB72" s="2045"/>
      <c r="AC72" s="2045"/>
    </row>
    <row r="73" spans="1:29" s="1227" customFormat="1" ht="15.75" thickBot="1">
      <c r="A73" s="587"/>
      <c r="B73" s="578"/>
      <c r="C73" s="592"/>
      <c r="D73" s="571"/>
      <c r="E73" s="571"/>
      <c r="F73" s="571"/>
      <c r="G73" s="592"/>
      <c r="H73" s="593"/>
      <c r="I73" s="593"/>
      <c r="J73" s="593"/>
      <c r="K73" s="593"/>
      <c r="L73" s="593"/>
      <c r="M73" s="594"/>
      <c r="N73" s="2042"/>
      <c r="O73" s="2042"/>
      <c r="P73" s="2043"/>
      <c r="Q73" s="2044"/>
      <c r="R73" s="2045"/>
      <c r="S73" s="2045"/>
      <c r="T73" s="2045"/>
      <c r="U73" s="2045"/>
      <c r="V73" s="2045"/>
      <c r="W73" s="2045"/>
      <c r="X73" s="2045"/>
      <c r="Y73" s="2045"/>
      <c r="Z73" s="2045"/>
      <c r="AA73" s="2045"/>
      <c r="AB73" s="2045"/>
      <c r="AC73" s="2045"/>
    </row>
    <row r="74" spans="1:29" s="1227" customFormat="1" ht="15.75" thickTop="1">
      <c r="A74" s="587"/>
      <c r="B74" s="581">
        <f>B14</f>
        <v>111</v>
      </c>
      <c r="C74" s="588"/>
      <c r="D74" s="588"/>
      <c r="E74" s="588"/>
      <c r="F74" s="588"/>
      <c r="G74" s="561"/>
      <c r="H74" s="595"/>
      <c r="I74" s="595"/>
      <c r="J74" s="595"/>
      <c r="K74" s="595"/>
      <c r="L74" s="596"/>
      <c r="M74" s="597"/>
      <c r="N74" s="2042"/>
      <c r="O74" s="2042"/>
      <c r="P74" s="2048"/>
      <c r="Q74" s="2044"/>
      <c r="R74" s="2045"/>
      <c r="S74" s="2045"/>
      <c r="T74" s="2045"/>
      <c r="U74" s="2045"/>
      <c r="V74" s="2045"/>
      <c r="W74" s="2045"/>
      <c r="X74" s="2045"/>
      <c r="Y74" s="2045"/>
      <c r="Z74" s="2045"/>
      <c r="AA74" s="2045"/>
      <c r="AB74" s="2045"/>
      <c r="AC74" s="2045"/>
    </row>
    <row r="75" spans="1:29" s="1227" customFormat="1" ht="15.75" thickBot="1">
      <c r="A75" s="598"/>
      <c r="B75" s="599"/>
      <c r="C75" s="600"/>
      <c r="D75" s="600"/>
      <c r="E75" s="600"/>
      <c r="F75" s="600"/>
      <c r="G75" s="600"/>
      <c r="H75" s="601"/>
      <c r="I75" s="601"/>
      <c r="J75" s="601"/>
      <c r="K75" s="601"/>
      <c r="L75" s="601"/>
      <c r="M75" s="602"/>
      <c r="N75" s="2042"/>
      <c r="O75" s="2042"/>
      <c r="P75" s="2043"/>
      <c r="Q75" s="2044"/>
      <c r="R75" s="2045"/>
      <c r="S75" s="2045"/>
      <c r="T75" s="2045"/>
      <c r="U75" s="2045"/>
      <c r="V75" s="2045"/>
      <c r="W75" s="2045"/>
      <c r="X75" s="2045"/>
      <c r="Y75" s="2045"/>
      <c r="Z75" s="2045"/>
      <c r="AA75" s="2045"/>
      <c r="AB75" s="2045"/>
      <c r="AC75" s="2045"/>
    </row>
    <row r="76" spans="1:29">
      <c r="A76" s="564" t="s">
        <v>479</v>
      </c>
      <c r="B76" s="565" t="s">
        <v>518</v>
      </c>
      <c r="C76" s="603" t="s">
        <v>519</v>
      </c>
      <c r="D76" s="603" t="s">
        <v>520</v>
      </c>
      <c r="E76" s="603" t="s">
        <v>521</v>
      </c>
      <c r="F76" s="603" t="s">
        <v>522</v>
      </c>
      <c r="G76" s="603" t="s">
        <v>523</v>
      </c>
      <c r="H76" s="604"/>
      <c r="I76" s="604"/>
      <c r="J76" s="604"/>
      <c r="K76" s="605"/>
      <c r="L76" s="606"/>
      <c r="M76" s="607"/>
      <c r="N76" s="2039"/>
      <c r="O76" s="2039"/>
      <c r="P76" s="2049"/>
      <c r="Q76" s="2033"/>
      <c r="R76" s="2020"/>
      <c r="S76" s="2020"/>
      <c r="T76" s="2020"/>
      <c r="U76" s="2020"/>
      <c r="V76" s="2020"/>
      <c r="W76" s="2020"/>
      <c r="X76" s="2020"/>
      <c r="Y76" s="2020"/>
      <c r="Z76" s="2020"/>
      <c r="AA76" s="2020"/>
      <c r="AB76" s="2020"/>
      <c r="AC76" s="2020"/>
    </row>
    <row r="77" spans="1:29" ht="15.75" thickBot="1">
      <c r="A77" s="569"/>
      <c r="B77" s="578"/>
      <c r="C77" s="579">
        <v>100</v>
      </c>
      <c r="D77" s="579">
        <f>C77-$K15</f>
        <v>100</v>
      </c>
      <c r="E77" s="579">
        <f>D77-$K15</f>
        <v>100</v>
      </c>
      <c r="F77" s="579">
        <f>E77-$K15</f>
        <v>100</v>
      </c>
      <c r="G77" s="579">
        <f>F77-$K15</f>
        <v>100</v>
      </c>
      <c r="H77" s="579"/>
      <c r="I77" s="579"/>
      <c r="J77" s="579"/>
      <c r="K77" s="579"/>
      <c r="L77" s="579"/>
      <c r="M77" s="580"/>
      <c r="N77" s="2041"/>
      <c r="O77" s="2041"/>
      <c r="P77" s="2040"/>
      <c r="Q77" s="2033"/>
      <c r="R77" s="2020"/>
      <c r="S77" s="2020"/>
      <c r="T77" s="2020"/>
      <c r="U77" s="2020"/>
      <c r="V77" s="2020"/>
      <c r="W77" s="2020"/>
      <c r="X77" s="2020"/>
      <c r="Y77" s="2020"/>
      <c r="Z77" s="2020"/>
      <c r="AA77" s="2020"/>
      <c r="AB77" s="2020"/>
      <c r="AC77" s="2020"/>
    </row>
    <row r="78" spans="1:29" ht="15.75" thickTop="1">
      <c r="A78" s="569"/>
      <c r="B78" s="573" t="s">
        <v>526</v>
      </c>
      <c r="C78" s="608" t="s">
        <v>519</v>
      </c>
      <c r="D78" s="608" t="s">
        <v>520</v>
      </c>
      <c r="E78" s="608" t="s">
        <v>521</v>
      </c>
      <c r="F78" s="608" t="s">
        <v>522</v>
      </c>
      <c r="G78" s="608" t="s">
        <v>523</v>
      </c>
      <c r="H78" s="574"/>
      <c r="I78" s="574"/>
      <c r="J78" s="574"/>
      <c r="K78" s="575"/>
      <c r="L78" s="576"/>
      <c r="M78" s="577"/>
      <c r="N78" s="2039"/>
      <c r="O78" s="2039"/>
      <c r="P78" s="2040"/>
      <c r="Q78" s="2033"/>
      <c r="R78" s="2020"/>
      <c r="S78" s="2020"/>
      <c r="T78" s="2020"/>
      <c r="U78" s="2020"/>
      <c r="V78" s="2020"/>
      <c r="W78" s="2020"/>
      <c r="X78" s="2020"/>
      <c r="Y78" s="2020"/>
      <c r="Z78" s="2020"/>
      <c r="AA78" s="2020"/>
      <c r="AB78" s="2020"/>
      <c r="AC78" s="2020"/>
    </row>
    <row r="79" spans="1:29" ht="15.75" thickBot="1">
      <c r="A79" s="569"/>
      <c r="B79" s="578"/>
      <c r="C79" s="579">
        <v>100</v>
      </c>
      <c r="D79" s="579">
        <f>C79-$K17</f>
        <v>100</v>
      </c>
      <c r="E79" s="579">
        <f>D79-$K17</f>
        <v>100</v>
      </c>
      <c r="F79" s="579">
        <f>E79-$K17</f>
        <v>100</v>
      </c>
      <c r="G79" s="579">
        <f>F79-$K17</f>
        <v>100</v>
      </c>
      <c r="H79" s="579"/>
      <c r="I79" s="579"/>
      <c r="J79" s="579"/>
      <c r="K79" s="579"/>
      <c r="L79" s="579"/>
      <c r="M79" s="580"/>
      <c r="N79" s="2041"/>
      <c r="O79" s="2041"/>
      <c r="P79" s="2040"/>
      <c r="Q79" s="2033"/>
      <c r="R79" s="2020"/>
      <c r="S79" s="2020"/>
      <c r="T79" s="2020"/>
      <c r="U79" s="2020"/>
      <c r="V79" s="2020"/>
      <c r="W79" s="2020"/>
      <c r="X79" s="2020"/>
      <c r="Y79" s="2020"/>
      <c r="Z79" s="2020"/>
      <c r="AA79" s="2020"/>
      <c r="AB79" s="2020"/>
      <c r="AC79" s="2020"/>
    </row>
    <row r="80" spans="1:29" ht="15.75" thickTop="1">
      <c r="A80" s="569"/>
      <c r="B80" s="1778" t="s">
        <v>2485</v>
      </c>
      <c r="C80" s="608" t="s">
        <v>519</v>
      </c>
      <c r="D80" s="608" t="s">
        <v>520</v>
      </c>
      <c r="E80" s="608" t="s">
        <v>521</v>
      </c>
      <c r="F80" s="608" t="s">
        <v>522</v>
      </c>
      <c r="G80" s="608" t="s">
        <v>523</v>
      </c>
      <c r="H80" s="574"/>
      <c r="I80" s="574"/>
      <c r="J80" s="574"/>
      <c r="K80" s="575"/>
      <c r="L80" s="576"/>
      <c r="M80" s="577"/>
      <c r="N80" s="2039"/>
      <c r="O80" s="2039"/>
      <c r="P80" s="2040"/>
      <c r="Q80" s="2033"/>
      <c r="R80" s="2020"/>
      <c r="S80" s="2020"/>
      <c r="T80" s="2020"/>
      <c r="U80" s="2020"/>
      <c r="V80" s="2020"/>
      <c r="W80" s="2020"/>
      <c r="X80" s="2020"/>
      <c r="Y80" s="2020"/>
      <c r="Z80" s="2020"/>
      <c r="AA80" s="2020"/>
      <c r="AB80" s="2020"/>
      <c r="AC80" s="2020"/>
    </row>
    <row r="81" spans="1:29" ht="15.75" thickBot="1">
      <c r="A81" s="569"/>
      <c r="B81" s="578"/>
      <c r="C81" s="579">
        <v>100</v>
      </c>
      <c r="D81" s="579">
        <f>C81-$K19</f>
        <v>100</v>
      </c>
      <c r="E81" s="579">
        <f>D81-$K19</f>
        <v>100</v>
      </c>
      <c r="F81" s="579">
        <f>E81-$K19</f>
        <v>100</v>
      </c>
      <c r="G81" s="579">
        <f>F81-$K19</f>
        <v>100</v>
      </c>
      <c r="H81" s="579"/>
      <c r="I81" s="579"/>
      <c r="J81" s="579"/>
      <c r="K81" s="579"/>
      <c r="L81" s="579"/>
      <c r="M81" s="580"/>
      <c r="N81" s="2041"/>
      <c r="O81" s="2041"/>
      <c r="P81" s="2040"/>
      <c r="Q81" s="2033"/>
      <c r="R81" s="2020"/>
      <c r="S81" s="2020"/>
      <c r="T81" s="2020"/>
      <c r="U81" s="2020"/>
      <c r="V81" s="2020"/>
      <c r="W81" s="2020"/>
      <c r="X81" s="2020"/>
      <c r="Y81" s="2020"/>
      <c r="Z81" s="2020"/>
      <c r="AA81" s="2020"/>
      <c r="AB81" s="2020"/>
      <c r="AC81" s="2020"/>
    </row>
    <row r="82" spans="1:29" ht="15.75" thickTop="1">
      <c r="A82" s="569"/>
      <c r="B82" s="2463" t="s">
        <v>2486</v>
      </c>
      <c r="C82" s="2464" t="s">
        <v>2487</v>
      </c>
      <c r="D82" s="2464" t="s">
        <v>2488</v>
      </c>
      <c r="E82" s="2464" t="s">
        <v>2489</v>
      </c>
      <c r="F82" s="2464" t="s">
        <v>2490</v>
      </c>
      <c r="G82" s="2464" t="s">
        <v>2491</v>
      </c>
      <c r="H82" s="574"/>
      <c r="I82" s="574"/>
      <c r="J82" s="574"/>
      <c r="K82" s="574"/>
      <c r="L82" s="574"/>
      <c r="M82" s="2467"/>
      <c r="N82" s="2041"/>
      <c r="O82" s="2041"/>
      <c r="P82" s="2040"/>
      <c r="Q82" s="2033"/>
      <c r="R82" s="2020"/>
      <c r="S82" s="2020"/>
      <c r="T82" s="2020"/>
      <c r="U82" s="2020"/>
      <c r="V82" s="2020"/>
      <c r="W82" s="2020"/>
      <c r="X82" s="2020"/>
      <c r="Y82" s="2020"/>
      <c r="Z82" s="2020"/>
      <c r="AA82" s="2020"/>
      <c r="AB82" s="2020"/>
      <c r="AC82" s="2020"/>
    </row>
    <row r="83" spans="1:29" ht="15.75" thickBot="1">
      <c r="A83" s="569"/>
      <c r="B83" s="581"/>
      <c r="C83" s="579">
        <v>100</v>
      </c>
      <c r="D83" s="579">
        <f>C83-$K21</f>
        <v>100</v>
      </c>
      <c r="E83" s="579">
        <f>D83-$K21</f>
        <v>100</v>
      </c>
      <c r="F83" s="579">
        <f>E83-$K21</f>
        <v>100</v>
      </c>
      <c r="G83" s="579">
        <f>F83-$K21</f>
        <v>100</v>
      </c>
      <c r="H83" s="835"/>
      <c r="I83" s="835"/>
      <c r="J83" s="835"/>
      <c r="K83" s="835"/>
      <c r="L83" s="835"/>
      <c r="M83" s="459"/>
      <c r="N83" s="2041"/>
      <c r="O83" s="2041"/>
      <c r="P83" s="2040"/>
      <c r="Q83" s="2033"/>
      <c r="R83" s="2020"/>
      <c r="S83" s="2020"/>
      <c r="T83" s="2020"/>
      <c r="U83" s="2020"/>
      <c r="V83" s="2020"/>
      <c r="W83" s="2020"/>
      <c r="X83" s="2020"/>
      <c r="Y83" s="2020"/>
      <c r="Z83" s="2020"/>
      <c r="AA83" s="2020"/>
      <c r="AB83" s="2020"/>
      <c r="AC83" s="2020"/>
    </row>
    <row r="84" spans="1:29" ht="15.75" thickTop="1">
      <c r="A84" s="569"/>
      <c r="B84" s="573" t="s">
        <v>683</v>
      </c>
      <c r="C84" s="608" t="s">
        <v>519</v>
      </c>
      <c r="D84" s="608" t="s">
        <v>520</v>
      </c>
      <c r="E84" s="608" t="s">
        <v>521</v>
      </c>
      <c r="F84" s="608" t="s">
        <v>522</v>
      </c>
      <c r="G84" s="608" t="s">
        <v>523</v>
      </c>
      <c r="H84" s="574"/>
      <c r="I84" s="574"/>
      <c r="J84" s="574"/>
      <c r="K84" s="575"/>
      <c r="L84" s="576"/>
      <c r="M84" s="577"/>
      <c r="N84" s="2039"/>
      <c r="O84" s="2039"/>
      <c r="P84" s="2040"/>
      <c r="Q84" s="2033"/>
      <c r="R84" s="2020"/>
      <c r="S84" s="2020"/>
      <c r="T84" s="2020"/>
      <c r="U84" s="2020"/>
      <c r="V84" s="2020"/>
      <c r="W84" s="2020"/>
      <c r="X84" s="2020"/>
      <c r="Y84" s="2020"/>
      <c r="Z84" s="2020"/>
      <c r="AA84" s="2020"/>
      <c r="AB84" s="2020"/>
      <c r="AC84" s="2020"/>
    </row>
    <row r="85" spans="1:29" ht="15.75" thickBot="1">
      <c r="A85" s="569"/>
      <c r="B85" s="578"/>
      <c r="C85" s="579">
        <v>100</v>
      </c>
      <c r="D85" s="579">
        <f>C85-$K23</f>
        <v>100</v>
      </c>
      <c r="E85" s="579">
        <f>D85-$K23</f>
        <v>100</v>
      </c>
      <c r="F85" s="579">
        <f>E85-$K23</f>
        <v>100</v>
      </c>
      <c r="G85" s="579">
        <f>F85-$K23</f>
        <v>100</v>
      </c>
      <c r="H85" s="579"/>
      <c r="I85" s="579"/>
      <c r="J85" s="579"/>
      <c r="K85" s="579"/>
      <c r="L85" s="579"/>
      <c r="M85" s="580"/>
      <c r="N85" s="2041"/>
      <c r="O85" s="2041"/>
      <c r="P85" s="2040"/>
      <c r="Q85" s="2033"/>
      <c r="R85" s="2020"/>
      <c r="S85" s="2020"/>
      <c r="T85" s="2020"/>
      <c r="U85" s="2020"/>
      <c r="V85" s="2020"/>
      <c r="W85" s="2020"/>
      <c r="X85" s="2020"/>
      <c r="Y85" s="2020"/>
      <c r="Z85" s="2020"/>
      <c r="AA85" s="2020"/>
      <c r="AB85" s="2020"/>
      <c r="AC85" s="2020"/>
    </row>
    <row r="86" spans="1:29" s="1108" customFormat="1" ht="15.75" thickTop="1">
      <c r="A86" s="609"/>
      <c r="B86" s="573" t="s">
        <v>710</v>
      </c>
      <c r="C86" s="588"/>
      <c r="D86" s="588"/>
      <c r="E86" s="588"/>
      <c r="F86" s="588"/>
      <c r="G86" s="588"/>
      <c r="H86" s="588"/>
      <c r="I86" s="588"/>
      <c r="J86" s="588"/>
      <c r="K86" s="588"/>
      <c r="L86" s="790"/>
      <c r="M86" s="791"/>
      <c r="N86" s="2037"/>
      <c r="O86" s="2037"/>
      <c r="P86" s="2040"/>
      <c r="Q86" s="2033"/>
      <c r="R86" s="1872"/>
      <c r="S86" s="1872"/>
      <c r="T86" s="1872"/>
      <c r="U86" s="1872"/>
      <c r="V86" s="1872"/>
      <c r="W86" s="1872"/>
      <c r="X86" s="1872"/>
      <c r="Y86" s="1872"/>
      <c r="Z86" s="1872"/>
      <c r="AA86" s="1872"/>
      <c r="AB86" s="1872"/>
      <c r="AC86" s="1872"/>
    </row>
    <row r="87" spans="1:29" s="1108" customFormat="1" ht="15.75" thickBot="1">
      <c r="A87" s="609"/>
      <c r="B87" s="578"/>
      <c r="C87" s="612">
        <v>100</v>
      </c>
      <c r="D87" s="579">
        <f t="shared" ref="D87:M87" si="16">C87-$K25</f>
        <v>100</v>
      </c>
      <c r="E87" s="579">
        <f t="shared" si="16"/>
        <v>100</v>
      </c>
      <c r="F87" s="579">
        <f t="shared" si="16"/>
        <v>100</v>
      </c>
      <c r="G87" s="579">
        <f t="shared" si="16"/>
        <v>100</v>
      </c>
      <c r="H87" s="579">
        <f t="shared" si="16"/>
        <v>100</v>
      </c>
      <c r="I87" s="579">
        <f t="shared" si="16"/>
        <v>100</v>
      </c>
      <c r="J87" s="579">
        <f t="shared" si="16"/>
        <v>100</v>
      </c>
      <c r="K87" s="579">
        <f t="shared" si="16"/>
        <v>100</v>
      </c>
      <c r="L87" s="579">
        <f t="shared" si="16"/>
        <v>100</v>
      </c>
      <c r="M87" s="579">
        <f t="shared" si="16"/>
        <v>100</v>
      </c>
      <c r="N87" s="2041"/>
      <c r="O87" s="2041"/>
      <c r="P87" s="2040"/>
      <c r="Q87" s="2033"/>
      <c r="R87" s="1872"/>
      <c r="S87" s="1872"/>
      <c r="T87" s="1872"/>
      <c r="U87" s="1872"/>
      <c r="V87" s="1872"/>
      <c r="W87" s="1872"/>
      <c r="X87" s="1872"/>
      <c r="Y87" s="1872"/>
      <c r="Z87" s="1872"/>
      <c r="AA87" s="1872"/>
      <c r="AB87" s="1872"/>
      <c r="AC87" s="1872"/>
    </row>
    <row r="88" spans="1:29" s="1108" customFormat="1" ht="15.75" thickTop="1">
      <c r="A88" s="609"/>
      <c r="B88" s="573" t="str">
        <f>B26</f>
        <v>平面位置/可视性</v>
      </c>
      <c r="C88" s="588"/>
      <c r="D88" s="588"/>
      <c r="E88" s="588"/>
      <c r="F88" s="792"/>
      <c r="G88" s="588"/>
      <c r="H88" s="588"/>
      <c r="I88" s="588"/>
      <c r="J88" s="588"/>
      <c r="K88" s="588"/>
      <c r="L88" s="588"/>
      <c r="M88" s="791"/>
      <c r="N88" s="2037"/>
      <c r="O88" s="2037"/>
      <c r="P88" s="2040"/>
      <c r="Q88" s="2033"/>
      <c r="R88" s="1872"/>
      <c r="S88" s="1872"/>
      <c r="T88" s="1872"/>
      <c r="U88" s="1872"/>
      <c r="V88" s="1872"/>
      <c r="W88" s="1872"/>
      <c r="X88" s="1872"/>
      <c r="Y88" s="1872"/>
      <c r="Z88" s="1872"/>
      <c r="AA88" s="1872"/>
      <c r="AB88" s="1872"/>
      <c r="AC88" s="1872"/>
    </row>
    <row r="89" spans="1:29" s="1108" customFormat="1" ht="15.75" thickBot="1">
      <c r="A89" s="609"/>
      <c r="B89" s="578"/>
      <c r="C89" s="592"/>
      <c r="D89" s="571"/>
      <c r="E89" s="571"/>
      <c r="F89" s="571"/>
      <c r="G89" s="571"/>
      <c r="H89" s="571"/>
      <c r="I89" s="571"/>
      <c r="J89" s="571"/>
      <c r="K89" s="571"/>
      <c r="L89" s="571"/>
      <c r="M89" s="571"/>
      <c r="N89" s="2041"/>
      <c r="O89" s="2041"/>
      <c r="P89" s="2040"/>
      <c r="Q89" s="2033"/>
      <c r="R89" s="1872"/>
      <c r="S89" s="1872"/>
      <c r="T89" s="1872"/>
      <c r="U89" s="1872"/>
      <c r="V89" s="1872"/>
      <c r="W89" s="1872"/>
      <c r="X89" s="1872"/>
      <c r="Y89" s="1872"/>
      <c r="Z89" s="1872"/>
      <c r="AA89" s="1872"/>
      <c r="AB89" s="1872"/>
      <c r="AC89" s="1872"/>
    </row>
    <row r="90" spans="1:29" s="1227" customFormat="1" ht="15.75" thickTop="1">
      <c r="A90" s="587"/>
      <c r="B90" s="573" t="str">
        <f>B27</f>
        <v>人流量</v>
      </c>
      <c r="C90" s="588"/>
      <c r="D90" s="588"/>
      <c r="E90" s="588"/>
      <c r="F90" s="588"/>
      <c r="G90" s="588"/>
      <c r="H90" s="589"/>
      <c r="I90" s="589"/>
      <c r="J90" s="589"/>
      <c r="K90" s="589"/>
      <c r="L90" s="590"/>
      <c r="M90" s="591"/>
      <c r="N90" s="2042"/>
      <c r="O90" s="2042"/>
      <c r="P90" s="2043"/>
      <c r="Q90" s="2044"/>
      <c r="R90" s="2045"/>
      <c r="S90" s="2045"/>
      <c r="T90" s="2045"/>
      <c r="U90" s="2045"/>
      <c r="V90" s="2045"/>
      <c r="W90" s="2045"/>
      <c r="X90" s="2045"/>
      <c r="Y90" s="2045"/>
      <c r="Z90" s="2045"/>
      <c r="AA90" s="2045"/>
      <c r="AB90" s="2045"/>
      <c r="AC90" s="2045"/>
    </row>
    <row r="91" spans="1:29" s="1227" customFormat="1" ht="15.75" thickBot="1">
      <c r="A91" s="587"/>
      <c r="B91" s="578"/>
      <c r="C91" s="612">
        <v>100</v>
      </c>
      <c r="D91" s="579">
        <f>C91-$K27</f>
        <v>100</v>
      </c>
      <c r="E91" s="579">
        <f t="shared" ref="E91:M91" si="17">D91-$K27</f>
        <v>100</v>
      </c>
      <c r="F91" s="579">
        <f t="shared" si="17"/>
        <v>100</v>
      </c>
      <c r="G91" s="579">
        <f t="shared" si="17"/>
        <v>100</v>
      </c>
      <c r="H91" s="579">
        <f t="shared" si="17"/>
        <v>100</v>
      </c>
      <c r="I91" s="579">
        <f t="shared" si="17"/>
        <v>100</v>
      </c>
      <c r="J91" s="579">
        <f t="shared" si="17"/>
        <v>100</v>
      </c>
      <c r="K91" s="579">
        <f t="shared" si="17"/>
        <v>100</v>
      </c>
      <c r="L91" s="579">
        <f t="shared" si="17"/>
        <v>100</v>
      </c>
      <c r="M91" s="579">
        <f t="shared" si="17"/>
        <v>100</v>
      </c>
      <c r="N91" s="2042"/>
      <c r="O91" s="2042"/>
      <c r="P91" s="2043"/>
      <c r="Q91" s="2044"/>
      <c r="R91" s="2045"/>
      <c r="S91" s="2045"/>
      <c r="T91" s="2045"/>
      <c r="U91" s="2045"/>
      <c r="V91" s="2045"/>
      <c r="W91" s="2045"/>
      <c r="X91" s="2045"/>
      <c r="Y91" s="2045"/>
      <c r="Z91" s="2045"/>
      <c r="AA91" s="2045"/>
      <c r="AB91" s="2045"/>
      <c r="AC91" s="2045"/>
    </row>
    <row r="92" spans="1:29" ht="15.75" thickTop="1">
      <c r="A92" s="569"/>
      <c r="B92" s="573" t="str">
        <f>B28</f>
        <v>楼层</v>
      </c>
      <c r="C92" s="588"/>
      <c r="D92" s="588"/>
      <c r="E92" s="588"/>
      <c r="F92" s="588"/>
      <c r="G92" s="588"/>
      <c r="H92" s="588"/>
      <c r="I92" s="588"/>
      <c r="J92" s="588"/>
      <c r="K92" s="588"/>
      <c r="L92" s="790"/>
      <c r="M92" s="791"/>
      <c r="N92" s="2039"/>
      <c r="O92" s="2039"/>
      <c r="P92" s="2040"/>
      <c r="Q92" s="2033"/>
      <c r="R92" s="2020"/>
      <c r="S92" s="2020"/>
      <c r="T92" s="2020"/>
      <c r="U92" s="2020"/>
      <c r="V92" s="2020"/>
      <c r="W92" s="2020"/>
      <c r="X92" s="2020"/>
      <c r="Y92" s="2020"/>
      <c r="Z92" s="2020"/>
      <c r="AA92" s="2020"/>
      <c r="AB92" s="2020"/>
      <c r="AC92" s="2020"/>
    </row>
    <row r="93" spans="1:29" ht="15.75" thickBot="1">
      <c r="A93" s="569"/>
      <c r="B93" s="578"/>
      <c r="C93" s="571"/>
      <c r="D93" s="571"/>
      <c r="E93" s="571"/>
      <c r="F93" s="571"/>
      <c r="G93" s="571"/>
      <c r="H93" s="571"/>
      <c r="I93" s="571"/>
      <c r="J93" s="571"/>
      <c r="K93" s="571"/>
      <c r="L93" s="571"/>
      <c r="M93" s="572"/>
      <c r="N93" s="2041"/>
      <c r="O93" s="2041"/>
      <c r="P93" s="2040"/>
      <c r="Q93" s="2033"/>
      <c r="R93" s="2020"/>
      <c r="S93" s="2020"/>
      <c r="T93" s="2020"/>
      <c r="U93" s="2020"/>
      <c r="V93" s="2020"/>
      <c r="W93" s="2020"/>
      <c r="X93" s="2020"/>
      <c r="Y93" s="2020"/>
      <c r="Z93" s="2020"/>
      <c r="AA93" s="2020"/>
      <c r="AB93" s="2020"/>
      <c r="AC93" s="2020"/>
    </row>
    <row r="94" spans="1:29" ht="15.75" thickTop="1">
      <c r="A94" s="569"/>
      <c r="B94" s="573">
        <f>B29</f>
        <v>111</v>
      </c>
      <c r="C94" s="588"/>
      <c r="D94" s="588"/>
      <c r="E94" s="588"/>
      <c r="F94" s="588"/>
      <c r="G94" s="618"/>
      <c r="H94" s="618"/>
      <c r="I94" s="618"/>
      <c r="J94" s="618"/>
      <c r="K94" s="619"/>
      <c r="L94" s="620"/>
      <c r="M94" s="621"/>
      <c r="N94" s="2039"/>
      <c r="O94" s="2039"/>
      <c r="P94" s="2040"/>
      <c r="Q94" s="2033"/>
      <c r="R94" s="2020"/>
      <c r="S94" s="2020"/>
      <c r="T94" s="2020"/>
      <c r="U94" s="2020"/>
      <c r="V94" s="2020"/>
      <c r="W94" s="2020"/>
      <c r="X94" s="2020"/>
      <c r="Y94" s="2020"/>
      <c r="Z94" s="2020"/>
      <c r="AA94" s="2020"/>
      <c r="AB94" s="2020"/>
      <c r="AC94" s="2020"/>
    </row>
    <row r="95" spans="1:29" ht="15.75" thickBot="1">
      <c r="A95" s="569"/>
      <c r="B95" s="578"/>
      <c r="C95" s="592"/>
      <c r="D95" s="571"/>
      <c r="E95" s="571"/>
      <c r="F95" s="571"/>
      <c r="G95" s="571"/>
      <c r="H95" s="571"/>
      <c r="I95" s="571"/>
      <c r="J95" s="571"/>
      <c r="K95" s="571"/>
      <c r="L95" s="571"/>
      <c r="M95" s="572"/>
      <c r="N95" s="2041"/>
      <c r="O95" s="2041"/>
      <c r="P95" s="2040"/>
      <c r="Q95" s="2033"/>
      <c r="R95" s="2020"/>
      <c r="S95" s="2020"/>
      <c r="T95" s="2020"/>
      <c r="U95" s="2020"/>
      <c r="V95" s="2020"/>
      <c r="W95" s="2020"/>
      <c r="X95" s="2020"/>
      <c r="Y95" s="2020"/>
      <c r="Z95" s="2020"/>
      <c r="AA95" s="2020"/>
      <c r="AB95" s="2020"/>
      <c r="AC95" s="2020"/>
    </row>
    <row r="96" spans="1:29" ht="15.75" thickTop="1">
      <c r="A96" s="569"/>
      <c r="B96" s="573">
        <f>B30</f>
        <v>111</v>
      </c>
      <c r="C96" s="588"/>
      <c r="D96" s="588"/>
      <c r="E96" s="588"/>
      <c r="F96" s="588"/>
      <c r="G96" s="618"/>
      <c r="H96" s="618"/>
      <c r="I96" s="618"/>
      <c r="J96" s="618"/>
      <c r="K96" s="619"/>
      <c r="L96" s="620"/>
      <c r="M96" s="621"/>
      <c r="N96" s="2039"/>
      <c r="O96" s="2039"/>
      <c r="P96" s="2040"/>
      <c r="Q96" s="2033"/>
      <c r="R96" s="2020"/>
      <c r="S96" s="2020"/>
      <c r="T96" s="2020"/>
      <c r="U96" s="2020"/>
      <c r="V96" s="2020"/>
      <c r="W96" s="2020"/>
      <c r="X96" s="2020"/>
      <c r="Y96" s="2020"/>
      <c r="Z96" s="2020"/>
      <c r="AA96" s="2020"/>
      <c r="AB96" s="2020"/>
      <c r="AC96" s="2020"/>
    </row>
    <row r="97" spans="1:29" ht="15.75" thickBot="1">
      <c r="A97" s="569"/>
      <c r="B97" s="578"/>
      <c r="C97" s="592"/>
      <c r="D97" s="571"/>
      <c r="E97" s="571"/>
      <c r="F97" s="571"/>
      <c r="G97" s="571"/>
      <c r="H97" s="571"/>
      <c r="I97" s="571"/>
      <c r="J97" s="571"/>
      <c r="K97" s="571"/>
      <c r="L97" s="571"/>
      <c r="M97" s="572"/>
      <c r="N97" s="2041"/>
      <c r="O97" s="2041"/>
      <c r="P97" s="2040"/>
      <c r="Q97" s="2033"/>
      <c r="R97" s="2020"/>
      <c r="S97" s="2020"/>
      <c r="T97" s="2020"/>
      <c r="U97" s="2020"/>
      <c r="V97" s="2020"/>
      <c r="W97" s="2020"/>
      <c r="X97" s="2020"/>
      <c r="Y97" s="2020"/>
      <c r="Z97" s="2020"/>
      <c r="AA97" s="2020"/>
      <c r="AB97" s="2020"/>
      <c r="AC97" s="2020"/>
    </row>
    <row r="98" spans="1:29" ht="15.75" thickTop="1">
      <c r="A98" s="569"/>
      <c r="B98" s="581">
        <f>B31</f>
        <v>111</v>
      </c>
      <c r="C98" s="588"/>
      <c r="D98" s="588"/>
      <c r="E98" s="588"/>
      <c r="F98" s="588"/>
      <c r="G98" s="622"/>
      <c r="H98" s="622"/>
      <c r="I98" s="622"/>
      <c r="J98" s="622"/>
      <c r="K98" s="623"/>
      <c r="L98" s="624"/>
      <c r="M98" s="625"/>
      <c r="N98" s="2039"/>
      <c r="O98" s="2039"/>
      <c r="P98" s="2040"/>
      <c r="Q98" s="2033"/>
      <c r="R98" s="2020"/>
      <c r="S98" s="2020"/>
      <c r="T98" s="2020"/>
      <c r="U98" s="2020"/>
      <c r="V98" s="2020"/>
      <c r="W98" s="2020"/>
      <c r="X98" s="2020"/>
      <c r="Y98" s="2020"/>
      <c r="Z98" s="2020"/>
      <c r="AA98" s="2020"/>
      <c r="AB98" s="2020"/>
      <c r="AC98" s="2020"/>
    </row>
    <row r="99" spans="1:29" ht="15.75" thickBot="1">
      <c r="A99" s="793"/>
      <c r="B99" s="599"/>
      <c r="C99" s="600"/>
      <c r="D99" s="600"/>
      <c r="E99" s="600"/>
      <c r="F99" s="600"/>
      <c r="G99" s="626"/>
      <c r="H99" s="626"/>
      <c r="I99" s="626"/>
      <c r="J99" s="626"/>
      <c r="K99" s="626"/>
      <c r="L99" s="626"/>
      <c r="M99" s="627"/>
      <c r="N99" s="2041"/>
      <c r="O99" s="2041"/>
      <c r="P99" s="2040"/>
      <c r="Q99" s="2033"/>
      <c r="R99" s="2020"/>
      <c r="S99" s="2020"/>
      <c r="T99" s="2020"/>
      <c r="U99" s="2020"/>
      <c r="V99" s="2020"/>
      <c r="W99" s="2020"/>
      <c r="X99" s="2020"/>
      <c r="Y99" s="2020"/>
      <c r="Z99" s="2020"/>
      <c r="AA99" s="2020"/>
      <c r="AB99" s="2020"/>
      <c r="AC99" s="2020"/>
    </row>
    <row r="100" spans="1:29">
      <c r="A100" s="564" t="s">
        <v>491</v>
      </c>
      <c r="B100" s="565" t="s">
        <v>711</v>
      </c>
      <c r="C100" s="498"/>
      <c r="D100" s="498"/>
      <c r="E100" s="498"/>
      <c r="F100" s="498"/>
      <c r="G100" s="498"/>
      <c r="H100" s="498"/>
      <c r="I100" s="498"/>
      <c r="J100" s="498"/>
      <c r="K100" s="566"/>
      <c r="L100" s="567"/>
      <c r="M100" s="568"/>
      <c r="N100" s="2039"/>
      <c r="O100" s="2039"/>
      <c r="P100" s="2040"/>
      <c r="Q100" s="2033"/>
      <c r="R100" s="2020"/>
      <c r="S100" s="2020"/>
      <c r="T100" s="2020"/>
      <c r="U100" s="2020"/>
      <c r="V100" s="2020"/>
      <c r="W100" s="2020"/>
      <c r="X100" s="2020"/>
      <c r="Y100" s="2020"/>
      <c r="Z100" s="2020"/>
      <c r="AA100" s="2020"/>
      <c r="AB100" s="2020"/>
      <c r="AC100" s="2020"/>
    </row>
    <row r="101" spans="1:29" ht="15.75" thickBot="1">
      <c r="A101" s="569"/>
      <c r="B101" s="578"/>
      <c r="C101" s="579">
        <v>100</v>
      </c>
      <c r="D101" s="579">
        <f t="shared" ref="D101:M101" si="18">C101-$K32</f>
        <v>100</v>
      </c>
      <c r="E101" s="579">
        <f t="shared" si="18"/>
        <v>100</v>
      </c>
      <c r="F101" s="579">
        <f t="shared" si="18"/>
        <v>100</v>
      </c>
      <c r="G101" s="579">
        <f t="shared" si="18"/>
        <v>100</v>
      </c>
      <c r="H101" s="579">
        <f t="shared" si="18"/>
        <v>100</v>
      </c>
      <c r="I101" s="579">
        <f t="shared" si="18"/>
        <v>100</v>
      </c>
      <c r="J101" s="579">
        <f t="shared" si="18"/>
        <v>100</v>
      </c>
      <c r="K101" s="579">
        <f t="shared" si="18"/>
        <v>100</v>
      </c>
      <c r="L101" s="579">
        <f t="shared" si="18"/>
        <v>100</v>
      </c>
      <c r="M101" s="580">
        <f t="shared" si="18"/>
        <v>100</v>
      </c>
      <c r="N101" s="2041"/>
      <c r="O101" s="2041"/>
      <c r="P101" s="2040"/>
      <c r="Q101" s="2033"/>
      <c r="R101" s="2020"/>
      <c r="S101" s="2020"/>
      <c r="T101" s="2020"/>
      <c r="U101" s="2020"/>
      <c r="V101" s="2020"/>
      <c r="W101" s="2020"/>
      <c r="X101" s="2020"/>
      <c r="Y101" s="2020"/>
      <c r="Z101" s="2020"/>
      <c r="AA101" s="2020"/>
      <c r="AB101" s="2020"/>
      <c r="AC101" s="2020"/>
    </row>
    <row r="102" spans="1:29" ht="15.75" thickTop="1">
      <c r="A102" s="569"/>
      <c r="B102" s="573" t="s">
        <v>687</v>
      </c>
      <c r="C102" s="608" t="str">
        <f>C103&amp;"(含)"&amp;"-"&amp;D103</f>
        <v>(含)-</v>
      </c>
      <c r="D102" s="608" t="str">
        <f t="shared" ref="D102:L102" si="19">D103&amp;"(含)"&amp;"-"&amp;E103</f>
        <v>(含)-</v>
      </c>
      <c r="E102" s="608" t="str">
        <f t="shared" si="19"/>
        <v>(含)-</v>
      </c>
      <c r="F102" s="608" t="str">
        <f t="shared" si="19"/>
        <v>(含)-</v>
      </c>
      <c r="G102" s="608" t="str">
        <f t="shared" si="19"/>
        <v>(含)-</v>
      </c>
      <c r="H102" s="608" t="str">
        <f t="shared" si="19"/>
        <v>(含)-</v>
      </c>
      <c r="I102" s="608" t="str">
        <f t="shared" si="19"/>
        <v>(含)-</v>
      </c>
      <c r="J102" s="608" t="str">
        <f t="shared" si="19"/>
        <v>(含)-</v>
      </c>
      <c r="K102" s="608" t="str">
        <f t="shared" si="19"/>
        <v>(含)-</v>
      </c>
      <c r="L102" s="608" t="str">
        <f t="shared" si="19"/>
        <v>(含)-</v>
      </c>
      <c r="M102" s="611" t="str">
        <f>M103&amp;"(含)"&amp;"-"&amp;P103</f>
        <v>(含)-</v>
      </c>
      <c r="N102" s="2037"/>
      <c r="O102" s="2037"/>
      <c r="P102" s="2040"/>
      <c r="Q102" s="2033"/>
      <c r="R102" s="2020"/>
      <c r="S102" s="2020"/>
      <c r="T102" s="2020"/>
      <c r="U102" s="2020"/>
      <c r="V102" s="2020"/>
      <c r="W102" s="2020"/>
      <c r="X102" s="2020"/>
      <c r="Y102" s="2020"/>
      <c r="Z102" s="2020"/>
      <c r="AA102" s="2020"/>
      <c r="AB102" s="2020"/>
      <c r="AC102" s="2020"/>
    </row>
    <row r="103" spans="1:29" s="1227" customFormat="1">
      <c r="A103" s="628"/>
      <c r="B103" s="629"/>
      <c r="C103" s="630"/>
      <c r="D103" s="630"/>
      <c r="E103" s="630"/>
      <c r="F103" s="630"/>
      <c r="G103" s="630"/>
      <c r="H103" s="630"/>
      <c r="I103" s="630"/>
      <c r="J103" s="631"/>
      <c r="K103" s="631"/>
      <c r="L103" s="632"/>
      <c r="M103" s="633"/>
      <c r="N103" s="2042"/>
      <c r="O103" s="2042"/>
      <c r="P103" s="2043"/>
      <c r="Q103" s="2044"/>
      <c r="R103" s="2045"/>
      <c r="S103" s="2045"/>
      <c r="T103" s="2045"/>
      <c r="U103" s="2045"/>
      <c r="V103" s="2045"/>
      <c r="W103" s="2045"/>
      <c r="X103" s="2045"/>
      <c r="Y103" s="2045"/>
      <c r="Z103" s="2045"/>
      <c r="AA103" s="2045"/>
      <c r="AB103" s="2045"/>
      <c r="AC103" s="2045"/>
    </row>
    <row r="104" spans="1:29" s="1227" customFormat="1" ht="15.75" thickBot="1">
      <c r="A104" s="587"/>
      <c r="B104" s="578"/>
      <c r="C104" s="592"/>
      <c r="D104" s="571"/>
      <c r="E104" s="571"/>
      <c r="F104" s="571"/>
      <c r="G104" s="571"/>
      <c r="H104" s="571"/>
      <c r="I104" s="571"/>
      <c r="J104" s="571"/>
      <c r="K104" s="571"/>
      <c r="L104" s="571"/>
      <c r="M104" s="572"/>
      <c r="N104" s="2041"/>
      <c r="O104" s="2041"/>
      <c r="P104" s="2043"/>
      <c r="Q104" s="2044"/>
      <c r="R104" s="2045"/>
      <c r="S104" s="2045"/>
      <c r="T104" s="2045"/>
      <c r="U104" s="2045"/>
      <c r="V104" s="2045"/>
      <c r="W104" s="2045"/>
      <c r="X104" s="2045"/>
      <c r="Y104" s="2045"/>
      <c r="Z104" s="2045"/>
      <c r="AA104" s="2045"/>
      <c r="AB104" s="2045"/>
      <c r="AC104" s="2045"/>
    </row>
    <row r="105" spans="1:29" ht="15" thickTop="1">
      <c r="A105" s="635"/>
      <c r="B105" s="573" t="s">
        <v>688</v>
      </c>
      <c r="C105" s="588"/>
      <c r="D105" s="588"/>
      <c r="E105" s="618"/>
      <c r="F105" s="618"/>
      <c r="G105" s="618"/>
      <c r="H105" s="618"/>
      <c r="I105" s="618"/>
      <c r="J105" s="618"/>
      <c r="K105" s="619"/>
      <c r="L105" s="620"/>
      <c r="M105" s="621"/>
      <c r="N105" s="2039"/>
      <c r="O105" s="2039"/>
      <c r="P105" s="2040"/>
      <c r="Q105" s="2033"/>
      <c r="R105" s="2020"/>
      <c r="S105" s="2020"/>
      <c r="T105" s="2020"/>
      <c r="U105" s="2020"/>
      <c r="V105" s="2020"/>
      <c r="W105" s="2020"/>
      <c r="X105" s="2020"/>
      <c r="Y105" s="2020"/>
      <c r="Z105" s="2020"/>
      <c r="AA105" s="2020"/>
      <c r="AB105" s="2020"/>
      <c r="AC105" s="2020"/>
    </row>
    <row r="106" spans="1:29" ht="15.75" thickBot="1">
      <c r="A106" s="569"/>
      <c r="B106" s="578"/>
      <c r="C106" s="579">
        <v>100</v>
      </c>
      <c r="D106" s="579">
        <f t="shared" ref="D106:M106" si="20">C106-$K34</f>
        <v>100</v>
      </c>
      <c r="E106" s="579">
        <f t="shared" si="20"/>
        <v>100</v>
      </c>
      <c r="F106" s="579">
        <f t="shared" si="20"/>
        <v>100</v>
      </c>
      <c r="G106" s="579">
        <f t="shared" si="20"/>
        <v>100</v>
      </c>
      <c r="H106" s="579">
        <f t="shared" si="20"/>
        <v>100</v>
      </c>
      <c r="I106" s="579">
        <f t="shared" si="20"/>
        <v>100</v>
      </c>
      <c r="J106" s="579">
        <f t="shared" si="20"/>
        <v>100</v>
      </c>
      <c r="K106" s="579">
        <f t="shared" si="20"/>
        <v>100</v>
      </c>
      <c r="L106" s="579">
        <f t="shared" si="20"/>
        <v>100</v>
      </c>
      <c r="M106" s="580">
        <f t="shared" si="20"/>
        <v>100</v>
      </c>
      <c r="N106" s="2041"/>
      <c r="O106" s="2041"/>
      <c r="P106" s="2040"/>
      <c r="Q106" s="2033"/>
      <c r="R106" s="2020"/>
      <c r="S106" s="2020"/>
      <c r="T106" s="2020"/>
      <c r="U106" s="2020"/>
      <c r="V106" s="2020"/>
      <c r="W106" s="2020"/>
      <c r="X106" s="2020"/>
      <c r="Y106" s="2020"/>
      <c r="Z106" s="2020"/>
      <c r="AA106" s="2020"/>
      <c r="AB106" s="2020"/>
      <c r="AC106" s="2020"/>
    </row>
    <row r="107" spans="1:29" ht="15" thickTop="1">
      <c r="A107" s="635"/>
      <c r="B107" s="573" t="s">
        <v>690</v>
      </c>
      <c r="C107" s="588"/>
      <c r="D107" s="588"/>
      <c r="E107" s="588"/>
      <c r="F107" s="618"/>
      <c r="G107" s="618"/>
      <c r="H107" s="618"/>
      <c r="I107" s="618"/>
      <c r="J107" s="618"/>
      <c r="K107" s="619"/>
      <c r="L107" s="620"/>
      <c r="M107" s="621"/>
      <c r="N107" s="2039"/>
      <c r="O107" s="2039"/>
      <c r="P107" s="2040"/>
      <c r="Q107" s="2033"/>
      <c r="R107" s="2020"/>
      <c r="S107" s="2020"/>
      <c r="T107" s="2020"/>
      <c r="U107" s="2020"/>
      <c r="V107" s="2020"/>
      <c r="W107" s="2020"/>
      <c r="X107" s="2020"/>
      <c r="Y107" s="2020"/>
      <c r="Z107" s="2020"/>
      <c r="AA107" s="2020"/>
      <c r="AB107" s="2020"/>
      <c r="AC107" s="2020"/>
    </row>
    <row r="108" spans="1:29" ht="15.75" thickBot="1">
      <c r="A108" s="569"/>
      <c r="B108" s="578"/>
      <c r="C108" s="579">
        <v>100</v>
      </c>
      <c r="D108" s="579">
        <f t="shared" ref="D108:M108" si="21">C108-$K35</f>
        <v>100</v>
      </c>
      <c r="E108" s="579">
        <f t="shared" si="21"/>
        <v>100</v>
      </c>
      <c r="F108" s="579">
        <f t="shared" si="21"/>
        <v>100</v>
      </c>
      <c r="G108" s="579">
        <f t="shared" si="21"/>
        <v>100</v>
      </c>
      <c r="H108" s="579">
        <f t="shared" si="21"/>
        <v>100</v>
      </c>
      <c r="I108" s="579">
        <f t="shared" si="21"/>
        <v>100</v>
      </c>
      <c r="J108" s="579">
        <f t="shared" si="21"/>
        <v>100</v>
      </c>
      <c r="K108" s="579">
        <f t="shared" si="21"/>
        <v>100</v>
      </c>
      <c r="L108" s="579">
        <f t="shared" si="21"/>
        <v>100</v>
      </c>
      <c r="M108" s="580">
        <f t="shared" si="21"/>
        <v>100</v>
      </c>
      <c r="N108" s="2041"/>
      <c r="O108" s="2041"/>
      <c r="P108" s="2040"/>
      <c r="Q108" s="2033"/>
      <c r="R108" s="2020"/>
      <c r="S108" s="2020"/>
      <c r="T108" s="2020"/>
      <c r="U108" s="2020"/>
      <c r="V108" s="2020"/>
      <c r="W108" s="2020"/>
      <c r="X108" s="2020"/>
      <c r="Y108" s="2020"/>
      <c r="Z108" s="2020"/>
      <c r="AA108" s="2020"/>
      <c r="AB108" s="2020"/>
      <c r="AC108" s="2020"/>
    </row>
    <row r="109" spans="1:29" ht="15" thickTop="1">
      <c r="A109" s="635"/>
      <c r="B109" s="573" t="s">
        <v>691</v>
      </c>
      <c r="C109" s="608" t="str">
        <f>C110&amp;"(含)"&amp;"-"&amp;D110</f>
        <v>0.5(含)-0.6</v>
      </c>
      <c r="D109" s="608" t="str">
        <f>D110&amp;"(含)"&amp;"-"&amp;E110</f>
        <v>0.6(含)-0.7</v>
      </c>
      <c r="E109" s="608" t="str">
        <f>E110&amp;"(含)"&amp;"-"&amp;F110</f>
        <v>0.7(含)-0.8</v>
      </c>
      <c r="F109" s="608" t="str">
        <f>F110&amp;"(含)"&amp;"-"&amp;G110</f>
        <v>0.8(含)-0.9</v>
      </c>
      <c r="G109" s="608" t="str">
        <f>G110&amp;"(含)"&amp;"-"&amp;ROUND(H110,0)</f>
        <v>0.9(含)-1</v>
      </c>
      <c r="H109" s="608"/>
      <c r="I109" s="618"/>
      <c r="J109" s="618"/>
      <c r="K109" s="619"/>
      <c r="L109" s="620"/>
      <c r="M109" s="621"/>
      <c r="N109" s="2039"/>
      <c r="O109" s="2039"/>
      <c r="P109" s="2040"/>
      <c r="Q109" s="2033"/>
      <c r="R109" s="2020"/>
      <c r="S109" s="2020"/>
      <c r="T109" s="2020"/>
      <c r="U109" s="2020"/>
      <c r="V109" s="2020"/>
      <c r="W109" s="2020"/>
      <c r="X109" s="2020"/>
      <c r="Y109" s="2020"/>
      <c r="Z109" s="2020"/>
      <c r="AA109" s="2020"/>
      <c r="AB109" s="2020"/>
      <c r="AC109" s="2020"/>
    </row>
    <row r="110" spans="1:29">
      <c r="A110" s="635"/>
      <c r="B110" s="581"/>
      <c r="C110" s="794">
        <v>0.5</v>
      </c>
      <c r="D110" s="794">
        <v>0.6</v>
      </c>
      <c r="E110" s="794">
        <v>0.7</v>
      </c>
      <c r="F110" s="794">
        <v>0.8</v>
      </c>
      <c r="G110" s="794">
        <v>0.9</v>
      </c>
      <c r="H110" s="794">
        <v>1.0001</v>
      </c>
      <c r="I110" s="805"/>
      <c r="J110" s="805"/>
      <c r="K110" s="806"/>
      <c r="L110" s="807"/>
      <c r="M110" s="808"/>
      <c r="N110" s="2039"/>
      <c r="O110" s="2039"/>
      <c r="P110" s="2040"/>
      <c r="Q110" s="2033"/>
      <c r="R110" s="2020"/>
      <c r="S110" s="2020"/>
      <c r="T110" s="2020"/>
      <c r="U110" s="2020"/>
      <c r="V110" s="2020"/>
      <c r="W110" s="2020"/>
      <c r="X110" s="2020"/>
      <c r="Y110" s="2020"/>
      <c r="Z110" s="2020"/>
      <c r="AA110" s="2020"/>
      <c r="AB110" s="2020"/>
      <c r="AC110" s="2020"/>
    </row>
    <row r="111" spans="1:29" ht="15.75" thickBot="1">
      <c r="A111" s="569"/>
      <c r="B111" s="578"/>
      <c r="C111" s="612">
        <v>100</v>
      </c>
      <c r="D111" s="579">
        <f>C111+$K36</f>
        <v>100</v>
      </c>
      <c r="E111" s="579">
        <f t="shared" ref="E111:M111" si="22">D111+$K36</f>
        <v>100</v>
      </c>
      <c r="F111" s="579">
        <f t="shared" si="22"/>
        <v>100</v>
      </c>
      <c r="G111" s="579">
        <f t="shared" si="22"/>
        <v>100</v>
      </c>
      <c r="H111" s="579">
        <f t="shared" si="22"/>
        <v>100</v>
      </c>
      <c r="I111" s="579">
        <f t="shared" si="22"/>
        <v>100</v>
      </c>
      <c r="J111" s="579">
        <f t="shared" si="22"/>
        <v>100</v>
      </c>
      <c r="K111" s="579">
        <f t="shared" si="22"/>
        <v>100</v>
      </c>
      <c r="L111" s="579">
        <f t="shared" si="22"/>
        <v>100</v>
      </c>
      <c r="M111" s="579">
        <f t="shared" si="22"/>
        <v>100</v>
      </c>
      <c r="N111" s="2041"/>
      <c r="O111" s="2041"/>
      <c r="P111" s="2040"/>
      <c r="Q111" s="2033"/>
      <c r="R111" s="2020"/>
      <c r="S111" s="2020"/>
      <c r="T111" s="2020"/>
      <c r="U111" s="2020"/>
      <c r="V111" s="2020"/>
      <c r="W111" s="2020"/>
      <c r="X111" s="2020"/>
      <c r="Y111" s="2020"/>
      <c r="Z111" s="2020"/>
      <c r="AA111" s="2020"/>
      <c r="AB111" s="2020"/>
      <c r="AC111" s="2020"/>
    </row>
    <row r="112" spans="1:29" s="1227" customFormat="1" ht="15" thickTop="1">
      <c r="A112" s="628"/>
      <c r="B112" s="1778" t="s">
        <v>2484</v>
      </c>
      <c r="C112" s="588"/>
      <c r="D112" s="588"/>
      <c r="E112" s="588"/>
      <c r="F112" s="588"/>
      <c r="G112" s="588"/>
      <c r="H112" s="618"/>
      <c r="I112" s="618"/>
      <c r="J112" s="618"/>
      <c r="K112" s="619"/>
      <c r="L112" s="620"/>
      <c r="M112" s="621"/>
      <c r="N112" s="2042"/>
      <c r="O112" s="2042"/>
      <c r="P112" s="2043"/>
      <c r="Q112" s="2044"/>
      <c r="R112" s="2045"/>
      <c r="S112" s="2045"/>
      <c r="T112" s="2045"/>
      <c r="U112" s="2045"/>
      <c r="V112" s="2045"/>
      <c r="W112" s="2045"/>
      <c r="X112" s="2045"/>
      <c r="Y112" s="2045"/>
      <c r="Z112" s="2045"/>
      <c r="AA112" s="2045"/>
      <c r="AB112" s="2045"/>
      <c r="AC112" s="2045"/>
    </row>
    <row r="113" spans="1:29" s="1227" customFormat="1" ht="15.75" thickBot="1">
      <c r="A113" s="587"/>
      <c r="B113" s="578"/>
      <c r="C113" s="579">
        <v>100</v>
      </c>
      <c r="D113" s="579">
        <f>C113-$K37</f>
        <v>100</v>
      </c>
      <c r="E113" s="579">
        <f t="shared" ref="E113:M113" si="23">D113-$K37</f>
        <v>100</v>
      </c>
      <c r="F113" s="579">
        <f t="shared" si="23"/>
        <v>100</v>
      </c>
      <c r="G113" s="579">
        <f t="shared" si="23"/>
        <v>100</v>
      </c>
      <c r="H113" s="579">
        <f t="shared" si="23"/>
        <v>100</v>
      </c>
      <c r="I113" s="579">
        <f t="shared" si="23"/>
        <v>100</v>
      </c>
      <c r="J113" s="579">
        <f t="shared" si="23"/>
        <v>100</v>
      </c>
      <c r="K113" s="579">
        <f t="shared" si="23"/>
        <v>100</v>
      </c>
      <c r="L113" s="579">
        <f t="shared" si="23"/>
        <v>100</v>
      </c>
      <c r="M113" s="579">
        <f t="shared" si="23"/>
        <v>100</v>
      </c>
      <c r="N113" s="2042"/>
      <c r="O113" s="2042"/>
      <c r="P113" s="2043"/>
      <c r="Q113" s="2044"/>
      <c r="R113" s="2045"/>
      <c r="S113" s="2045"/>
      <c r="T113" s="2045"/>
      <c r="U113" s="2045"/>
      <c r="V113" s="2045"/>
      <c r="W113" s="2045"/>
      <c r="X113" s="2045"/>
      <c r="Y113" s="2045"/>
      <c r="Z113" s="2045"/>
      <c r="AA113" s="2045"/>
      <c r="AB113" s="2045"/>
      <c r="AC113" s="2045"/>
    </row>
    <row r="114" spans="1:29" ht="15" thickTop="1">
      <c r="A114" s="635"/>
      <c r="B114" s="573" t="s">
        <v>712</v>
      </c>
      <c r="C114" s="588"/>
      <c r="D114" s="588"/>
      <c r="E114" s="618"/>
      <c r="F114" s="618"/>
      <c r="G114" s="618"/>
      <c r="H114" s="618"/>
      <c r="I114" s="618"/>
      <c r="J114" s="618"/>
      <c r="K114" s="619"/>
      <c r="L114" s="620"/>
      <c r="M114" s="621"/>
      <c r="N114" s="2039"/>
      <c r="O114" s="2039"/>
      <c r="P114" s="2040"/>
      <c r="Q114" s="2033"/>
      <c r="R114" s="2020"/>
      <c r="S114" s="2020"/>
      <c r="T114" s="2020"/>
      <c r="U114" s="2020"/>
      <c r="V114" s="2020"/>
      <c r="W114" s="2020"/>
      <c r="X114" s="2020"/>
      <c r="Y114" s="2020"/>
      <c r="Z114" s="2020"/>
      <c r="AA114" s="2020"/>
      <c r="AB114" s="2020"/>
      <c r="AC114" s="2020"/>
    </row>
    <row r="115" spans="1:29" ht="15.75" thickBot="1">
      <c r="A115" s="569"/>
      <c r="B115" s="578"/>
      <c r="C115" s="579">
        <v>100</v>
      </c>
      <c r="D115" s="579">
        <f t="shared" ref="D115:M115" si="24">C115-$K38</f>
        <v>100</v>
      </c>
      <c r="E115" s="579">
        <f t="shared" si="24"/>
        <v>100</v>
      </c>
      <c r="F115" s="579">
        <f t="shared" si="24"/>
        <v>100</v>
      </c>
      <c r="G115" s="579">
        <f t="shared" si="24"/>
        <v>100</v>
      </c>
      <c r="H115" s="579">
        <f t="shared" si="24"/>
        <v>100</v>
      </c>
      <c r="I115" s="579">
        <f t="shared" si="24"/>
        <v>100</v>
      </c>
      <c r="J115" s="579">
        <f t="shared" si="24"/>
        <v>100</v>
      </c>
      <c r="K115" s="579">
        <f t="shared" si="24"/>
        <v>100</v>
      </c>
      <c r="L115" s="579">
        <f t="shared" si="24"/>
        <v>100</v>
      </c>
      <c r="M115" s="580">
        <f t="shared" si="24"/>
        <v>100</v>
      </c>
      <c r="N115" s="2041"/>
      <c r="O115" s="2041"/>
      <c r="P115" s="2040"/>
      <c r="Q115" s="2033"/>
      <c r="R115" s="2020"/>
      <c r="S115" s="2020"/>
      <c r="T115" s="2020"/>
      <c r="U115" s="2020"/>
      <c r="V115" s="2020"/>
      <c r="W115" s="2020"/>
      <c r="X115" s="2020"/>
      <c r="Y115" s="2020"/>
      <c r="Z115" s="2020"/>
      <c r="AA115" s="2020"/>
      <c r="AB115" s="2020"/>
      <c r="AC115" s="2020"/>
    </row>
    <row r="116" spans="1:29" ht="15" thickTop="1">
      <c r="A116" s="635"/>
      <c r="B116" s="573" t="s">
        <v>713</v>
      </c>
      <c r="C116" s="588"/>
      <c r="D116" s="588"/>
      <c r="E116" s="588"/>
      <c r="F116" s="588"/>
      <c r="G116" s="588"/>
      <c r="H116" s="618"/>
      <c r="I116" s="618"/>
      <c r="J116" s="618"/>
      <c r="K116" s="619"/>
      <c r="L116" s="620"/>
      <c r="M116" s="621"/>
      <c r="N116" s="2039"/>
      <c r="O116" s="2039"/>
      <c r="P116" s="2040"/>
      <c r="Q116" s="2033"/>
      <c r="R116" s="2020"/>
      <c r="S116" s="2020"/>
      <c r="T116" s="2020"/>
      <c r="U116" s="2020"/>
      <c r="V116" s="2020"/>
      <c r="W116" s="2020"/>
      <c r="X116" s="2020"/>
      <c r="Y116" s="2020"/>
      <c r="Z116" s="2020"/>
      <c r="AA116" s="2020"/>
      <c r="AB116" s="2020"/>
      <c r="AC116" s="2020"/>
    </row>
    <row r="117" spans="1:29" ht="15.75" thickBot="1">
      <c r="A117" s="569"/>
      <c r="B117" s="578"/>
      <c r="C117" s="579">
        <v>100</v>
      </c>
      <c r="D117" s="579">
        <f>C117-$K39</f>
        <v>100</v>
      </c>
      <c r="E117" s="579">
        <f>D117-$K39</f>
        <v>100</v>
      </c>
      <c r="F117" s="579">
        <f>E117-$K39</f>
        <v>100</v>
      </c>
      <c r="G117" s="579">
        <f>F117-$K39</f>
        <v>100</v>
      </c>
      <c r="H117" s="579"/>
      <c r="I117" s="579"/>
      <c r="J117" s="579"/>
      <c r="K117" s="579"/>
      <c r="L117" s="579"/>
      <c r="M117" s="580"/>
      <c r="N117" s="2041"/>
      <c r="O117" s="2041"/>
      <c r="P117" s="2040"/>
      <c r="Q117" s="2033"/>
      <c r="R117" s="2020"/>
      <c r="S117" s="2020"/>
      <c r="T117" s="2020"/>
      <c r="U117" s="2020"/>
      <c r="V117" s="2020"/>
      <c r="W117" s="2020"/>
      <c r="X117" s="2020"/>
      <c r="Y117" s="2020"/>
      <c r="Z117" s="2020"/>
      <c r="AA117" s="2020"/>
      <c r="AB117" s="2020"/>
      <c r="AC117" s="2020"/>
    </row>
    <row r="118" spans="1:29" ht="15" thickTop="1">
      <c r="A118" s="635"/>
      <c r="B118" s="573" t="s">
        <v>714</v>
      </c>
      <c r="C118" s="809"/>
      <c r="D118" s="809"/>
      <c r="E118" s="809"/>
      <c r="F118" s="809"/>
      <c r="G118" s="809"/>
      <c r="H118" s="589"/>
      <c r="I118" s="589"/>
      <c r="J118" s="589"/>
      <c r="K118" s="589"/>
      <c r="L118" s="590"/>
      <c r="M118" s="591"/>
      <c r="N118" s="2039"/>
      <c r="O118" s="2039"/>
      <c r="P118" s="2040"/>
      <c r="Q118" s="2033"/>
      <c r="R118" s="2020"/>
      <c r="S118" s="2020"/>
      <c r="T118" s="2020"/>
      <c r="U118" s="2020"/>
      <c r="V118" s="2020"/>
      <c r="W118" s="2020"/>
      <c r="X118" s="2020"/>
      <c r="Y118" s="2020"/>
      <c r="Z118" s="2020"/>
      <c r="AA118" s="2020"/>
      <c r="AB118" s="2020"/>
      <c r="AC118" s="2020"/>
    </row>
    <row r="119" spans="1:29" ht="15.75" thickBot="1">
      <c r="A119" s="569"/>
      <c r="B119" s="578"/>
      <c r="C119" s="592"/>
      <c r="D119" s="571"/>
      <c r="E119" s="571"/>
      <c r="F119" s="571"/>
      <c r="G119" s="571"/>
      <c r="H119" s="571"/>
      <c r="I119" s="571"/>
      <c r="J119" s="571"/>
      <c r="K119" s="571"/>
      <c r="L119" s="571"/>
      <c r="M119" s="572"/>
      <c r="N119" s="2041"/>
      <c r="O119" s="2041"/>
      <c r="P119" s="2040"/>
      <c r="Q119" s="2033"/>
      <c r="R119" s="2020"/>
      <c r="S119" s="2020"/>
      <c r="T119" s="2020"/>
      <c r="U119" s="2020"/>
      <c r="V119" s="2020"/>
      <c r="W119" s="2020"/>
      <c r="X119" s="2020"/>
      <c r="Y119" s="2020"/>
      <c r="Z119" s="2020"/>
      <c r="AA119" s="2020"/>
      <c r="AB119" s="2020"/>
      <c r="AC119" s="2020"/>
    </row>
    <row r="120" spans="1:29" s="1227" customFormat="1" ht="15" thickTop="1">
      <c r="A120" s="628"/>
      <c r="B120" s="573" t="s">
        <v>715</v>
      </c>
      <c r="C120" s="618"/>
      <c r="D120" s="618"/>
      <c r="E120" s="618"/>
      <c r="F120" s="618"/>
      <c r="G120" s="589"/>
      <c r="H120" s="589"/>
      <c r="I120" s="589"/>
      <c r="J120" s="589"/>
      <c r="K120" s="589"/>
      <c r="L120" s="590"/>
      <c r="M120" s="591"/>
      <c r="N120" s="2042"/>
      <c r="O120" s="2042"/>
      <c r="P120" s="2043"/>
      <c r="Q120" s="2044"/>
      <c r="R120" s="2045"/>
      <c r="S120" s="2045"/>
      <c r="T120" s="2045"/>
      <c r="U120" s="2045"/>
      <c r="V120" s="2045"/>
      <c r="W120" s="2045"/>
      <c r="X120" s="2045"/>
      <c r="Y120" s="2045"/>
      <c r="Z120" s="2045"/>
      <c r="AA120" s="2045"/>
      <c r="AB120" s="2045"/>
      <c r="AC120" s="2045"/>
    </row>
    <row r="121" spans="1:29" s="1227" customFormat="1" ht="15.75" thickBot="1">
      <c r="A121" s="587"/>
      <c r="B121" s="570"/>
      <c r="C121" s="612">
        <v>100</v>
      </c>
      <c r="D121" s="579">
        <f>C121-$K41</f>
        <v>100</v>
      </c>
      <c r="E121" s="579">
        <f t="shared" ref="E121:M121" si="25">D121-$K41</f>
        <v>100</v>
      </c>
      <c r="F121" s="579">
        <f t="shared" si="25"/>
        <v>100</v>
      </c>
      <c r="G121" s="579">
        <f t="shared" si="25"/>
        <v>100</v>
      </c>
      <c r="H121" s="579">
        <f t="shared" si="25"/>
        <v>100</v>
      </c>
      <c r="I121" s="579">
        <f t="shared" si="25"/>
        <v>100</v>
      </c>
      <c r="J121" s="579">
        <f t="shared" si="25"/>
        <v>100</v>
      </c>
      <c r="K121" s="579">
        <f t="shared" si="25"/>
        <v>100</v>
      </c>
      <c r="L121" s="579">
        <f t="shared" si="25"/>
        <v>100</v>
      </c>
      <c r="M121" s="580">
        <f t="shared" si="25"/>
        <v>100</v>
      </c>
      <c r="N121" s="2042"/>
      <c r="O121" s="2042"/>
      <c r="P121" s="2043"/>
      <c r="Q121" s="2044"/>
      <c r="R121" s="2045"/>
      <c r="S121" s="2045"/>
      <c r="T121" s="2045"/>
      <c r="U121" s="2045"/>
      <c r="V121" s="2045"/>
      <c r="W121" s="2045"/>
      <c r="X121" s="2045"/>
      <c r="Y121" s="2045"/>
      <c r="Z121" s="2045"/>
      <c r="AA121" s="2045"/>
      <c r="AB121" s="2045"/>
      <c r="AC121" s="2045"/>
    </row>
    <row r="122" spans="1:29" ht="15" thickTop="1">
      <c r="A122" s="635"/>
      <c r="B122" s="573" t="s">
        <v>694</v>
      </c>
      <c r="C122" s="588"/>
      <c r="D122" s="588"/>
      <c r="E122" s="588"/>
      <c r="F122" s="618"/>
      <c r="G122" s="618"/>
      <c r="H122" s="618"/>
      <c r="I122" s="618"/>
      <c r="J122" s="618"/>
      <c r="K122" s="619"/>
      <c r="L122" s="620"/>
      <c r="M122" s="621"/>
      <c r="N122" s="2039"/>
      <c r="O122" s="2039"/>
      <c r="P122" s="2040"/>
      <c r="Q122" s="2033"/>
      <c r="R122" s="2020"/>
      <c r="S122" s="2020"/>
      <c r="T122" s="2020"/>
      <c r="U122" s="2020"/>
      <c r="V122" s="2020"/>
      <c r="W122" s="2020"/>
      <c r="X122" s="2020"/>
      <c r="Y122" s="2020"/>
      <c r="Z122" s="2020"/>
      <c r="AA122" s="2020"/>
      <c r="AB122" s="2020"/>
      <c r="AC122" s="2020"/>
    </row>
    <row r="123" spans="1:29" ht="15.75" thickBot="1">
      <c r="A123" s="569"/>
      <c r="B123" s="578"/>
      <c r="C123" s="579">
        <v>100</v>
      </c>
      <c r="D123" s="579">
        <f t="shared" ref="D123:M123" si="26">C123-$K42</f>
        <v>100</v>
      </c>
      <c r="E123" s="579">
        <f t="shared" si="26"/>
        <v>100</v>
      </c>
      <c r="F123" s="579">
        <f t="shared" si="26"/>
        <v>100</v>
      </c>
      <c r="G123" s="579">
        <f t="shared" si="26"/>
        <v>100</v>
      </c>
      <c r="H123" s="579">
        <f t="shared" si="26"/>
        <v>100</v>
      </c>
      <c r="I123" s="579">
        <f t="shared" si="26"/>
        <v>100</v>
      </c>
      <c r="J123" s="579">
        <f t="shared" si="26"/>
        <v>100</v>
      </c>
      <c r="K123" s="579">
        <f t="shared" si="26"/>
        <v>100</v>
      </c>
      <c r="L123" s="579">
        <f t="shared" si="26"/>
        <v>100</v>
      </c>
      <c r="M123" s="580">
        <f t="shared" si="26"/>
        <v>100</v>
      </c>
      <c r="N123" s="2041"/>
      <c r="O123" s="2041"/>
      <c r="P123" s="2040"/>
      <c r="Q123" s="2033"/>
      <c r="R123" s="2020"/>
      <c r="S123" s="2020"/>
      <c r="T123" s="2020"/>
      <c r="U123" s="2020"/>
      <c r="V123" s="2020"/>
      <c r="W123" s="2020"/>
      <c r="X123" s="2020"/>
      <c r="Y123" s="2020"/>
      <c r="Z123" s="2020"/>
      <c r="AA123" s="2020"/>
      <c r="AB123" s="2020"/>
      <c r="AC123" s="2020"/>
    </row>
    <row r="124" spans="1:29" ht="27.75" thickTop="1">
      <c r="A124" s="635"/>
      <c r="B124" s="573" t="s">
        <v>695</v>
      </c>
      <c r="C124" s="608" t="s">
        <v>519</v>
      </c>
      <c r="D124" s="608" t="s">
        <v>520</v>
      </c>
      <c r="E124" s="608" t="s">
        <v>521</v>
      </c>
      <c r="F124" s="608" t="s">
        <v>522</v>
      </c>
      <c r="G124" s="608" t="s">
        <v>523</v>
      </c>
      <c r="H124" s="574"/>
      <c r="I124" s="574"/>
      <c r="J124" s="574"/>
      <c r="K124" s="575"/>
      <c r="L124" s="576"/>
      <c r="M124" s="577"/>
      <c r="N124" s="2039"/>
      <c r="O124" s="2039"/>
      <c r="P124" s="2043"/>
      <c r="Q124" s="2033"/>
      <c r="R124" s="2020"/>
      <c r="S124" s="2020"/>
      <c r="T124" s="2020"/>
      <c r="U124" s="2020"/>
      <c r="V124" s="2020"/>
      <c r="W124" s="2020"/>
      <c r="X124" s="2020"/>
      <c r="Y124" s="2020"/>
      <c r="Z124" s="2020"/>
      <c r="AA124" s="2020"/>
      <c r="AB124" s="2020"/>
      <c r="AC124" s="2020"/>
    </row>
    <row r="125" spans="1:29" ht="15.75" thickBot="1">
      <c r="A125" s="569"/>
      <c r="B125" s="578"/>
      <c r="C125" s="579">
        <v>100</v>
      </c>
      <c r="D125" s="579">
        <f>C125-$K43</f>
        <v>100</v>
      </c>
      <c r="E125" s="579">
        <f>D125-$K43</f>
        <v>100</v>
      </c>
      <c r="F125" s="579">
        <f>E125-$K43</f>
        <v>100</v>
      </c>
      <c r="G125" s="579">
        <f>F125-$K43</f>
        <v>100</v>
      </c>
      <c r="H125" s="579"/>
      <c r="I125" s="579"/>
      <c r="J125" s="579"/>
      <c r="K125" s="579"/>
      <c r="L125" s="579"/>
      <c r="M125" s="580"/>
      <c r="N125" s="2041"/>
      <c r="O125" s="2041"/>
      <c r="P125" s="2040"/>
      <c r="Q125" s="2033"/>
      <c r="R125" s="2020"/>
      <c r="S125" s="2020"/>
      <c r="T125" s="2020"/>
      <c r="U125" s="2020"/>
      <c r="V125" s="2020"/>
      <c r="W125" s="2020"/>
      <c r="X125" s="2020"/>
      <c r="Y125" s="2020"/>
      <c r="Z125" s="2020"/>
      <c r="AA125" s="2020"/>
      <c r="AB125" s="2020"/>
      <c r="AC125" s="2020"/>
    </row>
    <row r="126" spans="1:29" s="1227" customFormat="1" ht="15" thickTop="1">
      <c r="A126" s="628"/>
      <c r="B126" s="573">
        <f>B44</f>
        <v>111</v>
      </c>
      <c r="C126" s="588"/>
      <c r="D126" s="588"/>
      <c r="E126" s="588"/>
      <c r="F126" s="588"/>
      <c r="G126" s="588"/>
      <c r="H126" s="589"/>
      <c r="I126" s="589"/>
      <c r="J126" s="589"/>
      <c r="K126" s="589"/>
      <c r="L126" s="590"/>
      <c r="M126" s="591"/>
      <c r="N126" s="2042"/>
      <c r="O126" s="2042"/>
      <c r="P126" s="2043"/>
      <c r="Q126" s="2044"/>
      <c r="R126" s="2045"/>
      <c r="S126" s="2045"/>
      <c r="T126" s="2045"/>
      <c r="U126" s="2045"/>
      <c r="V126" s="2045"/>
      <c r="W126" s="2045"/>
      <c r="X126" s="2045"/>
      <c r="Y126" s="2045"/>
      <c r="Z126" s="2045"/>
      <c r="AA126" s="2045"/>
      <c r="AB126" s="2045"/>
      <c r="AC126" s="2045"/>
    </row>
    <row r="127" spans="1:29" s="1227" customFormat="1" ht="15.75" thickBot="1">
      <c r="A127" s="587"/>
      <c r="B127" s="578"/>
      <c r="C127" s="592"/>
      <c r="D127" s="571"/>
      <c r="E127" s="571"/>
      <c r="F127" s="571"/>
      <c r="G127" s="592"/>
      <c r="H127" s="593"/>
      <c r="I127" s="593"/>
      <c r="J127" s="593"/>
      <c r="K127" s="593"/>
      <c r="L127" s="593"/>
      <c r="M127" s="594"/>
      <c r="N127" s="2042"/>
      <c r="O127" s="2042"/>
      <c r="P127" s="2043"/>
      <c r="Q127" s="2044"/>
      <c r="R127" s="2045"/>
      <c r="S127" s="2045"/>
      <c r="T127" s="2045"/>
      <c r="U127" s="2045"/>
      <c r="V127" s="2045"/>
      <c r="W127" s="2045"/>
      <c r="X127" s="2045"/>
      <c r="Y127" s="2045"/>
      <c r="Z127" s="2045"/>
      <c r="AA127" s="2045"/>
      <c r="AB127" s="2045"/>
      <c r="AC127" s="2045"/>
    </row>
    <row r="128" spans="1:29" ht="15" thickTop="1">
      <c r="A128" s="635"/>
      <c r="B128" s="573">
        <f>B45</f>
        <v>111</v>
      </c>
      <c r="C128" s="588"/>
      <c r="D128" s="588"/>
      <c r="E128" s="588"/>
      <c r="F128" s="588"/>
      <c r="G128" s="618"/>
      <c r="H128" s="618"/>
      <c r="I128" s="618"/>
      <c r="J128" s="618"/>
      <c r="K128" s="619"/>
      <c r="L128" s="620"/>
      <c r="M128" s="621"/>
      <c r="N128" s="2039"/>
      <c r="O128" s="2039"/>
      <c r="P128" s="2040"/>
      <c r="Q128" s="2033"/>
      <c r="R128" s="2020"/>
      <c r="S128" s="2020"/>
      <c r="T128" s="2020"/>
      <c r="U128" s="2020"/>
      <c r="V128" s="2020"/>
      <c r="W128" s="2020"/>
      <c r="X128" s="2020"/>
      <c r="Y128" s="2020"/>
      <c r="Z128" s="2020"/>
      <c r="AA128" s="2020"/>
      <c r="AB128" s="2020"/>
      <c r="AC128" s="2020"/>
    </row>
    <row r="129" spans="1:29" ht="15.75" thickBot="1">
      <c r="A129" s="569"/>
      <c r="B129" s="578"/>
      <c r="C129" s="592"/>
      <c r="D129" s="571"/>
      <c r="E129" s="571"/>
      <c r="F129" s="571"/>
      <c r="G129" s="571"/>
      <c r="H129" s="571"/>
      <c r="I129" s="571"/>
      <c r="J129" s="571"/>
      <c r="K129" s="571"/>
      <c r="L129" s="571"/>
      <c r="M129" s="572"/>
      <c r="N129" s="2041"/>
      <c r="O129" s="2041"/>
      <c r="P129" s="2040"/>
      <c r="Q129" s="2033"/>
      <c r="R129" s="2020"/>
      <c r="S129" s="2020"/>
      <c r="T129" s="2020"/>
      <c r="U129" s="2020"/>
      <c r="V129" s="2020"/>
      <c r="W129" s="2020"/>
      <c r="X129" s="2020"/>
      <c r="Y129" s="2020"/>
      <c r="Z129" s="2020"/>
      <c r="AA129" s="2020"/>
      <c r="AB129" s="2020"/>
      <c r="AC129" s="2020"/>
    </row>
    <row r="130" spans="1:29" ht="15" thickTop="1">
      <c r="A130" s="635"/>
      <c r="B130" s="581">
        <f>B46</f>
        <v>111</v>
      </c>
      <c r="C130" s="588"/>
      <c r="D130" s="588"/>
      <c r="E130" s="588"/>
      <c r="F130" s="588"/>
      <c r="G130" s="622"/>
      <c r="H130" s="622"/>
      <c r="I130" s="622"/>
      <c r="J130" s="622"/>
      <c r="K130" s="561"/>
      <c r="L130" s="562"/>
      <c r="M130" s="625"/>
      <c r="N130" s="2039"/>
      <c r="O130" s="2039"/>
      <c r="P130" s="2040"/>
      <c r="Q130" s="2033"/>
      <c r="R130" s="2020"/>
      <c r="S130" s="2020"/>
      <c r="T130" s="2020"/>
      <c r="U130" s="2020"/>
      <c r="V130" s="2020"/>
      <c r="W130" s="2020"/>
      <c r="X130" s="2020"/>
      <c r="Y130" s="2020"/>
      <c r="Z130" s="2020"/>
      <c r="AA130" s="2020"/>
      <c r="AB130" s="2020"/>
      <c r="AC130" s="2020"/>
    </row>
    <row r="131" spans="1:29" ht="15.75" thickBot="1">
      <c r="A131" s="793"/>
      <c r="B131" s="599"/>
      <c r="C131" s="600"/>
      <c r="D131" s="600"/>
      <c r="E131" s="600"/>
      <c r="F131" s="600"/>
      <c r="G131" s="626"/>
      <c r="H131" s="626"/>
      <c r="I131" s="626"/>
      <c r="J131" s="626"/>
      <c r="K131" s="626"/>
      <c r="L131" s="626"/>
      <c r="M131" s="627"/>
      <c r="N131" s="2041"/>
      <c r="O131" s="2041"/>
      <c r="P131" s="2040"/>
      <c r="Q131" s="2033"/>
      <c r="R131" s="2020"/>
      <c r="S131" s="2020"/>
      <c r="T131" s="2020"/>
      <c r="U131" s="2020"/>
      <c r="V131" s="2020"/>
      <c r="W131" s="2020"/>
      <c r="X131" s="2020"/>
      <c r="Y131" s="2020"/>
      <c r="Z131" s="2020"/>
      <c r="AA131" s="2020"/>
      <c r="AB131" s="2020"/>
      <c r="AC131" s="2020"/>
    </row>
    <row r="132" spans="1:29">
      <c r="A132" s="2054"/>
      <c r="B132" s="2054"/>
      <c r="C132" s="2054"/>
      <c r="D132" s="2054"/>
      <c r="E132" s="2054"/>
      <c r="F132" s="2054"/>
      <c r="G132" s="2054"/>
      <c r="H132" s="2054"/>
      <c r="I132" s="2054"/>
      <c r="J132" s="2054"/>
      <c r="K132" s="2055"/>
      <c r="L132" s="2056"/>
      <c r="M132" s="2054"/>
      <c r="N132" s="2054"/>
      <c r="O132" s="2054"/>
      <c r="P132" s="2054"/>
      <c r="Q132" s="2054"/>
      <c r="R132" s="2054"/>
      <c r="S132" s="2054"/>
      <c r="T132" s="2054"/>
      <c r="U132" s="2054"/>
      <c r="V132" s="2054"/>
      <c r="W132" s="2054"/>
      <c r="X132" s="2054"/>
      <c r="Y132" s="2054"/>
      <c r="Z132" s="2054"/>
      <c r="AA132" s="2054"/>
      <c r="AB132" s="2054"/>
      <c r="AC132" s="2054"/>
    </row>
    <row r="133" spans="1:29">
      <c r="A133" s="2054"/>
      <c r="B133" s="2054"/>
      <c r="C133" s="2054"/>
      <c r="D133" s="2054"/>
      <c r="E133" s="2054"/>
      <c r="F133" s="2054"/>
      <c r="G133" s="2054"/>
      <c r="H133" s="2054"/>
      <c r="I133" s="2054"/>
      <c r="J133" s="2054"/>
      <c r="K133" s="2055"/>
      <c r="L133" s="2056"/>
      <c r="M133" s="2054"/>
      <c r="N133" s="2054"/>
      <c r="O133" s="2054"/>
      <c r="P133" s="2054"/>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54"/>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c r="A256" s="2054"/>
      <c r="B256" s="2054"/>
      <c r="C256" s="2054"/>
      <c r="D256" s="2054"/>
      <c r="E256" s="2054"/>
      <c r="F256" s="2054"/>
      <c r="G256" s="2054"/>
      <c r="H256" s="2054"/>
      <c r="I256" s="2054"/>
      <c r="J256" s="2054"/>
      <c r="K256" s="2055"/>
      <c r="L256" s="2056"/>
      <c r="M256" s="2054"/>
      <c r="N256" s="2054"/>
      <c r="O256" s="2054"/>
      <c r="P256" s="2054"/>
      <c r="Q256" s="2054"/>
      <c r="R256" s="2054"/>
      <c r="S256" s="2054"/>
      <c r="T256" s="2054"/>
      <c r="U256" s="2054"/>
      <c r="V256" s="2054"/>
      <c r="W256" s="2054"/>
      <c r="X256" s="2054"/>
      <c r="Y256" s="2054"/>
      <c r="Z256" s="2054"/>
      <c r="AA256" s="2054"/>
      <c r="AB256" s="2054"/>
      <c r="AC256" s="2054"/>
    </row>
    <row r="257" spans="1:29">
      <c r="A257" s="2054"/>
      <c r="B257" s="2054"/>
      <c r="C257" s="2054"/>
      <c r="D257" s="2054"/>
      <c r="E257" s="2054"/>
      <c r="F257" s="2054"/>
      <c r="G257" s="2054"/>
      <c r="H257" s="2054"/>
      <c r="I257" s="2054"/>
      <c r="J257" s="2054"/>
      <c r="K257" s="2055"/>
      <c r="L257" s="2056"/>
      <c r="M257" s="2054"/>
      <c r="N257" s="2054"/>
      <c r="O257" s="2054"/>
      <c r="P257" s="2054"/>
      <c r="Q257" s="2054"/>
      <c r="R257" s="2054"/>
      <c r="S257" s="2054"/>
      <c r="T257" s="2054"/>
      <c r="U257" s="2054"/>
      <c r="V257" s="2054"/>
      <c r="W257" s="2054"/>
      <c r="X257" s="2054"/>
      <c r="Y257" s="2054"/>
      <c r="Z257" s="2054"/>
      <c r="AA257" s="2054"/>
      <c r="AB257" s="2054"/>
      <c r="AC257" s="2054"/>
    </row>
    <row r="258" spans="1:29">
      <c r="A258" s="2054"/>
      <c r="B258" s="2054"/>
      <c r="C258" s="2054"/>
      <c r="D258" s="2054"/>
      <c r="E258" s="2054"/>
      <c r="F258" s="2054"/>
      <c r="G258" s="2054"/>
      <c r="H258" s="2054"/>
      <c r="I258" s="2054"/>
      <c r="J258" s="2054"/>
      <c r="K258" s="2055"/>
      <c r="L258" s="2056"/>
      <c r="M258" s="2054"/>
      <c r="N258" s="2054"/>
      <c r="O258" s="2054"/>
      <c r="P258" s="2054"/>
      <c r="Q258" s="2054"/>
      <c r="R258" s="2054"/>
      <c r="S258" s="2054"/>
      <c r="T258" s="2054"/>
      <c r="U258" s="2054"/>
      <c r="V258" s="2054"/>
      <c r="W258" s="2054"/>
      <c r="X258" s="2054"/>
      <c r="Y258" s="2054"/>
      <c r="Z258" s="2054"/>
      <c r="AA258" s="2054"/>
      <c r="AB258" s="2054"/>
      <c r="AC258" s="2054"/>
    </row>
    <row r="259" spans="1:29">
      <c r="A259" s="2054"/>
      <c r="B259" s="2054"/>
      <c r="C259" s="2054"/>
      <c r="D259" s="2054"/>
      <c r="E259" s="2054"/>
      <c r="F259" s="2054"/>
      <c r="G259" s="2054"/>
      <c r="H259" s="2054"/>
      <c r="I259" s="2054"/>
      <c r="J259" s="2054"/>
      <c r="K259" s="2055"/>
      <c r="L259" s="2056"/>
      <c r="M259" s="2054"/>
      <c r="N259" s="2054"/>
      <c r="O259" s="2054"/>
      <c r="P259" s="2054"/>
      <c r="Q259" s="2054"/>
      <c r="R259" s="2054"/>
      <c r="S259" s="2054"/>
      <c r="T259" s="2054"/>
      <c r="U259" s="2054"/>
      <c r="V259" s="2054"/>
      <c r="W259" s="2054"/>
      <c r="X259" s="2054"/>
      <c r="Y259" s="2054"/>
      <c r="Z259" s="2054"/>
      <c r="AA259" s="2054"/>
      <c r="AB259" s="2054"/>
      <c r="AC259" s="2054"/>
    </row>
    <row r="260" spans="1:29">
      <c r="A260" s="2054"/>
      <c r="B260" s="2054"/>
      <c r="C260" s="2054"/>
      <c r="D260" s="2054"/>
      <c r="E260" s="2054"/>
      <c r="F260" s="2054"/>
      <c r="G260" s="2054"/>
      <c r="H260" s="2054"/>
      <c r="I260" s="2054"/>
      <c r="J260" s="2054"/>
      <c r="K260" s="2055"/>
      <c r="L260" s="2056"/>
      <c r="M260" s="2054"/>
      <c r="N260" s="2054"/>
      <c r="O260" s="2054"/>
      <c r="P260" s="2054"/>
      <c r="Q260" s="2054"/>
      <c r="R260" s="2054"/>
      <c r="S260" s="2054"/>
      <c r="T260" s="2054"/>
      <c r="U260" s="2054"/>
      <c r="V260" s="2054"/>
      <c r="W260" s="2054"/>
      <c r="X260" s="2054"/>
      <c r="Y260" s="2054"/>
      <c r="Z260" s="2054"/>
      <c r="AA260" s="2054"/>
      <c r="AB260" s="2054"/>
      <c r="AC260" s="2054"/>
    </row>
    <row r="261" spans="1:29">
      <c r="A261" s="2054"/>
      <c r="B261" s="2054"/>
      <c r="C261" s="2054"/>
      <c r="D261" s="2054"/>
      <c r="E261" s="2054"/>
      <c r="F261" s="2054"/>
      <c r="G261" s="2054"/>
      <c r="H261" s="2054"/>
      <c r="I261" s="2054"/>
      <c r="J261" s="2054"/>
      <c r="K261" s="2055"/>
      <c r="L261" s="2056"/>
      <c r="M261" s="2054"/>
      <c r="N261" s="2054"/>
      <c r="O261" s="2054"/>
      <c r="P261" s="2054"/>
      <c r="Q261" s="2054"/>
      <c r="R261" s="2054"/>
      <c r="S261" s="2054"/>
      <c r="T261" s="2054"/>
      <c r="U261" s="2054"/>
      <c r="V261" s="2054"/>
      <c r="W261" s="2054"/>
      <c r="X261" s="2054"/>
      <c r="Y261" s="2054"/>
      <c r="Z261" s="2054"/>
      <c r="AA261" s="2054"/>
      <c r="AB261" s="2054"/>
      <c r="AC261" s="2054"/>
    </row>
    <row r="262" spans="1:29">
      <c r="A262" s="2054"/>
      <c r="B262" s="2054"/>
      <c r="C262" s="2054"/>
      <c r="D262" s="2054"/>
      <c r="E262" s="2054"/>
      <c r="F262" s="2054"/>
      <c r="G262" s="2054"/>
      <c r="H262" s="2054"/>
      <c r="I262" s="2054"/>
      <c r="J262" s="2054"/>
      <c r="K262" s="2055"/>
      <c r="L262" s="2056"/>
      <c r="M262" s="2054"/>
      <c r="N262" s="2054"/>
      <c r="O262" s="2054"/>
      <c r="P262" s="2054"/>
      <c r="Q262" s="2054"/>
      <c r="R262" s="2054"/>
      <c r="S262" s="2054"/>
      <c r="T262" s="2054"/>
      <c r="U262" s="2054"/>
      <c r="V262" s="2054"/>
      <c r="W262" s="2054"/>
      <c r="X262" s="2054"/>
      <c r="Y262" s="2054"/>
      <c r="Z262" s="2054"/>
      <c r="AA262" s="2054"/>
      <c r="AB262" s="2054"/>
      <c r="AC262" s="2054"/>
    </row>
    <row r="263" spans="1:29">
      <c r="A263" s="2054"/>
      <c r="B263" s="2054"/>
      <c r="C263" s="2054"/>
      <c r="D263" s="2054"/>
      <c r="E263" s="2054"/>
      <c r="F263" s="2054"/>
      <c r="G263" s="2054"/>
      <c r="H263" s="2054"/>
      <c r="I263" s="2054"/>
      <c r="J263" s="2054"/>
      <c r="K263" s="2055"/>
      <c r="L263" s="2056"/>
      <c r="M263" s="2054"/>
      <c r="N263" s="2054"/>
      <c r="O263" s="2054"/>
      <c r="P263" s="2054"/>
      <c r="Q263" s="2054"/>
      <c r="R263" s="2054"/>
      <c r="S263" s="2054"/>
      <c r="T263" s="2054"/>
      <c r="U263" s="2054"/>
      <c r="V263" s="2054"/>
      <c r="W263" s="2054"/>
      <c r="X263" s="2054"/>
      <c r="Y263" s="2054"/>
      <c r="Z263" s="2054"/>
      <c r="AA263" s="2054"/>
      <c r="AB263" s="2054"/>
      <c r="AC263" s="2054"/>
    </row>
    <row r="264" spans="1:29">
      <c r="A264" s="2054"/>
      <c r="B264" s="2054"/>
      <c r="C264" s="2054"/>
      <c r="D264" s="2054"/>
      <c r="E264" s="2054"/>
      <c r="F264" s="2054"/>
      <c r="G264" s="2054"/>
      <c r="H264" s="2054"/>
      <c r="I264" s="2054"/>
      <c r="J264" s="2054"/>
      <c r="K264" s="2055"/>
      <c r="L264" s="2056"/>
      <c r="M264" s="2054"/>
      <c r="N264" s="2054"/>
      <c r="O264" s="2054"/>
      <c r="P264" s="2054"/>
      <c r="Q264" s="2054"/>
      <c r="R264" s="2054"/>
      <c r="S264" s="2054"/>
      <c r="T264" s="2054"/>
      <c r="U264" s="2054"/>
      <c r="V264" s="2054"/>
      <c r="W264" s="2054"/>
      <c r="X264" s="2054"/>
      <c r="Y264" s="2054"/>
      <c r="Z264" s="2054"/>
      <c r="AA264" s="2054"/>
      <c r="AB264" s="2054"/>
      <c r="AC264" s="2054"/>
    </row>
    <row r="265" spans="1:29">
      <c r="A265" s="2054"/>
      <c r="B265" s="2054"/>
      <c r="C265" s="2054"/>
      <c r="D265" s="2054"/>
      <c r="E265" s="2054"/>
      <c r="F265" s="2054"/>
      <c r="G265" s="2054"/>
      <c r="H265" s="2054"/>
      <c r="I265" s="2054"/>
      <c r="J265" s="2054"/>
      <c r="K265" s="2055"/>
      <c r="L265" s="2056"/>
      <c r="M265" s="2054"/>
      <c r="N265" s="2054"/>
      <c r="O265" s="2054"/>
      <c r="P265" s="2054"/>
      <c r="Q265" s="2054"/>
      <c r="R265" s="2054"/>
      <c r="S265" s="2054"/>
      <c r="T265" s="2054"/>
      <c r="U265" s="2054"/>
      <c r="V265" s="2054"/>
      <c r="W265" s="2054"/>
      <c r="X265" s="2054"/>
      <c r="Y265" s="2054"/>
      <c r="Z265" s="2054"/>
      <c r="AA265" s="2054"/>
      <c r="AB265" s="2054"/>
      <c r="AC265" s="2054"/>
    </row>
    <row r="266" spans="1:29">
      <c r="A266" s="2054"/>
      <c r="B266" s="2054"/>
      <c r="C266" s="2054"/>
      <c r="D266" s="2054"/>
      <c r="E266" s="2054"/>
      <c r="F266" s="2054"/>
      <c r="G266" s="2054"/>
      <c r="H266" s="2054"/>
      <c r="I266" s="2054"/>
      <c r="J266" s="2054"/>
      <c r="K266" s="2055"/>
      <c r="L266" s="2056"/>
      <c r="M266" s="2054"/>
      <c r="N266" s="2054"/>
      <c r="O266" s="2054"/>
      <c r="P266" s="2054"/>
      <c r="Q266" s="2054"/>
      <c r="R266" s="2054"/>
      <c r="S266" s="2054"/>
      <c r="T266" s="2054"/>
      <c r="U266" s="2054"/>
      <c r="V266" s="2054"/>
      <c r="W266" s="2054"/>
      <c r="X266" s="2054"/>
      <c r="Y266" s="2054"/>
      <c r="Z266" s="2054"/>
      <c r="AA266" s="2054"/>
      <c r="AB266" s="2054"/>
      <c r="AC266" s="2054"/>
    </row>
    <row r="267" spans="1:29">
      <c r="A267" s="2054"/>
      <c r="B267" s="2054"/>
      <c r="C267" s="2054"/>
      <c r="D267" s="2054"/>
      <c r="E267" s="2054"/>
      <c r="F267" s="2054"/>
      <c r="G267" s="2054"/>
      <c r="H267" s="2054"/>
      <c r="I267" s="2054"/>
      <c r="J267" s="2054"/>
      <c r="K267" s="2055"/>
      <c r="L267" s="2056"/>
      <c r="M267" s="2054"/>
      <c r="N267" s="2054"/>
      <c r="O267" s="2054"/>
      <c r="P267" s="2054"/>
      <c r="Q267" s="2054"/>
      <c r="R267" s="2054"/>
      <c r="S267" s="2054"/>
      <c r="T267" s="2054"/>
      <c r="U267" s="2054"/>
      <c r="V267" s="2054"/>
      <c r="W267" s="2054"/>
      <c r="X267" s="2054"/>
      <c r="Y267" s="2054"/>
      <c r="Z267" s="2054"/>
      <c r="AA267" s="2054"/>
      <c r="AB267" s="2054"/>
      <c r="AC267" s="2054"/>
    </row>
    <row r="268" spans="1:29">
      <c r="A268" s="2054"/>
      <c r="B268" s="2054"/>
      <c r="C268" s="2054"/>
      <c r="D268" s="2054"/>
      <c r="E268" s="2054"/>
      <c r="F268" s="2054"/>
      <c r="G268" s="2054"/>
      <c r="H268" s="2054"/>
      <c r="I268" s="2054"/>
      <c r="J268" s="2054"/>
      <c r="K268" s="2055"/>
      <c r="L268" s="2056"/>
      <c r="M268" s="2054"/>
      <c r="N268" s="2054"/>
      <c r="O268" s="2054"/>
      <c r="P268" s="2054"/>
      <c r="Q268" s="2054"/>
      <c r="R268" s="2054"/>
      <c r="S268" s="2054"/>
      <c r="T268" s="2054"/>
      <c r="U268" s="2054"/>
      <c r="V268" s="2054"/>
      <c r="W268" s="2054"/>
      <c r="X268" s="2054"/>
      <c r="Y268" s="2054"/>
      <c r="Z268" s="2054"/>
      <c r="AA268" s="2054"/>
      <c r="AB268" s="2054"/>
      <c r="AC268" s="2054"/>
    </row>
    <row r="269" spans="1:29">
      <c r="A269" s="2054"/>
      <c r="B269" s="2054"/>
      <c r="C269" s="2054"/>
      <c r="D269" s="2054"/>
      <c r="E269" s="2054"/>
      <c r="F269" s="2054"/>
      <c r="G269" s="2054"/>
      <c r="H269" s="2054"/>
      <c r="I269" s="2054"/>
      <c r="J269" s="2054"/>
      <c r="K269" s="2055"/>
      <c r="L269" s="2056"/>
      <c r="M269" s="2054"/>
      <c r="N269" s="2054"/>
      <c r="O269" s="2054"/>
      <c r="P269" s="2054"/>
      <c r="Q269" s="2054"/>
      <c r="R269" s="2054"/>
      <c r="S269" s="2054"/>
      <c r="T269" s="2054"/>
      <c r="U269" s="2054"/>
      <c r="V269" s="2054"/>
      <c r="W269" s="2054"/>
      <c r="X269" s="2054"/>
      <c r="Y269" s="2054"/>
      <c r="Z269" s="2054"/>
      <c r="AA269" s="2054"/>
      <c r="AB269" s="2054"/>
      <c r="AC269" s="2054"/>
    </row>
    <row r="270" spans="1:29">
      <c r="A270" s="2054"/>
      <c r="B270" s="2054"/>
      <c r="C270" s="2054"/>
      <c r="D270" s="2054"/>
      <c r="E270" s="2054"/>
      <c r="F270" s="2054"/>
      <c r="G270" s="2054"/>
      <c r="H270" s="2054"/>
      <c r="I270" s="2054"/>
      <c r="J270" s="2054"/>
      <c r="K270" s="2055"/>
      <c r="L270" s="2056"/>
      <c r="M270" s="2054"/>
      <c r="N270" s="2054"/>
      <c r="O270" s="2054"/>
      <c r="P270" s="2054"/>
      <c r="Q270" s="2054"/>
      <c r="R270" s="2054"/>
      <c r="S270" s="2054"/>
      <c r="T270" s="2054"/>
      <c r="U270" s="2054"/>
      <c r="V270" s="2054"/>
      <c r="W270" s="2054"/>
      <c r="X270" s="2054"/>
      <c r="Y270" s="2054"/>
      <c r="Z270" s="2054"/>
      <c r="AA270" s="2054"/>
      <c r="AB270" s="2054"/>
      <c r="AC270" s="2054"/>
    </row>
    <row r="271" spans="1:29">
      <c r="A271" s="2054"/>
      <c r="B271" s="2054"/>
      <c r="C271" s="2054"/>
      <c r="D271" s="2054"/>
      <c r="E271" s="2054"/>
      <c r="F271" s="2054"/>
      <c r="G271" s="2054"/>
      <c r="H271" s="2054"/>
      <c r="I271" s="2054"/>
      <c r="J271" s="2054"/>
      <c r="K271" s="2055"/>
      <c r="L271" s="2056"/>
      <c r="M271" s="2054"/>
      <c r="N271" s="2054"/>
      <c r="O271" s="2054"/>
      <c r="P271" s="2054"/>
      <c r="Q271" s="2054"/>
      <c r="R271" s="2054"/>
      <c r="S271" s="2054"/>
      <c r="T271" s="2054"/>
      <c r="U271" s="2054"/>
      <c r="V271" s="2054"/>
      <c r="W271" s="2054"/>
      <c r="X271" s="2054"/>
      <c r="Y271" s="2054"/>
      <c r="Z271" s="2054"/>
      <c r="AA271" s="2054"/>
      <c r="AB271" s="2054"/>
      <c r="AC271" s="2054"/>
    </row>
    <row r="272" spans="1:29">
      <c r="A272" s="2054"/>
      <c r="B272" s="2054"/>
      <c r="C272" s="2054"/>
      <c r="D272" s="2054"/>
      <c r="E272" s="2054"/>
      <c r="F272" s="2054"/>
      <c r="G272" s="2054"/>
      <c r="H272" s="2054"/>
      <c r="I272" s="2054"/>
      <c r="J272" s="2054"/>
      <c r="K272" s="2055"/>
      <c r="L272" s="2056"/>
      <c r="M272" s="2054"/>
      <c r="N272" s="2054"/>
      <c r="O272" s="2054"/>
      <c r="P272" s="2054"/>
      <c r="Q272" s="2054"/>
      <c r="R272" s="2054"/>
      <c r="S272" s="2054"/>
      <c r="T272" s="2054"/>
      <c r="U272" s="2054"/>
      <c r="V272" s="2054"/>
      <c r="W272" s="2054"/>
      <c r="X272" s="2054"/>
      <c r="Y272" s="2054"/>
      <c r="Z272" s="2054"/>
      <c r="AA272" s="2054"/>
      <c r="AB272" s="2054"/>
      <c r="AC272" s="2054"/>
    </row>
    <row r="273" spans="1:29">
      <c r="A273" s="2054"/>
      <c r="B273" s="2054"/>
      <c r="C273" s="2054"/>
      <c r="D273" s="2054"/>
      <c r="E273" s="2054"/>
      <c r="F273" s="2054"/>
      <c r="G273" s="2054"/>
      <c r="H273" s="2054"/>
      <c r="I273" s="2054"/>
      <c r="J273" s="2054"/>
      <c r="K273" s="2055"/>
      <c r="L273" s="2056"/>
      <c r="M273" s="2054"/>
      <c r="N273" s="2054"/>
      <c r="O273" s="2054"/>
      <c r="P273" s="2054"/>
      <c r="Q273" s="2054"/>
      <c r="R273" s="2054"/>
      <c r="S273" s="2054"/>
      <c r="T273" s="2054"/>
      <c r="U273" s="2054"/>
      <c r="V273" s="2054"/>
      <c r="W273" s="2054"/>
      <c r="X273" s="2054"/>
      <c r="Y273" s="2054"/>
      <c r="Z273" s="2054"/>
      <c r="AA273" s="2054"/>
      <c r="AB273" s="2054"/>
      <c r="AC273" s="2054"/>
    </row>
    <row r="274" spans="1:29">
      <c r="A274" s="2054"/>
      <c r="B274" s="2054"/>
      <c r="C274" s="2054"/>
      <c r="D274" s="2054"/>
      <c r="E274" s="2054"/>
      <c r="F274" s="2054"/>
      <c r="G274" s="2054"/>
      <c r="H274" s="2054"/>
      <c r="I274" s="2054"/>
      <c r="J274" s="2054"/>
      <c r="K274" s="2055"/>
      <c r="L274" s="2056"/>
      <c r="M274" s="2054"/>
      <c r="N274" s="2054"/>
      <c r="O274" s="2054"/>
      <c r="P274" s="2054"/>
      <c r="Q274" s="2054"/>
      <c r="R274" s="2054"/>
      <c r="S274" s="2054"/>
      <c r="T274" s="2054"/>
      <c r="U274" s="2054"/>
      <c r="V274" s="2054"/>
      <c r="W274" s="2054"/>
      <c r="X274" s="2054"/>
      <c r="Y274" s="2054"/>
      <c r="Z274" s="2054"/>
      <c r="AA274" s="2054"/>
      <c r="AB274" s="2054"/>
      <c r="AC274" s="2054"/>
    </row>
    <row r="275" spans="1:29">
      <c r="A275" s="2054"/>
      <c r="B275" s="2054"/>
      <c r="C275" s="2054"/>
      <c r="D275" s="2054"/>
      <c r="E275" s="2054"/>
      <c r="F275" s="2054"/>
      <c r="G275" s="2054"/>
      <c r="H275" s="2054"/>
      <c r="I275" s="2054"/>
      <c r="J275" s="2054"/>
      <c r="K275" s="2055"/>
      <c r="L275" s="2056"/>
      <c r="M275" s="2054"/>
      <c r="N275" s="2054"/>
      <c r="O275" s="2054"/>
      <c r="P275" s="2054"/>
      <c r="Q275" s="2054"/>
      <c r="R275" s="2054"/>
      <c r="S275" s="2054"/>
      <c r="T275" s="2054"/>
      <c r="U275" s="2054"/>
      <c r="V275" s="2054"/>
      <c r="W275" s="2054"/>
      <c r="X275" s="2054"/>
      <c r="Y275" s="2054"/>
      <c r="Z275" s="2054"/>
      <c r="AA275" s="2054"/>
      <c r="AB275" s="2054"/>
      <c r="AC275" s="2054"/>
    </row>
    <row r="276" spans="1:29">
      <c r="A276" s="2054"/>
      <c r="B276" s="2054"/>
      <c r="C276" s="2054"/>
      <c r="D276" s="2054"/>
      <c r="E276" s="2054"/>
      <c r="F276" s="2054"/>
      <c r="G276" s="2054"/>
      <c r="H276" s="2054"/>
      <c r="I276" s="2054"/>
      <c r="J276" s="2054"/>
      <c r="K276" s="2055"/>
      <c r="L276" s="2056"/>
      <c r="M276" s="2054"/>
      <c r="N276" s="2054"/>
      <c r="O276" s="2054"/>
      <c r="P276" s="2054"/>
      <c r="Q276" s="2054"/>
      <c r="R276" s="2054"/>
      <c r="S276" s="2054"/>
      <c r="T276" s="2054"/>
      <c r="U276" s="2054"/>
      <c r="V276" s="2054"/>
      <c r="W276" s="2054"/>
      <c r="X276" s="2054"/>
      <c r="Y276" s="2054"/>
      <c r="Z276" s="2054"/>
      <c r="AA276" s="2054"/>
      <c r="AB276" s="2054"/>
      <c r="AC276" s="2054"/>
    </row>
    <row r="277" spans="1:29">
      <c r="A277" s="2054"/>
      <c r="B277" s="2054"/>
      <c r="C277" s="2054"/>
      <c r="D277" s="2054"/>
      <c r="E277" s="2054"/>
      <c r="F277" s="2054"/>
      <c r="G277" s="2054"/>
      <c r="H277" s="2054"/>
      <c r="I277" s="2054"/>
      <c r="J277" s="2054"/>
      <c r="K277" s="2055"/>
      <c r="L277" s="2056"/>
      <c r="M277" s="2054"/>
      <c r="N277" s="2054"/>
      <c r="O277" s="2054"/>
      <c r="P277" s="2054"/>
      <c r="Q277" s="2054"/>
      <c r="R277" s="2054"/>
      <c r="S277" s="2054"/>
      <c r="T277" s="2054"/>
      <c r="U277" s="2054"/>
      <c r="V277" s="2054"/>
      <c r="W277" s="2054"/>
      <c r="X277" s="2054"/>
      <c r="Y277" s="2054"/>
      <c r="Z277" s="2054"/>
      <c r="AA277" s="2054"/>
      <c r="AB277" s="2054"/>
      <c r="AC277" s="2054"/>
    </row>
    <row r="278" spans="1:29">
      <c r="A278" s="2054"/>
      <c r="B278" s="2054"/>
      <c r="C278" s="2054"/>
      <c r="D278" s="2054"/>
      <c r="E278" s="2054"/>
      <c r="F278" s="2054"/>
      <c r="G278" s="2054"/>
      <c r="H278" s="2054"/>
      <c r="I278" s="2054"/>
      <c r="J278" s="2054"/>
      <c r="K278" s="2055"/>
      <c r="L278" s="2056"/>
      <c r="M278" s="2054"/>
      <c r="N278" s="2054"/>
      <c r="O278" s="2054"/>
      <c r="P278" s="2054"/>
      <c r="Q278" s="2054"/>
      <c r="R278" s="2054"/>
      <c r="S278" s="2054"/>
      <c r="T278" s="2054"/>
      <c r="U278" s="2054"/>
      <c r="V278" s="2054"/>
      <c r="W278" s="2054"/>
      <c r="X278" s="2054"/>
      <c r="Y278" s="2054"/>
      <c r="Z278" s="2054"/>
      <c r="AA278" s="2054"/>
      <c r="AB278" s="2054"/>
      <c r="AC278" s="2054"/>
    </row>
    <row r="279" spans="1:29">
      <c r="A279" s="2054"/>
      <c r="B279" s="2054"/>
      <c r="C279" s="2054"/>
      <c r="D279" s="2054"/>
      <c r="E279" s="2054"/>
      <c r="F279" s="2054"/>
      <c r="G279" s="2054"/>
      <c r="H279" s="2054"/>
      <c r="I279" s="2054"/>
      <c r="J279" s="2054"/>
      <c r="K279" s="2055"/>
      <c r="L279" s="2056"/>
      <c r="M279" s="2054"/>
      <c r="N279" s="2054"/>
      <c r="O279" s="2054"/>
      <c r="P279" s="2054"/>
      <c r="Q279" s="2054"/>
      <c r="R279" s="2054"/>
      <c r="S279" s="2054"/>
      <c r="T279" s="2054"/>
      <c r="U279" s="2054"/>
      <c r="V279" s="2054"/>
      <c r="W279" s="2054"/>
      <c r="X279" s="2054"/>
      <c r="Y279" s="2054"/>
      <c r="Z279" s="2054"/>
      <c r="AA279" s="2054"/>
      <c r="AB279" s="2054"/>
      <c r="AC279" s="2054"/>
    </row>
    <row r="280" spans="1:29">
      <c r="A280" s="2054"/>
      <c r="B280" s="2054"/>
      <c r="C280" s="2054"/>
      <c r="D280" s="2054"/>
      <c r="E280" s="2054"/>
      <c r="F280" s="2054"/>
      <c r="G280" s="2054"/>
      <c r="H280" s="2054"/>
      <c r="I280" s="2054"/>
      <c r="J280" s="2054"/>
      <c r="K280" s="2055"/>
      <c r="L280" s="2056"/>
      <c r="M280" s="2054"/>
      <c r="N280" s="2054"/>
      <c r="O280" s="2054"/>
      <c r="P280" s="2054"/>
      <c r="Q280" s="2054"/>
      <c r="R280" s="2054"/>
      <c r="S280" s="2054"/>
      <c r="T280" s="2054"/>
      <c r="U280" s="2054"/>
      <c r="V280" s="2054"/>
      <c r="W280" s="2054"/>
      <c r="X280" s="2054"/>
      <c r="Y280" s="2054"/>
      <c r="Z280" s="2054"/>
      <c r="AA280" s="2054"/>
      <c r="AB280" s="2054"/>
      <c r="AC280" s="2054"/>
    </row>
    <row r="281" spans="1:29">
      <c r="A281" s="2054"/>
      <c r="B281" s="2054"/>
      <c r="C281" s="2054"/>
      <c r="D281" s="2054"/>
      <c r="E281" s="2054"/>
      <c r="F281" s="2054"/>
      <c r="G281" s="2054"/>
      <c r="H281" s="2054"/>
      <c r="I281" s="2054"/>
      <c r="J281" s="2054"/>
      <c r="K281" s="2055"/>
      <c r="L281" s="2056"/>
      <c r="M281" s="2054"/>
      <c r="N281" s="2054"/>
      <c r="O281" s="2054"/>
      <c r="P281" s="2054"/>
      <c r="Q281" s="2054"/>
      <c r="R281" s="2054"/>
      <c r="S281" s="2054"/>
      <c r="T281" s="2054"/>
      <c r="U281" s="2054"/>
      <c r="V281" s="2054"/>
      <c r="W281" s="2054"/>
      <c r="X281" s="2054"/>
      <c r="Y281" s="2054"/>
      <c r="Z281" s="2054"/>
      <c r="AA281" s="2054"/>
      <c r="AB281" s="2054"/>
      <c r="AC281" s="2054"/>
    </row>
    <row r="282" spans="1:29">
      <c r="A282" s="2054"/>
      <c r="B282" s="2054"/>
      <c r="C282" s="2054"/>
      <c r="D282" s="2054"/>
      <c r="E282" s="2054"/>
      <c r="F282" s="2054"/>
      <c r="G282" s="2054"/>
      <c r="H282" s="2054"/>
      <c r="I282" s="2054"/>
      <c r="J282" s="2054"/>
      <c r="K282" s="2055"/>
      <c r="L282" s="2056"/>
      <c r="M282" s="2054"/>
      <c r="N282" s="2054"/>
      <c r="O282" s="2054"/>
      <c r="P282" s="2054"/>
      <c r="Q282" s="2054"/>
      <c r="R282" s="2054"/>
      <c r="S282" s="2054"/>
      <c r="T282" s="2054"/>
      <c r="U282" s="2054"/>
      <c r="V282" s="2054"/>
      <c r="W282" s="2054"/>
      <c r="X282" s="2054"/>
      <c r="Y282" s="2054"/>
      <c r="Z282" s="2054"/>
      <c r="AA282" s="2054"/>
      <c r="AB282" s="2054"/>
      <c r="AC282" s="2054"/>
    </row>
    <row r="283" spans="1:29">
      <c r="A283" s="2054"/>
      <c r="B283" s="2054"/>
      <c r="C283" s="2054"/>
      <c r="D283" s="2054"/>
      <c r="E283" s="2054"/>
      <c r="F283" s="2054"/>
      <c r="G283" s="2054"/>
      <c r="H283" s="2054"/>
      <c r="I283" s="2054"/>
      <c r="J283" s="2054"/>
      <c r="K283" s="2055"/>
      <c r="L283" s="2056"/>
      <c r="M283" s="2054"/>
      <c r="N283" s="2054"/>
      <c r="O283" s="2054"/>
      <c r="P283" s="2054"/>
      <c r="Q283" s="2054"/>
      <c r="R283" s="2054"/>
      <c r="S283" s="2054"/>
      <c r="T283" s="2054"/>
      <c r="U283" s="2054"/>
      <c r="V283" s="2054"/>
      <c r="W283" s="2054"/>
      <c r="X283" s="2054"/>
      <c r="Y283" s="2054"/>
      <c r="Z283" s="2054"/>
      <c r="AA283" s="2054"/>
      <c r="AB283" s="2054"/>
      <c r="AC283" s="2054"/>
    </row>
    <row r="284" spans="1:29">
      <c r="A284" s="2054"/>
      <c r="B284" s="2054"/>
      <c r="C284" s="2054"/>
      <c r="D284" s="2054"/>
      <c r="E284" s="2054"/>
      <c r="F284" s="2054"/>
      <c r="G284" s="2054"/>
      <c r="H284" s="2054"/>
      <c r="I284" s="2054"/>
      <c r="J284" s="2054"/>
      <c r="K284" s="2055"/>
      <c r="L284" s="2056"/>
      <c r="M284" s="2054"/>
      <c r="N284" s="2054"/>
      <c r="O284" s="2054"/>
      <c r="P284" s="2054"/>
      <c r="Q284" s="2054"/>
      <c r="R284" s="2054"/>
      <c r="S284" s="2054"/>
      <c r="T284" s="2054"/>
      <c r="U284" s="2054"/>
      <c r="V284" s="2054"/>
      <c r="W284" s="2054"/>
      <c r="X284" s="2054"/>
      <c r="Y284" s="2054"/>
      <c r="Z284" s="2054"/>
      <c r="AA284" s="2054"/>
      <c r="AB284" s="2054"/>
      <c r="AC284" s="2054"/>
    </row>
    <row r="285" spans="1:29">
      <c r="A285" s="2054"/>
      <c r="B285" s="2054"/>
      <c r="C285" s="2054"/>
      <c r="D285" s="2054"/>
      <c r="E285" s="2054"/>
      <c r="F285" s="2054"/>
      <c r="G285" s="2054"/>
      <c r="H285" s="2054"/>
      <c r="I285" s="2054"/>
      <c r="J285" s="2054"/>
      <c r="K285" s="2055"/>
      <c r="L285" s="2056"/>
      <c r="M285" s="2054"/>
      <c r="N285" s="2054"/>
      <c r="O285" s="2054"/>
      <c r="P285" s="2054"/>
      <c r="Q285" s="2054"/>
      <c r="R285" s="2054"/>
      <c r="S285" s="2054"/>
      <c r="T285" s="2054"/>
      <c r="U285" s="2054"/>
      <c r="V285" s="2054"/>
      <c r="W285" s="2054"/>
      <c r="X285" s="2054"/>
      <c r="Y285" s="2054"/>
      <c r="Z285" s="2054"/>
      <c r="AA285" s="2054"/>
      <c r="AB285" s="2054"/>
      <c r="AC285" s="2054"/>
    </row>
    <row r="286" spans="1:29">
      <c r="A286" s="2054"/>
      <c r="B286" s="2054"/>
      <c r="C286" s="2054"/>
      <c r="D286" s="2054"/>
      <c r="E286" s="2054"/>
      <c r="F286" s="2054"/>
      <c r="G286" s="2054"/>
      <c r="H286" s="2054"/>
      <c r="I286" s="2054"/>
      <c r="J286" s="2054"/>
      <c r="K286" s="2055"/>
      <c r="L286" s="2056"/>
      <c r="M286" s="2054"/>
      <c r="N286" s="2054"/>
      <c r="O286" s="2054"/>
      <c r="P286" s="2054"/>
      <c r="Q286" s="2054"/>
      <c r="R286" s="2054"/>
      <c r="S286" s="2054"/>
      <c r="T286" s="2054"/>
      <c r="U286" s="2054"/>
      <c r="V286" s="2054"/>
      <c r="W286" s="2054"/>
      <c r="X286" s="2054"/>
      <c r="Y286" s="2054"/>
      <c r="Z286" s="2054"/>
      <c r="AA286" s="2054"/>
      <c r="AB286" s="2054"/>
      <c r="AC286" s="2054"/>
    </row>
    <row r="287" spans="1:29">
      <c r="A287" s="2054"/>
      <c r="B287" s="2054"/>
      <c r="C287" s="2054"/>
      <c r="D287" s="2054"/>
      <c r="E287" s="2054"/>
      <c r="F287" s="2054"/>
      <c r="G287" s="2054"/>
      <c r="H287" s="2054"/>
      <c r="I287" s="2054"/>
      <c r="J287" s="2054"/>
      <c r="K287" s="2055"/>
      <c r="L287" s="2056"/>
      <c r="M287" s="2054"/>
      <c r="N287" s="2054"/>
      <c r="O287" s="2054"/>
      <c r="P287" s="2054"/>
      <c r="Q287" s="2054"/>
      <c r="R287" s="2054"/>
      <c r="S287" s="2054"/>
      <c r="T287" s="2054"/>
      <c r="U287" s="2054"/>
      <c r="V287" s="2054"/>
      <c r="W287" s="2054"/>
      <c r="X287" s="2054"/>
      <c r="Y287" s="2054"/>
      <c r="Z287" s="2054"/>
      <c r="AA287" s="2054"/>
      <c r="AB287" s="2054"/>
      <c r="AC287" s="2054"/>
    </row>
    <row r="288" spans="1:29">
      <c r="A288" s="2054"/>
      <c r="B288" s="2054"/>
      <c r="C288" s="2054"/>
      <c r="D288" s="2054"/>
      <c r="E288" s="2054"/>
      <c r="F288" s="2054"/>
      <c r="G288" s="2054"/>
      <c r="H288" s="2054"/>
      <c r="I288" s="2054"/>
      <c r="J288" s="2054"/>
      <c r="K288" s="2055"/>
      <c r="L288" s="2056"/>
      <c r="M288" s="2054"/>
      <c r="N288" s="2054"/>
      <c r="O288" s="2054"/>
      <c r="P288" s="2054"/>
      <c r="Q288" s="2054"/>
      <c r="R288" s="2054"/>
      <c r="S288" s="2054"/>
      <c r="T288" s="2054"/>
      <c r="U288" s="2054"/>
      <c r="V288" s="2054"/>
      <c r="W288" s="2054"/>
      <c r="X288" s="2054"/>
      <c r="Y288" s="2054"/>
      <c r="Z288" s="2054"/>
      <c r="AA288" s="2054"/>
      <c r="AB288" s="2054"/>
      <c r="AC288" s="2054"/>
    </row>
    <row r="289" spans="1:29">
      <c r="A289" s="2054"/>
      <c r="B289" s="2054"/>
      <c r="C289" s="2054"/>
      <c r="D289" s="2054"/>
      <c r="E289" s="2054"/>
      <c r="F289" s="2054"/>
      <c r="G289" s="2054"/>
      <c r="H289" s="2054"/>
      <c r="I289" s="2054"/>
      <c r="J289" s="2054"/>
      <c r="K289" s="2055"/>
      <c r="L289" s="2056"/>
      <c r="M289" s="2054"/>
      <c r="N289" s="2054"/>
      <c r="O289" s="2054"/>
      <c r="P289" s="2054"/>
      <c r="Q289" s="2054"/>
      <c r="R289" s="2054"/>
      <c r="S289" s="2054"/>
      <c r="T289" s="2054"/>
      <c r="U289" s="2054"/>
      <c r="V289" s="2054"/>
      <c r="W289" s="2054"/>
      <c r="X289" s="2054"/>
      <c r="Y289" s="2054"/>
      <c r="Z289" s="2054"/>
      <c r="AA289" s="2054"/>
      <c r="AB289" s="2054"/>
      <c r="AC289" s="2054"/>
    </row>
    <row r="290" spans="1:29">
      <c r="A290" s="2054"/>
      <c r="B290" s="2054"/>
      <c r="C290" s="2054"/>
      <c r="D290" s="2054"/>
      <c r="E290" s="2054"/>
      <c r="F290" s="2054"/>
      <c r="G290" s="2054"/>
      <c r="H290" s="2054"/>
      <c r="I290" s="2054"/>
      <c r="J290" s="2054"/>
      <c r="K290" s="2055"/>
      <c r="L290" s="2056"/>
      <c r="M290" s="2054"/>
      <c r="N290" s="2054"/>
      <c r="O290" s="2054"/>
      <c r="P290" s="2054"/>
      <c r="Q290" s="2054"/>
      <c r="R290" s="2054"/>
      <c r="S290" s="2054"/>
      <c r="T290" s="2054"/>
      <c r="U290" s="2054"/>
      <c r="V290" s="2054"/>
      <c r="W290" s="2054"/>
      <c r="X290" s="2054"/>
      <c r="Y290" s="2054"/>
      <c r="Z290" s="2054"/>
      <c r="AA290" s="2054"/>
      <c r="AB290" s="2054"/>
      <c r="AC290" s="2054"/>
    </row>
    <row r="291" spans="1:29">
      <c r="A291" s="2054"/>
      <c r="B291" s="2054"/>
      <c r="C291" s="2054"/>
      <c r="D291" s="2054"/>
      <c r="E291" s="2054"/>
      <c r="F291" s="2054"/>
      <c r="G291" s="2054"/>
      <c r="H291" s="2054"/>
      <c r="I291" s="2054"/>
      <c r="J291" s="2054"/>
      <c r="K291" s="2055"/>
      <c r="L291" s="2056"/>
      <c r="M291" s="2054"/>
      <c r="N291" s="2054"/>
      <c r="O291" s="2054"/>
      <c r="P291" s="2054"/>
      <c r="Q291" s="2054"/>
      <c r="R291" s="2054"/>
      <c r="S291" s="2054"/>
      <c r="T291" s="2054"/>
      <c r="U291" s="2054"/>
      <c r="V291" s="2054"/>
      <c r="W291" s="2054"/>
      <c r="X291" s="2054"/>
      <c r="Y291" s="2054"/>
      <c r="Z291" s="2054"/>
      <c r="AA291" s="2054"/>
      <c r="AB291" s="2054"/>
      <c r="AC291" s="2054"/>
    </row>
    <row r="292" spans="1:29">
      <c r="A292" s="2054"/>
      <c r="B292" s="2054"/>
      <c r="C292" s="2054"/>
      <c r="D292" s="2054"/>
      <c r="E292" s="2054"/>
      <c r="F292" s="2054"/>
      <c r="G292" s="2054"/>
      <c r="H292" s="2054"/>
      <c r="I292" s="2054"/>
      <c r="J292" s="2054"/>
      <c r="K292" s="2055"/>
      <c r="L292" s="2056"/>
      <c r="M292" s="2054"/>
      <c r="N292" s="2054"/>
      <c r="O292" s="2054"/>
      <c r="P292" s="2054"/>
      <c r="Q292" s="2054"/>
      <c r="R292" s="2054"/>
      <c r="S292" s="2054"/>
      <c r="T292" s="2054"/>
      <c r="U292" s="2054"/>
      <c r="V292" s="2054"/>
      <c r="W292" s="2054"/>
      <c r="X292" s="2054"/>
      <c r="Y292" s="2054"/>
      <c r="Z292" s="2054"/>
      <c r="AA292" s="2054"/>
      <c r="AB292" s="2054"/>
      <c r="AC292" s="2054"/>
    </row>
    <row r="293" spans="1:29">
      <c r="A293" s="2054"/>
      <c r="B293" s="2054"/>
      <c r="C293" s="2054"/>
      <c r="D293" s="2054"/>
      <c r="E293" s="2054"/>
      <c r="F293" s="2054"/>
      <c r="G293" s="2054"/>
      <c r="H293" s="2054"/>
      <c r="I293" s="2054"/>
      <c r="J293" s="2054"/>
      <c r="K293" s="2055"/>
      <c r="L293" s="2056"/>
      <c r="M293" s="2054"/>
      <c r="N293" s="2054"/>
      <c r="O293" s="2054"/>
      <c r="P293" s="2054"/>
      <c r="Q293" s="2054"/>
      <c r="R293" s="2054"/>
      <c r="S293" s="2054"/>
      <c r="T293" s="2054"/>
      <c r="U293" s="2054"/>
      <c r="V293" s="2054"/>
      <c r="W293" s="2054"/>
      <c r="X293" s="2054"/>
      <c r="Y293" s="2054"/>
      <c r="Z293" s="2054"/>
      <c r="AA293" s="2054"/>
      <c r="AB293" s="2054"/>
      <c r="AC293" s="2054"/>
    </row>
    <row r="294" spans="1:29">
      <c r="A294" s="2054"/>
      <c r="B294" s="2054"/>
      <c r="C294" s="2054"/>
      <c r="D294" s="2054"/>
      <c r="E294" s="2054"/>
      <c r="F294" s="2054"/>
      <c r="G294" s="2054"/>
      <c r="H294" s="2054"/>
      <c r="I294" s="2054"/>
      <c r="J294" s="2054"/>
      <c r="K294" s="2055"/>
      <c r="L294" s="2056"/>
      <c r="M294" s="2054"/>
      <c r="N294" s="2054"/>
      <c r="O294" s="2054"/>
      <c r="P294" s="2054"/>
      <c r="Q294" s="2054"/>
      <c r="R294" s="2054"/>
      <c r="S294" s="2054"/>
      <c r="T294" s="2054"/>
      <c r="U294" s="2054"/>
      <c r="V294" s="2054"/>
      <c r="W294" s="2054"/>
      <c r="X294" s="2054"/>
      <c r="Y294" s="2054"/>
      <c r="Z294" s="2054"/>
      <c r="AA294" s="2054"/>
      <c r="AB294" s="2054"/>
      <c r="AC294" s="2054"/>
    </row>
    <row r="295" spans="1:29">
      <c r="A295" s="2054"/>
      <c r="B295" s="2054"/>
      <c r="C295" s="2054"/>
      <c r="D295" s="2054"/>
      <c r="E295" s="2054"/>
      <c r="F295" s="2054"/>
      <c r="G295" s="2054"/>
      <c r="H295" s="2054"/>
      <c r="I295" s="2054"/>
      <c r="J295" s="2054"/>
      <c r="K295" s="2055"/>
      <c r="L295" s="2056"/>
      <c r="M295" s="2054"/>
      <c r="N295" s="2054"/>
      <c r="O295" s="2054"/>
      <c r="P295" s="2054"/>
      <c r="Q295" s="2054"/>
      <c r="R295" s="2054"/>
      <c r="S295" s="2054"/>
      <c r="T295" s="2054"/>
      <c r="U295" s="2054"/>
      <c r="V295" s="2054"/>
      <c r="W295" s="2054"/>
      <c r="X295" s="2054"/>
      <c r="Y295" s="2054"/>
      <c r="Z295" s="2054"/>
      <c r="AA295" s="2054"/>
      <c r="AB295" s="2054"/>
      <c r="AC295" s="2054"/>
    </row>
    <row r="296" spans="1:29">
      <c r="A296" s="2054"/>
      <c r="B296" s="2054"/>
      <c r="C296" s="2054"/>
      <c r="D296" s="2054"/>
      <c r="E296" s="2054"/>
      <c r="F296" s="2054"/>
      <c r="G296" s="2054"/>
      <c r="H296" s="2054"/>
      <c r="I296" s="2054"/>
      <c r="J296" s="2054"/>
      <c r="K296" s="2055"/>
      <c r="L296" s="2056"/>
      <c r="M296" s="2054"/>
      <c r="N296" s="2054"/>
      <c r="O296" s="2054"/>
      <c r="P296" s="2054"/>
      <c r="Q296" s="2054"/>
      <c r="R296" s="2054"/>
      <c r="S296" s="2054"/>
      <c r="T296" s="2054"/>
      <c r="U296" s="2054"/>
      <c r="V296" s="2054"/>
      <c r="W296" s="2054"/>
      <c r="X296" s="2054"/>
      <c r="Y296" s="2054"/>
      <c r="Z296" s="2054"/>
      <c r="AA296" s="2054"/>
      <c r="AB296" s="2054"/>
      <c r="AC296" s="2054"/>
    </row>
    <row r="297" spans="1:29">
      <c r="A297" s="2054"/>
      <c r="B297" s="2054"/>
      <c r="C297" s="2054"/>
      <c r="D297" s="2054"/>
      <c r="E297" s="2054"/>
      <c r="F297" s="2054"/>
      <c r="G297" s="2054"/>
      <c r="H297" s="2054"/>
      <c r="I297" s="2054"/>
      <c r="J297" s="2054"/>
      <c r="K297" s="2055"/>
      <c r="L297" s="2056"/>
      <c r="M297" s="2054"/>
      <c r="N297" s="2054"/>
      <c r="O297" s="2054"/>
      <c r="P297" s="2054"/>
      <c r="Q297" s="2054"/>
      <c r="R297" s="2054"/>
      <c r="S297" s="2054"/>
      <c r="T297" s="2054"/>
      <c r="U297" s="2054"/>
      <c r="V297" s="2054"/>
      <c r="W297" s="2054"/>
      <c r="X297" s="2054"/>
      <c r="Y297" s="2054"/>
      <c r="Z297" s="2054"/>
      <c r="AA297" s="2054"/>
      <c r="AB297" s="2054"/>
      <c r="AC297" s="2054"/>
    </row>
    <row r="298" spans="1:29">
      <c r="A298" s="2054"/>
      <c r="B298" s="2054"/>
      <c r="C298" s="2054"/>
      <c r="D298" s="2054"/>
      <c r="E298" s="2054"/>
      <c r="F298" s="2054"/>
      <c r="G298" s="2054"/>
      <c r="H298" s="2054"/>
      <c r="I298" s="2054"/>
      <c r="J298" s="2054"/>
      <c r="K298" s="2055"/>
      <c r="L298" s="2056"/>
      <c r="M298" s="2054"/>
      <c r="N298" s="2054"/>
      <c r="O298" s="2054"/>
      <c r="P298" s="2054"/>
      <c r="Q298" s="2054"/>
      <c r="R298" s="2054"/>
      <c r="S298" s="2054"/>
      <c r="T298" s="2054"/>
      <c r="U298" s="2054"/>
      <c r="V298" s="2054"/>
      <c r="W298" s="2054"/>
      <c r="X298" s="2054"/>
      <c r="Y298" s="2054"/>
      <c r="Z298" s="2054"/>
      <c r="AA298" s="2054"/>
      <c r="AB298" s="2054"/>
      <c r="AC298" s="2054"/>
    </row>
    <row r="299" spans="1:29">
      <c r="A299" s="2054"/>
      <c r="B299" s="2054"/>
      <c r="C299" s="2054"/>
      <c r="D299" s="2054"/>
      <c r="E299" s="2054"/>
      <c r="F299" s="2054"/>
      <c r="G299" s="2054"/>
      <c r="H299" s="2054"/>
      <c r="I299" s="2054"/>
      <c r="J299" s="2054"/>
      <c r="K299" s="2055"/>
      <c r="L299" s="2056"/>
      <c r="M299" s="2054"/>
      <c r="N299" s="2054"/>
      <c r="O299" s="2054"/>
      <c r="P299" s="2054"/>
      <c r="Q299" s="2054"/>
      <c r="R299" s="2054"/>
      <c r="S299" s="2054"/>
      <c r="T299" s="2054"/>
      <c r="U299" s="2054"/>
      <c r="V299" s="2054"/>
      <c r="W299" s="2054"/>
      <c r="X299" s="2054"/>
      <c r="Y299" s="2054"/>
      <c r="Z299" s="2054"/>
      <c r="AA299" s="2054"/>
      <c r="AB299" s="2054"/>
      <c r="AC299" s="2054"/>
    </row>
    <row r="300" spans="1:29">
      <c r="A300" s="2054"/>
      <c r="B300" s="2054"/>
      <c r="C300" s="2054"/>
      <c r="D300" s="2054"/>
      <c r="E300" s="2054"/>
      <c r="F300" s="2054"/>
      <c r="G300" s="2054"/>
      <c r="H300" s="2054"/>
      <c r="I300" s="2054"/>
      <c r="J300" s="2054"/>
      <c r="K300" s="2055"/>
      <c r="L300" s="2056"/>
      <c r="M300" s="2054"/>
      <c r="N300" s="2054"/>
      <c r="O300" s="2054"/>
      <c r="P300" s="2054"/>
      <c r="Q300" s="2054"/>
      <c r="R300" s="2054"/>
      <c r="S300" s="2054"/>
      <c r="T300" s="2054"/>
      <c r="U300" s="2054"/>
      <c r="V300" s="2054"/>
      <c r="W300" s="2054"/>
      <c r="X300" s="2054"/>
      <c r="Y300" s="2054"/>
      <c r="Z300" s="2054"/>
      <c r="AA300" s="2054"/>
      <c r="AB300" s="2054"/>
      <c r="AC300" s="2054"/>
    </row>
    <row r="301" spans="1:29">
      <c r="A301" s="2054"/>
      <c r="B301" s="2054"/>
      <c r="C301" s="2054"/>
      <c r="D301" s="2054"/>
      <c r="E301" s="2054"/>
      <c r="F301" s="2054"/>
      <c r="G301" s="2054"/>
      <c r="H301" s="2054"/>
      <c r="I301" s="2054"/>
      <c r="J301" s="2054"/>
      <c r="K301" s="2055"/>
      <c r="L301" s="2056"/>
      <c r="M301" s="2054"/>
      <c r="N301" s="2054"/>
      <c r="O301" s="2054"/>
      <c r="P301" s="2054"/>
      <c r="Q301" s="2054"/>
      <c r="R301" s="2054"/>
      <c r="S301" s="2054"/>
      <c r="T301" s="2054"/>
      <c r="U301" s="2054"/>
      <c r="V301" s="2054"/>
      <c r="W301" s="2054"/>
      <c r="X301" s="2054"/>
      <c r="Y301" s="2054"/>
      <c r="Z301" s="2054"/>
      <c r="AA301" s="2054"/>
      <c r="AB301" s="2054"/>
      <c r="AC301" s="2054"/>
    </row>
    <row r="302" spans="1:29">
      <c r="A302" s="2054"/>
      <c r="B302" s="2054"/>
      <c r="C302" s="2054"/>
      <c r="D302" s="2054"/>
      <c r="E302" s="2054"/>
      <c r="F302" s="2054"/>
      <c r="G302" s="2054"/>
      <c r="H302" s="2054"/>
      <c r="I302" s="2054"/>
      <c r="J302" s="2054"/>
      <c r="K302" s="2055"/>
      <c r="L302" s="2056"/>
      <c r="M302" s="2054"/>
      <c r="N302" s="2054"/>
      <c r="O302" s="2054"/>
      <c r="P302" s="2054"/>
      <c r="Q302" s="2054"/>
      <c r="R302" s="2054"/>
      <c r="S302" s="2054"/>
      <c r="T302" s="2054"/>
      <c r="U302" s="2054"/>
      <c r="V302" s="2054"/>
      <c r="W302" s="2054"/>
      <c r="X302" s="2054"/>
      <c r="Y302" s="2054"/>
      <c r="Z302" s="2054"/>
      <c r="AA302" s="2054"/>
      <c r="AB302" s="2054"/>
      <c r="AC302" s="2054"/>
    </row>
    <row r="303" spans="1:29">
      <c r="A303" s="2054"/>
      <c r="B303" s="2054"/>
      <c r="C303" s="2054"/>
      <c r="D303" s="2054"/>
      <c r="E303" s="2054"/>
      <c r="F303" s="2054"/>
      <c r="G303" s="2054"/>
      <c r="H303" s="2054"/>
      <c r="I303" s="2054"/>
      <c r="J303" s="2054"/>
      <c r="K303" s="2055"/>
      <c r="L303" s="2056"/>
      <c r="M303" s="2054"/>
      <c r="N303" s="2054"/>
      <c r="O303" s="2054"/>
      <c r="P303" s="2054"/>
      <c r="Q303" s="2054"/>
      <c r="R303" s="2054"/>
      <c r="S303" s="2054"/>
      <c r="T303" s="2054"/>
      <c r="U303" s="2054"/>
      <c r="V303" s="2054"/>
      <c r="W303" s="2054"/>
      <c r="X303" s="2054"/>
      <c r="Y303" s="2054"/>
      <c r="Z303" s="2054"/>
      <c r="AA303" s="2054"/>
      <c r="AB303" s="2054"/>
      <c r="AC303" s="2054"/>
    </row>
    <row r="304" spans="1:29">
      <c r="A304" s="2054"/>
      <c r="B304" s="2054"/>
      <c r="C304" s="2054"/>
      <c r="D304" s="2054"/>
      <c r="E304" s="2054"/>
      <c r="F304" s="2054"/>
      <c r="G304" s="2054"/>
      <c r="H304" s="2054"/>
      <c r="I304" s="2054"/>
      <c r="J304" s="2054"/>
      <c r="K304" s="2055"/>
      <c r="L304" s="2056"/>
      <c r="M304" s="2054"/>
      <c r="N304" s="2054"/>
      <c r="O304" s="2054"/>
      <c r="P304" s="2054"/>
      <c r="Q304" s="2054"/>
      <c r="R304" s="2054"/>
      <c r="S304" s="2054"/>
      <c r="T304" s="2054"/>
      <c r="U304" s="2054"/>
      <c r="V304" s="2054"/>
      <c r="W304" s="2054"/>
      <c r="X304" s="2054"/>
      <c r="Y304" s="2054"/>
      <c r="Z304" s="2054"/>
      <c r="AA304" s="2054"/>
      <c r="AB304" s="2054"/>
      <c r="AC304" s="2054"/>
    </row>
    <row r="305" spans="1:29">
      <c r="A305" s="2054"/>
      <c r="B305" s="2054"/>
      <c r="C305" s="2054"/>
      <c r="D305" s="2054"/>
      <c r="E305" s="2054"/>
      <c r="F305" s="2054"/>
      <c r="G305" s="2054"/>
      <c r="H305" s="2054"/>
      <c r="I305" s="2054"/>
      <c r="J305" s="2054"/>
      <c r="K305" s="2055"/>
      <c r="L305" s="2056"/>
      <c r="M305" s="2054"/>
      <c r="N305" s="2054"/>
      <c r="O305" s="2054"/>
      <c r="P305" s="2054"/>
      <c r="Q305" s="2054"/>
      <c r="R305" s="2054"/>
      <c r="S305" s="2054"/>
      <c r="T305" s="2054"/>
      <c r="U305" s="2054"/>
      <c r="V305" s="2054"/>
      <c r="W305" s="2054"/>
      <c r="X305" s="2054"/>
      <c r="Y305" s="2054"/>
      <c r="Z305" s="2054"/>
      <c r="AA305" s="2054"/>
      <c r="AB305" s="2054"/>
      <c r="AC305" s="2054"/>
    </row>
    <row r="306" spans="1:29">
      <c r="A306" s="2054"/>
      <c r="B306" s="2054"/>
      <c r="C306" s="2054"/>
      <c r="D306" s="2054"/>
      <c r="E306" s="2054"/>
      <c r="F306" s="2054"/>
      <c r="G306" s="2054"/>
      <c r="H306" s="2054"/>
      <c r="I306" s="2054"/>
      <c r="J306" s="2054"/>
      <c r="K306" s="2055"/>
      <c r="L306" s="2056"/>
      <c r="M306" s="2054"/>
      <c r="N306" s="2054"/>
      <c r="O306" s="2054"/>
      <c r="P306" s="2054"/>
      <c r="Q306" s="2054"/>
      <c r="R306" s="2054"/>
      <c r="S306" s="2054"/>
      <c r="T306" s="2054"/>
      <c r="U306" s="2054"/>
      <c r="V306" s="2054"/>
      <c r="W306" s="2054"/>
      <c r="X306" s="2054"/>
      <c r="Y306" s="2054"/>
      <c r="Z306" s="2054"/>
      <c r="AA306" s="2054"/>
      <c r="AB306" s="2054"/>
      <c r="AC306" s="2054"/>
    </row>
    <row r="307" spans="1:29">
      <c r="A307" s="2054"/>
      <c r="B307" s="2054"/>
      <c r="C307" s="2054"/>
      <c r="D307" s="2054"/>
      <c r="E307" s="2054"/>
      <c r="F307" s="2054"/>
      <c r="G307" s="2054"/>
      <c r="H307" s="2054"/>
      <c r="I307" s="2054"/>
      <c r="J307" s="2054"/>
      <c r="K307" s="2055"/>
      <c r="L307" s="2056"/>
      <c r="M307" s="2054"/>
      <c r="N307" s="2054"/>
      <c r="O307" s="2054"/>
      <c r="P307" s="2054"/>
      <c r="Q307" s="2054"/>
      <c r="R307" s="2054"/>
      <c r="S307" s="2054"/>
      <c r="T307" s="2054"/>
      <c r="U307" s="2054"/>
      <c r="V307" s="2054"/>
      <c r="W307" s="2054"/>
      <c r="X307" s="2054"/>
      <c r="Y307" s="2054"/>
      <c r="Z307" s="2054"/>
      <c r="AA307" s="2054"/>
      <c r="AB307" s="2054"/>
      <c r="AC307" s="2054"/>
    </row>
    <row r="308" spans="1:29">
      <c r="A308" s="2054"/>
      <c r="B308" s="2054"/>
      <c r="C308" s="2054"/>
      <c r="D308" s="2054"/>
      <c r="E308" s="2054"/>
      <c r="F308" s="2054"/>
      <c r="G308" s="2054"/>
      <c r="H308" s="2054"/>
      <c r="I308" s="2054"/>
      <c r="J308" s="2054"/>
      <c r="K308" s="2055"/>
      <c r="L308" s="2056"/>
      <c r="M308" s="2054"/>
      <c r="N308" s="2054"/>
      <c r="O308" s="2054"/>
      <c r="P308" s="2054"/>
      <c r="Q308" s="2054"/>
      <c r="R308" s="2054"/>
      <c r="S308" s="2054"/>
      <c r="T308" s="2054"/>
      <c r="U308" s="2054"/>
      <c r="V308" s="2054"/>
      <c r="W308" s="2054"/>
      <c r="X308" s="2054"/>
      <c r="Y308" s="2054"/>
      <c r="Z308" s="2054"/>
      <c r="AA308" s="2054"/>
      <c r="AB308" s="2054"/>
      <c r="AC308" s="2054"/>
    </row>
    <row r="309" spans="1:29">
      <c r="A309" s="2054"/>
      <c r="B309" s="2054"/>
      <c r="C309" s="2054"/>
      <c r="D309" s="2054"/>
      <c r="E309" s="2054"/>
      <c r="F309" s="2054"/>
      <c r="G309" s="2054"/>
      <c r="H309" s="2054"/>
      <c r="I309" s="2054"/>
      <c r="J309" s="2054"/>
      <c r="K309" s="2055"/>
      <c r="L309" s="2056"/>
      <c r="M309" s="2054"/>
      <c r="N309" s="2054"/>
      <c r="O309" s="2054"/>
      <c r="P309" s="2054"/>
      <c r="Q309" s="2054"/>
      <c r="R309" s="2054"/>
      <c r="S309" s="2054"/>
      <c r="T309" s="2054"/>
      <c r="U309" s="2054"/>
      <c r="V309" s="2054"/>
      <c r="W309" s="2054"/>
      <c r="X309" s="2054"/>
      <c r="Y309" s="2054"/>
      <c r="Z309" s="2054"/>
      <c r="AA309" s="2054"/>
      <c r="AB309" s="2054"/>
      <c r="AC309" s="2054"/>
    </row>
    <row r="310" spans="1:29">
      <c r="A310" s="2054"/>
      <c r="B310" s="2054"/>
      <c r="C310" s="2054"/>
      <c r="D310" s="2054"/>
      <c r="E310" s="2054"/>
      <c r="F310" s="2054"/>
      <c r="G310" s="2054"/>
      <c r="H310" s="2054"/>
      <c r="I310" s="2054"/>
      <c r="J310" s="2054"/>
      <c r="K310" s="2055"/>
      <c r="L310" s="2056"/>
      <c r="M310" s="2054"/>
      <c r="N310" s="2054"/>
      <c r="O310" s="2054"/>
      <c r="P310" s="2054"/>
      <c r="Q310" s="2054"/>
      <c r="R310" s="2054"/>
      <c r="S310" s="2054"/>
      <c r="T310" s="2054"/>
      <c r="U310" s="2054"/>
      <c r="V310" s="2054"/>
      <c r="W310" s="2054"/>
      <c r="X310" s="2054"/>
      <c r="Y310" s="2054"/>
      <c r="Z310" s="2054"/>
      <c r="AA310" s="2054"/>
      <c r="AB310" s="2054"/>
      <c r="AC310" s="2054"/>
    </row>
    <row r="311" spans="1:29">
      <c r="A311" s="2054"/>
      <c r="B311" s="2054"/>
      <c r="C311" s="2054"/>
      <c r="D311" s="2054"/>
      <c r="E311" s="2054"/>
      <c r="F311" s="2054"/>
      <c r="G311" s="2054"/>
      <c r="H311" s="2054"/>
      <c r="I311" s="2054"/>
      <c r="J311" s="2054"/>
      <c r="K311" s="2055"/>
      <c r="L311" s="2056"/>
      <c r="M311" s="2054"/>
      <c r="N311" s="2054"/>
      <c r="O311" s="2054"/>
      <c r="P311" s="2054"/>
      <c r="Q311" s="2054"/>
      <c r="R311" s="2054"/>
      <c r="S311" s="2054"/>
      <c r="T311" s="2054"/>
      <c r="U311" s="2054"/>
      <c r="V311" s="2054"/>
      <c r="W311" s="2054"/>
      <c r="X311" s="2054"/>
      <c r="Y311" s="2054"/>
      <c r="Z311" s="2054"/>
      <c r="AA311" s="2054"/>
      <c r="AB311" s="2054"/>
      <c r="AC311" s="2054"/>
    </row>
    <row r="312" spans="1:29">
      <c r="A312" s="2054"/>
      <c r="B312" s="2054"/>
      <c r="C312" s="2054"/>
      <c r="D312" s="2054"/>
      <c r="E312" s="2054"/>
      <c r="F312" s="2054"/>
      <c r="G312" s="2054"/>
      <c r="H312" s="2054"/>
      <c r="I312" s="2054"/>
      <c r="J312" s="2054"/>
      <c r="K312" s="2055"/>
      <c r="L312" s="2056"/>
      <c r="M312" s="2054"/>
      <c r="N312" s="2054"/>
      <c r="O312" s="2054"/>
      <c r="P312" s="2054"/>
      <c r="Q312" s="2054"/>
      <c r="R312" s="2054"/>
      <c r="S312" s="2054"/>
      <c r="T312" s="2054"/>
      <c r="U312" s="2054"/>
      <c r="V312" s="2054"/>
      <c r="W312" s="2054"/>
      <c r="X312" s="2054"/>
      <c r="Y312" s="2054"/>
      <c r="Z312" s="2054"/>
      <c r="AA312" s="2054"/>
      <c r="AB312" s="2054"/>
      <c r="AC312" s="2054"/>
    </row>
    <row r="313" spans="1:29">
      <c r="A313" s="2054"/>
      <c r="B313" s="2054"/>
      <c r="C313" s="2054"/>
      <c r="D313" s="2054"/>
      <c r="E313" s="2054"/>
      <c r="F313" s="2054"/>
      <c r="G313" s="2054"/>
      <c r="H313" s="2054"/>
      <c r="I313" s="2054"/>
      <c r="J313" s="2054"/>
      <c r="K313" s="2055"/>
      <c r="L313" s="2056"/>
      <c r="M313" s="2054"/>
      <c r="N313" s="2054"/>
      <c r="O313" s="2054"/>
      <c r="P313" s="2054"/>
      <c r="Q313" s="2054"/>
      <c r="R313" s="2054"/>
      <c r="S313" s="2054"/>
      <c r="T313" s="2054"/>
      <c r="U313" s="2054"/>
      <c r="V313" s="2054"/>
      <c r="W313" s="2054"/>
      <c r="X313" s="2054"/>
      <c r="Y313" s="2054"/>
      <c r="Z313" s="2054"/>
      <c r="AA313" s="2054"/>
      <c r="AB313" s="2054"/>
      <c r="AC313" s="2054"/>
    </row>
    <row r="314" spans="1:29">
      <c r="A314" s="2054"/>
      <c r="B314" s="2054"/>
      <c r="C314" s="2054"/>
      <c r="D314" s="2054"/>
      <c r="E314" s="2054"/>
      <c r="F314" s="2054"/>
      <c r="G314" s="2054"/>
      <c r="H314" s="2054"/>
      <c r="I314" s="2054"/>
      <c r="J314" s="2054"/>
      <c r="K314" s="2055"/>
      <c r="L314" s="2056"/>
      <c r="M314" s="2054"/>
      <c r="N314" s="2054"/>
      <c r="O314" s="2054"/>
      <c r="P314" s="2054"/>
      <c r="Q314" s="2054"/>
      <c r="R314" s="2054"/>
      <c r="S314" s="2054"/>
      <c r="T314" s="2054"/>
      <c r="U314" s="2054"/>
      <c r="V314" s="2054"/>
      <c r="W314" s="2054"/>
      <c r="X314" s="2054"/>
      <c r="Y314" s="2054"/>
      <c r="Z314" s="2054"/>
      <c r="AA314" s="2054"/>
      <c r="AB314" s="2054"/>
      <c r="AC314" s="2054"/>
    </row>
    <row r="315" spans="1:29">
      <c r="A315" s="2054"/>
      <c r="B315" s="2054"/>
      <c r="C315" s="2054"/>
      <c r="D315" s="2054"/>
      <c r="E315" s="2054"/>
      <c r="F315" s="2054"/>
      <c r="G315" s="2054"/>
      <c r="H315" s="2054"/>
      <c r="I315" s="2054"/>
      <c r="J315" s="2054"/>
      <c r="K315" s="2055"/>
      <c r="L315" s="2056"/>
      <c r="M315" s="2054"/>
      <c r="N315" s="2054"/>
      <c r="O315" s="2054"/>
      <c r="P315" s="2054"/>
      <c r="Q315" s="2054"/>
      <c r="R315" s="2054"/>
      <c r="S315" s="2054"/>
      <c r="T315" s="2054"/>
      <c r="U315" s="2054"/>
      <c r="V315" s="2054"/>
      <c r="W315" s="2054"/>
      <c r="X315" s="2054"/>
      <c r="Y315" s="2054"/>
      <c r="Z315" s="2054"/>
      <c r="AA315" s="2054"/>
      <c r="AB315" s="2054"/>
      <c r="AC315" s="2054"/>
    </row>
    <row r="316" spans="1:29">
      <c r="A316" s="2054"/>
      <c r="B316" s="2054"/>
      <c r="C316" s="2054"/>
      <c r="D316" s="2054"/>
      <c r="E316" s="2054"/>
      <c r="F316" s="2054"/>
      <c r="G316" s="2054"/>
      <c r="H316" s="2054"/>
      <c r="I316" s="2054"/>
      <c r="J316" s="2054"/>
      <c r="K316" s="2055"/>
      <c r="L316" s="2056"/>
      <c r="M316" s="2054"/>
      <c r="N316" s="2054"/>
      <c r="O316" s="2054"/>
      <c r="P316" s="2054"/>
      <c r="Q316" s="2054"/>
      <c r="R316" s="2054"/>
      <c r="S316" s="2054"/>
      <c r="T316" s="2054"/>
      <c r="U316" s="2054"/>
      <c r="V316" s="2054"/>
      <c r="W316" s="2054"/>
      <c r="X316" s="2054"/>
      <c r="Y316" s="2054"/>
      <c r="Z316" s="2054"/>
      <c r="AA316" s="2054"/>
      <c r="AB316" s="2054"/>
      <c r="AC316" s="2054"/>
    </row>
    <row r="317" spans="1:29">
      <c r="A317" s="2054"/>
      <c r="B317" s="2054"/>
      <c r="C317" s="2054"/>
      <c r="D317" s="2054"/>
      <c r="E317" s="2054"/>
      <c r="F317" s="2054"/>
      <c r="G317" s="2054"/>
      <c r="H317" s="2054"/>
      <c r="I317" s="2054"/>
      <c r="J317" s="2054"/>
      <c r="K317" s="2055"/>
      <c r="L317" s="2056"/>
      <c r="M317" s="2054"/>
      <c r="N317" s="2054"/>
      <c r="O317" s="2054"/>
      <c r="P317" s="2054"/>
      <c r="Q317" s="2054"/>
      <c r="R317" s="2054"/>
      <c r="S317" s="2054"/>
      <c r="T317" s="2054"/>
      <c r="U317" s="2054"/>
      <c r="V317" s="2054"/>
      <c r="W317" s="2054"/>
      <c r="X317" s="2054"/>
      <c r="Y317" s="2054"/>
      <c r="Z317" s="2054"/>
      <c r="AA317" s="2054"/>
      <c r="AB317" s="2054"/>
      <c r="AC317" s="2054"/>
    </row>
    <row r="318" spans="1:29">
      <c r="A318" s="2054"/>
      <c r="B318" s="2054"/>
      <c r="C318" s="2054"/>
      <c r="D318" s="2054"/>
      <c r="E318" s="2054"/>
      <c r="F318" s="2054"/>
      <c r="G318" s="2054"/>
      <c r="H318" s="2054"/>
      <c r="I318" s="2054"/>
      <c r="J318" s="2054"/>
      <c r="K318" s="2055"/>
      <c r="L318" s="2056"/>
      <c r="M318" s="2054"/>
      <c r="N318" s="2054"/>
      <c r="O318" s="2054"/>
      <c r="P318" s="2054"/>
      <c r="Q318" s="2054"/>
      <c r="R318" s="2054"/>
      <c r="S318" s="2054"/>
      <c r="T318" s="2054"/>
      <c r="U318" s="2054"/>
      <c r="V318" s="2054"/>
      <c r="W318" s="2054"/>
      <c r="X318" s="2054"/>
      <c r="Y318" s="2054"/>
      <c r="Z318" s="2054"/>
      <c r="AA318" s="2054"/>
      <c r="AB318" s="2054"/>
      <c r="AC318" s="2054"/>
    </row>
    <row r="319" spans="1:29">
      <c r="N319" s="2054"/>
      <c r="O319" s="2054"/>
      <c r="P319" s="2054"/>
      <c r="Q319" s="2054"/>
      <c r="R319" s="2054"/>
      <c r="S319" s="2054"/>
      <c r="T319" s="2054"/>
      <c r="U319" s="2054"/>
      <c r="V319" s="2054"/>
      <c r="W319" s="2054"/>
      <c r="X319" s="2054"/>
      <c r="Y319" s="2054"/>
      <c r="Z319" s="2054"/>
      <c r="AA319" s="2054"/>
      <c r="AB319" s="2054"/>
      <c r="AC319" s="2054"/>
    </row>
    <row r="320" spans="1:29">
      <c r="AC320" s="2054"/>
    </row>
    <row r="321" spans="29:29">
      <c r="AC321" s="2054"/>
    </row>
    <row r="322" spans="29:29">
      <c r="AC322" s="2054"/>
    </row>
    <row r="323" spans="29:29">
      <c r="AC323" s="2054"/>
    </row>
    <row r="324" spans="29:29">
      <c r="AC324" s="2054"/>
    </row>
    <row r="325" spans="29:29">
      <c r="AC325" s="2054"/>
    </row>
    <row r="326" spans="29:29">
      <c r="AC326" s="2054"/>
    </row>
    <row r="327" spans="29:29">
      <c r="AC327" s="2054"/>
    </row>
    <row r="328" spans="29:29">
      <c r="AC328" s="2054"/>
    </row>
    <row r="329" spans="29:29">
      <c r="AC329" s="2054"/>
    </row>
    <row r="330" spans="29:29">
      <c r="AC330" s="2054"/>
    </row>
    <row r="331" spans="29:29">
      <c r="AC331" s="2054"/>
    </row>
    <row r="332" spans="29:29">
      <c r="AC332" s="2054"/>
    </row>
    <row r="333" spans="29:29">
      <c r="AC333" s="2054"/>
    </row>
    <row r="334" spans="29:29">
      <c r="AC334" s="2054"/>
    </row>
    <row r="335" spans="29:29">
      <c r="AC335" s="2054"/>
    </row>
    <row r="336" spans="29:29">
      <c r="AC336" s="2054"/>
    </row>
    <row r="337" spans="29:29">
      <c r="AC337" s="2054"/>
    </row>
    <row r="338" spans="29:29">
      <c r="AC338" s="2054"/>
    </row>
    <row r="339" spans="29:29">
      <c r="AC339" s="2054"/>
    </row>
    <row r="340" spans="29:29">
      <c r="AC340" s="2054"/>
    </row>
    <row r="341" spans="29:29">
      <c r="AC341" s="2054"/>
    </row>
    <row r="342" spans="29:29">
      <c r="AC342" s="2054"/>
    </row>
    <row r="343" spans="29:29">
      <c r="AC343" s="2054"/>
    </row>
    <row r="344" spans="29:29">
      <c r="AC344" s="2054"/>
    </row>
    <row r="345" spans="29:29">
      <c r="AC345" s="2054"/>
    </row>
    <row r="346" spans="29:29">
      <c r="AC346" s="2054"/>
    </row>
    <row r="347" spans="29:29">
      <c r="AC347" s="2054"/>
    </row>
    <row r="348" spans="29:29">
      <c r="AC348" s="2054"/>
    </row>
    <row r="349" spans="29:29">
      <c r="AC349" s="2054"/>
    </row>
    <row r="350" spans="29:29">
      <c r="AC350" s="2054"/>
    </row>
    <row r="351" spans="29:29">
      <c r="AC351" s="2054"/>
    </row>
    <row r="352" spans="29:29">
      <c r="AC352" s="2054"/>
    </row>
    <row r="353" spans="29:29">
      <c r="AC353" s="2054"/>
    </row>
    <row r="354" spans="29:29">
      <c r="AC354" s="2054"/>
    </row>
    <row r="355" spans="29:29">
      <c r="AC355" s="2054"/>
    </row>
    <row r="356" spans="29:29">
      <c r="AC356" s="2054"/>
    </row>
    <row r="357" spans="29:29">
      <c r="AC357" s="2054"/>
    </row>
    <row r="358" spans="29:29">
      <c r="AC358" s="2054"/>
    </row>
    <row r="359" spans="29:29">
      <c r="AC359" s="2054"/>
    </row>
    <row r="360" spans="29:29">
      <c r="AC360" s="2054"/>
    </row>
    <row r="361" spans="29:29">
      <c r="AC361" s="2054"/>
    </row>
    <row r="362" spans="29:29">
      <c r="AC362" s="2054"/>
    </row>
    <row r="363" spans="29:29">
      <c r="AC363" s="2054"/>
    </row>
    <row r="364" spans="29:29">
      <c r="AC364" s="2054"/>
    </row>
    <row r="365" spans="29:29">
      <c r="AC365" s="2054"/>
    </row>
    <row r="366" spans="29:29">
      <c r="AC366" s="2054"/>
    </row>
    <row r="367" spans="29:29">
      <c r="AC367" s="2054"/>
    </row>
    <row r="368" spans="29:29">
      <c r="AC368" s="2054"/>
    </row>
    <row r="369" spans="29:29">
      <c r="AC369" s="2054"/>
    </row>
    <row r="370" spans="29:29">
      <c r="AC370" s="2054"/>
    </row>
    <row r="371" spans="29:29">
      <c r="AC371" s="2054"/>
    </row>
    <row r="372" spans="29:29">
      <c r="AC372" s="2054"/>
    </row>
    <row r="373" spans="29:29">
      <c r="AC373" s="2054"/>
    </row>
    <row r="374" spans="29:29">
      <c r="AC374" s="2054"/>
    </row>
    <row r="375" spans="29:29">
      <c r="AC375" s="2054"/>
    </row>
    <row r="376" spans="29:29">
      <c r="AC376" s="2054"/>
    </row>
    <row r="377" spans="29:29">
      <c r="AC377" s="2054"/>
    </row>
    <row r="378" spans="29:29">
      <c r="AC378" s="2054"/>
    </row>
    <row r="379" spans="29:29">
      <c r="AC379" s="2054"/>
    </row>
    <row r="380" spans="29:29">
      <c r="AC380" s="2054"/>
    </row>
    <row r="381" spans="29:29">
      <c r="AC381" s="2054"/>
    </row>
    <row r="382" spans="29:29">
      <c r="AC382" s="2054"/>
    </row>
    <row r="383" spans="29:29">
      <c r="AC383" s="2054"/>
    </row>
    <row r="384" spans="29:29">
      <c r="AC384" s="2054"/>
    </row>
    <row r="385" spans="29:29">
      <c r="AC385" s="2054"/>
    </row>
    <row r="386" spans="29:29">
      <c r="AC386" s="2054"/>
    </row>
    <row r="387" spans="29:29">
      <c r="AC387" s="2054"/>
    </row>
    <row r="388" spans="29:29">
      <c r="AC388" s="2054"/>
    </row>
    <row r="389" spans="29:29">
      <c r="AC389" s="2054"/>
    </row>
    <row r="390" spans="29:29">
      <c r="AC390" s="2054"/>
    </row>
    <row r="391" spans="29:29">
      <c r="AC391" s="2054"/>
    </row>
    <row r="392" spans="29:29">
      <c r="AC392" s="2054"/>
    </row>
    <row r="393" spans="29:29">
      <c r="AC393" s="2054"/>
    </row>
    <row r="394" spans="29:29">
      <c r="AC394" s="2054"/>
    </row>
    <row r="395" spans="29:29">
      <c r="AC395" s="2054"/>
    </row>
    <row r="396" spans="29:29">
      <c r="AC396" s="2054"/>
    </row>
    <row r="397" spans="29:29">
      <c r="AC397" s="2054"/>
    </row>
    <row r="398" spans="29:29">
      <c r="AC398" s="2054"/>
    </row>
    <row r="399" spans="29:29">
      <c r="AC399" s="2054"/>
    </row>
    <row r="400" spans="29:29">
      <c r="AC400" s="2054"/>
    </row>
    <row r="401" spans="29:29">
      <c r="AC401" s="2054"/>
    </row>
    <row r="402" spans="29:29">
      <c r="AC402" s="2054"/>
    </row>
    <row r="403" spans="29:29">
      <c r="AC403" s="2054"/>
    </row>
    <row r="404" spans="29:29">
      <c r="AC404" s="2054"/>
    </row>
    <row r="405" spans="29:29">
      <c r="AC405" s="2054"/>
    </row>
    <row r="406" spans="29:29">
      <c r="AC406" s="2054"/>
    </row>
    <row r="407" spans="29:29">
      <c r="AC407" s="2054"/>
    </row>
    <row r="408" spans="29:29">
      <c r="AC408" s="2054"/>
    </row>
    <row r="409" spans="29:29">
      <c r="AC409" s="2054"/>
    </row>
    <row r="410" spans="29:29">
      <c r="AC410" s="2054"/>
    </row>
    <row r="411" spans="29:29">
      <c r="AC411" s="2054"/>
    </row>
    <row r="412" spans="29:29">
      <c r="AC412" s="2054"/>
    </row>
    <row r="413" spans="29:29">
      <c r="AC413" s="2054"/>
    </row>
    <row r="414" spans="29:29">
      <c r="AC414" s="2054"/>
    </row>
    <row r="415" spans="29:29">
      <c r="AC415" s="2054"/>
    </row>
    <row r="416" spans="29:29">
      <c r="AC416" s="2054"/>
    </row>
    <row r="417" spans="29:29">
      <c r="AC417" s="2054"/>
    </row>
    <row r="418" spans="29:29">
      <c r="AC418" s="2054"/>
    </row>
    <row r="419" spans="29:29">
      <c r="AC419" s="2054"/>
    </row>
    <row r="420" spans="29:29">
      <c r="AC420" s="2054"/>
    </row>
    <row r="421" spans="29:29">
      <c r="AC421" s="2054"/>
    </row>
    <row r="422" spans="29:29">
      <c r="AC422" s="2054"/>
    </row>
    <row r="423" spans="29:29">
      <c r="AC423" s="2054"/>
    </row>
    <row r="424" spans="29:29">
      <c r="AC424" s="2054"/>
    </row>
    <row r="425" spans="29:29">
      <c r="AC425" s="2054"/>
    </row>
    <row r="426" spans="29:29">
      <c r="AC426" s="2054"/>
    </row>
    <row r="427" spans="29:29">
      <c r="AC427" s="2054"/>
    </row>
    <row r="428" spans="29:29">
      <c r="AC428" s="2054"/>
    </row>
    <row r="429" spans="29:29">
      <c r="AC429" s="2054"/>
    </row>
    <row r="430" spans="29:29">
      <c r="AC430" s="2054"/>
    </row>
    <row r="431" spans="29:29">
      <c r="AC431" s="2054"/>
    </row>
    <row r="432" spans="29:29">
      <c r="AC432" s="2054"/>
    </row>
    <row r="433" spans="29:29">
      <c r="AC433" s="2054"/>
    </row>
    <row r="434" spans="29:29">
      <c r="AC434" s="2054"/>
    </row>
    <row r="435" spans="29:29">
      <c r="AC435" s="2054"/>
    </row>
    <row r="436" spans="29:29">
      <c r="AC436" s="2054"/>
    </row>
    <row r="437" spans="29:29">
      <c r="AC437" s="2054"/>
    </row>
    <row r="438" spans="29:29">
      <c r="AC438" s="2054"/>
    </row>
    <row r="439" spans="29:29">
      <c r="AC439" s="2054"/>
    </row>
    <row r="440" spans="29:29">
      <c r="AC440" s="2054"/>
    </row>
    <row r="441" spans="29:29">
      <c r="AC441" s="2054"/>
    </row>
    <row r="442" spans="29:29">
      <c r="AC442" s="2054"/>
    </row>
    <row r="443" spans="29:29">
      <c r="AC443" s="2054"/>
    </row>
    <row r="444" spans="29:29">
      <c r="AC444" s="2054"/>
    </row>
    <row r="445" spans="29:29">
      <c r="AC445" s="2054"/>
    </row>
    <row r="446" spans="29:29">
      <c r="AC446" s="2054"/>
    </row>
    <row r="447" spans="29:29">
      <c r="AC447" s="2054"/>
    </row>
    <row r="448" spans="29:29">
      <c r="AC448" s="2054"/>
    </row>
    <row r="449" spans="29:29">
      <c r="AC449" s="2054"/>
    </row>
    <row r="450" spans="29:29">
      <c r="AC450" s="2054"/>
    </row>
    <row r="451" spans="29:29">
      <c r="AC451" s="2054"/>
    </row>
    <row r="452" spans="29:29">
      <c r="AC452" s="2054"/>
    </row>
    <row r="453" spans="29:29">
      <c r="AC453" s="2054"/>
    </row>
    <row r="454" spans="29:29">
      <c r="AC454" s="2054"/>
    </row>
    <row r="455" spans="29:29">
      <c r="AC455" s="2054"/>
    </row>
    <row r="456" spans="29:29">
      <c r="AC456" s="2054"/>
    </row>
    <row r="457" spans="29:29">
      <c r="AC457" s="2054"/>
    </row>
    <row r="458" spans="29:29">
      <c r="AC458" s="2054"/>
    </row>
    <row r="459" spans="29:29">
      <c r="AC459" s="2054"/>
    </row>
    <row r="460" spans="29:29">
      <c r="AC460" s="2054"/>
    </row>
    <row r="461" spans="29:29">
      <c r="AC461" s="2054"/>
    </row>
    <row r="462" spans="29:29">
      <c r="AC462" s="2054"/>
    </row>
    <row r="463" spans="29:29">
      <c r="AC463" s="2054"/>
    </row>
    <row r="464" spans="29:29">
      <c r="AC464" s="2054"/>
    </row>
    <row r="465" spans="29:29">
      <c r="AC465" s="2054"/>
    </row>
    <row r="466" spans="29:29">
      <c r="AC466" s="2054"/>
    </row>
    <row r="467" spans="29:29">
      <c r="AC467" s="2054"/>
    </row>
    <row r="468" spans="29:29">
      <c r="AC468" s="2054"/>
    </row>
    <row r="469" spans="29:29">
      <c r="AC469" s="2054"/>
    </row>
    <row r="470" spans="29:29">
      <c r="AC470" s="2054"/>
    </row>
    <row r="471" spans="29:29">
      <c r="AC471" s="2054"/>
    </row>
    <row r="472" spans="29:29">
      <c r="AC472" s="2054"/>
    </row>
    <row r="473" spans="29:29">
      <c r="AC473" s="2054"/>
    </row>
    <row r="474" spans="29:29">
      <c r="AC474" s="2054"/>
    </row>
    <row r="475" spans="29:29">
      <c r="AC475" s="2054"/>
    </row>
    <row r="476" spans="29:29">
      <c r="AC476" s="2054"/>
    </row>
    <row r="477" spans="29:29">
      <c r="AC477" s="2054"/>
    </row>
    <row r="478" spans="29:29">
      <c r="AC478" s="2054"/>
    </row>
    <row r="479" spans="29:29">
      <c r="AC479" s="2054"/>
    </row>
    <row r="480" spans="29:29">
      <c r="AC480" s="2054"/>
    </row>
    <row r="481" spans="29:29">
      <c r="AC481" s="2054"/>
    </row>
    <row r="482" spans="29:29">
      <c r="AC482" s="2054"/>
    </row>
    <row r="483" spans="29:29">
      <c r="AC483" s="2054"/>
    </row>
    <row r="484" spans="29:29">
      <c r="AC484" s="2054"/>
    </row>
    <row r="485" spans="29:29">
      <c r="AC485" s="2054"/>
    </row>
    <row r="486" spans="29:29">
      <c r="AC486" s="2054"/>
    </row>
    <row r="487" spans="29:29">
      <c r="AC487" s="2054"/>
    </row>
    <row r="488" spans="29:29">
      <c r="AC488" s="2054"/>
    </row>
    <row r="489" spans="29:29">
      <c r="AC489" s="2054"/>
    </row>
    <row r="490" spans="29:29">
      <c r="AC490" s="2054"/>
    </row>
    <row r="491" spans="29:29">
      <c r="AC491" s="2054"/>
    </row>
    <row r="492" spans="29:29">
      <c r="AC492" s="2054"/>
    </row>
    <row r="493" spans="29:29">
      <c r="AC493" s="2054"/>
    </row>
    <row r="494" spans="29:29">
      <c r="AC494" s="2054"/>
    </row>
    <row r="495" spans="29:29">
      <c r="AC495" s="2054"/>
    </row>
    <row r="496" spans="29:29">
      <c r="AC496" s="2054"/>
    </row>
    <row r="497" spans="29:29">
      <c r="AC497" s="2054"/>
    </row>
    <row r="498" spans="29:29">
      <c r="AC498" s="2054"/>
    </row>
    <row r="499" spans="29:29">
      <c r="AC499" s="2054"/>
    </row>
    <row r="500" spans="29:29">
      <c r="AC500" s="2054"/>
    </row>
    <row r="501" spans="29:29">
      <c r="AC501" s="2054"/>
    </row>
    <row r="502" spans="29:29">
      <c r="AC502" s="2054"/>
    </row>
    <row r="503" spans="29:29">
      <c r="AC503" s="2054"/>
    </row>
    <row r="504" spans="29:29">
      <c r="AC504" s="2054"/>
    </row>
    <row r="505" spans="29:29">
      <c r="AC505" s="2054"/>
    </row>
    <row r="506" spans="29:29">
      <c r="AC506" s="2054"/>
    </row>
    <row r="507" spans="29:29">
      <c r="AC507" s="2054"/>
    </row>
    <row r="508" spans="29:29">
      <c r="AC508" s="2054"/>
    </row>
    <row r="509" spans="29:29">
      <c r="AC509" s="2054"/>
    </row>
    <row r="510" spans="29:29">
      <c r="AC510" s="2054"/>
    </row>
    <row r="511" spans="29:29">
      <c r="AC511" s="2054"/>
    </row>
    <row r="512" spans="29:29">
      <c r="AC512" s="2054"/>
    </row>
    <row r="513" spans="29:29">
      <c r="AC513" s="2054"/>
    </row>
    <row r="514" spans="29:29">
      <c r="AC514" s="2054"/>
    </row>
    <row r="515" spans="29:29">
      <c r="AC515" s="2054"/>
    </row>
    <row r="516" spans="29:29">
      <c r="AC516" s="2054"/>
    </row>
    <row r="517" spans="29:29">
      <c r="AC517" s="2054"/>
    </row>
    <row r="518" spans="29:29">
      <c r="AC518" s="2054"/>
    </row>
    <row r="519" spans="29:29">
      <c r="AC519" s="2054"/>
    </row>
    <row r="520" spans="29:29">
      <c r="AC520" s="2054"/>
    </row>
    <row r="521" spans="29:29">
      <c r="AC521" s="2054"/>
    </row>
    <row r="522" spans="29:29">
      <c r="AC522" s="2054"/>
    </row>
    <row r="523" spans="29:29">
      <c r="AC523" s="2054"/>
    </row>
    <row r="524" spans="29:29">
      <c r="AC524" s="2054"/>
    </row>
    <row r="525" spans="29:29">
      <c r="AC525" s="2054"/>
    </row>
    <row r="526" spans="29:29">
      <c r="AC526" s="2054"/>
    </row>
    <row r="527" spans="29:29">
      <c r="AC527" s="2054"/>
    </row>
    <row r="528" spans="29:29">
      <c r="AC528" s="2054"/>
    </row>
    <row r="529" spans="29:29">
      <c r="AC529" s="2054"/>
    </row>
    <row r="530" spans="29:29">
      <c r="AC530" s="2054"/>
    </row>
    <row r="531" spans="29:29">
      <c r="AC531" s="2054"/>
    </row>
    <row r="532" spans="29:29">
      <c r="AC532" s="2054"/>
    </row>
    <row r="533" spans="29:29">
      <c r="AC533" s="2054"/>
    </row>
    <row r="534" spans="29:29">
      <c r="AC534" s="2054"/>
    </row>
    <row r="535" spans="29:29">
      <c r="AC535" s="2054"/>
    </row>
    <row r="536" spans="29:29">
      <c r="AC536" s="2054"/>
    </row>
    <row r="537" spans="29:29">
      <c r="AC537" s="2054"/>
    </row>
    <row r="538" spans="29:29">
      <c r="AC538" s="2054"/>
    </row>
    <row r="539" spans="29:29">
      <c r="AC539" s="2054"/>
    </row>
    <row r="540" spans="29:29">
      <c r="AC540" s="2054"/>
    </row>
    <row r="541" spans="29:29">
      <c r="AC541" s="2054"/>
    </row>
    <row r="542" spans="29:29">
      <c r="AC542" s="2054"/>
    </row>
    <row r="543" spans="29:29">
      <c r="AC543" s="2054"/>
    </row>
    <row r="544" spans="29:29">
      <c r="AC544" s="2054"/>
    </row>
    <row r="545" spans="29:29">
      <c r="AC545" s="2054"/>
    </row>
    <row r="546" spans="29:29">
      <c r="AC546" s="2054"/>
    </row>
    <row r="547" spans="29:29">
      <c r="AC547" s="2054"/>
    </row>
    <row r="548" spans="29:29">
      <c r="AC548" s="2054"/>
    </row>
    <row r="549" spans="29:29">
      <c r="AC549" s="2054"/>
    </row>
    <row r="550" spans="29:29">
      <c r="AC550" s="2054"/>
    </row>
    <row r="551" spans="29:29">
      <c r="AC551" s="2054"/>
    </row>
    <row r="552" spans="29:29">
      <c r="AC552" s="2054"/>
    </row>
    <row r="553" spans="29:29">
      <c r="AC553" s="2054"/>
    </row>
    <row r="554" spans="29:29">
      <c r="AC554" s="2054"/>
    </row>
    <row r="555" spans="29:29">
      <c r="AC555" s="2054"/>
    </row>
    <row r="556" spans="29:29">
      <c r="AC556" s="2054"/>
    </row>
    <row r="557" spans="29:29">
      <c r="AC557" s="2054"/>
    </row>
    <row r="558" spans="29:29">
      <c r="AC558" s="2054"/>
    </row>
    <row r="559" spans="29:29">
      <c r="AC559" s="2054"/>
    </row>
    <row r="560" spans="29:29">
      <c r="AC560" s="2054"/>
    </row>
    <row r="561" spans="29:29">
      <c r="AC561" s="2054"/>
    </row>
    <row r="562" spans="29:29">
      <c r="AC562" s="2054"/>
    </row>
    <row r="563" spans="29:29">
      <c r="AC563" s="2054"/>
    </row>
    <row r="564" spans="29:29">
      <c r="AC564" s="2054"/>
    </row>
    <row r="565" spans="29:29">
      <c r="AC565" s="2054"/>
    </row>
    <row r="566" spans="29:29">
      <c r="AC566" s="2054"/>
    </row>
    <row r="567" spans="29:29">
      <c r="AC567" s="2054"/>
    </row>
    <row r="568" spans="29:29">
      <c r="AC568" s="2054"/>
    </row>
    <row r="569" spans="29:29">
      <c r="AC569" s="2054"/>
    </row>
    <row r="570" spans="29:29">
      <c r="AC570" s="2054"/>
    </row>
    <row r="571" spans="29:29">
      <c r="AC571" s="2054"/>
    </row>
    <row r="572" spans="29:29">
      <c r="AC572" s="2054"/>
    </row>
    <row r="573" spans="29:29">
      <c r="AC573" s="2054"/>
    </row>
    <row r="574" spans="29:29">
      <c r="AC574" s="2054"/>
    </row>
    <row r="575" spans="29:29">
      <c r="AC575" s="2054"/>
    </row>
    <row r="576" spans="29:29">
      <c r="AC576" s="2054"/>
    </row>
    <row r="577" spans="29:29">
      <c r="AC577" s="2054"/>
    </row>
    <row r="578" spans="29:29">
      <c r="AC578" s="2054"/>
    </row>
    <row r="579" spans="29:29">
      <c r="AC579" s="2054"/>
    </row>
    <row r="580" spans="29:29">
      <c r="AC580" s="2054"/>
    </row>
    <row r="581" spans="29:29">
      <c r="AC581" s="2054"/>
    </row>
    <row r="582" spans="29:29">
      <c r="AC582" s="2054"/>
    </row>
    <row r="583" spans="29:29">
      <c r="AC583" s="2054"/>
    </row>
    <row r="584" spans="29:29">
      <c r="AC584" s="2054"/>
    </row>
    <row r="585" spans="29:29">
      <c r="AC585" s="2054"/>
    </row>
    <row r="586" spans="29:29">
      <c r="AC586" s="2054"/>
    </row>
    <row r="587" spans="29:29">
      <c r="AC587" s="2054"/>
    </row>
    <row r="588" spans="29:29">
      <c r="AC588" s="2054"/>
    </row>
    <row r="589" spans="29:29">
      <c r="AC589" s="2054"/>
    </row>
    <row r="590" spans="29:29">
      <c r="AC590" s="2054"/>
    </row>
    <row r="591" spans="29:29">
      <c r="AC591" s="2054"/>
    </row>
    <row r="592" spans="29:29">
      <c r="AC592" s="2054"/>
    </row>
    <row r="593" spans="29:29">
      <c r="AC593" s="2054"/>
    </row>
    <row r="594" spans="29:29">
      <c r="AC594" s="2054"/>
    </row>
    <row r="595" spans="29:29">
      <c r="AC595" s="2054"/>
    </row>
    <row r="596" spans="29:29">
      <c r="AC596" s="2054"/>
    </row>
    <row r="597" spans="29:29">
      <c r="AC597" s="2054"/>
    </row>
    <row r="598" spans="29:29">
      <c r="AC598" s="2054"/>
    </row>
    <row r="599" spans="29:29">
      <c r="AC599" s="2054"/>
    </row>
    <row r="600" spans="29:29">
      <c r="AC600" s="2054"/>
    </row>
    <row r="601" spans="29:29">
      <c r="AC601" s="2054"/>
    </row>
    <row r="602" spans="29:29">
      <c r="AC602" s="2054"/>
    </row>
    <row r="603" spans="29:29">
      <c r="AC603" s="2054"/>
    </row>
    <row r="604" spans="29:29">
      <c r="AC604" s="2054"/>
    </row>
    <row r="605" spans="29:29">
      <c r="AC605" s="2054"/>
    </row>
    <row r="606" spans="29:29">
      <c r="AC606" s="2054"/>
    </row>
    <row r="607" spans="29:29">
      <c r="AC607" s="2054"/>
    </row>
    <row r="608" spans="29:29">
      <c r="AC608" s="2054"/>
    </row>
    <row r="609" spans="29:29">
      <c r="AC609" s="2054"/>
    </row>
    <row r="610" spans="29:29">
      <c r="AC610" s="2054"/>
    </row>
    <row r="611" spans="29:29">
      <c r="AC611" s="2054"/>
    </row>
    <row r="612" spans="29:29">
      <c r="AC612" s="2054"/>
    </row>
    <row r="613" spans="29:29">
      <c r="AC613" s="2054"/>
    </row>
    <row r="614" spans="29:29">
      <c r="AC614" s="2054"/>
    </row>
    <row r="615" spans="29:29">
      <c r="AC615" s="2054"/>
    </row>
    <row r="616" spans="29:29">
      <c r="AC616" s="2054"/>
    </row>
    <row r="617" spans="29:29">
      <c r="AC617" s="2054"/>
    </row>
    <row r="618" spans="29:29">
      <c r="AC618" s="2054"/>
    </row>
    <row r="619" spans="29:29">
      <c r="AC619" s="2054"/>
    </row>
    <row r="620" spans="29:29">
      <c r="AC620" s="2054"/>
    </row>
    <row r="621" spans="29:29">
      <c r="AC621" s="2054"/>
    </row>
    <row r="622" spans="29:29">
      <c r="AC622" s="2054"/>
    </row>
    <row r="623" spans="29:29">
      <c r="AC623" s="2054"/>
    </row>
    <row r="624" spans="29:29">
      <c r="AC624" s="2054"/>
    </row>
    <row r="625" spans="29:29">
      <c r="AC625" s="2054"/>
    </row>
    <row r="626" spans="29:29">
      <c r="AC626" s="2054"/>
    </row>
    <row r="627" spans="29:29">
      <c r="AC627" s="2054"/>
    </row>
    <row r="628" spans="29:29">
      <c r="AC628" s="2054"/>
    </row>
    <row r="629" spans="29:29">
      <c r="AC629" s="2054"/>
    </row>
    <row r="630" spans="29:29">
      <c r="AC630" s="2054"/>
    </row>
    <row r="631" spans="29:29">
      <c r="AC631" s="2054"/>
    </row>
    <row r="632" spans="29:29">
      <c r="AC632" s="2054"/>
    </row>
    <row r="633" spans="29:29">
      <c r="AC633" s="2054"/>
    </row>
    <row r="634" spans="29:29">
      <c r="AC634" s="2054"/>
    </row>
    <row r="635" spans="29:29">
      <c r="AC635" s="2054"/>
    </row>
    <row r="636" spans="29:29">
      <c r="AC636" s="2054"/>
    </row>
    <row r="637" spans="29:29">
      <c r="AC637" s="2054"/>
    </row>
    <row r="638" spans="29:29">
      <c r="AC638" s="2054"/>
    </row>
    <row r="639" spans="29:29">
      <c r="AC639" s="2054"/>
    </row>
    <row r="640" spans="29:29">
      <c r="AC640" s="2054"/>
    </row>
    <row r="641" spans="29:29">
      <c r="AC641" s="2054"/>
    </row>
    <row r="642" spans="29:29">
      <c r="AC642" s="2054"/>
    </row>
    <row r="643" spans="29:29">
      <c r="AC643" s="2054"/>
    </row>
    <row r="644" spans="29:29">
      <c r="AC644" s="2054"/>
    </row>
    <row r="645" spans="29:29">
      <c r="AC645" s="2054"/>
    </row>
    <row r="646" spans="29:29">
      <c r="AC646" s="2054"/>
    </row>
    <row r="647" spans="29:29">
      <c r="AC647" s="2054"/>
    </row>
    <row r="648" spans="29:29">
      <c r="AC648" s="2054"/>
    </row>
    <row r="649" spans="29:29">
      <c r="AC649" s="2054"/>
    </row>
    <row r="650" spans="29:29">
      <c r="AC650" s="2054"/>
    </row>
    <row r="651" spans="29:29">
      <c r="AC651" s="2054"/>
    </row>
    <row r="652" spans="29:29">
      <c r="AC652" s="2054"/>
    </row>
    <row r="653" spans="29:29">
      <c r="AC653" s="2054"/>
    </row>
    <row r="654" spans="29:29">
      <c r="AC654" s="2054"/>
    </row>
    <row r="655" spans="29:29">
      <c r="AC655" s="2054"/>
    </row>
    <row r="656" spans="29:29">
      <c r="AC656" s="2054"/>
    </row>
    <row r="657" spans="29:29">
      <c r="AC657" s="2054"/>
    </row>
    <row r="658" spans="29:29">
      <c r="AC658" s="2054"/>
    </row>
    <row r="659" spans="29:29">
      <c r="AC659" s="2054"/>
    </row>
    <row r="660" spans="29:29">
      <c r="AC660" s="2054"/>
    </row>
    <row r="661" spans="29:29">
      <c r="AC661" s="2054"/>
    </row>
    <row r="662" spans="29:29">
      <c r="AC662" s="2054"/>
    </row>
    <row r="663" spans="29:29">
      <c r="AC663" s="2054"/>
    </row>
    <row r="664" spans="29:29">
      <c r="AC664" s="2054"/>
    </row>
    <row r="665" spans="29:29">
      <c r="AC665" s="2054"/>
    </row>
    <row r="666" spans="29:29">
      <c r="AC666" s="2054"/>
    </row>
    <row r="667" spans="29:29">
      <c r="AC667" s="2054"/>
    </row>
    <row r="668" spans="29:29">
      <c r="AC668" s="2054"/>
    </row>
    <row r="669" spans="29:29">
      <c r="AC669" s="2054"/>
    </row>
    <row r="670" spans="29:29">
      <c r="AC670" s="2054"/>
    </row>
    <row r="671" spans="29:29">
      <c r="AC671" s="2054"/>
    </row>
    <row r="672" spans="29:29">
      <c r="AC672" s="2054"/>
    </row>
    <row r="673" spans="29:29">
      <c r="AC673" s="2054"/>
    </row>
    <row r="674" spans="29:29">
      <c r="AC674" s="2054"/>
    </row>
    <row r="675" spans="29:29">
      <c r="AC675" s="2054"/>
    </row>
    <row r="676" spans="29:29">
      <c r="AC676" s="2054"/>
    </row>
    <row r="677" spans="29:29">
      <c r="AC677" s="2054"/>
    </row>
    <row r="678" spans="29:29">
      <c r="AC678" s="2054"/>
    </row>
    <row r="679" spans="29:29">
      <c r="AC679" s="2054"/>
    </row>
    <row r="680" spans="29:29">
      <c r="AC680" s="2054"/>
    </row>
    <row r="681" spans="29:29">
      <c r="AC681" s="2054"/>
    </row>
    <row r="682" spans="29:29">
      <c r="AC682" s="2054"/>
    </row>
    <row r="683" spans="29:29">
      <c r="AC683" s="2054"/>
    </row>
    <row r="684" spans="29:29">
      <c r="AC684" s="2054"/>
    </row>
    <row r="685" spans="29:29">
      <c r="AC685" s="2054"/>
    </row>
    <row r="686" spans="29:29">
      <c r="AC686" s="2054"/>
    </row>
    <row r="687" spans="29:29">
      <c r="AC687" s="2054"/>
    </row>
    <row r="688" spans="29:29">
      <c r="AC688" s="2054"/>
    </row>
    <row r="689" spans="29:29">
      <c r="AC689" s="2054"/>
    </row>
    <row r="690" spans="29:29">
      <c r="AC690" s="2054"/>
    </row>
    <row r="691" spans="29:29">
      <c r="AC691" s="2054"/>
    </row>
    <row r="692" spans="29:29">
      <c r="AC692" s="2054"/>
    </row>
    <row r="693" spans="29:29">
      <c r="AC693" s="2054"/>
    </row>
    <row r="694" spans="29:29">
      <c r="AC694" s="2054"/>
    </row>
    <row r="695" spans="29:29">
      <c r="AC695" s="2054"/>
    </row>
    <row r="696" spans="29:29">
      <c r="AC696" s="2054"/>
    </row>
    <row r="697" spans="29:29">
      <c r="AC697" s="2054"/>
    </row>
    <row r="698" spans="29:29">
      <c r="AC698" s="2054"/>
    </row>
    <row r="699" spans="29:29">
      <c r="AC699" s="2054"/>
    </row>
    <row r="700" spans="29:29">
      <c r="AC700" s="2054"/>
    </row>
    <row r="701" spans="29:29">
      <c r="AC701" s="2054"/>
    </row>
    <row r="702" spans="29:29">
      <c r="AC702" s="2054"/>
    </row>
    <row r="703" spans="29:29">
      <c r="AC703" s="2054"/>
    </row>
    <row r="704" spans="29:29">
      <c r="AC704" s="2054"/>
    </row>
    <row r="705" spans="29:29">
      <c r="AC705" s="2054"/>
    </row>
    <row r="706" spans="29:29">
      <c r="AC706" s="2054"/>
    </row>
    <row r="707" spans="29:29">
      <c r="AC707" s="2054"/>
    </row>
    <row r="708" spans="29:29">
      <c r="AC708" s="2054"/>
    </row>
    <row r="709" spans="29:29">
      <c r="AC709" s="2054"/>
    </row>
    <row r="710" spans="29:29">
      <c r="AC710" s="2054"/>
    </row>
    <row r="711" spans="29:29">
      <c r="AC711" s="2054"/>
    </row>
    <row r="712" spans="29:29">
      <c r="AC712" s="2054"/>
    </row>
    <row r="713" spans="29:29">
      <c r="AC713" s="2054"/>
    </row>
    <row r="714" spans="29:29">
      <c r="AC714" s="2054"/>
    </row>
    <row r="715" spans="29:29">
      <c r="AC715" s="2054"/>
    </row>
    <row r="716" spans="29:29">
      <c r="AC716" s="2054"/>
    </row>
    <row r="717" spans="29:29">
      <c r="AC717" s="2054"/>
    </row>
    <row r="718" spans="29:29">
      <c r="AC718" s="2054"/>
    </row>
    <row r="719" spans="29:29">
      <c r="AC719" s="2054"/>
    </row>
    <row r="720" spans="29:29">
      <c r="AC720" s="2054"/>
    </row>
    <row r="721" spans="29:29">
      <c r="AC721" s="2054"/>
    </row>
    <row r="722" spans="29:29">
      <c r="AC722" s="2054"/>
    </row>
    <row r="723" spans="29:29">
      <c r="AC723" s="2054"/>
    </row>
    <row r="724" spans="29:29">
      <c r="AC724" s="2054"/>
    </row>
    <row r="725" spans="29:29">
      <c r="AC725" s="2054"/>
    </row>
    <row r="726" spans="29:29">
      <c r="AC726" s="2054"/>
    </row>
    <row r="727" spans="29:29">
      <c r="AC727" s="2054"/>
    </row>
    <row r="728" spans="29:29">
      <c r="AC728" s="2054"/>
    </row>
    <row r="729" spans="29:29">
      <c r="AC729" s="2054"/>
    </row>
    <row r="730" spans="29:29">
      <c r="AC730" s="2054"/>
    </row>
    <row r="731" spans="29:29">
      <c r="AC731" s="2054"/>
    </row>
    <row r="732" spans="29:29">
      <c r="AC732" s="2054"/>
    </row>
    <row r="733" spans="29:29">
      <c r="AC733" s="2054"/>
    </row>
    <row r="734" spans="29:29">
      <c r="AC734" s="2054"/>
    </row>
    <row r="735" spans="29:29">
      <c r="AC735" s="2054"/>
    </row>
    <row r="736" spans="29:29">
      <c r="AC736" s="2054"/>
    </row>
    <row r="737" spans="29:29">
      <c r="AC737" s="2054"/>
    </row>
    <row r="738" spans="29:29">
      <c r="AC738" s="2054"/>
    </row>
    <row r="739" spans="29:29">
      <c r="AC739" s="2054"/>
    </row>
    <row r="740" spans="29:29">
      <c r="AC740" s="2054"/>
    </row>
    <row r="741" spans="29:29">
      <c r="AC741" s="2054"/>
    </row>
    <row r="742" spans="29:29">
      <c r="AC742" s="2054"/>
    </row>
    <row r="743" spans="29:29">
      <c r="AC743" s="2054"/>
    </row>
    <row r="744" spans="29:29">
      <c r="AC744" s="2054"/>
    </row>
    <row r="745" spans="29:29">
      <c r="AC745" s="2054"/>
    </row>
    <row r="746" spans="29:29">
      <c r="AC746" s="2054"/>
    </row>
    <row r="747" spans="29:29">
      <c r="AC747" s="2054"/>
    </row>
    <row r="748" spans="29:29">
      <c r="AC748" s="2054"/>
    </row>
    <row r="749" spans="29:29">
      <c r="AC749" s="2054"/>
    </row>
    <row r="750" spans="29:29">
      <c r="AC750" s="2054"/>
    </row>
    <row r="751" spans="29:29">
      <c r="AC751" s="2054"/>
    </row>
    <row r="752" spans="29:29">
      <c r="AC752" s="2054"/>
    </row>
    <row r="753" spans="29:29">
      <c r="AC753" s="2054"/>
    </row>
    <row r="754" spans="29:29">
      <c r="AC754" s="2054"/>
    </row>
    <row r="755" spans="29:29">
      <c r="AC755" s="2054"/>
    </row>
    <row r="756" spans="29:29">
      <c r="AC756" s="2054"/>
    </row>
    <row r="757" spans="29:29">
      <c r="AC757" s="2054"/>
    </row>
    <row r="758" spans="29:29">
      <c r="AC758" s="2054"/>
    </row>
    <row r="759" spans="29:29">
      <c r="AC759" s="2054"/>
    </row>
    <row r="760" spans="29:29">
      <c r="AC760" s="2054"/>
    </row>
    <row r="761" spans="29:29">
      <c r="AC761" s="2054"/>
    </row>
    <row r="762" spans="29:29">
      <c r="AC762" s="2054"/>
    </row>
    <row r="763" spans="29:29">
      <c r="AC763" s="2054"/>
    </row>
    <row r="764" spans="29:29">
      <c r="AC764" s="2054"/>
    </row>
    <row r="765" spans="29:29">
      <c r="AC765" s="2054"/>
    </row>
    <row r="766" spans="29:29">
      <c r="AC766" s="2054"/>
    </row>
    <row r="767" spans="29:29">
      <c r="AC767" s="2054"/>
    </row>
    <row r="768" spans="29:29">
      <c r="AC768" s="2054"/>
    </row>
    <row r="769" spans="29:29">
      <c r="AC769" s="2054"/>
    </row>
    <row r="770" spans="29:29">
      <c r="AC770" s="2054"/>
    </row>
    <row r="771" spans="29:29">
      <c r="AC771" s="2054"/>
    </row>
    <row r="772" spans="29:29">
      <c r="AC772" s="2054"/>
    </row>
    <row r="773" spans="29:29">
      <c r="AC773" s="2054"/>
    </row>
    <row r="774" spans="29:29">
      <c r="AC774" s="2054"/>
    </row>
    <row r="775" spans="29:29">
      <c r="AC775" s="2054"/>
    </row>
    <row r="776" spans="29:29">
      <c r="AC776" s="2054"/>
    </row>
    <row r="777" spans="29:29">
      <c r="AC777" s="2054"/>
    </row>
    <row r="778" spans="29:29">
      <c r="AC778" s="2054"/>
    </row>
    <row r="779" spans="29:29">
      <c r="AC779" s="2054"/>
    </row>
    <row r="780" spans="29:29">
      <c r="AC780" s="2054"/>
    </row>
    <row r="781" spans="29:29">
      <c r="AC781" s="2054"/>
    </row>
    <row r="782" spans="29:29">
      <c r="AC782" s="2054"/>
    </row>
    <row r="783" spans="29:29">
      <c r="AC783" s="2054"/>
    </row>
    <row r="784" spans="29:29">
      <c r="AC784" s="2054"/>
    </row>
    <row r="785" spans="29:29">
      <c r="AC785" s="2054"/>
    </row>
    <row r="786" spans="29:29">
      <c r="AC786" s="2054"/>
    </row>
    <row r="787" spans="29:29">
      <c r="AC787" s="2054"/>
    </row>
    <row r="788" spans="29:29">
      <c r="AC788" s="2054"/>
    </row>
    <row r="789" spans="29:29">
      <c r="AC789" s="2054"/>
    </row>
    <row r="790" spans="29:29">
      <c r="AC790" s="2054"/>
    </row>
    <row r="791" spans="29:29">
      <c r="AC791" s="2054"/>
    </row>
    <row r="792" spans="29:29">
      <c r="AC792" s="2054"/>
    </row>
    <row r="793" spans="29:29">
      <c r="AC793" s="2054"/>
    </row>
    <row r="794" spans="29:29">
      <c r="AC794" s="20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225" customWidth="1"/>
    <col min="2" max="2" width="15.75" style="1225" customWidth="1"/>
    <col min="3" max="3" width="14.375" style="1225" customWidth="1"/>
    <col min="4" max="4" width="12.25" style="1225" customWidth="1"/>
    <col min="5" max="5" width="14.3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2096"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658</v>
      </c>
      <c r="B1" s="403" t="s">
        <v>716</v>
      </c>
      <c r="C1" s="404" t="s">
        <v>660</v>
      </c>
      <c r="D1" s="749"/>
      <c r="E1" s="406"/>
      <c r="F1" s="2672"/>
      <c r="G1" s="1489" t="s">
        <v>661</v>
      </c>
      <c r="H1" s="406"/>
      <c r="I1" s="406"/>
      <c r="J1" s="406"/>
      <c r="K1" s="407"/>
      <c r="L1" s="1450"/>
      <c r="M1" s="1451"/>
      <c r="N1" s="1451"/>
      <c r="O1" s="1451"/>
      <c r="P1" s="2082"/>
      <c r="Q1" s="1452"/>
      <c r="R1" s="1452"/>
      <c r="S1" s="1452"/>
      <c r="T1" s="1452"/>
      <c r="U1" s="1452"/>
      <c r="V1" s="1452"/>
      <c r="W1" s="1452"/>
      <c r="X1" s="1452"/>
      <c r="Y1" s="1452"/>
      <c r="Z1" s="1452"/>
      <c r="AA1" s="1452"/>
      <c r="AB1" s="1452"/>
      <c r="AC1" s="1453"/>
    </row>
    <row r="2" spans="1:29" s="1224" customFormat="1" ht="28.5" customHeight="1">
      <c r="A2" s="323" t="s">
        <v>407</v>
      </c>
      <c r="B2" s="750" t="e">
        <f>ROUND(B3*D3/10000,0)</f>
        <v>#DIV/0!</v>
      </c>
      <c r="C2" s="2002"/>
      <c r="D2" s="2002"/>
      <c r="E2" s="1936"/>
      <c r="F2" s="2004"/>
      <c r="G2" s="2003"/>
      <c r="H2" s="2003"/>
      <c r="I2" s="2003"/>
      <c r="J2" s="2003"/>
      <c r="K2" s="2003"/>
      <c r="L2" s="2006"/>
      <c r="M2" s="2007"/>
      <c r="N2" s="2007"/>
      <c r="O2" s="2007"/>
      <c r="P2" s="2082"/>
      <c r="Q2" s="1452"/>
      <c r="R2" s="1452"/>
      <c r="S2" s="1452"/>
      <c r="T2" s="1452"/>
      <c r="U2" s="1452"/>
      <c r="V2" s="1452"/>
      <c r="W2" s="1452"/>
      <c r="X2" s="1452"/>
      <c r="Y2" s="1452"/>
      <c r="Z2" s="1452"/>
      <c r="AA2" s="1452"/>
      <c r="AB2" s="1452"/>
      <c r="AC2" s="1453"/>
    </row>
    <row r="3" spans="1:29" s="1224" customFormat="1" ht="28.5" customHeight="1" thickBot="1">
      <c r="A3" s="409" t="s">
        <v>459</v>
      </c>
      <c r="B3" s="410" t="e">
        <f>C50</f>
        <v>#DIV/0!</v>
      </c>
      <c r="C3" s="752" t="s">
        <v>662</v>
      </c>
      <c r="D3" s="751">
        <f>SUMIF('数据-汇总表'!$C19:$C33,D1,'数据-汇总表'!$E19:$E33)</f>
        <v>0</v>
      </c>
      <c r="E3" s="1936"/>
      <c r="F3" s="2004"/>
      <c r="G3" s="2003"/>
      <c r="H3" s="2003"/>
      <c r="I3" s="2003"/>
      <c r="J3" s="2003"/>
      <c r="K3" s="2005"/>
      <c r="L3" s="2006"/>
      <c r="M3" s="2007"/>
      <c r="N3" s="2007"/>
      <c r="O3" s="2007"/>
      <c r="P3" s="2082"/>
      <c r="Q3" s="1452"/>
      <c r="R3" s="1452"/>
      <c r="S3" s="1452"/>
      <c r="T3" s="1452"/>
      <c r="U3" s="1452"/>
      <c r="V3" s="1452"/>
      <c r="W3" s="1452"/>
      <c r="X3" s="1452"/>
      <c r="Y3" s="1452"/>
      <c r="Z3" s="1452"/>
      <c r="AA3" s="1452"/>
      <c r="AB3" s="1452"/>
      <c r="AC3" s="1453"/>
    </row>
    <row r="4" spans="1:29" ht="15">
      <c r="A4" s="412" t="s">
        <v>461</v>
      </c>
      <c r="B4" s="413"/>
      <c r="C4" s="3384" t="s">
        <v>462</v>
      </c>
      <c r="D4" s="3385"/>
      <c r="E4" s="3418" t="s">
        <v>463</v>
      </c>
      <c r="F4" s="3419"/>
      <c r="G4" s="3384" t="s">
        <v>464</v>
      </c>
      <c r="H4" s="3385"/>
      <c r="I4" s="3384" t="s">
        <v>465</v>
      </c>
      <c r="J4" s="3385"/>
      <c r="K4" s="414" t="s">
        <v>466</v>
      </c>
      <c r="L4" s="2008"/>
      <c r="M4" s="2009"/>
      <c r="N4" s="2009"/>
      <c r="O4" s="2009"/>
      <c r="P4" s="3499" t="s">
        <v>467</v>
      </c>
      <c r="Q4" s="3387"/>
      <c r="R4" s="3392" t="s">
        <v>463</v>
      </c>
      <c r="S4" s="3393"/>
      <c r="T4" s="3392" t="s">
        <v>464</v>
      </c>
      <c r="U4" s="3393"/>
      <c r="V4" s="3379" t="s">
        <v>465</v>
      </c>
      <c r="W4" s="3379"/>
      <c r="X4" s="1455"/>
      <c r="Y4" s="3392" t="s">
        <v>467</v>
      </c>
      <c r="Z4" s="3393"/>
      <c r="AA4" s="3381" t="s">
        <v>463</v>
      </c>
      <c r="AB4" s="3381" t="s">
        <v>464</v>
      </c>
      <c r="AC4" s="3381" t="s">
        <v>465</v>
      </c>
    </row>
    <row r="5" spans="1:29" ht="15">
      <c r="A5" s="415"/>
      <c r="B5" s="416"/>
      <c r="C5" s="3400" t="s">
        <v>2841</v>
      </c>
      <c r="D5" s="3401"/>
      <c r="E5" s="3420" t="s">
        <v>2842</v>
      </c>
      <c r="F5" s="3421"/>
      <c r="G5" s="3400" t="s">
        <v>2843</v>
      </c>
      <c r="H5" s="3401"/>
      <c r="I5" s="3400" t="s">
        <v>2844</v>
      </c>
      <c r="J5" s="3401"/>
      <c r="K5" s="414"/>
      <c r="L5" s="2008"/>
      <c r="M5" s="2009"/>
      <c r="N5" s="2009"/>
      <c r="O5" s="2009"/>
      <c r="P5" s="3500"/>
      <c r="Q5" s="3389"/>
      <c r="R5" s="3394"/>
      <c r="S5" s="3395"/>
      <c r="T5" s="3394"/>
      <c r="U5" s="3395"/>
      <c r="V5" s="3379"/>
      <c r="W5" s="3379"/>
      <c r="X5" s="1455"/>
      <c r="Y5" s="3394"/>
      <c r="Z5" s="3395"/>
      <c r="AA5" s="3382"/>
      <c r="AB5" s="3382"/>
      <c r="AC5" s="3382"/>
    </row>
    <row r="6" spans="1:29" ht="15.75" thickBot="1">
      <c r="A6" s="417"/>
      <c r="B6" s="418"/>
      <c r="C6" s="3398" t="s">
        <v>2845</v>
      </c>
      <c r="D6" s="3399"/>
      <c r="E6" s="3416" t="s">
        <v>2845</v>
      </c>
      <c r="F6" s="3417"/>
      <c r="G6" s="3398" t="s">
        <v>2845</v>
      </c>
      <c r="H6" s="3399"/>
      <c r="I6" s="3398" t="s">
        <v>2845</v>
      </c>
      <c r="J6" s="3399"/>
      <c r="K6" s="414" t="s">
        <v>468</v>
      </c>
      <c r="L6" s="2008"/>
      <c r="M6" s="2009"/>
      <c r="N6" s="2009"/>
      <c r="O6" s="2009"/>
      <c r="P6" s="3501"/>
      <c r="Q6" s="3391"/>
      <c r="R6" s="3394"/>
      <c r="S6" s="3395"/>
      <c r="T6" s="3396"/>
      <c r="U6" s="3397"/>
      <c r="V6" s="3379"/>
      <c r="W6" s="3379"/>
      <c r="X6" s="1455"/>
      <c r="Y6" s="3396"/>
      <c r="Z6" s="3397"/>
      <c r="AA6" s="3383"/>
      <c r="AB6" s="3383"/>
      <c r="AC6" s="3383"/>
    </row>
    <row r="7" spans="1:29" s="1108" customFormat="1" ht="15.75" thickBot="1">
      <c r="A7" s="2777"/>
      <c r="B7" s="2784" t="s">
        <v>469</v>
      </c>
      <c r="C7" s="419">
        <f>'数据-取费表'!B2</f>
        <v>43240</v>
      </c>
      <c r="D7" s="420">
        <v>100</v>
      </c>
      <c r="E7" s="421"/>
      <c r="F7" s="422">
        <f>SUMIF(59:59,YEAR(E7)&amp;"-"&amp;MONTH(E7),60:60)</f>
        <v>0</v>
      </c>
      <c r="G7" s="421"/>
      <c r="H7" s="420">
        <f>SUMIF(59:59,YEAR(G7)&amp;"-"&amp;MONTH(G7),60:60)</f>
        <v>0</v>
      </c>
      <c r="I7" s="421"/>
      <c r="J7" s="420">
        <f>SUMIF(59:59,YEAR(I7)&amp;"-"&amp;MONTH(I7),60:60)</f>
        <v>0</v>
      </c>
      <c r="K7" s="424"/>
      <c r="L7" s="2010"/>
      <c r="M7" s="2011"/>
      <c r="N7" s="2011"/>
      <c r="O7" s="2011"/>
      <c r="P7" s="3411" t="s">
        <v>470</v>
      </c>
      <c r="Q7" s="3411"/>
      <c r="R7" s="1456" t="s">
        <v>8</v>
      </c>
      <c r="S7" s="1457">
        <f t="shared" ref="S7:S15" si="0">F7</f>
        <v>0</v>
      </c>
      <c r="T7" s="1456" t="s">
        <v>8</v>
      </c>
      <c r="U7" s="1457">
        <f t="shared" ref="U7:U15" si="1">H7</f>
        <v>0</v>
      </c>
      <c r="V7" s="1456" t="s">
        <v>8</v>
      </c>
      <c r="W7" s="1457">
        <f t="shared" ref="W7:W15" si="2">J7</f>
        <v>0</v>
      </c>
      <c r="X7" s="1458"/>
      <c r="Y7" s="3409" t="s">
        <v>470</v>
      </c>
      <c r="Z7" s="3410"/>
      <c r="AA7" s="1459" t="e">
        <f>D7/F7</f>
        <v>#DIV/0!</v>
      </c>
      <c r="AB7" s="1459" t="e">
        <f>D7/H7</f>
        <v>#DIV/0!</v>
      </c>
      <c r="AC7" s="1459" t="e">
        <f>D7/J7</f>
        <v>#DIV/0!</v>
      </c>
    </row>
    <row r="8" spans="1:29" s="1108" customFormat="1" ht="15.75" thickBot="1">
      <c r="A8" s="2778"/>
      <c r="B8" s="2785" t="s">
        <v>471</v>
      </c>
      <c r="C8" s="425" t="s">
        <v>516</v>
      </c>
      <c r="D8" s="420">
        <v>100</v>
      </c>
      <c r="E8" s="425"/>
      <c r="F8" s="422">
        <f>SUMIF(62:62,E8,63:63)-SUMIF(62:62,C8,63:63)+100</f>
        <v>0</v>
      </c>
      <c r="G8" s="425"/>
      <c r="H8" s="420">
        <f>SUMIF(62:62,G8,63:63)-SUMIF(62:62,C8,63:63)+100</f>
        <v>0</v>
      </c>
      <c r="I8" s="425"/>
      <c r="J8" s="420">
        <f>SUMIF(62:62,I8,63:63)-SUMIF(62:62,C8,63:63)+100</f>
        <v>0</v>
      </c>
      <c r="K8" s="424"/>
      <c r="L8" s="2010"/>
      <c r="M8" s="2011"/>
      <c r="N8" s="2011"/>
      <c r="O8" s="2011"/>
      <c r="P8" s="3411" t="s">
        <v>473</v>
      </c>
      <c r="Q8" s="3410"/>
      <c r="R8" s="1456" t="s">
        <v>8</v>
      </c>
      <c r="S8" s="1457">
        <f t="shared" si="0"/>
        <v>0</v>
      </c>
      <c r="T8" s="1456" t="s">
        <v>8</v>
      </c>
      <c r="U8" s="1457">
        <f t="shared" si="1"/>
        <v>0</v>
      </c>
      <c r="V8" s="1456" t="s">
        <v>8</v>
      </c>
      <c r="W8" s="1457">
        <f t="shared" si="2"/>
        <v>0</v>
      </c>
      <c r="X8" s="1458"/>
      <c r="Y8" s="3409" t="s">
        <v>473</v>
      </c>
      <c r="Z8" s="3410"/>
      <c r="AA8" s="1459" t="e">
        <f t="shared" ref="AA8:AA47" si="3">D8/F8</f>
        <v>#DIV/0!</v>
      </c>
      <c r="AB8" s="1459" t="e">
        <f t="shared" ref="AB8:AB47" si="4">D8/H8</f>
        <v>#DIV/0!</v>
      </c>
      <c r="AC8" s="1459" t="e">
        <f t="shared" ref="AC8:AC47" si="5">D8/J8</f>
        <v>#DIV/0!</v>
      </c>
    </row>
    <row r="9" spans="1:29" s="1108" customFormat="1" ht="15">
      <c r="A9" s="2779"/>
      <c r="B9" s="2786" t="s">
        <v>2684</v>
      </c>
      <c r="C9" s="757"/>
      <c r="D9" s="158">
        <v>100</v>
      </c>
      <c r="E9" s="760"/>
      <c r="F9" s="158">
        <f>SUMIF(64:64,E9,65:65)-SUMIF(64:64,C9,65:65)+100</f>
        <v>100</v>
      </c>
      <c r="G9" s="758"/>
      <c r="H9" s="158">
        <f>SUMIF(64:64,G9,65:65)-SUMIF(64:64,C9,65:65)+100</f>
        <v>100</v>
      </c>
      <c r="I9" s="758"/>
      <c r="J9" s="158">
        <f>SUMIF(64:64,I9,65:65)-SUMIF(64:64,C9,65:65)+100</f>
        <v>100</v>
      </c>
      <c r="K9" s="424"/>
      <c r="L9" s="2010"/>
      <c r="M9" s="2011"/>
      <c r="N9" s="2011"/>
      <c r="O9" s="2011"/>
      <c r="P9" s="3378" t="s">
        <v>475</v>
      </c>
      <c r="Q9" s="1049" t="str">
        <f t="shared" ref="Q9:Q15" si="6">B9</f>
        <v>用途</v>
      </c>
      <c r="R9" s="1456" t="s">
        <v>8</v>
      </c>
      <c r="S9" s="1457">
        <f t="shared" si="0"/>
        <v>100</v>
      </c>
      <c r="T9" s="1456" t="s">
        <v>8</v>
      </c>
      <c r="U9" s="1457">
        <f t="shared" si="1"/>
        <v>100</v>
      </c>
      <c r="V9" s="1456" t="s">
        <v>8</v>
      </c>
      <c r="W9" s="1457">
        <f t="shared" si="2"/>
        <v>100</v>
      </c>
      <c r="X9" s="1458"/>
      <c r="Y9" s="3324" t="s">
        <v>476</v>
      </c>
      <c r="Z9" s="1048" t="str">
        <f t="shared" ref="Z9:Z15" si="7">Q9</f>
        <v>用途</v>
      </c>
      <c r="AA9" s="1459">
        <f t="shared" si="3"/>
        <v>1</v>
      </c>
      <c r="AB9" s="1459">
        <f t="shared" si="4"/>
        <v>1</v>
      </c>
      <c r="AC9" s="1459">
        <f t="shared" si="5"/>
        <v>1</v>
      </c>
    </row>
    <row r="10" spans="1:29" s="1226" customFormat="1" ht="27">
      <c r="A10" s="2780"/>
      <c r="B10" s="2785" t="s">
        <v>2685</v>
      </c>
      <c r="C10" s="761"/>
      <c r="D10" s="159">
        <v>100</v>
      </c>
      <c r="E10" s="761"/>
      <c r="F10" s="159">
        <f>SUMIF(66:66,E10,67:67)-SUMIF(66:66,C10,67:67)+100</f>
        <v>100</v>
      </c>
      <c r="G10" s="762"/>
      <c r="H10" s="159">
        <f>SUMIF(66:66,G10,67:67)-SUMIF(66:66,C10,67:67)+100</f>
        <v>100</v>
      </c>
      <c r="I10" s="761"/>
      <c r="J10" s="159">
        <f>SUMIF(66:66,I10,67:67)-SUMIF(66:66,C10,67:67)+100</f>
        <v>100</v>
      </c>
      <c r="K10" s="484"/>
      <c r="L10" s="2013"/>
      <c r="M10" s="2053"/>
      <c r="N10" s="2053"/>
      <c r="O10" s="2053"/>
      <c r="P10" s="3378"/>
      <c r="Q10" s="1049" t="str">
        <f t="shared" si="6"/>
        <v>土地使用年限（年）</v>
      </c>
      <c r="R10" s="1456" t="s">
        <v>8</v>
      </c>
      <c r="S10" s="1457">
        <f t="shared" si="0"/>
        <v>100</v>
      </c>
      <c r="T10" s="1456" t="s">
        <v>8</v>
      </c>
      <c r="U10" s="1457">
        <f t="shared" si="1"/>
        <v>100</v>
      </c>
      <c r="V10" s="1456" t="s">
        <v>8</v>
      </c>
      <c r="W10" s="1457">
        <f t="shared" si="2"/>
        <v>100</v>
      </c>
      <c r="X10" s="1458"/>
      <c r="Y10" s="3324"/>
      <c r="Z10" s="1048" t="str">
        <f t="shared" si="7"/>
        <v>土地使用年限（年）</v>
      </c>
      <c r="AA10" s="1459">
        <f t="shared" si="3"/>
        <v>1</v>
      </c>
      <c r="AB10" s="1459">
        <f t="shared" si="4"/>
        <v>1</v>
      </c>
      <c r="AC10" s="1459">
        <f t="shared" si="5"/>
        <v>1</v>
      </c>
    </row>
    <row r="11" spans="1:29" ht="15">
      <c r="A11" s="2781"/>
      <c r="B11" s="2785" t="s">
        <v>2686</v>
      </c>
      <c r="C11" s="433"/>
      <c r="D11" s="159">
        <v>100</v>
      </c>
      <c r="E11" s="433"/>
      <c r="F11" s="159" t="e">
        <f>LOOKUP(E11,69:69,70:70)-LOOKUP(C11,69:69,70:70)+100</f>
        <v>#N/A</v>
      </c>
      <c r="G11" s="434"/>
      <c r="H11" s="159" t="e">
        <f>LOOKUP(G11,69:69,70:70)-LOOKUP(C11,69:69,70:70)+100</f>
        <v>#N/A</v>
      </c>
      <c r="I11" s="433"/>
      <c r="J11" s="159" t="e">
        <f>LOOKUP(I11,69:69,70:70)-LOOKUP(C11,69:69,70:70)+100</f>
        <v>#N/A</v>
      </c>
      <c r="K11" s="484"/>
      <c r="L11" s="2015"/>
      <c r="M11" s="2009"/>
      <c r="N11" s="2009"/>
      <c r="O11" s="2009"/>
      <c r="P11" s="3378"/>
      <c r="Q11" s="1049" t="str">
        <f t="shared" si="6"/>
        <v>容积率</v>
      </c>
      <c r="R11" s="1456" t="s">
        <v>8</v>
      </c>
      <c r="S11" s="1457" t="e">
        <f t="shared" si="0"/>
        <v>#N/A</v>
      </c>
      <c r="T11" s="1456" t="s">
        <v>8</v>
      </c>
      <c r="U11" s="1457" t="e">
        <f t="shared" si="1"/>
        <v>#N/A</v>
      </c>
      <c r="V11" s="1456" t="s">
        <v>8</v>
      </c>
      <c r="W11" s="1457" t="e">
        <f t="shared" si="2"/>
        <v>#N/A</v>
      </c>
      <c r="X11" s="1458"/>
      <c r="Y11" s="3324"/>
      <c r="Z11" s="1048" t="str">
        <f t="shared" si="7"/>
        <v>容积率</v>
      </c>
      <c r="AA11" s="1459" t="e">
        <f t="shared" si="3"/>
        <v>#N/A</v>
      </c>
      <c r="AB11" s="1459" t="e">
        <f t="shared" si="4"/>
        <v>#N/A</v>
      </c>
      <c r="AC11" s="1459" t="e">
        <f t="shared" si="5"/>
        <v>#N/A</v>
      </c>
    </row>
    <row r="12" spans="1:29" s="1108" customFormat="1" ht="15">
      <c r="A12" s="2782"/>
      <c r="B12" s="2788">
        <v>111</v>
      </c>
      <c r="C12" s="428"/>
      <c r="D12" s="438">
        <v>100</v>
      </c>
      <c r="E12" s="428"/>
      <c r="F12" s="159">
        <f>SUMIF(71:71,E12,72:72)-SUMIF(71:71,C12,72:72)+100</f>
        <v>100</v>
      </c>
      <c r="G12" s="810"/>
      <c r="H12" s="159">
        <f>SUMIF(71:71,G12,72:72)-SUMIF(71:71,C12,72:72)+100</f>
        <v>100</v>
      </c>
      <c r="I12" s="428"/>
      <c r="J12" s="159">
        <f>SUMIF(71:71,I12,72:72)-SUMIF(71:71,C12,72:72)+100</f>
        <v>100</v>
      </c>
      <c r="K12" s="481"/>
      <c r="L12" s="2010"/>
      <c r="M12" s="2011"/>
      <c r="N12" s="2011"/>
      <c r="O12" s="2011"/>
      <c r="P12" s="3378"/>
      <c r="Q12" s="1049">
        <f t="shared" si="6"/>
        <v>111</v>
      </c>
      <c r="R12" s="1456" t="s">
        <v>8</v>
      </c>
      <c r="S12" s="1457">
        <f t="shared" si="0"/>
        <v>100</v>
      </c>
      <c r="T12" s="1456" t="s">
        <v>8</v>
      </c>
      <c r="U12" s="1457">
        <f t="shared" si="1"/>
        <v>100</v>
      </c>
      <c r="V12" s="1456" t="s">
        <v>8</v>
      </c>
      <c r="W12" s="1457">
        <f t="shared" si="2"/>
        <v>100</v>
      </c>
      <c r="X12" s="1458"/>
      <c r="Y12" s="3324"/>
      <c r="Z12" s="1048">
        <f t="shared" si="7"/>
        <v>111</v>
      </c>
      <c r="AA12" s="1459">
        <f>D12/F12</f>
        <v>1</v>
      </c>
      <c r="AB12" s="1459">
        <f>D12/H12</f>
        <v>1</v>
      </c>
      <c r="AC12" s="1459">
        <f>D12/J12</f>
        <v>1</v>
      </c>
    </row>
    <row r="13" spans="1:29" ht="15">
      <c r="A13" s="2782"/>
      <c r="B13" s="2788">
        <v>111</v>
      </c>
      <c r="C13" s="439"/>
      <c r="D13" s="440">
        <v>100</v>
      </c>
      <c r="E13" s="428"/>
      <c r="F13" s="159">
        <f>SUMIF(73:73,E13,74:74)-SUMIF(73:73,C13,74:74)+100</f>
        <v>100</v>
      </c>
      <c r="G13" s="810"/>
      <c r="H13" s="440">
        <f>SUMIF(73:73,G13,74:74)-SUMIF(73:73,C13,74:74)+100</f>
        <v>100</v>
      </c>
      <c r="I13" s="428"/>
      <c r="J13" s="440">
        <f>SUMIF(73:73,I13,74:74)-SUMIF(73:73,C13,74:74)+100</f>
        <v>100</v>
      </c>
      <c r="K13" s="481"/>
      <c r="L13" s="2017"/>
      <c r="M13" s="2009"/>
      <c r="N13" s="2009"/>
      <c r="O13" s="2009"/>
      <c r="P13" s="3378"/>
      <c r="Q13" s="1049">
        <f t="shared" si="6"/>
        <v>111</v>
      </c>
      <c r="R13" s="1456" t="s">
        <v>8</v>
      </c>
      <c r="S13" s="1457">
        <f t="shared" si="0"/>
        <v>100</v>
      </c>
      <c r="T13" s="1456" t="s">
        <v>8</v>
      </c>
      <c r="U13" s="1457">
        <f t="shared" si="1"/>
        <v>100</v>
      </c>
      <c r="V13" s="1456" t="s">
        <v>8</v>
      </c>
      <c r="W13" s="1457">
        <f t="shared" si="2"/>
        <v>100</v>
      </c>
      <c r="X13" s="1458"/>
      <c r="Y13" s="3324"/>
      <c r="Z13" s="1048">
        <f t="shared" si="7"/>
        <v>111</v>
      </c>
      <c r="AA13" s="1459">
        <f t="shared" si="3"/>
        <v>1</v>
      </c>
      <c r="AB13" s="1459">
        <f t="shared" si="4"/>
        <v>1</v>
      </c>
      <c r="AC13" s="1459">
        <f t="shared" si="5"/>
        <v>1</v>
      </c>
    </row>
    <row r="14" spans="1:29" ht="15.75" thickBot="1">
      <c r="A14" s="2783"/>
      <c r="B14" s="2789">
        <v>111</v>
      </c>
      <c r="C14" s="445"/>
      <c r="D14" s="446">
        <v>100</v>
      </c>
      <c r="E14" s="811"/>
      <c r="F14" s="446">
        <f>SUMIF(75:75,E14,76:76)-SUMIF(75:75,C14,76:76)+100</f>
        <v>100</v>
      </c>
      <c r="G14" s="810"/>
      <c r="H14" s="446">
        <f>SUMIF(75:75,G14,76:76)-SUMIF(75:75,C14,76:76)+100</f>
        <v>100</v>
      </c>
      <c r="I14" s="428"/>
      <c r="J14" s="446">
        <f>SUMIF(75:75,I14,76:76)-SUMIF(75:75,C14,76:76)+100</f>
        <v>100</v>
      </c>
      <c r="K14" s="481"/>
      <c r="L14" s="2017"/>
      <c r="M14" s="2009"/>
      <c r="N14" s="2009"/>
      <c r="O14" s="2009"/>
      <c r="P14" s="3378"/>
      <c r="Q14" s="1049">
        <f t="shared" si="6"/>
        <v>111</v>
      </c>
      <c r="R14" s="1456" t="s">
        <v>8</v>
      </c>
      <c r="S14" s="1457">
        <f t="shared" si="0"/>
        <v>100</v>
      </c>
      <c r="T14" s="1456" t="s">
        <v>8</v>
      </c>
      <c r="U14" s="1457">
        <f t="shared" si="1"/>
        <v>100</v>
      </c>
      <c r="V14" s="1456" t="s">
        <v>8</v>
      </c>
      <c r="W14" s="1457">
        <f t="shared" si="2"/>
        <v>100</v>
      </c>
      <c r="X14" s="1458"/>
      <c r="Y14" s="3324"/>
      <c r="Z14" s="1048">
        <f t="shared" si="7"/>
        <v>111</v>
      </c>
      <c r="AA14" s="1459">
        <f t="shared" si="3"/>
        <v>1</v>
      </c>
      <c r="AB14" s="1459">
        <f t="shared" si="4"/>
        <v>1</v>
      </c>
      <c r="AC14" s="1459">
        <f t="shared" si="5"/>
        <v>1</v>
      </c>
    </row>
    <row r="15" spans="1:29" ht="15">
      <c r="A15" s="2775" t="s">
        <v>2682</v>
      </c>
      <c r="B15" s="447" t="s">
        <v>482</v>
      </c>
      <c r="C15" s="448" t="str">
        <f>估价对象房地状况!C5</f>
        <v>多家工业厂房</v>
      </c>
      <c r="D15" s="449">
        <v>100</v>
      </c>
      <c r="E15" s="452"/>
      <c r="F15" s="449">
        <f>SUMIF(77:77,E16,78:78)-SUMIF(77:77,C16,78:78)+100</f>
        <v>100</v>
      </c>
      <c r="G15" s="450"/>
      <c r="H15" s="449">
        <f>SUMIF(77:77,G16,78:78)-SUMIF(77:77,C16,78:78)+100</f>
        <v>100</v>
      </c>
      <c r="I15" s="450"/>
      <c r="J15" s="449">
        <f>SUMIF(77:77,I16,78:78)-SUMIF(77:77,C16,78:78)+100</f>
        <v>100</v>
      </c>
      <c r="K15" s="798"/>
      <c r="L15" s="2017"/>
      <c r="M15" s="2009"/>
      <c r="N15" s="2009"/>
      <c r="O15" s="2009"/>
      <c r="P15" s="3412" t="s">
        <v>480</v>
      </c>
      <c r="Q15" s="1460" t="str">
        <f t="shared" si="6"/>
        <v>办公集聚程度</v>
      </c>
      <c r="R15" s="1461" t="s">
        <v>8</v>
      </c>
      <c r="S15" s="1462">
        <f t="shared" si="0"/>
        <v>100</v>
      </c>
      <c r="T15" s="1461" t="s">
        <v>8</v>
      </c>
      <c r="U15" s="1462">
        <f t="shared" si="1"/>
        <v>100</v>
      </c>
      <c r="V15" s="1461" t="s">
        <v>8</v>
      </c>
      <c r="W15" s="1462">
        <f t="shared" si="2"/>
        <v>100</v>
      </c>
      <c r="X15" s="1455"/>
      <c r="Y15" s="3412" t="s">
        <v>480</v>
      </c>
      <c r="Z15" s="1463" t="str">
        <f t="shared" si="7"/>
        <v>办公集聚程度</v>
      </c>
      <c r="AA15" s="1464">
        <f t="shared" si="3"/>
        <v>1</v>
      </c>
      <c r="AB15" s="1464">
        <f t="shared" si="4"/>
        <v>1</v>
      </c>
      <c r="AC15" s="1464">
        <f t="shared" si="5"/>
        <v>1</v>
      </c>
    </row>
    <row r="16" spans="1:29" ht="15">
      <c r="A16" s="432"/>
      <c r="B16" s="453"/>
      <c r="C16" s="454"/>
      <c r="D16" s="455"/>
      <c r="E16" s="476"/>
      <c r="F16" s="455"/>
      <c r="G16" s="454"/>
      <c r="H16" s="459"/>
      <c r="I16" s="476"/>
      <c r="J16" s="455"/>
      <c r="K16" s="799"/>
      <c r="L16" s="2017"/>
      <c r="M16" s="2009"/>
      <c r="N16" s="2009"/>
      <c r="O16" s="2009"/>
      <c r="P16" s="3413"/>
      <c r="Q16" s="1460"/>
      <c r="R16" s="1461"/>
      <c r="S16" s="1462"/>
      <c r="T16" s="1461"/>
      <c r="U16" s="1462"/>
      <c r="V16" s="1461"/>
      <c r="W16" s="1462"/>
      <c r="X16" s="1455"/>
      <c r="Y16" s="3413"/>
      <c r="Z16" s="1463"/>
      <c r="AA16" s="1464">
        <v>1</v>
      </c>
      <c r="AB16" s="1464">
        <v>1</v>
      </c>
      <c r="AC16" s="1464">
        <v>1</v>
      </c>
    </row>
    <row r="17" spans="1:29" ht="71.25">
      <c r="A17" s="432"/>
      <c r="B17" s="460" t="s">
        <v>236</v>
      </c>
      <c r="C17" s="473" t="str">
        <f>估价对象房地状况!C6</f>
        <v>233路、平湖k166路；大云镇客运站；嘉善南站；1高速、1省道</v>
      </c>
      <c r="D17" s="459">
        <v>100</v>
      </c>
      <c r="E17" s="464"/>
      <c r="F17" s="459">
        <f>SUMIF(79:79,E18,80:80)-SUMIF(79:79,C18,80:80)+100</f>
        <v>100</v>
      </c>
      <c r="G17" s="462"/>
      <c r="H17" s="465">
        <f>SUMIF(79:79,G18,80:80)-SUMIF(79:79,C18,80:80)+100</f>
        <v>100</v>
      </c>
      <c r="I17" s="462"/>
      <c r="J17" s="465">
        <f>SUMIF(79:79,I18,80:80)-SUMIF(79:79,C18,80:80)+100</f>
        <v>100</v>
      </c>
      <c r="K17" s="798"/>
      <c r="L17" s="2017"/>
      <c r="M17" s="2009"/>
      <c r="N17" s="2009"/>
      <c r="O17" s="2009"/>
      <c r="P17" s="3413"/>
      <c r="Q17" s="1460" t="str">
        <f>B17</f>
        <v>交通便捷度</v>
      </c>
      <c r="R17" s="1461" t="s">
        <v>8</v>
      </c>
      <c r="S17" s="1462">
        <f>F17</f>
        <v>100</v>
      </c>
      <c r="T17" s="1461" t="s">
        <v>8</v>
      </c>
      <c r="U17" s="1462">
        <f>H17</f>
        <v>100</v>
      </c>
      <c r="V17" s="1461" t="s">
        <v>8</v>
      </c>
      <c r="W17" s="1462">
        <f>J17</f>
        <v>100</v>
      </c>
      <c r="X17" s="1455"/>
      <c r="Y17" s="3413"/>
      <c r="Z17" s="1463" t="str">
        <f>Q17</f>
        <v>交通便捷度</v>
      </c>
      <c r="AA17" s="1464">
        <f t="shared" si="3"/>
        <v>1</v>
      </c>
      <c r="AB17" s="1464">
        <f t="shared" si="4"/>
        <v>1</v>
      </c>
      <c r="AC17" s="1464">
        <f t="shared" si="5"/>
        <v>1</v>
      </c>
    </row>
    <row r="18" spans="1:29" ht="15">
      <c r="A18" s="432"/>
      <c r="B18" s="466"/>
      <c r="C18" s="467"/>
      <c r="D18" s="459"/>
      <c r="E18" s="469"/>
      <c r="F18" s="459"/>
      <c r="G18" s="468"/>
      <c r="H18" s="455"/>
      <c r="I18" s="468"/>
      <c r="J18" s="455"/>
      <c r="K18" s="799"/>
      <c r="L18" s="2017"/>
      <c r="M18" s="2009"/>
      <c r="N18" s="2009"/>
      <c r="O18" s="2009"/>
      <c r="P18" s="3413"/>
      <c r="Q18" s="1460"/>
      <c r="R18" s="1461"/>
      <c r="S18" s="1462"/>
      <c r="T18" s="1461"/>
      <c r="U18" s="1462"/>
      <c r="V18" s="1461"/>
      <c r="W18" s="1462"/>
      <c r="X18" s="1455"/>
      <c r="Y18" s="3413"/>
      <c r="Z18" s="1463"/>
      <c r="AA18" s="1464">
        <v>1</v>
      </c>
      <c r="AB18" s="1464">
        <v>1</v>
      </c>
      <c r="AC18" s="1464">
        <v>1</v>
      </c>
    </row>
    <row r="19" spans="1:29" ht="28.5">
      <c r="A19" s="432"/>
      <c r="B19" s="2469" t="s">
        <v>2474</v>
      </c>
      <c r="C19" s="473" t="str">
        <f>估价对象房地状况!C7</f>
        <v>医院、学校、银行、餐饮</v>
      </c>
      <c r="D19" s="465">
        <v>100</v>
      </c>
      <c r="E19" s="472"/>
      <c r="F19" s="465">
        <f>SUMIF(81:81,E20,82:82)-SUMIF(81:81,C20,82:82)+100</f>
        <v>100</v>
      </c>
      <c r="G19" s="470"/>
      <c r="H19" s="459">
        <f>SUMIF(81:81,G20,82:82)-SUMIF(81:81,C20,82:82)+100</f>
        <v>100</v>
      </c>
      <c r="I19" s="470"/>
      <c r="J19" s="459">
        <f>SUMIF(81:81,I20,82:82)-SUMIF(81:81,C20,82:82)+100</f>
        <v>100</v>
      </c>
      <c r="K19" s="798"/>
      <c r="L19" s="2017"/>
      <c r="M19" s="2009"/>
      <c r="N19" s="2009"/>
      <c r="O19" s="2009"/>
      <c r="P19" s="3413"/>
      <c r="Q19" s="1460" t="str">
        <f>B19</f>
        <v>公共配套设施</v>
      </c>
      <c r="R19" s="1461" t="s">
        <v>8</v>
      </c>
      <c r="S19" s="1462">
        <f>F19</f>
        <v>100</v>
      </c>
      <c r="T19" s="1461" t="s">
        <v>8</v>
      </c>
      <c r="U19" s="1462">
        <f>H19</f>
        <v>100</v>
      </c>
      <c r="V19" s="1461" t="s">
        <v>8</v>
      </c>
      <c r="W19" s="1462">
        <f>J19</f>
        <v>100</v>
      </c>
      <c r="X19" s="1455"/>
      <c r="Y19" s="3413"/>
      <c r="Z19" s="1463" t="str">
        <f>Q19</f>
        <v>公共配套设施</v>
      </c>
      <c r="AA19" s="1464">
        <f t="shared" si="3"/>
        <v>1</v>
      </c>
      <c r="AB19" s="1464">
        <f t="shared" si="4"/>
        <v>1</v>
      </c>
      <c r="AC19" s="1464">
        <f t="shared" si="5"/>
        <v>1</v>
      </c>
    </row>
    <row r="20" spans="1:29" ht="15">
      <c r="A20" s="432"/>
      <c r="B20" s="466"/>
      <c r="C20" s="454"/>
      <c r="D20" s="455"/>
      <c r="E20" s="458"/>
      <c r="F20" s="455"/>
      <c r="G20" s="456"/>
      <c r="H20" s="455"/>
      <c r="I20" s="456"/>
      <c r="J20" s="455"/>
      <c r="K20" s="799"/>
      <c r="L20" s="2017"/>
      <c r="M20" s="2009"/>
      <c r="N20" s="2009"/>
      <c r="O20" s="2009"/>
      <c r="P20" s="3413"/>
      <c r="Q20" s="1460"/>
      <c r="R20" s="1461"/>
      <c r="S20" s="1462"/>
      <c r="T20" s="1461"/>
      <c r="U20" s="1462"/>
      <c r="V20" s="1461"/>
      <c r="W20" s="1462"/>
      <c r="X20" s="1455"/>
      <c r="Y20" s="3413"/>
      <c r="Z20" s="1463"/>
      <c r="AA20" s="1464">
        <v>1</v>
      </c>
      <c r="AB20" s="1464">
        <v>1</v>
      </c>
      <c r="AC20" s="1464">
        <v>1</v>
      </c>
    </row>
    <row r="21" spans="1:29" ht="15">
      <c r="A21" s="432"/>
      <c r="B21" s="2457" t="s">
        <v>2486</v>
      </c>
      <c r="C21" s="473" t="str">
        <f>估价对象房地状况!C8</f>
        <v>六通</v>
      </c>
      <c r="D21" s="465">
        <v>100</v>
      </c>
      <c r="E21" s="472"/>
      <c r="F21" s="465">
        <f>SUMIF(83:83,E22,84:84)-SUMIF(83:83,C22,84:84)+100</f>
        <v>100</v>
      </c>
      <c r="G21" s="470"/>
      <c r="H21" s="465">
        <f>SUMIF(83:83,G22,84:84)-SUMIF(83:83,C22,84:84)+100</f>
        <v>100</v>
      </c>
      <c r="I21" s="470"/>
      <c r="J21" s="465">
        <f>SUMIF(83:83,I22,84:84)-SUMIF(83:83,C22,84:84)+100</f>
        <v>100</v>
      </c>
      <c r="K21" s="798"/>
      <c r="L21" s="2017"/>
      <c r="M21" s="2009"/>
      <c r="N21" s="2009"/>
      <c r="O21" s="2009"/>
      <c r="P21" s="3413"/>
      <c r="Q21" s="2445" t="str">
        <f>B21</f>
        <v>基础设施水平</v>
      </c>
      <c r="R21" s="1461" t="s">
        <v>8</v>
      </c>
      <c r="S21" s="1462">
        <f>F21</f>
        <v>100</v>
      </c>
      <c r="T21" s="1461" t="s">
        <v>8</v>
      </c>
      <c r="U21" s="1462">
        <f>H21</f>
        <v>100</v>
      </c>
      <c r="V21" s="1461" t="s">
        <v>8</v>
      </c>
      <c r="W21" s="1462">
        <f>J21</f>
        <v>100</v>
      </c>
      <c r="X21" s="2447"/>
      <c r="Y21" s="3413"/>
      <c r="Z21" s="2446" t="str">
        <f>Q21</f>
        <v>基础设施水平</v>
      </c>
      <c r="AA21" s="1464">
        <f>D21/F21</f>
        <v>1</v>
      </c>
      <c r="AB21" s="1464">
        <f>D21/H21</f>
        <v>1</v>
      </c>
      <c r="AC21" s="1464">
        <f>D21/J21</f>
        <v>1</v>
      </c>
    </row>
    <row r="22" spans="1:29" ht="15">
      <c r="A22" s="432"/>
      <c r="B22" s="478"/>
      <c r="C22" s="467"/>
      <c r="D22" s="455"/>
      <c r="E22" s="476"/>
      <c r="F22" s="455"/>
      <c r="G22" s="454"/>
      <c r="H22" s="455"/>
      <c r="I22" s="454"/>
      <c r="J22" s="455"/>
      <c r="K22" s="2468"/>
      <c r="L22" s="2017"/>
      <c r="M22" s="2009"/>
      <c r="N22" s="2009"/>
      <c r="O22" s="2009"/>
      <c r="P22" s="3413"/>
      <c r="Q22" s="2445"/>
      <c r="R22" s="1461"/>
      <c r="S22" s="1462"/>
      <c r="T22" s="1461"/>
      <c r="U22" s="1462"/>
      <c r="V22" s="1461"/>
      <c r="W22" s="1462"/>
      <c r="X22" s="2447"/>
      <c r="Y22" s="3413"/>
      <c r="Z22" s="2446"/>
      <c r="AA22" s="1464">
        <v>1</v>
      </c>
      <c r="AB22" s="1464">
        <v>1</v>
      </c>
      <c r="AC22" s="1464">
        <v>1</v>
      </c>
    </row>
    <row r="23" spans="1:29" ht="15">
      <c r="A23" s="432"/>
      <c r="B23" s="460" t="s">
        <v>717</v>
      </c>
      <c r="C23" s="473" t="str">
        <f>估价对象房地状况!C9</f>
        <v>六生河</v>
      </c>
      <c r="D23" s="459">
        <v>100</v>
      </c>
      <c r="E23" s="464"/>
      <c r="F23" s="459">
        <f>SUMIF(85:85,E24,86:86)-SUMIF(85:85,C24,86:86)+100</f>
        <v>100</v>
      </c>
      <c r="G23" s="462"/>
      <c r="H23" s="459">
        <f>SUMIF(85:85,G24,86:86)-SUMIF(85:85,C24,86:86)+100</f>
        <v>100</v>
      </c>
      <c r="I23" s="462"/>
      <c r="J23" s="459">
        <f>SUMIF(85:85,I24,86:86)-SUMIF(85:85,C24,86:86)+100</f>
        <v>100</v>
      </c>
      <c r="K23" s="798"/>
      <c r="L23" s="2017"/>
      <c r="M23" s="2009"/>
      <c r="N23" s="2009"/>
      <c r="O23" s="2009"/>
      <c r="P23" s="3413"/>
      <c r="Q23" s="1460" t="str">
        <f>B23</f>
        <v>环境质量</v>
      </c>
      <c r="R23" s="1461" t="s">
        <v>8</v>
      </c>
      <c r="S23" s="1462">
        <f>F23</f>
        <v>100</v>
      </c>
      <c r="T23" s="1461" t="s">
        <v>8</v>
      </c>
      <c r="U23" s="1462">
        <f>H23</f>
        <v>100</v>
      </c>
      <c r="V23" s="1461" t="s">
        <v>8</v>
      </c>
      <c r="W23" s="1462">
        <f>J23</f>
        <v>100</v>
      </c>
      <c r="X23" s="1455"/>
      <c r="Y23" s="3413"/>
      <c r="Z23" s="1463" t="str">
        <f>Q23</f>
        <v>环境质量</v>
      </c>
      <c r="AA23" s="1464">
        <f t="shared" si="3"/>
        <v>1</v>
      </c>
      <c r="AB23" s="1464">
        <f t="shared" si="4"/>
        <v>1</v>
      </c>
      <c r="AC23" s="1464">
        <f t="shared" si="5"/>
        <v>1</v>
      </c>
    </row>
    <row r="24" spans="1:29" ht="15">
      <c r="A24" s="432"/>
      <c r="B24" s="478"/>
      <c r="C24" s="454"/>
      <c r="D24" s="455"/>
      <c r="E24" s="458"/>
      <c r="F24" s="455"/>
      <c r="G24" s="456"/>
      <c r="H24" s="455"/>
      <c r="I24" s="456"/>
      <c r="J24" s="455"/>
      <c r="K24" s="799"/>
      <c r="L24" s="2017"/>
      <c r="M24" s="2009"/>
      <c r="N24" s="2009"/>
      <c r="O24" s="2009"/>
      <c r="P24" s="3413"/>
      <c r="Q24" s="1460"/>
      <c r="R24" s="1461"/>
      <c r="S24" s="1462"/>
      <c r="T24" s="1461"/>
      <c r="U24" s="1462"/>
      <c r="V24" s="1461"/>
      <c r="W24" s="1462"/>
      <c r="X24" s="1455"/>
      <c r="Y24" s="3413"/>
      <c r="Z24" s="1463"/>
      <c r="AA24" s="1464">
        <v>1</v>
      </c>
      <c r="AB24" s="1464">
        <v>1</v>
      </c>
      <c r="AC24" s="1464">
        <v>1</v>
      </c>
    </row>
    <row r="25" spans="1:29" ht="27">
      <c r="A25" s="415"/>
      <c r="B25" s="460" t="s">
        <v>488</v>
      </c>
      <c r="C25" s="812"/>
      <c r="D25" s="440">
        <v>100</v>
      </c>
      <c r="E25" s="439"/>
      <c r="F25" s="440">
        <f>SUMIF(87:87,E26,88:88)-SUMIF(87:87,C26,88:88)+100</f>
        <v>100</v>
      </c>
      <c r="G25" s="812"/>
      <c r="H25" s="440">
        <f>SUMIF(87:87,G26,88:88)-SUMIF(87:87,C26,88:88)+100</f>
        <v>100</v>
      </c>
      <c r="I25" s="439"/>
      <c r="J25" s="440">
        <f>SUMIF(87:87,I26,88:88)-SUMIF(87:87,C26,88:88)+100</f>
        <v>100</v>
      </c>
      <c r="K25" s="798"/>
      <c r="L25" s="2017"/>
      <c r="M25" s="2009"/>
      <c r="N25" s="2009"/>
      <c r="O25" s="2009"/>
      <c r="P25" s="3413"/>
      <c r="Q25" s="1460" t="str">
        <f>B25</f>
        <v>毗邻道路的类型与等级</v>
      </c>
      <c r="R25" s="1461" t="s">
        <v>8</v>
      </c>
      <c r="S25" s="1462">
        <f>F25</f>
        <v>100</v>
      </c>
      <c r="T25" s="1461" t="s">
        <v>8</v>
      </c>
      <c r="U25" s="1462">
        <f>H25</f>
        <v>100</v>
      </c>
      <c r="V25" s="1461" t="s">
        <v>8</v>
      </c>
      <c r="W25" s="1462">
        <f>J25</f>
        <v>100</v>
      </c>
      <c r="X25" s="1455"/>
      <c r="Y25" s="3413"/>
      <c r="Z25" s="1463" t="str">
        <f>Q25</f>
        <v>毗邻道路的类型与等级</v>
      </c>
      <c r="AA25" s="1464">
        <f t="shared" si="3"/>
        <v>1</v>
      </c>
      <c r="AB25" s="1464">
        <f t="shared" si="4"/>
        <v>1</v>
      </c>
      <c r="AC25" s="1464">
        <f t="shared" si="5"/>
        <v>1</v>
      </c>
    </row>
    <row r="26" spans="1:29" ht="15">
      <c r="A26" s="415"/>
      <c r="B26" s="466"/>
      <c r="C26" s="480"/>
      <c r="D26" s="440"/>
      <c r="E26" s="483"/>
      <c r="F26" s="440"/>
      <c r="G26" s="480"/>
      <c r="H26" s="440"/>
      <c r="I26" s="483"/>
      <c r="J26" s="440"/>
      <c r="K26" s="799"/>
      <c r="L26" s="2017"/>
      <c r="M26" s="2009"/>
      <c r="N26" s="2009"/>
      <c r="O26" s="2009"/>
      <c r="P26" s="3413"/>
      <c r="Q26" s="1460"/>
      <c r="R26" s="1461"/>
      <c r="S26" s="1462"/>
      <c r="T26" s="1461"/>
      <c r="U26" s="1462"/>
      <c r="V26" s="1461"/>
      <c r="W26" s="1462"/>
      <c r="X26" s="1455"/>
      <c r="Y26" s="3413"/>
      <c r="Z26" s="1463"/>
      <c r="AA26" s="1464">
        <v>1</v>
      </c>
      <c r="AB26" s="1464">
        <v>1</v>
      </c>
      <c r="AC26" s="1464">
        <v>1</v>
      </c>
    </row>
    <row r="27" spans="1:29" ht="15">
      <c r="A27" s="432"/>
      <c r="B27" s="466" t="s">
        <v>700</v>
      </c>
      <c r="C27" s="480"/>
      <c r="D27" s="440">
        <v>100</v>
      </c>
      <c r="E27" s="483"/>
      <c r="F27" s="440">
        <f>SUMIF(89:89,E27,90:90)-SUMIF(89:89,C27,90:90)+100</f>
        <v>100</v>
      </c>
      <c r="G27" s="480"/>
      <c r="H27" s="440">
        <f>SUMIF(89:89,G27,90:90)-SUMIF(89:89,C27,90:90)+100</f>
        <v>100</v>
      </c>
      <c r="I27" s="483"/>
      <c r="J27" s="440">
        <f>SUMIF(89:89,I27,90:90)-SUMIF(89:89,C27,90:90)+100</f>
        <v>100</v>
      </c>
      <c r="K27" s="484"/>
      <c r="L27" s="2017"/>
      <c r="M27" s="2009"/>
      <c r="N27" s="2009"/>
      <c r="O27" s="2009"/>
      <c r="P27" s="3413"/>
      <c r="Q27" s="1460" t="str">
        <f t="shared" ref="Q27:Q47" si="8">B27</f>
        <v>楼层</v>
      </c>
      <c r="R27" s="1461" t="s">
        <v>8</v>
      </c>
      <c r="S27" s="1462">
        <f>F27</f>
        <v>100</v>
      </c>
      <c r="T27" s="1461" t="s">
        <v>8</v>
      </c>
      <c r="U27" s="1462">
        <f>H27</f>
        <v>100</v>
      </c>
      <c r="V27" s="1461" t="s">
        <v>8</v>
      </c>
      <c r="W27" s="1462">
        <f>J27</f>
        <v>100</v>
      </c>
      <c r="X27" s="1455"/>
      <c r="Y27" s="3413"/>
      <c r="Z27" s="1463" t="str">
        <f>Q27</f>
        <v>楼层</v>
      </c>
      <c r="AA27" s="1464">
        <f t="shared" si="3"/>
        <v>1</v>
      </c>
      <c r="AB27" s="1464">
        <f t="shared" si="4"/>
        <v>1</v>
      </c>
      <c r="AC27" s="1464">
        <f t="shared" si="5"/>
        <v>1</v>
      </c>
    </row>
    <row r="28" spans="1:29" s="1108" customFormat="1" ht="15">
      <c r="A28" s="436"/>
      <c r="B28" s="460" t="s">
        <v>718</v>
      </c>
      <c r="C28" s="813"/>
      <c r="D28" s="775">
        <v>100</v>
      </c>
      <c r="E28" s="801"/>
      <c r="F28" s="775">
        <f>SUMIF(91:91,E28,92:92)-SUMIF(91:91,C28,92:92)+100</f>
        <v>100</v>
      </c>
      <c r="G28" s="813"/>
      <c r="H28" s="775">
        <f>SUMIF(91:91,G28,92:92)-SUMIF(91:91,C28,92:92)+100</f>
        <v>100</v>
      </c>
      <c r="I28" s="801"/>
      <c r="J28" s="775">
        <f>SUMIF(91:91,I28,92:92)-SUMIF(91:91,C28,92:92)+100</f>
        <v>100</v>
      </c>
      <c r="K28" s="484"/>
      <c r="L28" s="2010"/>
      <c r="M28" s="2011"/>
      <c r="N28" s="2011"/>
      <c r="O28" s="2011"/>
      <c r="P28" s="3413"/>
      <c r="Q28" s="1049" t="str">
        <f t="shared" si="8"/>
        <v>朝向</v>
      </c>
      <c r="R28" s="1456" t="s">
        <v>8</v>
      </c>
      <c r="S28" s="1457">
        <f>F28</f>
        <v>100</v>
      </c>
      <c r="T28" s="1456" t="s">
        <v>8</v>
      </c>
      <c r="U28" s="1457">
        <f>H28</f>
        <v>100</v>
      </c>
      <c r="V28" s="1456" t="s">
        <v>8</v>
      </c>
      <c r="W28" s="1457">
        <f>J28</f>
        <v>100</v>
      </c>
      <c r="X28" s="1458"/>
      <c r="Y28" s="3413"/>
      <c r="Z28" s="1048" t="str">
        <f>Q28</f>
        <v>朝向</v>
      </c>
      <c r="AA28" s="1464">
        <f>D28/F28</f>
        <v>1</v>
      </c>
      <c r="AB28" s="1464">
        <f>D28/H28</f>
        <v>1</v>
      </c>
      <c r="AC28" s="1464">
        <f>D28/J28</f>
        <v>1</v>
      </c>
    </row>
    <row r="29" spans="1:29" ht="15">
      <c r="A29" s="432"/>
      <c r="B29" s="485">
        <v>111</v>
      </c>
      <c r="C29" s="812"/>
      <c r="D29" s="440">
        <v>100</v>
      </c>
      <c r="E29" s="428"/>
      <c r="F29" s="440">
        <f>SUMIF(93:93,E29,94:94)-SUMIF(93:93,C29,94:94)+100</f>
        <v>100</v>
      </c>
      <c r="G29" s="810"/>
      <c r="H29" s="440">
        <f>SUMIF(93:93,G29,94:94)-SUMIF(93:93,C29,94:94)+100</f>
        <v>100</v>
      </c>
      <c r="I29" s="428"/>
      <c r="J29" s="440">
        <f>SUMIF(93:93,I29,94:94)-SUMIF(93:93,C29,94:94)+100</f>
        <v>100</v>
      </c>
      <c r="K29" s="481"/>
      <c r="L29" s="2017"/>
      <c r="M29" s="2009"/>
      <c r="N29" s="2009"/>
      <c r="O29" s="2009"/>
      <c r="P29" s="3413"/>
      <c r="Q29" s="1460">
        <f t="shared" si="8"/>
        <v>111</v>
      </c>
      <c r="R29" s="1461" t="s">
        <v>8</v>
      </c>
      <c r="S29" s="1462">
        <f t="shared" ref="S29:S47" si="9">F29</f>
        <v>100</v>
      </c>
      <c r="T29" s="1461" t="s">
        <v>8</v>
      </c>
      <c r="U29" s="1462">
        <f t="shared" ref="U29:U47" si="10">H29</f>
        <v>100</v>
      </c>
      <c r="V29" s="1461" t="s">
        <v>8</v>
      </c>
      <c r="W29" s="1462">
        <f t="shared" ref="W29:W47" si="11">J29</f>
        <v>100</v>
      </c>
      <c r="X29" s="1455"/>
      <c r="Y29" s="3413"/>
      <c r="Z29" s="1463">
        <f t="shared" ref="Z29:Z47" si="12">Q29</f>
        <v>111</v>
      </c>
      <c r="AA29" s="1464">
        <f t="shared" si="3"/>
        <v>1</v>
      </c>
      <c r="AB29" s="1464">
        <f t="shared" si="4"/>
        <v>1</v>
      </c>
      <c r="AC29" s="1464">
        <f t="shared" si="5"/>
        <v>1</v>
      </c>
    </row>
    <row r="30" spans="1:29" ht="15">
      <c r="A30" s="432"/>
      <c r="B30" s="485">
        <v>111</v>
      </c>
      <c r="C30" s="812"/>
      <c r="D30" s="440">
        <v>100</v>
      </c>
      <c r="E30" s="428"/>
      <c r="F30" s="440">
        <f>SUMIF(95:95,E30,96:96)-SUMIF(95:95,C30,96:96)+100</f>
        <v>100</v>
      </c>
      <c r="G30" s="810"/>
      <c r="H30" s="440">
        <f>SUMIF(95:95,G30,96:96)-SUMIF(95:95,C30,96:96)+100</f>
        <v>100</v>
      </c>
      <c r="I30" s="428"/>
      <c r="J30" s="440">
        <f>SUMIF(95:95,I30,96:96)-SUMIF(95:95,C30,96:96)+100</f>
        <v>100</v>
      </c>
      <c r="K30" s="481"/>
      <c r="L30" s="2017"/>
      <c r="M30" s="2009"/>
      <c r="N30" s="2009"/>
      <c r="O30" s="2009"/>
      <c r="P30" s="3413"/>
      <c r="Q30" s="1460">
        <f t="shared" si="8"/>
        <v>111</v>
      </c>
      <c r="R30" s="1461" t="s">
        <v>8</v>
      </c>
      <c r="S30" s="1462">
        <f t="shared" si="9"/>
        <v>100</v>
      </c>
      <c r="T30" s="1461" t="s">
        <v>8</v>
      </c>
      <c r="U30" s="1462">
        <f t="shared" si="10"/>
        <v>100</v>
      </c>
      <c r="V30" s="1461" t="s">
        <v>8</v>
      </c>
      <c r="W30" s="1462">
        <f t="shared" si="11"/>
        <v>100</v>
      </c>
      <c r="X30" s="1455"/>
      <c r="Y30" s="3413"/>
      <c r="Z30" s="1463">
        <f t="shared" si="12"/>
        <v>111</v>
      </c>
      <c r="AA30" s="1464">
        <f t="shared" si="3"/>
        <v>1</v>
      </c>
      <c r="AB30" s="1464">
        <f t="shared" si="4"/>
        <v>1</v>
      </c>
      <c r="AC30" s="1464">
        <f t="shared" si="5"/>
        <v>1</v>
      </c>
    </row>
    <row r="31" spans="1:29" ht="15">
      <c r="A31" s="432"/>
      <c r="B31" s="485">
        <v>111</v>
      </c>
      <c r="C31" s="812"/>
      <c r="D31" s="440">
        <v>100</v>
      </c>
      <c r="E31" s="428"/>
      <c r="F31" s="440">
        <f>SUMIF(97:97,E31,98:98)-SUMIF(97:97,C31,98:98)+100</f>
        <v>100</v>
      </c>
      <c r="G31" s="810"/>
      <c r="H31" s="440">
        <f>SUMIF(97:97,G31,98:98)-SUMIF(97:97,C31,98:98)+100</f>
        <v>100</v>
      </c>
      <c r="I31" s="428"/>
      <c r="J31" s="440">
        <f>SUMIF(97:97,I31,98:98)-SUMIF(97:97,C31,98:98)+100</f>
        <v>100</v>
      </c>
      <c r="K31" s="481"/>
      <c r="L31" s="2017"/>
      <c r="M31" s="2009"/>
      <c r="N31" s="2009"/>
      <c r="O31" s="2009"/>
      <c r="P31" s="3413"/>
      <c r="Q31" s="1460">
        <f t="shared" si="8"/>
        <v>111</v>
      </c>
      <c r="R31" s="1461" t="s">
        <v>8</v>
      </c>
      <c r="S31" s="1462">
        <f t="shared" si="9"/>
        <v>100</v>
      </c>
      <c r="T31" s="1461" t="s">
        <v>8</v>
      </c>
      <c r="U31" s="1462">
        <f t="shared" si="10"/>
        <v>100</v>
      </c>
      <c r="V31" s="1461" t="s">
        <v>8</v>
      </c>
      <c r="W31" s="1462">
        <f t="shared" si="11"/>
        <v>100</v>
      </c>
      <c r="X31" s="1455"/>
      <c r="Y31" s="3413"/>
      <c r="Z31" s="1463">
        <f t="shared" si="12"/>
        <v>111</v>
      </c>
      <c r="AA31" s="1464">
        <f t="shared" si="3"/>
        <v>1</v>
      </c>
      <c r="AB31" s="1464">
        <f t="shared" si="4"/>
        <v>1</v>
      </c>
      <c r="AC31" s="1464">
        <f t="shared" si="5"/>
        <v>1</v>
      </c>
    </row>
    <row r="32" spans="1:29" ht="15.75" thickBot="1">
      <c r="A32" s="443"/>
      <c r="B32" s="814">
        <v>111</v>
      </c>
      <c r="C32" s="815"/>
      <c r="D32" s="446">
        <v>100</v>
      </c>
      <c r="E32" s="811"/>
      <c r="F32" s="446">
        <f>SUMIF(99:99,E32,100:100)-SUMIF(99:99,C32,100:100)+100</f>
        <v>100</v>
      </c>
      <c r="G32" s="810"/>
      <c r="H32" s="446">
        <f>SUMIF(99:99,G32,100:100)-SUMIF(99:99,C32,100:100)+100</f>
        <v>100</v>
      </c>
      <c r="I32" s="428"/>
      <c r="J32" s="446">
        <f>SUMIF(99:99,I32,100:100)-SUMIF(99:99,C32,100:100)+100</f>
        <v>100</v>
      </c>
      <c r="K32" s="481"/>
      <c r="L32" s="2017"/>
      <c r="M32" s="2009"/>
      <c r="N32" s="2009"/>
      <c r="O32" s="2009"/>
      <c r="P32" s="3413"/>
      <c r="Q32" s="1460">
        <f t="shared" si="8"/>
        <v>111</v>
      </c>
      <c r="R32" s="1461" t="s">
        <v>8</v>
      </c>
      <c r="S32" s="1462">
        <f t="shared" si="9"/>
        <v>100</v>
      </c>
      <c r="T32" s="1461" t="s">
        <v>8</v>
      </c>
      <c r="U32" s="1462">
        <f t="shared" si="10"/>
        <v>100</v>
      </c>
      <c r="V32" s="1461" t="s">
        <v>8</v>
      </c>
      <c r="W32" s="1462">
        <f t="shared" si="11"/>
        <v>100</v>
      </c>
      <c r="X32" s="1455"/>
      <c r="Y32" s="3413"/>
      <c r="Z32" s="1463">
        <f t="shared" si="12"/>
        <v>111</v>
      </c>
      <c r="AA32" s="1464">
        <f t="shared" si="3"/>
        <v>1</v>
      </c>
      <c r="AB32" s="1464">
        <f t="shared" si="4"/>
        <v>1</v>
      </c>
      <c r="AC32" s="1464">
        <f t="shared" si="5"/>
        <v>1</v>
      </c>
    </row>
    <row r="33" spans="1:29" ht="15">
      <c r="A33" s="2772" t="s">
        <v>2683</v>
      </c>
      <c r="B33" s="148" t="s">
        <v>719</v>
      </c>
      <c r="C33" s="816"/>
      <c r="D33" s="497">
        <v>100</v>
      </c>
      <c r="E33" s="816"/>
      <c r="F33" s="475">
        <f>SUMIF(101:101,E33,102:102)-SUMIF(101:101,C33,102:102)+100</f>
        <v>100</v>
      </c>
      <c r="G33" s="816"/>
      <c r="H33" s="440">
        <f>SUMIF(101:101,G33,102:102)-SUMIF(101:101,C33,102:102)+100</f>
        <v>100</v>
      </c>
      <c r="I33" s="816"/>
      <c r="J33" s="497">
        <f>SUMIF(101:101,I33,102:102)-SUMIF(101:101,C33,102:102)+100</f>
        <v>100</v>
      </c>
      <c r="K33" s="484"/>
      <c r="L33" s="2017"/>
      <c r="M33" s="2009"/>
      <c r="N33" s="2009"/>
      <c r="O33" s="2009"/>
      <c r="P33" s="3414" t="s">
        <v>490</v>
      </c>
      <c r="Q33" s="1460" t="str">
        <f t="shared" si="8"/>
        <v>建筑类型</v>
      </c>
      <c r="R33" s="1461" t="s">
        <v>8</v>
      </c>
      <c r="S33" s="1462">
        <f t="shared" si="9"/>
        <v>100</v>
      </c>
      <c r="T33" s="1461" t="s">
        <v>8</v>
      </c>
      <c r="U33" s="1462">
        <f t="shared" si="10"/>
        <v>100</v>
      </c>
      <c r="V33" s="1461" t="s">
        <v>8</v>
      </c>
      <c r="W33" s="1462">
        <f t="shared" si="11"/>
        <v>100</v>
      </c>
      <c r="X33" s="1455"/>
      <c r="Y33" s="3415" t="s">
        <v>490</v>
      </c>
      <c r="Z33" s="1463" t="str">
        <f t="shared" si="12"/>
        <v>建筑类型</v>
      </c>
      <c r="AA33" s="1464">
        <f t="shared" si="3"/>
        <v>1</v>
      </c>
      <c r="AB33" s="1464">
        <f t="shared" si="4"/>
        <v>1</v>
      </c>
      <c r="AC33" s="1464">
        <f t="shared" si="5"/>
        <v>1</v>
      </c>
    </row>
    <row r="34" spans="1:29" s="1227" customFormat="1" ht="15">
      <c r="A34" s="503"/>
      <c r="B34" s="427" t="s">
        <v>665</v>
      </c>
      <c r="C34" s="780"/>
      <c r="D34" s="159">
        <v>100</v>
      </c>
      <c r="E34" s="434"/>
      <c r="F34" s="763" t="e">
        <f>LOOKUP(E34,104:104,105:105)-LOOKUP(C34,104:104,105:105)+100</f>
        <v>#N/A</v>
      </c>
      <c r="G34" s="433"/>
      <c r="H34" s="159" t="e">
        <f>LOOKUP(G34,104:104,105:105)-LOOKUP(C34,104:104,105:105)+100</f>
        <v>#N/A</v>
      </c>
      <c r="I34" s="433"/>
      <c r="J34" s="159" t="e">
        <f>LOOKUP(I34,104:104,105:105)-LOOKUP(C34,104:104,105:105)+100</f>
        <v>#N/A</v>
      </c>
      <c r="K34" s="481"/>
      <c r="L34" s="2015"/>
      <c r="M34" s="2046"/>
      <c r="N34" s="2046"/>
      <c r="O34" s="2046"/>
      <c r="P34" s="3415"/>
      <c r="Q34" s="1493" t="str">
        <f t="shared" si="8"/>
        <v>项目建筑规模</v>
      </c>
      <c r="R34" s="1465" t="s">
        <v>8</v>
      </c>
      <c r="S34" s="1466" t="e">
        <f t="shared" si="9"/>
        <v>#N/A</v>
      </c>
      <c r="T34" s="1465" t="s">
        <v>8</v>
      </c>
      <c r="U34" s="1466" t="e">
        <f t="shared" si="10"/>
        <v>#N/A</v>
      </c>
      <c r="V34" s="1465" t="s">
        <v>8</v>
      </c>
      <c r="W34" s="1466" t="e">
        <f t="shared" si="11"/>
        <v>#N/A</v>
      </c>
      <c r="X34" s="1467"/>
      <c r="Y34" s="3415"/>
      <c r="Z34" s="1468" t="str">
        <f t="shared" si="12"/>
        <v>项目建筑规模</v>
      </c>
      <c r="AA34" s="1464" t="e">
        <f t="shared" si="3"/>
        <v>#N/A</v>
      </c>
      <c r="AB34" s="1464" t="e">
        <f t="shared" si="4"/>
        <v>#N/A</v>
      </c>
      <c r="AC34" s="1464" t="e">
        <f t="shared" si="5"/>
        <v>#N/A</v>
      </c>
    </row>
    <row r="35" spans="1:29" ht="15">
      <c r="A35" s="494"/>
      <c r="B35" s="427" t="s">
        <v>666</v>
      </c>
      <c r="C35" s="474"/>
      <c r="D35" s="440">
        <v>100</v>
      </c>
      <c r="E35" s="474"/>
      <c r="F35" s="475">
        <f>SUMIF(106:106,E35,107:107)-SUMIF(106:106,C35,107:107)+100</f>
        <v>100</v>
      </c>
      <c r="G35" s="474"/>
      <c r="H35" s="440">
        <f>SUMIF(106:106,G35,107:107)-SUMIF(106:106,C35,107:107)+100</f>
        <v>100</v>
      </c>
      <c r="I35" s="474"/>
      <c r="J35" s="440">
        <f>SUMIF(106:106,I35,107:107)-SUMIF(106:106,C35,107:107)+100</f>
        <v>100</v>
      </c>
      <c r="K35" s="484"/>
      <c r="L35" s="2017"/>
      <c r="M35" s="2009"/>
      <c r="N35" s="2009"/>
      <c r="O35" s="2009"/>
      <c r="P35" s="3415"/>
      <c r="Q35" s="1460" t="str">
        <f t="shared" si="8"/>
        <v>建筑结构</v>
      </c>
      <c r="R35" s="1461" t="s">
        <v>8</v>
      </c>
      <c r="S35" s="1462">
        <f t="shared" si="9"/>
        <v>100</v>
      </c>
      <c r="T35" s="1461" t="s">
        <v>8</v>
      </c>
      <c r="U35" s="1462">
        <f t="shared" si="10"/>
        <v>100</v>
      </c>
      <c r="V35" s="1461" t="s">
        <v>8</v>
      </c>
      <c r="W35" s="1462">
        <f t="shared" si="11"/>
        <v>100</v>
      </c>
      <c r="X35" s="1455"/>
      <c r="Y35" s="3415"/>
      <c r="Z35" s="1463" t="str">
        <f t="shared" si="12"/>
        <v>建筑结构</v>
      </c>
      <c r="AA35" s="1464">
        <f t="shared" si="3"/>
        <v>1</v>
      </c>
      <c r="AB35" s="1464">
        <f t="shared" si="4"/>
        <v>1</v>
      </c>
      <c r="AC35" s="1464">
        <f t="shared" si="5"/>
        <v>1</v>
      </c>
    </row>
    <row r="36" spans="1:29" ht="15">
      <c r="A36" s="494"/>
      <c r="B36" s="427" t="s">
        <v>702</v>
      </c>
      <c r="C36" s="474"/>
      <c r="D36" s="440">
        <v>100</v>
      </c>
      <c r="E36" s="474"/>
      <c r="F36" s="475">
        <f>SUMIF(108:108,E36,109:109)-SUMIF(108:108,C36,109:109)+100</f>
        <v>100</v>
      </c>
      <c r="G36" s="474"/>
      <c r="H36" s="440">
        <f>SUMIF(108:108,G36,109:109)-SUMIF(108:108,C36,109:109)+100</f>
        <v>100</v>
      </c>
      <c r="I36" s="474"/>
      <c r="J36" s="440">
        <f>SUMIF(108:108,I36,109:109)-SUMIF(108:108,C36,109:109)+100</f>
        <v>100</v>
      </c>
      <c r="K36" s="484"/>
      <c r="L36" s="2017"/>
      <c r="M36" s="2009"/>
      <c r="N36" s="2009"/>
      <c r="O36" s="2009"/>
      <c r="P36" s="3415"/>
      <c r="Q36" s="1460" t="str">
        <f t="shared" si="8"/>
        <v>公共部分装修</v>
      </c>
      <c r="R36" s="1461" t="s">
        <v>8</v>
      </c>
      <c r="S36" s="1462">
        <f t="shared" si="9"/>
        <v>100</v>
      </c>
      <c r="T36" s="1461" t="s">
        <v>8</v>
      </c>
      <c r="U36" s="1462">
        <f t="shared" si="10"/>
        <v>100</v>
      </c>
      <c r="V36" s="1461" t="s">
        <v>8</v>
      </c>
      <c r="W36" s="1462">
        <f t="shared" si="11"/>
        <v>100</v>
      </c>
      <c r="X36" s="1455"/>
      <c r="Y36" s="3415"/>
      <c r="Z36" s="1463" t="str">
        <f t="shared" si="12"/>
        <v>公共部分装修</v>
      </c>
      <c r="AA36" s="1464">
        <f t="shared" si="3"/>
        <v>1</v>
      </c>
      <c r="AB36" s="1464">
        <f t="shared" si="4"/>
        <v>1</v>
      </c>
      <c r="AC36" s="1464">
        <f t="shared" si="5"/>
        <v>1</v>
      </c>
    </row>
    <row r="37" spans="1:29" ht="15">
      <c r="A37" s="494"/>
      <c r="B37" s="427" t="s">
        <v>703</v>
      </c>
      <c r="C37" s="783"/>
      <c r="D37" s="440">
        <v>100</v>
      </c>
      <c r="E37" s="783"/>
      <c r="F37" s="475" t="e">
        <f>LOOKUP(E37,111:111,112:112)-LOOKUP(C37,111:111,112:112)+100</f>
        <v>#N/A</v>
      </c>
      <c r="G37" s="783"/>
      <c r="H37" s="475" t="e">
        <f>LOOKUP(G37,111:111,112:112)-LOOKUP(C37,111:111,112:112)+100</f>
        <v>#N/A</v>
      </c>
      <c r="I37" s="783"/>
      <c r="J37" s="440" t="e">
        <f>LOOKUP(I37,111:111,112:112)-LOOKUP(C37,111:111,112:112)+100</f>
        <v>#N/A</v>
      </c>
      <c r="K37" s="484"/>
      <c r="L37" s="2017"/>
      <c r="M37" s="2009"/>
      <c r="N37" s="2009"/>
      <c r="O37" s="2009"/>
      <c r="P37" s="3415"/>
      <c r="Q37" s="1460" t="str">
        <f t="shared" si="8"/>
        <v>成新度</v>
      </c>
      <c r="R37" s="1461" t="s">
        <v>8</v>
      </c>
      <c r="S37" s="1462" t="e">
        <f t="shared" si="9"/>
        <v>#N/A</v>
      </c>
      <c r="T37" s="1461" t="s">
        <v>8</v>
      </c>
      <c r="U37" s="1462" t="e">
        <f t="shared" si="10"/>
        <v>#N/A</v>
      </c>
      <c r="V37" s="1461" t="s">
        <v>8</v>
      </c>
      <c r="W37" s="1462" t="e">
        <f t="shared" si="11"/>
        <v>#N/A</v>
      </c>
      <c r="X37" s="1455"/>
      <c r="Y37" s="3415"/>
      <c r="Z37" s="1463" t="str">
        <f t="shared" si="12"/>
        <v>成新度</v>
      </c>
      <c r="AA37" s="1464" t="e">
        <f t="shared" si="3"/>
        <v>#N/A</v>
      </c>
      <c r="AB37" s="1464" t="e">
        <f t="shared" si="4"/>
        <v>#N/A</v>
      </c>
      <c r="AC37" s="1464" t="e">
        <f t="shared" si="5"/>
        <v>#N/A</v>
      </c>
    </row>
    <row r="38" spans="1:29" s="1108" customFormat="1" ht="15">
      <c r="A38" s="500"/>
      <c r="B38" s="427" t="s">
        <v>720</v>
      </c>
      <c r="C38" s="474"/>
      <c r="D38" s="159">
        <v>100</v>
      </c>
      <c r="E38" s="474"/>
      <c r="F38" s="475">
        <f>SUMIF(113:113,E38,114:114)-SUMIF(113:113,C38,114:114)+100</f>
        <v>100</v>
      </c>
      <c r="G38" s="474"/>
      <c r="H38" s="440">
        <f>SUMIF(113:113,G38,114:114)-SUMIF(113:113,C38,114:114)+100</f>
        <v>100</v>
      </c>
      <c r="I38" s="474"/>
      <c r="J38" s="440">
        <f>SUMIF(113:113,I38,114:114)-SUMIF(113:113,C38,114:114)+100</f>
        <v>100</v>
      </c>
      <c r="K38" s="484"/>
      <c r="L38" s="2010"/>
      <c r="M38" s="2011"/>
      <c r="N38" s="2011"/>
      <c r="O38" s="2011"/>
      <c r="P38" s="3415"/>
      <c r="Q38" s="1049" t="str">
        <f t="shared" si="8"/>
        <v>写字楼等级</v>
      </c>
      <c r="R38" s="1456" t="s">
        <v>8</v>
      </c>
      <c r="S38" s="1457">
        <f t="shared" si="9"/>
        <v>100</v>
      </c>
      <c r="T38" s="1456" t="s">
        <v>8</v>
      </c>
      <c r="U38" s="1457">
        <f t="shared" si="10"/>
        <v>100</v>
      </c>
      <c r="V38" s="1456" t="s">
        <v>8</v>
      </c>
      <c r="W38" s="1457">
        <f t="shared" si="11"/>
        <v>100</v>
      </c>
      <c r="X38" s="1458"/>
      <c r="Y38" s="3415"/>
      <c r="Z38" s="1048" t="str">
        <f t="shared" si="12"/>
        <v>写字楼等级</v>
      </c>
      <c r="AA38" s="1459">
        <f t="shared" si="3"/>
        <v>1</v>
      </c>
      <c r="AB38" s="1459">
        <f t="shared" si="4"/>
        <v>1</v>
      </c>
      <c r="AC38" s="1459">
        <f t="shared" si="5"/>
        <v>1</v>
      </c>
    </row>
    <row r="39" spans="1:29" ht="15">
      <c r="A39" s="494"/>
      <c r="B39" s="427" t="s">
        <v>721</v>
      </c>
      <c r="C39" s="474"/>
      <c r="D39" s="440">
        <v>100</v>
      </c>
      <c r="E39" s="474"/>
      <c r="F39" s="475">
        <f>SUMIF(115:115,E39,116:116)-SUMIF(115:115,C39,116:116)+100</f>
        <v>100</v>
      </c>
      <c r="G39" s="474"/>
      <c r="H39" s="440">
        <f>SUMIF(115:115,G39,116:116)-SUMIF(115:115,C39,116:116)+100</f>
        <v>100</v>
      </c>
      <c r="I39" s="474"/>
      <c r="J39" s="440">
        <f>SUMIF(115:115,I39,116:116)-SUMIF(115:115,C39,116:116)+100</f>
        <v>100</v>
      </c>
      <c r="K39" s="484"/>
      <c r="L39" s="2017"/>
      <c r="M39" s="2009"/>
      <c r="N39" s="2009"/>
      <c r="O39" s="2009"/>
      <c r="P39" s="3415" t="s">
        <v>490</v>
      </c>
      <c r="Q39" s="1460" t="str">
        <f t="shared" si="8"/>
        <v>物业管理</v>
      </c>
      <c r="R39" s="1461" t="s">
        <v>8</v>
      </c>
      <c r="S39" s="1462">
        <f t="shared" si="9"/>
        <v>100</v>
      </c>
      <c r="T39" s="1461" t="s">
        <v>8</v>
      </c>
      <c r="U39" s="1462">
        <f t="shared" si="10"/>
        <v>100</v>
      </c>
      <c r="V39" s="1461" t="s">
        <v>8</v>
      </c>
      <c r="W39" s="1462">
        <f t="shared" si="11"/>
        <v>100</v>
      </c>
      <c r="X39" s="1455"/>
      <c r="Y39" s="3415" t="s">
        <v>490</v>
      </c>
      <c r="Z39" s="1463" t="str">
        <f t="shared" si="12"/>
        <v>物业管理</v>
      </c>
      <c r="AA39" s="1464">
        <f t="shared" si="3"/>
        <v>1</v>
      </c>
      <c r="AB39" s="1464">
        <f t="shared" si="4"/>
        <v>1</v>
      </c>
      <c r="AC39" s="1464">
        <f t="shared" si="5"/>
        <v>1</v>
      </c>
    </row>
    <row r="40" spans="1:29" ht="15">
      <c r="A40" s="494"/>
      <c r="B40" s="1777" t="s">
        <v>2493</v>
      </c>
      <c r="C40" s="474"/>
      <c r="D40" s="440">
        <v>100</v>
      </c>
      <c r="E40" s="474"/>
      <c r="F40" s="475">
        <f>SUMIF(117:117,E40,118:118)-SUMIF(117:117,C40,118:118)+100</f>
        <v>100</v>
      </c>
      <c r="G40" s="474"/>
      <c r="H40" s="440">
        <f>SUMIF(117:117,G40,118:118)-SUMIF(117:117,C40,118:118)+100</f>
        <v>100</v>
      </c>
      <c r="I40" s="474"/>
      <c r="J40" s="440">
        <f>SUMIF(117:117,I40,118:118)-SUMIF(117:117,C40,118:118)+100</f>
        <v>100</v>
      </c>
      <c r="K40" s="484"/>
      <c r="L40" s="2017"/>
      <c r="M40" s="2009"/>
      <c r="N40" s="2009"/>
      <c r="O40" s="2009"/>
      <c r="P40" s="3415"/>
      <c r="Q40" s="1460" t="str">
        <f t="shared" si="8"/>
        <v>市政基础设施</v>
      </c>
      <c r="R40" s="1461" t="s">
        <v>8</v>
      </c>
      <c r="S40" s="1462">
        <f t="shared" si="9"/>
        <v>100</v>
      </c>
      <c r="T40" s="1461" t="s">
        <v>8</v>
      </c>
      <c r="U40" s="1462">
        <f t="shared" si="10"/>
        <v>100</v>
      </c>
      <c r="V40" s="1461" t="s">
        <v>8</v>
      </c>
      <c r="W40" s="1462">
        <f t="shared" si="11"/>
        <v>100</v>
      </c>
      <c r="X40" s="1455"/>
      <c r="Y40" s="3415"/>
      <c r="Z40" s="1463" t="str">
        <f t="shared" si="12"/>
        <v>市政基础设施</v>
      </c>
      <c r="AA40" s="1464">
        <f t="shared" si="3"/>
        <v>1</v>
      </c>
      <c r="AB40" s="1464">
        <f t="shared" si="4"/>
        <v>1</v>
      </c>
      <c r="AC40" s="1464">
        <f t="shared" si="5"/>
        <v>1</v>
      </c>
    </row>
    <row r="41" spans="1:29" ht="15">
      <c r="A41" s="494"/>
      <c r="B41" s="427" t="s">
        <v>706</v>
      </c>
      <c r="C41" s="483"/>
      <c r="D41" s="440">
        <v>100</v>
      </c>
      <c r="E41" s="483"/>
      <c r="F41" s="475">
        <f>SUMIF(119:119,E41,120:120)-SUMIF(119:119,C41,120:120)+100</f>
        <v>100</v>
      </c>
      <c r="G41" s="483"/>
      <c r="H41" s="440">
        <f>SUMIF(119:119,G41,120:120)-SUMIF(119:119,C41,120:120)+100</f>
        <v>100</v>
      </c>
      <c r="I41" s="483"/>
      <c r="J41" s="440">
        <f>SUMIF(119:119,I41,120:120)-SUMIF(119:119,C41,120:120)+100</f>
        <v>100</v>
      </c>
      <c r="K41" s="484"/>
      <c r="L41" s="2017"/>
      <c r="M41" s="2009"/>
      <c r="N41" s="2009"/>
      <c r="O41" s="2009"/>
      <c r="P41" s="3415"/>
      <c r="Q41" s="1460" t="str">
        <f t="shared" si="8"/>
        <v>层高</v>
      </c>
      <c r="R41" s="1461" t="s">
        <v>8</v>
      </c>
      <c r="S41" s="1462">
        <f t="shared" si="9"/>
        <v>100</v>
      </c>
      <c r="T41" s="1461" t="s">
        <v>8</v>
      </c>
      <c r="U41" s="1462">
        <f t="shared" si="10"/>
        <v>100</v>
      </c>
      <c r="V41" s="1461" t="s">
        <v>8</v>
      </c>
      <c r="W41" s="1462">
        <f t="shared" si="11"/>
        <v>100</v>
      </c>
      <c r="X41" s="1455"/>
      <c r="Y41" s="3415"/>
      <c r="Z41" s="1463" t="str">
        <f t="shared" si="12"/>
        <v>层高</v>
      </c>
      <c r="AA41" s="1464">
        <f t="shared" si="3"/>
        <v>1</v>
      </c>
      <c r="AB41" s="1464">
        <f t="shared" si="4"/>
        <v>1</v>
      </c>
      <c r="AC41" s="1464">
        <f t="shared" si="5"/>
        <v>1</v>
      </c>
    </row>
    <row r="42" spans="1:29" s="1227" customFormat="1" ht="15">
      <c r="A42" s="503"/>
      <c r="B42" s="804" t="s">
        <v>722</v>
      </c>
      <c r="C42" s="439"/>
      <c r="D42" s="440">
        <v>100</v>
      </c>
      <c r="E42" s="439"/>
      <c r="F42" s="475">
        <f>SUMIF(121:121,E42,122:122)-SUMIF(121:121,C42,122:122)+100</f>
        <v>100</v>
      </c>
      <c r="G42" s="439"/>
      <c r="H42" s="440">
        <f>SUMIF(121:121,G42,122:122)-SUMIF(121:121,C42,122:122)+100</f>
        <v>100</v>
      </c>
      <c r="I42" s="439"/>
      <c r="J42" s="440">
        <f>SUMIF(121:121,I42,122:122)-SUMIF(121:121,C42,122:122)+100</f>
        <v>100</v>
      </c>
      <c r="K42" s="481"/>
      <c r="L42" s="2015"/>
      <c r="M42" s="2046"/>
      <c r="N42" s="2046"/>
      <c r="O42" s="2046"/>
      <c r="P42" s="3415"/>
      <c r="Q42" s="1493" t="str">
        <f t="shared" si="8"/>
        <v>单套建筑面积</v>
      </c>
      <c r="R42" s="1465" t="s">
        <v>8</v>
      </c>
      <c r="S42" s="1466">
        <f t="shared" si="9"/>
        <v>100</v>
      </c>
      <c r="T42" s="1465" t="s">
        <v>8</v>
      </c>
      <c r="U42" s="1466">
        <f t="shared" si="10"/>
        <v>100</v>
      </c>
      <c r="V42" s="1465" t="s">
        <v>8</v>
      </c>
      <c r="W42" s="1466">
        <f t="shared" si="11"/>
        <v>100</v>
      </c>
      <c r="X42" s="1467"/>
      <c r="Y42" s="3415"/>
      <c r="Z42" s="1468" t="str">
        <f t="shared" si="12"/>
        <v>单套建筑面积</v>
      </c>
      <c r="AA42" s="1464">
        <f t="shared" si="3"/>
        <v>1</v>
      </c>
      <c r="AB42" s="1464">
        <f t="shared" si="4"/>
        <v>1</v>
      </c>
      <c r="AC42" s="1464">
        <f t="shared" si="5"/>
        <v>1</v>
      </c>
    </row>
    <row r="43" spans="1:29" ht="15">
      <c r="A43" s="494"/>
      <c r="B43" s="427" t="s">
        <v>709</v>
      </c>
      <c r="C43" s="474"/>
      <c r="D43" s="440">
        <v>100</v>
      </c>
      <c r="E43" s="474"/>
      <c r="F43" s="475">
        <f>SUMIF(123:123,E43,124:124)-SUMIF(123:123,C43,124:124)+100</f>
        <v>100</v>
      </c>
      <c r="G43" s="474"/>
      <c r="H43" s="440">
        <f>SUMIF(123:123,G43,124:124)-SUMIF(123:123,C43,124:124)+100</f>
        <v>100</v>
      </c>
      <c r="I43" s="474"/>
      <c r="J43" s="440">
        <f>SUMIF(123:123,I43,124:124)-SUMIF(123:123,C43,124:124)+100</f>
        <v>100</v>
      </c>
      <c r="K43" s="484"/>
      <c r="L43" s="2017"/>
      <c r="M43" s="2009"/>
      <c r="N43" s="2009"/>
      <c r="O43" s="2009"/>
      <c r="P43" s="3415"/>
      <c r="Q43" s="1460" t="str">
        <f t="shared" si="8"/>
        <v>内部装修</v>
      </c>
      <c r="R43" s="1461" t="s">
        <v>8</v>
      </c>
      <c r="S43" s="1462">
        <f t="shared" si="9"/>
        <v>100</v>
      </c>
      <c r="T43" s="1461" t="s">
        <v>8</v>
      </c>
      <c r="U43" s="1462">
        <f t="shared" si="10"/>
        <v>100</v>
      </c>
      <c r="V43" s="1461" t="s">
        <v>8</v>
      </c>
      <c r="W43" s="1462">
        <f t="shared" si="11"/>
        <v>100</v>
      </c>
      <c r="X43" s="1455"/>
      <c r="Y43" s="3415"/>
      <c r="Z43" s="1463" t="str">
        <f t="shared" si="12"/>
        <v>内部装修</v>
      </c>
      <c r="AA43" s="1464">
        <f t="shared" si="3"/>
        <v>1</v>
      </c>
      <c r="AB43" s="1464">
        <f t="shared" si="4"/>
        <v>1</v>
      </c>
      <c r="AC43" s="1464">
        <f t="shared" si="5"/>
        <v>1</v>
      </c>
    </row>
    <row r="44" spans="1:29" ht="27">
      <c r="A44" s="494"/>
      <c r="B44" s="427" t="s">
        <v>674</v>
      </c>
      <c r="C44" s="474"/>
      <c r="D44" s="440">
        <v>100</v>
      </c>
      <c r="E44" s="499"/>
      <c r="F44" s="475">
        <f>SUMIF(125:125,E44,126:126)-SUMIF(125:125,C44,126:126)+100</f>
        <v>100</v>
      </c>
      <c r="G44" s="499"/>
      <c r="H44" s="440">
        <f>SUMIF(125:125,G44,126:126)-SUMIF(125:125,C44,126:126)+100</f>
        <v>100</v>
      </c>
      <c r="I44" s="499"/>
      <c r="J44" s="440">
        <f>SUMIF(125:125,I44,126:126)-SUMIF(125:125,C44,126:126)+100</f>
        <v>100</v>
      </c>
      <c r="K44" s="484"/>
      <c r="L44" s="2017"/>
      <c r="M44" s="2009"/>
      <c r="N44" s="2009"/>
      <c r="O44" s="2009"/>
      <c r="P44" s="3415"/>
      <c r="Q44" s="1460" t="str">
        <f t="shared" si="8"/>
        <v>内部装修维护情况</v>
      </c>
      <c r="R44" s="1461" t="s">
        <v>8</v>
      </c>
      <c r="S44" s="1462">
        <f t="shared" si="9"/>
        <v>100</v>
      </c>
      <c r="T44" s="1461" t="s">
        <v>8</v>
      </c>
      <c r="U44" s="1462">
        <f t="shared" si="10"/>
        <v>100</v>
      </c>
      <c r="V44" s="1461" t="s">
        <v>8</v>
      </c>
      <c r="W44" s="1462">
        <f t="shared" si="11"/>
        <v>100</v>
      </c>
      <c r="X44" s="1455"/>
      <c r="Y44" s="3415"/>
      <c r="Z44" s="1463" t="str">
        <f t="shared" si="12"/>
        <v>内部装修维护情况</v>
      </c>
      <c r="AA44" s="1464">
        <f t="shared" si="3"/>
        <v>1</v>
      </c>
      <c r="AB44" s="1464">
        <f t="shared" si="4"/>
        <v>1</v>
      </c>
      <c r="AC44" s="1464">
        <f t="shared" si="5"/>
        <v>1</v>
      </c>
    </row>
    <row r="45" spans="1:29" s="1108" customFormat="1" ht="15">
      <c r="A45" s="500"/>
      <c r="B45" s="777">
        <v>111</v>
      </c>
      <c r="C45" s="780"/>
      <c r="D45" s="159">
        <v>100</v>
      </c>
      <c r="E45" s="428"/>
      <c r="F45" s="763">
        <f>SUMIF(127:127,E45,128:128)-SUMIF(127:127,C45,128:128)+100</f>
        <v>100</v>
      </c>
      <c r="G45" s="428"/>
      <c r="H45" s="159">
        <f>SUMIF(127:127,G45,128:128)-SUMIF(127:127,C45,128:128)+100</f>
        <v>100</v>
      </c>
      <c r="I45" s="428"/>
      <c r="J45" s="159">
        <f>SUMIF(127:127,I45,128:128)-SUMIF(127:127,C45,128:128)+100</f>
        <v>100</v>
      </c>
      <c r="K45" s="481"/>
      <c r="L45" s="2010"/>
      <c r="M45" s="2011"/>
      <c r="N45" s="2011"/>
      <c r="O45" s="2011"/>
      <c r="P45" s="3415"/>
      <c r="Q45" s="1049">
        <f t="shared" si="8"/>
        <v>111</v>
      </c>
      <c r="R45" s="1456" t="s">
        <v>8</v>
      </c>
      <c r="S45" s="1457">
        <f t="shared" si="9"/>
        <v>100</v>
      </c>
      <c r="T45" s="1456" t="s">
        <v>8</v>
      </c>
      <c r="U45" s="1457">
        <f t="shared" si="10"/>
        <v>100</v>
      </c>
      <c r="V45" s="1456" t="s">
        <v>8</v>
      </c>
      <c r="W45" s="1457">
        <f t="shared" si="11"/>
        <v>100</v>
      </c>
      <c r="X45" s="1458"/>
      <c r="Y45" s="3415"/>
      <c r="Z45" s="1048">
        <f t="shared" si="12"/>
        <v>111</v>
      </c>
      <c r="AA45" s="1459">
        <f t="shared" si="3"/>
        <v>1</v>
      </c>
      <c r="AB45" s="1459">
        <f t="shared" si="4"/>
        <v>1</v>
      </c>
      <c r="AC45" s="1459">
        <f t="shared" si="5"/>
        <v>1</v>
      </c>
    </row>
    <row r="46" spans="1:29" ht="15">
      <c r="A46" s="494"/>
      <c r="B46" s="777">
        <v>111</v>
      </c>
      <c r="C46" s="439"/>
      <c r="D46" s="440">
        <v>100</v>
      </c>
      <c r="E46" s="428"/>
      <c r="F46" s="475">
        <f>SUMIF(129:129,E46,130:130)-SUMIF(129:129,C46,130:130)+100</f>
        <v>100</v>
      </c>
      <c r="G46" s="428"/>
      <c r="H46" s="440">
        <f>SUMIF(129:129,G46,130:130)-SUMIF(129:129,C46,130:130)+100</f>
        <v>100</v>
      </c>
      <c r="I46" s="428"/>
      <c r="J46" s="440">
        <f>SUMIF(129:129,I46,130:130)-SUMIF(129:129,C46,130:130)+100</f>
        <v>100</v>
      </c>
      <c r="K46" s="481"/>
      <c r="L46" s="2017"/>
      <c r="M46" s="2009"/>
      <c r="N46" s="2009"/>
      <c r="O46" s="2009"/>
      <c r="P46" s="3415"/>
      <c r="Q46" s="1460">
        <f t="shared" si="8"/>
        <v>111</v>
      </c>
      <c r="R46" s="1461" t="s">
        <v>8</v>
      </c>
      <c r="S46" s="1462">
        <f t="shared" si="9"/>
        <v>100</v>
      </c>
      <c r="T46" s="1461" t="s">
        <v>8</v>
      </c>
      <c r="U46" s="1462">
        <f t="shared" si="10"/>
        <v>100</v>
      </c>
      <c r="V46" s="1461" t="s">
        <v>8</v>
      </c>
      <c r="W46" s="1462">
        <f t="shared" si="11"/>
        <v>100</v>
      </c>
      <c r="X46" s="1455"/>
      <c r="Y46" s="3415"/>
      <c r="Z46" s="1463">
        <f t="shared" si="12"/>
        <v>111</v>
      </c>
      <c r="AA46" s="1464">
        <f t="shared" si="3"/>
        <v>1</v>
      </c>
      <c r="AB46" s="1464">
        <f t="shared" si="4"/>
        <v>1</v>
      </c>
      <c r="AC46" s="1464">
        <f t="shared" si="5"/>
        <v>1</v>
      </c>
    </row>
    <row r="47" spans="1:29" ht="15.75" thickBot="1">
      <c r="A47" s="786"/>
      <c r="B47" s="444">
        <v>111</v>
      </c>
      <c r="C47" s="445"/>
      <c r="D47" s="446">
        <v>100</v>
      </c>
      <c r="E47" s="428"/>
      <c r="F47" s="766">
        <f>SUMIF(131:131,E47,132:132)-SUMIF(131:131,C47,132:132)+100</f>
        <v>100</v>
      </c>
      <c r="G47" s="428"/>
      <c r="H47" s="446">
        <f>SUMIF(131:131,G47,132:132)-SUMIF(131:131,C47,132:132)+100</f>
        <v>100</v>
      </c>
      <c r="I47" s="428"/>
      <c r="J47" s="446">
        <f>SUMIF(131:131,I47,132:132)-SUMIF(131:131,C47,132:132)+100</f>
        <v>100</v>
      </c>
      <c r="K47" s="481"/>
      <c r="L47" s="2017"/>
      <c r="M47" s="2009"/>
      <c r="N47" s="2009"/>
      <c r="O47" s="2009"/>
      <c r="P47" s="3490"/>
      <c r="Q47" s="1460">
        <f t="shared" si="8"/>
        <v>111</v>
      </c>
      <c r="R47" s="1461" t="s">
        <v>8</v>
      </c>
      <c r="S47" s="1462">
        <f t="shared" si="9"/>
        <v>100</v>
      </c>
      <c r="T47" s="1461" t="s">
        <v>8</v>
      </c>
      <c r="U47" s="1462">
        <f t="shared" si="10"/>
        <v>100</v>
      </c>
      <c r="V47" s="1461" t="s">
        <v>8</v>
      </c>
      <c r="W47" s="1462">
        <f t="shared" si="11"/>
        <v>100</v>
      </c>
      <c r="X47" s="1455"/>
      <c r="Y47" s="3490"/>
      <c r="Z47" s="1463">
        <f t="shared" si="12"/>
        <v>111</v>
      </c>
      <c r="AA47" s="1464">
        <f t="shared" si="3"/>
        <v>1</v>
      </c>
      <c r="AB47" s="1464">
        <f t="shared" si="4"/>
        <v>1</v>
      </c>
      <c r="AC47" s="1464">
        <f t="shared" si="5"/>
        <v>1</v>
      </c>
    </row>
    <row r="48" spans="1:29" ht="15">
      <c r="A48" s="507" t="s">
        <v>675</v>
      </c>
      <c r="B48" s="787"/>
      <c r="C48" s="2492" t="s">
        <v>1</v>
      </c>
      <c r="D48" s="2493"/>
      <c r="E48" s="2494"/>
      <c r="F48" s="2495"/>
      <c r="G48" s="2496"/>
      <c r="H48" s="2497"/>
      <c r="I48" s="2494"/>
      <c r="J48" s="2497"/>
      <c r="K48" s="1499"/>
      <c r="L48" s="2019"/>
      <c r="M48" s="2009"/>
      <c r="N48" s="2009"/>
      <c r="O48" s="2009"/>
      <c r="P48" s="3376" t="str">
        <f>A48</f>
        <v>成交单价（元/平方米）</v>
      </c>
      <c r="Q48" s="3378"/>
      <c r="R48" s="3489">
        <f>E48</f>
        <v>0</v>
      </c>
      <c r="S48" s="3489"/>
      <c r="T48" s="3489">
        <f>G48</f>
        <v>0</v>
      </c>
      <c r="U48" s="3489"/>
      <c r="V48" s="3489">
        <f>I48</f>
        <v>0</v>
      </c>
      <c r="W48" s="3489"/>
      <c r="X48" s="1447"/>
      <c r="Y48" s="1469"/>
      <c r="Z48" s="1447"/>
      <c r="AA48" s="1447"/>
      <c r="AB48" s="1447"/>
      <c r="AC48" s="1447"/>
    </row>
    <row r="49" spans="1:29" ht="15.75" thickBot="1">
      <c r="A49" s="515" t="s">
        <v>2688</v>
      </c>
      <c r="B49" s="788"/>
      <c r="C49" s="2498" t="e">
        <f>R50</f>
        <v>#DIV/0!</v>
      </c>
      <c r="D49" s="2499"/>
      <c r="E49" s="2500" t="e">
        <f>R49</f>
        <v>#DIV/0!</v>
      </c>
      <c r="F49" s="2500"/>
      <c r="G49" s="2498" t="e">
        <f>T49</f>
        <v>#DIV/0!</v>
      </c>
      <c r="H49" s="2499"/>
      <c r="I49" s="2500" t="e">
        <f>V49</f>
        <v>#DIV/0!</v>
      </c>
      <c r="J49" s="2499"/>
      <c r="K49" s="1500"/>
      <c r="L49" s="2019"/>
      <c r="M49" s="2009"/>
      <c r="N49" s="2009"/>
      <c r="O49" s="2009"/>
      <c r="P49" s="3376" t="str">
        <f>A49</f>
        <v>比较价格（元/平方米）</v>
      </c>
      <c r="Q49" s="3378"/>
      <c r="R49" s="3489" t="e">
        <f>IF(F1="售价",ROUND(PRODUCT(R48,AA7:AA47),0),ROUND(PRODUCT(R48,AA7:AA47),1))</f>
        <v>#DIV/0!</v>
      </c>
      <c r="S49" s="3489"/>
      <c r="T49" s="3489" t="e">
        <f>IF(F1="售价",ROUND(PRODUCT(T48,AB7:AB47),0),ROUND(PRODUCT(T48,AB7:AB47),1))</f>
        <v>#DIV/0!</v>
      </c>
      <c r="U49" s="3489"/>
      <c r="V49" s="3489" t="e">
        <f>IF(F1="售价",ROUND(PRODUCT(V48,AC7:AC47),0),ROUND(PRODUCT(V48,AC7:AC47),1))</f>
        <v>#DIV/0!</v>
      </c>
      <c r="W49" s="3489"/>
      <c r="X49" s="1447"/>
      <c r="Y49" s="1447"/>
      <c r="Z49" s="1447"/>
      <c r="AA49" s="1447"/>
      <c r="AB49" s="1447"/>
      <c r="AC49" s="1447"/>
    </row>
    <row r="50" spans="1:29" ht="15.75" thickBot="1">
      <c r="A50" s="521" t="s">
        <v>2847</v>
      </c>
      <c r="B50" s="522"/>
      <c r="C50" s="2501" t="e">
        <f>R50</f>
        <v>#DIV/0!</v>
      </c>
      <c r="D50" s="2501"/>
      <c r="E50" s="2501"/>
      <c r="F50" s="2501"/>
      <c r="G50" s="2501"/>
      <c r="H50" s="2501"/>
      <c r="I50" s="2501"/>
      <c r="J50" s="2501"/>
      <c r="K50" s="1501"/>
      <c r="L50" s="2019"/>
      <c r="M50" s="2009"/>
      <c r="N50" s="2009"/>
      <c r="O50" s="2009"/>
      <c r="P50" s="3498" t="str">
        <f>A50</f>
        <v>估价对象XX用房的比较价格（楼面单价，元/平方米）</v>
      </c>
      <c r="Q50" s="3376"/>
      <c r="R50" s="3488" t="e">
        <f>IF(F1="售价",ROUND(AVERAGE(R49:V49),0),ROUND(AVERAGE(R49:V49),1))</f>
        <v>#DIV/0!</v>
      </c>
      <c r="S50" s="3488"/>
      <c r="T50" s="3488"/>
      <c r="U50" s="3488"/>
      <c r="V50" s="3488"/>
      <c r="W50" s="3488"/>
      <c r="X50" s="1447"/>
      <c r="Y50" s="1447"/>
      <c r="Z50" s="1447"/>
      <c r="AA50" s="1447"/>
      <c r="AB50" s="1447"/>
      <c r="AC50" s="1447"/>
    </row>
    <row r="51" spans="1:29">
      <c r="A51" s="2020"/>
      <c r="B51" s="2020"/>
      <c r="C51" s="2020"/>
      <c r="D51" s="2020"/>
      <c r="E51" s="2020"/>
      <c r="F51" s="2020"/>
      <c r="G51" s="2023"/>
      <c r="H51" s="2020"/>
      <c r="I51" s="2020"/>
      <c r="J51" s="2020"/>
      <c r="K51" s="2024"/>
      <c r="L51" s="2025"/>
      <c r="M51" s="2020"/>
      <c r="N51" s="2020"/>
      <c r="O51" s="2020"/>
      <c r="P51" s="2083"/>
      <c r="Q51" s="2020"/>
      <c r="R51" s="2020"/>
      <c r="S51" s="2020"/>
      <c r="T51" s="2020"/>
      <c r="U51" s="2020"/>
      <c r="V51" s="2020"/>
      <c r="W51" s="2020"/>
      <c r="X51" s="2020"/>
      <c r="Y51" s="2020"/>
      <c r="Z51" s="2020"/>
      <c r="AA51" s="2020"/>
      <c r="AB51" s="2020"/>
      <c r="AC51" s="2020"/>
    </row>
    <row r="52" spans="1:29">
      <c r="A52" s="2020"/>
      <c r="B52" s="2020"/>
      <c r="C52" s="2020"/>
      <c r="D52" s="2020"/>
      <c r="E52" s="2020"/>
      <c r="F52" s="2020"/>
      <c r="G52" s="2020"/>
      <c r="H52" s="2020"/>
      <c r="I52" s="2020"/>
      <c r="J52" s="2020"/>
      <c r="K52" s="2024"/>
      <c r="L52" s="2025"/>
      <c r="M52" s="2020"/>
      <c r="N52" s="2020"/>
      <c r="O52" s="2020"/>
      <c r="P52" s="2083"/>
      <c r="Q52" s="2020"/>
      <c r="R52" s="2020"/>
      <c r="S52" s="2020"/>
      <c r="T52" s="2020"/>
      <c r="U52" s="2020"/>
      <c r="V52" s="2020"/>
      <c r="W52" s="2020"/>
      <c r="X52" s="2020"/>
      <c r="Y52" s="2020"/>
      <c r="Z52" s="2020"/>
      <c r="AA52" s="2020"/>
      <c r="AB52" s="2020"/>
      <c r="AC52" s="2020"/>
    </row>
    <row r="53" spans="1:29" ht="13.5" customHeight="1">
      <c r="A53" s="2020"/>
      <c r="B53" s="2020"/>
      <c r="C53" s="524" t="s">
        <v>497</v>
      </c>
      <c r="D53" s="525"/>
      <c r="E53" s="526" t="e">
        <f>IF(E48&lt;E49,E49/E48-1,E48/E49-1)</f>
        <v>#DIV/0!</v>
      </c>
      <c r="F53" s="527" t="e">
        <f>IF(OR(E53&gt;=0.3,E53&lt;=-0.3),"超过30%","")</f>
        <v>#DIV/0!</v>
      </c>
      <c r="G53" s="526" t="e">
        <f>IF(G48&lt;G49,G49/G48-1,G48/G49-1)</f>
        <v>#DIV/0!</v>
      </c>
      <c r="H53" s="527" t="e">
        <f>IF(OR(G53&gt;=0.3,G53&lt;=-0.3),"超过30%","")</f>
        <v>#DIV/0!</v>
      </c>
      <c r="I53" s="526" t="e">
        <f>IF(I48&lt;I49,I49/I48-1,I48/I49-1)</f>
        <v>#DIV/0!</v>
      </c>
      <c r="J53" s="527" t="e">
        <f>IF(OR(I53&gt;=0.3,I53&lt;=-0.3),"超过30%","")</f>
        <v>#DIV/0!</v>
      </c>
      <c r="K53" s="2024"/>
      <c r="L53" s="2025"/>
      <c r="M53" s="2020"/>
      <c r="N53" s="2020"/>
      <c r="O53" s="2020"/>
      <c r="P53" s="2083"/>
      <c r="Q53" s="2020"/>
      <c r="R53" s="2020"/>
      <c r="S53" s="2020"/>
      <c r="T53" s="2020"/>
      <c r="U53" s="2020"/>
      <c r="V53" s="2020"/>
      <c r="W53" s="2020"/>
      <c r="X53" s="2020"/>
      <c r="Y53" s="2020"/>
      <c r="Z53" s="2020"/>
      <c r="AA53" s="2020"/>
      <c r="AB53" s="2020"/>
      <c r="AC53" s="2020"/>
    </row>
    <row r="54" spans="1:29" ht="13.5" customHeight="1">
      <c r="A54" s="2020"/>
      <c r="B54" s="2020"/>
      <c r="C54" s="524" t="s">
        <v>498</v>
      </c>
      <c r="D54" s="528"/>
      <c r="E54" s="526" t="e">
        <f>IF(E49&lt;G49,G49/E49-1,E49/G49-1)</f>
        <v>#DIV/0!</v>
      </c>
      <c r="F54" s="527" t="e">
        <f>IF(OR(E54&gt;=0.2,E54&lt;=-0.2),"超过20%","")</f>
        <v>#DIV/0!</v>
      </c>
      <c r="G54" s="526" t="e">
        <f>IF(G49&lt;I49,I49/G49-1,G49/I49-1)</f>
        <v>#DIV/0!</v>
      </c>
      <c r="H54" s="527" t="e">
        <f>IF(OR(G54&gt;=0.2,G54&lt;=-0.2),"超过20%","")</f>
        <v>#DIV/0!</v>
      </c>
      <c r="I54" s="526" t="e">
        <f>IF(I49&lt;E49,E49/I49-1,I49/E49-1)</f>
        <v>#DIV/0!</v>
      </c>
      <c r="J54" s="527" t="e">
        <f>IF(OR(I54&gt;=0.2,I54&lt;=-0.2),"超过20%","")</f>
        <v>#DIV/0!</v>
      </c>
      <c r="K54" s="2024"/>
      <c r="L54" s="2025"/>
      <c r="M54" s="2020"/>
      <c r="N54" s="2020"/>
      <c r="O54" s="2020"/>
      <c r="P54" s="2083"/>
      <c r="Q54" s="2020"/>
      <c r="R54" s="2020"/>
      <c r="S54" s="2020"/>
      <c r="T54" s="2020"/>
      <c r="U54" s="2020"/>
      <c r="V54" s="2020"/>
      <c r="W54" s="2020"/>
      <c r="X54" s="2020"/>
      <c r="Y54" s="2020"/>
      <c r="Z54" s="2020"/>
      <c r="AA54" s="2020"/>
      <c r="AB54" s="2020"/>
      <c r="AC54" s="2020"/>
    </row>
    <row r="55" spans="1:29" s="1233" customFormat="1" ht="13.5" customHeight="1">
      <c r="A55" s="2021"/>
      <c r="B55" s="2021"/>
      <c r="C55" s="524" t="s">
        <v>499</v>
      </c>
      <c r="D55" s="528"/>
      <c r="E55" s="526" t="e">
        <f>IF(E48&lt;G48,G48/E48-1,E48/G48-1)</f>
        <v>#DIV/0!</v>
      </c>
      <c r="F55" s="527" t="e">
        <f>IF(OR(E55&gt;=0.3,E55&lt;=-0.3),"超过30%","")</f>
        <v>#DIV/0!</v>
      </c>
      <c r="G55" s="526" t="e">
        <f>IF(G48&lt;I48,I48/G48-1,G48/I48-1)</f>
        <v>#DIV/0!</v>
      </c>
      <c r="H55" s="527" t="e">
        <f>IF(OR(G55&gt;=0.3,G55&lt;=-0.3),"超过30%","")</f>
        <v>#DIV/0!</v>
      </c>
      <c r="I55" s="526" t="e">
        <f>IF(I48&lt;E48,E48/I48-1,I48/E48-1)</f>
        <v>#DIV/0!</v>
      </c>
      <c r="J55" s="527" t="e">
        <f>IF(OR(I55&gt;=0.3,I55&lt;=-0.3),"超过30%","")</f>
        <v>#DIV/0!</v>
      </c>
      <c r="K55" s="2027"/>
      <c r="L55" s="2028"/>
      <c r="M55" s="2021"/>
      <c r="N55" s="2021"/>
      <c r="O55" s="2021"/>
      <c r="P55" s="2084"/>
      <c r="Q55" s="2021"/>
      <c r="R55" s="2021"/>
      <c r="S55" s="2021"/>
      <c r="T55" s="2021"/>
      <c r="U55" s="2021"/>
      <c r="V55" s="2021"/>
      <c r="W55" s="2021"/>
      <c r="X55" s="2021"/>
      <c r="Y55" s="2021"/>
      <c r="Z55" s="2021"/>
      <c r="AA55" s="2021"/>
      <c r="AB55" s="2021"/>
      <c r="AC55" s="2021"/>
    </row>
    <row r="56" spans="1:29" s="1233" customFormat="1">
      <c r="A56" s="2021"/>
      <c r="B56" s="2022"/>
      <c r="C56" s="2026"/>
      <c r="D56" s="2021"/>
      <c r="E56" s="2021"/>
      <c r="F56" s="2021"/>
      <c r="G56" s="2021"/>
      <c r="H56" s="2021"/>
      <c r="I56" s="2021"/>
      <c r="J56" s="2021"/>
      <c r="K56" s="2027"/>
      <c r="L56" s="2028"/>
      <c r="M56" s="2021"/>
      <c r="N56" s="2021"/>
      <c r="O56" s="2021"/>
      <c r="P56" s="2084"/>
      <c r="Q56" s="2021"/>
      <c r="R56" s="2021"/>
      <c r="S56" s="2021"/>
      <c r="T56" s="2021"/>
      <c r="U56" s="2021"/>
      <c r="V56" s="2021"/>
      <c r="W56" s="2021"/>
      <c r="X56" s="2021"/>
      <c r="Y56" s="2021"/>
      <c r="Z56" s="2021"/>
      <c r="AA56" s="2021"/>
      <c r="AB56" s="2021"/>
      <c r="AC56" s="2021"/>
    </row>
    <row r="57" spans="1:29">
      <c r="A57" s="2020"/>
      <c r="B57" s="2022"/>
      <c r="C57" s="2026"/>
      <c r="D57" s="2020"/>
      <c r="E57" s="2020"/>
      <c r="F57" s="2020"/>
      <c r="G57" s="2020"/>
      <c r="H57" s="2020"/>
      <c r="I57" s="2020"/>
      <c r="J57" s="2020"/>
      <c r="K57" s="2024"/>
      <c r="L57" s="2025"/>
      <c r="M57" s="2020"/>
      <c r="N57" s="2020"/>
      <c r="O57" s="2020"/>
      <c r="P57" s="2083"/>
      <c r="Q57" s="2020"/>
      <c r="R57" s="2020"/>
      <c r="S57" s="2020"/>
      <c r="T57" s="2020"/>
      <c r="U57" s="2020"/>
      <c r="V57" s="2020"/>
      <c r="W57" s="2020"/>
      <c r="X57" s="2020"/>
      <c r="Y57" s="2020"/>
      <c r="Z57" s="2020"/>
      <c r="AA57" s="2020"/>
      <c r="AB57" s="2020"/>
      <c r="AC57" s="2020"/>
    </row>
    <row r="58" spans="1:29" ht="21.75" thickBot="1">
      <c r="A58" s="1472" t="s">
        <v>514</v>
      </c>
      <c r="B58" s="1447"/>
      <c r="C58" s="1471"/>
      <c r="D58" s="1471"/>
      <c r="E58" s="1471"/>
      <c r="F58" s="1473"/>
      <c r="G58" s="1473"/>
      <c r="H58" s="1471"/>
      <c r="I58" s="1471"/>
      <c r="J58" s="1471"/>
      <c r="K58" s="1474"/>
      <c r="L58" s="1470"/>
      <c r="M58" s="1471"/>
      <c r="N58" s="1471"/>
      <c r="O58" s="1471"/>
      <c r="P58" s="2085"/>
      <c r="Q58" s="2033"/>
      <c r="R58" s="2020"/>
      <c r="S58" s="2020"/>
      <c r="T58" s="2020"/>
      <c r="U58" s="2020"/>
      <c r="V58" s="2020"/>
      <c r="W58" s="2020"/>
      <c r="X58" s="2020"/>
      <c r="Y58" s="2020"/>
      <c r="Z58" s="2020"/>
      <c r="AA58" s="2020"/>
      <c r="AB58" s="2020"/>
      <c r="AC58" s="2020"/>
    </row>
    <row r="59" spans="1:29" s="1235" customFormat="1" ht="15">
      <c r="A59" s="545" t="s">
        <v>469</v>
      </c>
      <c r="B59" s="546"/>
      <c r="C59" s="2667" t="str">
        <f>YEAR(C7)&amp;"-"&amp;MONTH(C7)</f>
        <v>2018-5</v>
      </c>
      <c r="D59" s="2669">
        <f>EDATE(C59,-1)</f>
        <v>43191</v>
      </c>
      <c r="E59" s="2669">
        <f t="shared" ref="E59:O59" si="13">EDATE(D59,-1)</f>
        <v>43160</v>
      </c>
      <c r="F59" s="2669">
        <f t="shared" si="13"/>
        <v>43132</v>
      </c>
      <c r="G59" s="2669">
        <f t="shared" si="13"/>
        <v>43101</v>
      </c>
      <c r="H59" s="2669">
        <f t="shared" si="13"/>
        <v>43070</v>
      </c>
      <c r="I59" s="2669">
        <f t="shared" si="13"/>
        <v>43040</v>
      </c>
      <c r="J59" s="2669">
        <f t="shared" si="13"/>
        <v>43009</v>
      </c>
      <c r="K59" s="2669">
        <f t="shared" si="13"/>
        <v>42979</v>
      </c>
      <c r="L59" s="2669">
        <f t="shared" si="13"/>
        <v>42948</v>
      </c>
      <c r="M59" s="2669">
        <f t="shared" si="13"/>
        <v>42917</v>
      </c>
      <c r="N59" s="2669">
        <f t="shared" si="13"/>
        <v>42887</v>
      </c>
      <c r="O59" s="2669">
        <f t="shared" si="13"/>
        <v>42856</v>
      </c>
      <c r="P59" s="2086"/>
      <c r="Q59" s="2036"/>
      <c r="R59" s="2036"/>
      <c r="S59" s="2036"/>
      <c r="T59" s="2036"/>
      <c r="U59" s="2036"/>
      <c r="V59" s="2036"/>
      <c r="W59" s="2036"/>
      <c r="X59" s="2036"/>
      <c r="Y59" s="2036"/>
      <c r="Z59" s="2036"/>
      <c r="AA59" s="2036"/>
      <c r="AB59" s="2036"/>
      <c r="AC59" s="2036"/>
    </row>
    <row r="60" spans="1:29" s="1108" customFormat="1" ht="15">
      <c r="A60" s="547"/>
      <c r="B60" s="548"/>
      <c r="C60" s="549">
        <v>100</v>
      </c>
      <c r="D60" s="550"/>
      <c r="E60" s="550"/>
      <c r="F60" s="550"/>
      <c r="G60" s="550"/>
      <c r="H60" s="550"/>
      <c r="I60" s="550"/>
      <c r="J60" s="550"/>
      <c r="K60" s="550"/>
      <c r="L60" s="550"/>
      <c r="M60" s="551"/>
      <c r="N60" s="550"/>
      <c r="O60" s="551"/>
      <c r="P60" s="2087"/>
      <c r="Q60" s="1872"/>
      <c r="R60" s="1872"/>
      <c r="S60" s="1872"/>
      <c r="T60" s="1872"/>
      <c r="U60" s="1872"/>
      <c r="V60" s="1872"/>
      <c r="W60" s="1872"/>
      <c r="X60" s="1872"/>
      <c r="Y60" s="1872"/>
      <c r="Z60" s="1872"/>
      <c r="AA60" s="1872"/>
      <c r="AB60" s="1872"/>
      <c r="AC60" s="1872"/>
    </row>
    <row r="61" spans="1:29" s="1108" customFormat="1" ht="15.75" thickBot="1">
      <c r="A61" s="553" t="s">
        <v>515</v>
      </c>
      <c r="B61" s="554"/>
      <c r="C61" s="555"/>
      <c r="D61" s="556"/>
      <c r="E61" s="556"/>
      <c r="F61" s="556"/>
      <c r="G61" s="556"/>
      <c r="H61" s="556"/>
      <c r="I61" s="556"/>
      <c r="J61" s="556"/>
      <c r="K61" s="556"/>
      <c r="L61" s="556"/>
      <c r="M61" s="557"/>
      <c r="N61" s="556"/>
      <c r="O61" s="557"/>
      <c r="P61" s="2087"/>
      <c r="Q61" s="2033"/>
      <c r="R61" s="1872"/>
      <c r="S61" s="1872"/>
      <c r="T61" s="1872"/>
      <c r="U61" s="1872"/>
      <c r="V61" s="1872"/>
      <c r="W61" s="1872"/>
      <c r="X61" s="1872"/>
      <c r="Y61" s="1872"/>
      <c r="Z61" s="1872"/>
      <c r="AA61" s="1872"/>
      <c r="AB61" s="1872"/>
      <c r="AC61" s="1872"/>
    </row>
    <row r="62" spans="1:29" s="1108" customFormat="1" ht="15">
      <c r="A62" s="559" t="s">
        <v>471</v>
      </c>
      <c r="B62" s="548"/>
      <c r="C62" s="560" t="s">
        <v>516</v>
      </c>
      <c r="D62" s="561"/>
      <c r="E62" s="561"/>
      <c r="F62" s="561"/>
      <c r="G62" s="561"/>
      <c r="H62" s="561"/>
      <c r="I62" s="561"/>
      <c r="J62" s="561"/>
      <c r="K62" s="561"/>
      <c r="L62" s="562"/>
      <c r="M62" s="563"/>
      <c r="N62" s="2037"/>
      <c r="O62" s="2037"/>
      <c r="P62" s="2088"/>
      <c r="Q62" s="2033"/>
      <c r="R62" s="1872"/>
      <c r="S62" s="1872"/>
      <c r="T62" s="1872"/>
      <c r="U62" s="1872"/>
      <c r="V62" s="1872"/>
      <c r="W62" s="1872"/>
      <c r="X62" s="1872"/>
      <c r="Y62" s="1872"/>
      <c r="Z62" s="1872"/>
      <c r="AA62" s="1872"/>
      <c r="AB62" s="1872"/>
      <c r="AC62" s="1872"/>
    </row>
    <row r="63" spans="1:29" s="1108" customFormat="1" ht="15.75" thickBot="1">
      <c r="A63" s="559"/>
      <c r="B63" s="548"/>
      <c r="C63" s="789">
        <v>100</v>
      </c>
      <c r="D63" s="550"/>
      <c r="E63" s="550"/>
      <c r="F63" s="550"/>
      <c r="G63" s="550"/>
      <c r="H63" s="550"/>
      <c r="I63" s="550"/>
      <c r="J63" s="550"/>
      <c r="K63" s="550"/>
      <c r="L63" s="550"/>
      <c r="M63" s="552"/>
      <c r="N63" s="2037"/>
      <c r="O63" s="2037"/>
      <c r="P63" s="2087"/>
      <c r="Q63" s="2033"/>
      <c r="R63" s="1872"/>
      <c r="S63" s="1872"/>
      <c r="T63" s="1872"/>
      <c r="U63" s="1872"/>
      <c r="V63" s="1872"/>
      <c r="W63" s="1872"/>
      <c r="X63" s="1872"/>
      <c r="Y63" s="1872"/>
      <c r="Z63" s="1872"/>
      <c r="AA63" s="1872"/>
      <c r="AB63" s="1872"/>
      <c r="AC63" s="1872"/>
    </row>
    <row r="64" spans="1:29">
      <c r="A64" s="564" t="s">
        <v>517</v>
      </c>
      <c r="B64" s="565" t="s">
        <v>474</v>
      </c>
      <c r="C64" s="604">
        <f>C9</f>
        <v>0</v>
      </c>
      <c r="D64" s="498"/>
      <c r="E64" s="498"/>
      <c r="F64" s="498"/>
      <c r="G64" s="498"/>
      <c r="H64" s="498"/>
      <c r="I64" s="498"/>
      <c r="J64" s="498"/>
      <c r="K64" s="566"/>
      <c r="L64" s="567"/>
      <c r="M64" s="568"/>
      <c r="N64" s="2039"/>
      <c r="O64" s="2039"/>
      <c r="P64" s="2089"/>
      <c r="Q64" s="2033"/>
      <c r="R64" s="2020"/>
      <c r="S64" s="2020"/>
      <c r="T64" s="2020"/>
      <c r="U64" s="2020"/>
      <c r="V64" s="2020"/>
      <c r="W64" s="2020"/>
      <c r="X64" s="2020"/>
      <c r="Y64" s="2020"/>
      <c r="Z64" s="2020"/>
      <c r="AA64" s="2020"/>
      <c r="AB64" s="2020"/>
      <c r="AC64" s="2020"/>
    </row>
    <row r="65" spans="1:29" ht="15.75" thickBot="1">
      <c r="A65" s="569"/>
      <c r="B65" s="570"/>
      <c r="C65" s="571"/>
      <c r="D65" s="571"/>
      <c r="E65" s="571"/>
      <c r="F65" s="571"/>
      <c r="G65" s="571"/>
      <c r="H65" s="571"/>
      <c r="I65" s="571"/>
      <c r="J65" s="571"/>
      <c r="K65" s="571"/>
      <c r="L65" s="571"/>
      <c r="M65" s="572"/>
      <c r="N65" s="2041"/>
      <c r="O65" s="2041"/>
      <c r="P65" s="2089"/>
      <c r="Q65" s="2033"/>
      <c r="R65" s="2020"/>
      <c r="S65" s="2020"/>
      <c r="T65" s="2020"/>
      <c r="U65" s="2020"/>
      <c r="V65" s="2020"/>
      <c r="W65" s="2020"/>
      <c r="X65" s="2020"/>
      <c r="Y65" s="2020"/>
      <c r="Z65" s="2020"/>
      <c r="AA65" s="2020"/>
      <c r="AB65" s="2020"/>
      <c r="AC65" s="2020"/>
    </row>
    <row r="66" spans="1:29" ht="27.75" thickTop="1">
      <c r="A66" s="569"/>
      <c r="B66" s="573" t="s">
        <v>477</v>
      </c>
      <c r="C66" s="574" t="s">
        <v>676</v>
      </c>
      <c r="D66" s="574" t="s">
        <v>677</v>
      </c>
      <c r="E66" s="574" t="s">
        <v>678</v>
      </c>
      <c r="F66" s="574" t="s">
        <v>679</v>
      </c>
      <c r="G66" s="574" t="s">
        <v>680</v>
      </c>
      <c r="H66" s="574" t="s">
        <v>681</v>
      </c>
      <c r="I66" s="574" t="s">
        <v>682</v>
      </c>
      <c r="J66" s="574"/>
      <c r="K66" s="575"/>
      <c r="L66" s="576"/>
      <c r="M66" s="577"/>
      <c r="N66" s="2039"/>
      <c r="O66" s="2039"/>
      <c r="P66" s="2089"/>
      <c r="Q66" s="2033"/>
      <c r="R66" s="2020"/>
      <c r="S66" s="2020"/>
      <c r="T66" s="2020"/>
      <c r="U66" s="2020"/>
      <c r="V66" s="2020"/>
      <c r="W66" s="2020"/>
      <c r="X66" s="2020"/>
      <c r="Y66" s="2020"/>
      <c r="Z66" s="2020"/>
      <c r="AA66" s="2020"/>
      <c r="AB66" s="2020"/>
      <c r="AC66" s="2020"/>
    </row>
    <row r="67" spans="1:29" ht="15.75" thickBot="1">
      <c r="A67" s="569"/>
      <c r="B67" s="578"/>
      <c r="C67" s="579" t="s">
        <v>14</v>
      </c>
      <c r="D67" s="579" t="s">
        <v>15</v>
      </c>
      <c r="E67" s="579">
        <v>100</v>
      </c>
      <c r="F67" s="579">
        <f>E67-$K10</f>
        <v>100</v>
      </c>
      <c r="G67" s="579">
        <f>F67-$K10</f>
        <v>100</v>
      </c>
      <c r="H67" s="579">
        <f>G67-$K10</f>
        <v>100</v>
      </c>
      <c r="I67" s="579">
        <f>H67-$K10</f>
        <v>100</v>
      </c>
      <c r="J67" s="579"/>
      <c r="K67" s="579"/>
      <c r="L67" s="579"/>
      <c r="M67" s="580"/>
      <c r="N67" s="2041"/>
      <c r="O67" s="2041"/>
      <c r="P67" s="2089"/>
      <c r="Q67" s="2033"/>
      <c r="R67" s="2020"/>
      <c r="S67" s="2020"/>
      <c r="T67" s="2020"/>
      <c r="U67" s="2020"/>
      <c r="V67" s="2020"/>
      <c r="W67" s="2020"/>
      <c r="X67" s="2020"/>
      <c r="Y67" s="2020"/>
      <c r="Z67" s="2020"/>
      <c r="AA67" s="2020"/>
      <c r="AB67" s="2020"/>
      <c r="AC67" s="2020"/>
    </row>
    <row r="68" spans="1:29" ht="15.75" thickTop="1">
      <c r="A68" s="569"/>
      <c r="B68" s="581" t="s">
        <v>478</v>
      </c>
      <c r="C68" s="582" t="str">
        <f>C69&amp;"（含）"&amp;"-"&amp;D69</f>
        <v>（含）-</v>
      </c>
      <c r="D68" s="582" t="str">
        <f t="shared" ref="D68:L68" si="14">D69&amp;"（含）"&amp;"-"&amp;E69</f>
        <v>（含）-</v>
      </c>
      <c r="E68" s="582" t="str">
        <f t="shared" si="14"/>
        <v>（含）-</v>
      </c>
      <c r="F68" s="582" t="str">
        <f t="shared" si="14"/>
        <v>（含）-</v>
      </c>
      <c r="G68" s="582" t="str">
        <f t="shared" si="14"/>
        <v>（含）-</v>
      </c>
      <c r="H68" s="582" t="str">
        <f t="shared" si="14"/>
        <v>（含）-</v>
      </c>
      <c r="I68" s="582" t="str">
        <f t="shared" si="14"/>
        <v>（含）-</v>
      </c>
      <c r="J68" s="582" t="str">
        <f t="shared" si="14"/>
        <v>（含）-</v>
      </c>
      <c r="K68" s="582" t="str">
        <f t="shared" si="14"/>
        <v>（含）-</v>
      </c>
      <c r="L68" s="582" t="str">
        <f t="shared" si="14"/>
        <v>（含）-</v>
      </c>
      <c r="M68" s="455" t="str">
        <f>M69&amp;"（含）"&amp;"-"&amp;P69</f>
        <v>（含）-</v>
      </c>
      <c r="N68" s="2041"/>
      <c r="O68" s="2041"/>
      <c r="P68" s="2089"/>
      <c r="Q68" s="2033"/>
      <c r="R68" s="2020"/>
      <c r="S68" s="2020"/>
      <c r="T68" s="2020"/>
      <c r="U68" s="2020"/>
      <c r="V68" s="2020"/>
      <c r="W68" s="2020"/>
      <c r="X68" s="2020"/>
      <c r="Y68" s="2020"/>
      <c r="Z68" s="2020"/>
      <c r="AA68" s="2020"/>
      <c r="AB68" s="2020"/>
      <c r="AC68" s="2020"/>
    </row>
    <row r="69" spans="1:29" ht="15">
      <c r="A69" s="569"/>
      <c r="B69" s="583"/>
      <c r="C69" s="441"/>
      <c r="D69" s="441"/>
      <c r="E69" s="441"/>
      <c r="F69" s="441"/>
      <c r="G69" s="441"/>
      <c r="H69" s="441"/>
      <c r="I69" s="441"/>
      <c r="J69" s="441"/>
      <c r="K69" s="584"/>
      <c r="L69" s="585"/>
      <c r="M69" s="586"/>
      <c r="N69" s="2039"/>
      <c r="O69" s="2039"/>
      <c r="P69" s="2089"/>
      <c r="Q69" s="2033"/>
      <c r="R69" s="2020"/>
      <c r="S69" s="2020"/>
      <c r="T69" s="2020"/>
      <c r="U69" s="2020"/>
      <c r="V69" s="2020"/>
      <c r="W69" s="2020"/>
      <c r="X69" s="2020"/>
      <c r="Y69" s="2020"/>
      <c r="Z69" s="2020"/>
      <c r="AA69" s="2020"/>
      <c r="AB69" s="2020"/>
      <c r="AC69" s="2020"/>
    </row>
    <row r="70" spans="1:29" ht="15.75" thickBot="1">
      <c r="A70" s="569"/>
      <c r="B70" s="570"/>
      <c r="C70" s="579">
        <v>100</v>
      </c>
      <c r="D70" s="579">
        <f t="shared" ref="D70:M70" si="15">C70-$K11</f>
        <v>100</v>
      </c>
      <c r="E70" s="579">
        <f t="shared" si="15"/>
        <v>100</v>
      </c>
      <c r="F70" s="579">
        <f t="shared" si="15"/>
        <v>100</v>
      </c>
      <c r="G70" s="579">
        <f t="shared" si="15"/>
        <v>100</v>
      </c>
      <c r="H70" s="579">
        <f t="shared" si="15"/>
        <v>100</v>
      </c>
      <c r="I70" s="579">
        <f t="shared" si="15"/>
        <v>100</v>
      </c>
      <c r="J70" s="579">
        <f t="shared" si="15"/>
        <v>100</v>
      </c>
      <c r="K70" s="579">
        <f t="shared" si="15"/>
        <v>100</v>
      </c>
      <c r="L70" s="579">
        <f t="shared" si="15"/>
        <v>100</v>
      </c>
      <c r="M70" s="580">
        <f t="shared" si="15"/>
        <v>100</v>
      </c>
      <c r="N70" s="2041"/>
      <c r="O70" s="2041"/>
      <c r="P70" s="2089"/>
      <c r="Q70" s="2033"/>
      <c r="R70" s="2020"/>
      <c r="S70" s="2020"/>
      <c r="T70" s="2020"/>
      <c r="U70" s="2020"/>
      <c r="V70" s="2020"/>
      <c r="W70" s="2020"/>
      <c r="X70" s="2020"/>
      <c r="Y70" s="2020"/>
      <c r="Z70" s="2020"/>
      <c r="AA70" s="2020"/>
      <c r="AB70" s="2020"/>
      <c r="AC70" s="2020"/>
    </row>
    <row r="71" spans="1:29" s="1227" customFormat="1" ht="15.75" thickTop="1">
      <c r="A71" s="587"/>
      <c r="B71" s="573">
        <f>B12</f>
        <v>111</v>
      </c>
      <c r="C71" s="588"/>
      <c r="D71" s="588"/>
      <c r="E71" s="588"/>
      <c r="F71" s="588"/>
      <c r="G71" s="588"/>
      <c r="H71" s="589"/>
      <c r="I71" s="589"/>
      <c r="J71" s="589"/>
      <c r="K71" s="589"/>
      <c r="L71" s="590"/>
      <c r="M71" s="591"/>
      <c r="N71" s="2042"/>
      <c r="O71" s="2042"/>
      <c r="P71" s="2090"/>
      <c r="Q71" s="2044"/>
      <c r="R71" s="2045"/>
      <c r="S71" s="2045"/>
      <c r="T71" s="2045"/>
      <c r="U71" s="2045"/>
      <c r="V71" s="2045"/>
      <c r="W71" s="2045"/>
      <c r="X71" s="2045"/>
      <c r="Y71" s="2045"/>
      <c r="Z71" s="2045"/>
      <c r="AA71" s="2045"/>
      <c r="AB71" s="2045"/>
      <c r="AC71" s="2045"/>
    </row>
    <row r="72" spans="1:29" s="1227" customFormat="1" ht="15.75" thickBot="1">
      <c r="A72" s="587"/>
      <c r="B72" s="578"/>
      <c r="C72" s="592"/>
      <c r="D72" s="571"/>
      <c r="E72" s="571"/>
      <c r="F72" s="571"/>
      <c r="G72" s="571"/>
      <c r="H72" s="571"/>
      <c r="I72" s="571"/>
      <c r="J72" s="571"/>
      <c r="K72" s="571"/>
      <c r="L72" s="571"/>
      <c r="M72" s="572"/>
      <c r="N72" s="2041"/>
      <c r="O72" s="2041"/>
      <c r="P72" s="2090"/>
      <c r="Q72" s="2044"/>
      <c r="R72" s="2045"/>
      <c r="S72" s="2045"/>
      <c r="T72" s="2045"/>
      <c r="U72" s="2045"/>
      <c r="V72" s="2045"/>
      <c r="W72" s="2045"/>
      <c r="X72" s="2045"/>
      <c r="Y72" s="2045"/>
      <c r="Z72" s="2045"/>
      <c r="AA72" s="2045"/>
      <c r="AB72" s="2045"/>
      <c r="AC72" s="2045"/>
    </row>
    <row r="73" spans="1:29" s="1227" customFormat="1" ht="15.75" thickTop="1">
      <c r="A73" s="587"/>
      <c r="B73" s="573">
        <f>B13</f>
        <v>111</v>
      </c>
      <c r="C73" s="588"/>
      <c r="D73" s="588"/>
      <c r="E73" s="588"/>
      <c r="F73" s="588"/>
      <c r="G73" s="588"/>
      <c r="H73" s="589"/>
      <c r="I73" s="589"/>
      <c r="J73" s="589"/>
      <c r="K73" s="589"/>
      <c r="L73" s="590"/>
      <c r="M73" s="591"/>
      <c r="N73" s="2042"/>
      <c r="O73" s="2042"/>
      <c r="P73" s="2091"/>
      <c r="Q73" s="2047"/>
      <c r="R73" s="2045"/>
      <c r="S73" s="2045"/>
      <c r="T73" s="2045"/>
      <c r="U73" s="2045"/>
      <c r="V73" s="2045"/>
      <c r="W73" s="2045"/>
      <c r="X73" s="2045"/>
      <c r="Y73" s="2045"/>
      <c r="Z73" s="2045"/>
      <c r="AA73" s="2045"/>
      <c r="AB73" s="2045"/>
      <c r="AC73" s="2045"/>
    </row>
    <row r="74" spans="1:29" s="1227" customFormat="1" ht="15.75" thickBot="1">
      <c r="A74" s="587"/>
      <c r="B74" s="578"/>
      <c r="C74" s="592"/>
      <c r="D74" s="592"/>
      <c r="E74" s="592"/>
      <c r="F74" s="592"/>
      <c r="G74" s="592"/>
      <c r="H74" s="593"/>
      <c r="I74" s="593"/>
      <c r="J74" s="593"/>
      <c r="K74" s="593"/>
      <c r="L74" s="593"/>
      <c r="M74" s="594"/>
      <c r="N74" s="2042"/>
      <c r="O74" s="2042"/>
      <c r="P74" s="2090"/>
      <c r="Q74" s="2044"/>
      <c r="R74" s="2045"/>
      <c r="S74" s="2045"/>
      <c r="T74" s="2045"/>
      <c r="U74" s="2045"/>
      <c r="V74" s="2045"/>
      <c r="W74" s="2045"/>
      <c r="X74" s="2045"/>
      <c r="Y74" s="2045"/>
      <c r="Z74" s="2045"/>
      <c r="AA74" s="2045"/>
      <c r="AB74" s="2045"/>
      <c r="AC74" s="2045"/>
    </row>
    <row r="75" spans="1:29" s="1227" customFormat="1" ht="15.75" thickTop="1">
      <c r="A75" s="587"/>
      <c r="B75" s="581">
        <f>B14</f>
        <v>111</v>
      </c>
      <c r="C75" s="561"/>
      <c r="D75" s="561"/>
      <c r="E75" s="561"/>
      <c r="F75" s="561"/>
      <c r="G75" s="561"/>
      <c r="H75" s="595"/>
      <c r="I75" s="595"/>
      <c r="J75" s="595"/>
      <c r="K75" s="595"/>
      <c r="L75" s="596"/>
      <c r="M75" s="597"/>
      <c r="N75" s="2042"/>
      <c r="O75" s="2042"/>
      <c r="P75" s="2092"/>
      <c r="Q75" s="2044"/>
      <c r="R75" s="2045"/>
      <c r="S75" s="2045"/>
      <c r="T75" s="2045"/>
      <c r="U75" s="2045"/>
      <c r="V75" s="2045"/>
      <c r="W75" s="2045"/>
      <c r="X75" s="2045"/>
      <c r="Y75" s="2045"/>
      <c r="Z75" s="2045"/>
      <c r="AA75" s="2045"/>
      <c r="AB75" s="2045"/>
      <c r="AC75" s="2045"/>
    </row>
    <row r="76" spans="1:29" s="1227" customFormat="1" ht="15.75" thickBot="1">
      <c r="A76" s="598"/>
      <c r="B76" s="599"/>
      <c r="C76" s="600"/>
      <c r="D76" s="600"/>
      <c r="E76" s="600"/>
      <c r="F76" s="600"/>
      <c r="G76" s="600"/>
      <c r="H76" s="601"/>
      <c r="I76" s="601"/>
      <c r="J76" s="601"/>
      <c r="K76" s="601"/>
      <c r="L76" s="601"/>
      <c r="M76" s="602"/>
      <c r="N76" s="2042"/>
      <c r="O76" s="2042"/>
      <c r="P76" s="2090"/>
      <c r="Q76" s="2044"/>
      <c r="R76" s="2045"/>
      <c r="S76" s="2045"/>
      <c r="T76" s="2045"/>
      <c r="U76" s="2045"/>
      <c r="V76" s="2045"/>
      <c r="W76" s="2045"/>
      <c r="X76" s="2045"/>
      <c r="Y76" s="2045"/>
      <c r="Z76" s="2045"/>
      <c r="AA76" s="2045"/>
      <c r="AB76" s="2045"/>
      <c r="AC76" s="2045"/>
    </row>
    <row r="77" spans="1:29">
      <c r="A77" s="564" t="s">
        <v>479</v>
      </c>
      <c r="B77" s="565" t="s">
        <v>525</v>
      </c>
      <c r="C77" s="603" t="s">
        <v>519</v>
      </c>
      <c r="D77" s="603" t="s">
        <v>520</v>
      </c>
      <c r="E77" s="603" t="s">
        <v>521</v>
      </c>
      <c r="F77" s="603" t="s">
        <v>522</v>
      </c>
      <c r="G77" s="603" t="s">
        <v>523</v>
      </c>
      <c r="H77" s="604"/>
      <c r="I77" s="604"/>
      <c r="J77" s="604"/>
      <c r="K77" s="605"/>
      <c r="L77" s="606"/>
      <c r="M77" s="607"/>
      <c r="N77" s="2039"/>
      <c r="O77" s="2039"/>
      <c r="P77" s="2093"/>
      <c r="Q77" s="2033"/>
      <c r="R77" s="2020"/>
      <c r="S77" s="2020"/>
      <c r="T77" s="2020"/>
      <c r="U77" s="2020"/>
      <c r="V77" s="2020"/>
      <c r="W77" s="2020"/>
      <c r="X77" s="2020"/>
      <c r="Y77" s="2020"/>
      <c r="Z77" s="2020"/>
      <c r="AA77" s="2020"/>
      <c r="AB77" s="2020"/>
      <c r="AC77" s="2020"/>
    </row>
    <row r="78" spans="1:29" ht="15.75" thickBot="1">
      <c r="A78" s="569"/>
      <c r="B78" s="578"/>
      <c r="C78" s="579">
        <v>100</v>
      </c>
      <c r="D78" s="579">
        <f>C78-$K15</f>
        <v>100</v>
      </c>
      <c r="E78" s="579">
        <f>D78-$K15</f>
        <v>100</v>
      </c>
      <c r="F78" s="579">
        <f>E78-$K15</f>
        <v>100</v>
      </c>
      <c r="G78" s="579">
        <f>F78-$K15</f>
        <v>100</v>
      </c>
      <c r="H78" s="579"/>
      <c r="I78" s="579"/>
      <c r="J78" s="579"/>
      <c r="K78" s="579"/>
      <c r="L78" s="579"/>
      <c r="M78" s="580"/>
      <c r="N78" s="2041"/>
      <c r="O78" s="2041"/>
      <c r="P78" s="2089"/>
      <c r="Q78" s="2033"/>
      <c r="R78" s="2020"/>
      <c r="S78" s="2020"/>
      <c r="T78" s="2020"/>
      <c r="U78" s="2020"/>
      <c r="V78" s="2020"/>
      <c r="W78" s="2020"/>
      <c r="X78" s="2020"/>
      <c r="Y78" s="2020"/>
      <c r="Z78" s="2020"/>
      <c r="AA78" s="2020"/>
      <c r="AB78" s="2020"/>
      <c r="AC78" s="2020"/>
    </row>
    <row r="79" spans="1:29" ht="15.75" thickTop="1">
      <c r="A79" s="569"/>
      <c r="B79" s="573" t="s">
        <v>526</v>
      </c>
      <c r="C79" s="608" t="s">
        <v>519</v>
      </c>
      <c r="D79" s="608" t="s">
        <v>520</v>
      </c>
      <c r="E79" s="608" t="s">
        <v>521</v>
      </c>
      <c r="F79" s="608" t="s">
        <v>522</v>
      </c>
      <c r="G79" s="608" t="s">
        <v>523</v>
      </c>
      <c r="H79" s="574"/>
      <c r="I79" s="574"/>
      <c r="J79" s="574"/>
      <c r="K79" s="575"/>
      <c r="L79" s="576"/>
      <c r="M79" s="577"/>
      <c r="N79" s="2039"/>
      <c r="O79" s="2039"/>
      <c r="P79" s="2089"/>
      <c r="Q79" s="2033"/>
      <c r="R79" s="2020"/>
      <c r="S79" s="2020"/>
      <c r="T79" s="2020"/>
      <c r="U79" s="2020"/>
      <c r="V79" s="2020"/>
      <c r="W79" s="2020"/>
      <c r="X79" s="2020"/>
      <c r="Y79" s="2020"/>
      <c r="Z79" s="2020"/>
      <c r="AA79" s="2020"/>
      <c r="AB79" s="2020"/>
      <c r="AC79" s="2020"/>
    </row>
    <row r="80" spans="1:29" ht="15.75" thickBot="1">
      <c r="A80" s="569"/>
      <c r="B80" s="578"/>
      <c r="C80" s="579">
        <v>100</v>
      </c>
      <c r="D80" s="579">
        <f>C80-$K17</f>
        <v>100</v>
      </c>
      <c r="E80" s="579">
        <f>D80-$K17</f>
        <v>100</v>
      </c>
      <c r="F80" s="579">
        <f>E80-$K17</f>
        <v>100</v>
      </c>
      <c r="G80" s="579">
        <f>F80-$K17</f>
        <v>100</v>
      </c>
      <c r="H80" s="579"/>
      <c r="I80" s="579"/>
      <c r="J80" s="579"/>
      <c r="K80" s="579"/>
      <c r="L80" s="579"/>
      <c r="M80" s="580"/>
      <c r="N80" s="2041"/>
      <c r="O80" s="2041"/>
      <c r="P80" s="2089"/>
      <c r="Q80" s="2033"/>
      <c r="R80" s="2020"/>
      <c r="S80" s="2020"/>
      <c r="T80" s="2020"/>
      <c r="U80" s="2020"/>
      <c r="V80" s="2020"/>
      <c r="W80" s="2020"/>
      <c r="X80" s="2020"/>
      <c r="Y80" s="2020"/>
      <c r="Z80" s="2020"/>
      <c r="AA80" s="2020"/>
      <c r="AB80" s="2020"/>
      <c r="AC80" s="2020"/>
    </row>
    <row r="81" spans="1:29" ht="15.75" thickTop="1">
      <c r="A81" s="569"/>
      <c r="B81" s="1778" t="s">
        <v>2485</v>
      </c>
      <c r="C81" s="608" t="s">
        <v>519</v>
      </c>
      <c r="D81" s="608" t="s">
        <v>520</v>
      </c>
      <c r="E81" s="608" t="s">
        <v>521</v>
      </c>
      <c r="F81" s="608" t="s">
        <v>522</v>
      </c>
      <c r="G81" s="608" t="s">
        <v>523</v>
      </c>
      <c r="H81" s="574"/>
      <c r="I81" s="574"/>
      <c r="J81" s="574"/>
      <c r="K81" s="575"/>
      <c r="L81" s="576"/>
      <c r="M81" s="577"/>
      <c r="N81" s="2039"/>
      <c r="O81" s="2039"/>
      <c r="P81" s="2089"/>
      <c r="Q81" s="2033"/>
      <c r="R81" s="2020"/>
      <c r="S81" s="2020"/>
      <c r="T81" s="2020"/>
      <c r="U81" s="2020"/>
      <c r="V81" s="2020"/>
      <c r="W81" s="2020"/>
      <c r="X81" s="2020"/>
      <c r="Y81" s="2020"/>
      <c r="Z81" s="2020"/>
      <c r="AA81" s="2020"/>
      <c r="AB81" s="2020"/>
      <c r="AC81" s="2020"/>
    </row>
    <row r="82" spans="1:29" ht="15.75" thickBot="1">
      <c r="A82" s="569"/>
      <c r="B82" s="578"/>
      <c r="C82" s="579">
        <v>100</v>
      </c>
      <c r="D82" s="579">
        <f>C82-$K19</f>
        <v>100</v>
      </c>
      <c r="E82" s="579">
        <f>D82-$K19</f>
        <v>100</v>
      </c>
      <c r="F82" s="579">
        <f>E82-$K19</f>
        <v>100</v>
      </c>
      <c r="G82" s="579">
        <f>F82-$K19</f>
        <v>100</v>
      </c>
      <c r="H82" s="579"/>
      <c r="I82" s="579"/>
      <c r="J82" s="579"/>
      <c r="K82" s="579"/>
      <c r="L82" s="579"/>
      <c r="M82" s="580"/>
      <c r="N82" s="2041"/>
      <c r="O82" s="2041"/>
      <c r="P82" s="2089"/>
      <c r="Q82" s="2033"/>
      <c r="R82" s="2020"/>
      <c r="S82" s="2020"/>
      <c r="T82" s="2020"/>
      <c r="U82" s="2020"/>
      <c r="V82" s="2020"/>
      <c r="W82" s="2020"/>
      <c r="X82" s="2020"/>
      <c r="Y82" s="2020"/>
      <c r="Z82" s="2020"/>
      <c r="AA82" s="2020"/>
      <c r="AB82" s="2020"/>
      <c r="AC82" s="2020"/>
    </row>
    <row r="83" spans="1:29" ht="15.75" thickTop="1">
      <c r="A83" s="569"/>
      <c r="B83" s="2463" t="s">
        <v>2486</v>
      </c>
      <c r="C83" s="2464" t="s">
        <v>2487</v>
      </c>
      <c r="D83" s="2464" t="s">
        <v>2488</v>
      </c>
      <c r="E83" s="2464" t="s">
        <v>2489</v>
      </c>
      <c r="F83" s="2464" t="s">
        <v>2490</v>
      </c>
      <c r="G83" s="2464" t="s">
        <v>2491</v>
      </c>
      <c r="H83" s="574"/>
      <c r="I83" s="574"/>
      <c r="J83" s="574"/>
      <c r="K83" s="574"/>
      <c r="L83" s="574"/>
      <c r="M83" s="2467"/>
      <c r="N83" s="2041"/>
      <c r="O83" s="2041"/>
      <c r="P83" s="2089"/>
      <c r="Q83" s="2033"/>
      <c r="R83" s="2020"/>
      <c r="S83" s="2020"/>
      <c r="T83" s="2020"/>
      <c r="U83" s="2020"/>
      <c r="V83" s="2020"/>
      <c r="W83" s="2020"/>
      <c r="X83" s="2020"/>
      <c r="Y83" s="2020"/>
      <c r="Z83" s="2020"/>
      <c r="AA83" s="2020"/>
      <c r="AB83" s="2020"/>
      <c r="AC83" s="2020"/>
    </row>
    <row r="84" spans="1:29" ht="15.75" thickBot="1">
      <c r="A84" s="569"/>
      <c r="B84" s="581"/>
      <c r="C84" s="579">
        <v>100</v>
      </c>
      <c r="D84" s="579">
        <f>C84-$K21</f>
        <v>100</v>
      </c>
      <c r="E84" s="579">
        <f>D84-$K21</f>
        <v>100</v>
      </c>
      <c r="F84" s="579">
        <f>E84-$K21</f>
        <v>100</v>
      </c>
      <c r="G84" s="579">
        <f>F84-$K21</f>
        <v>100</v>
      </c>
      <c r="H84" s="835"/>
      <c r="I84" s="835"/>
      <c r="J84" s="835"/>
      <c r="K84" s="835"/>
      <c r="L84" s="835"/>
      <c r="M84" s="459"/>
      <c r="N84" s="2041"/>
      <c r="O84" s="2041"/>
      <c r="P84" s="2089"/>
      <c r="Q84" s="2033"/>
      <c r="R84" s="2020"/>
      <c r="S84" s="2020"/>
      <c r="T84" s="2020"/>
      <c r="U84" s="2020"/>
      <c r="V84" s="2020"/>
      <c r="W84" s="2020"/>
      <c r="X84" s="2020"/>
      <c r="Y84" s="2020"/>
      <c r="Z84" s="2020"/>
      <c r="AA84" s="2020"/>
      <c r="AB84" s="2020"/>
      <c r="AC84" s="2020"/>
    </row>
    <row r="85" spans="1:29" ht="15.75" thickTop="1">
      <c r="A85" s="569"/>
      <c r="B85" s="573" t="s">
        <v>723</v>
      </c>
      <c r="C85" s="608" t="s">
        <v>519</v>
      </c>
      <c r="D85" s="608" t="s">
        <v>520</v>
      </c>
      <c r="E85" s="608" t="s">
        <v>521</v>
      </c>
      <c r="F85" s="608" t="s">
        <v>522</v>
      </c>
      <c r="G85" s="608" t="s">
        <v>523</v>
      </c>
      <c r="H85" s="574"/>
      <c r="I85" s="574"/>
      <c r="J85" s="574"/>
      <c r="K85" s="575"/>
      <c r="L85" s="576"/>
      <c r="M85" s="577"/>
      <c r="N85" s="2039"/>
      <c r="O85" s="2039"/>
      <c r="P85" s="2089"/>
      <c r="Q85" s="2033"/>
      <c r="R85" s="2020"/>
      <c r="S85" s="2020"/>
      <c r="T85" s="2020"/>
      <c r="U85" s="2020"/>
      <c r="V85" s="2020"/>
      <c r="W85" s="2020"/>
      <c r="X85" s="2020"/>
      <c r="Y85" s="2020"/>
      <c r="Z85" s="2020"/>
      <c r="AA85" s="2020"/>
      <c r="AB85" s="2020"/>
      <c r="AC85" s="2020"/>
    </row>
    <row r="86" spans="1:29" ht="15.75" thickBot="1">
      <c r="A86" s="569"/>
      <c r="B86" s="578"/>
      <c r="C86" s="579">
        <v>100</v>
      </c>
      <c r="D86" s="579">
        <f>C86-$K23</f>
        <v>100</v>
      </c>
      <c r="E86" s="579">
        <f>D86-$K23</f>
        <v>100</v>
      </c>
      <c r="F86" s="579">
        <f>E86-$K23</f>
        <v>100</v>
      </c>
      <c r="G86" s="579">
        <f>F86-$K23</f>
        <v>100</v>
      </c>
      <c r="H86" s="579"/>
      <c r="I86" s="579"/>
      <c r="J86" s="579"/>
      <c r="K86" s="579"/>
      <c r="L86" s="579"/>
      <c r="M86" s="580"/>
      <c r="N86" s="2041"/>
      <c r="O86" s="2041"/>
      <c r="P86" s="2089"/>
      <c r="Q86" s="2033"/>
      <c r="R86" s="2020"/>
      <c r="S86" s="2020"/>
      <c r="T86" s="2020"/>
      <c r="U86" s="2020"/>
      <c r="V86" s="2020"/>
      <c r="W86" s="2020"/>
      <c r="X86" s="2020"/>
      <c r="Y86" s="2020"/>
      <c r="Z86" s="2020"/>
      <c r="AA86" s="2020"/>
      <c r="AB86" s="2020"/>
      <c r="AC86" s="2020"/>
    </row>
    <row r="87" spans="1:29" s="1108" customFormat="1" ht="27.75" thickTop="1">
      <c r="A87" s="609"/>
      <c r="B87" s="573" t="s">
        <v>724</v>
      </c>
      <c r="C87" s="588"/>
      <c r="D87" s="588"/>
      <c r="E87" s="588"/>
      <c r="F87" s="588"/>
      <c r="G87" s="588"/>
      <c r="H87" s="588"/>
      <c r="I87" s="588"/>
      <c r="J87" s="588"/>
      <c r="K87" s="588"/>
      <c r="L87" s="790"/>
      <c r="M87" s="791"/>
      <c r="N87" s="2037"/>
      <c r="O87" s="2037"/>
      <c r="P87" s="2089"/>
      <c r="Q87" s="2033"/>
      <c r="R87" s="1872"/>
      <c r="S87" s="1872"/>
      <c r="T87" s="1872"/>
      <c r="U87" s="1872"/>
      <c r="V87" s="1872"/>
      <c r="W87" s="1872"/>
      <c r="X87" s="1872"/>
      <c r="Y87" s="1872"/>
      <c r="Z87" s="1872"/>
      <c r="AA87" s="1872"/>
      <c r="AB87" s="1872"/>
      <c r="AC87" s="1872"/>
    </row>
    <row r="88" spans="1:29" s="1108" customFormat="1" ht="15.75" thickBot="1">
      <c r="A88" s="609"/>
      <c r="B88" s="578"/>
      <c r="C88" s="612">
        <v>100</v>
      </c>
      <c r="D88" s="579">
        <f t="shared" ref="D88:M88" si="16">C88-$K25</f>
        <v>100</v>
      </c>
      <c r="E88" s="579">
        <f t="shared" si="16"/>
        <v>100</v>
      </c>
      <c r="F88" s="579">
        <f t="shared" si="16"/>
        <v>100</v>
      </c>
      <c r="G88" s="579">
        <f t="shared" si="16"/>
        <v>100</v>
      </c>
      <c r="H88" s="579">
        <f t="shared" si="16"/>
        <v>100</v>
      </c>
      <c r="I88" s="579">
        <f t="shared" si="16"/>
        <v>100</v>
      </c>
      <c r="J88" s="579">
        <f t="shared" si="16"/>
        <v>100</v>
      </c>
      <c r="K88" s="579">
        <f t="shared" si="16"/>
        <v>100</v>
      </c>
      <c r="L88" s="579">
        <f t="shared" si="16"/>
        <v>100</v>
      </c>
      <c r="M88" s="579">
        <f t="shared" si="16"/>
        <v>100</v>
      </c>
      <c r="N88" s="2041"/>
      <c r="O88" s="2041"/>
      <c r="P88" s="2089"/>
      <c r="Q88" s="2033"/>
      <c r="R88" s="1872"/>
      <c r="S88" s="1872"/>
      <c r="T88" s="1872"/>
      <c r="U88" s="1872"/>
      <c r="V88" s="1872"/>
      <c r="W88" s="1872"/>
      <c r="X88" s="1872"/>
      <c r="Y88" s="1872"/>
      <c r="Z88" s="1872"/>
      <c r="AA88" s="1872"/>
      <c r="AB88" s="1872"/>
      <c r="AC88" s="1872"/>
    </row>
    <row r="89" spans="1:29" s="1108" customFormat="1" ht="15.75" thickTop="1">
      <c r="A89" s="609"/>
      <c r="B89" s="573" t="str">
        <f>B27</f>
        <v>楼层</v>
      </c>
      <c r="C89" s="588"/>
      <c r="D89" s="588"/>
      <c r="E89" s="588"/>
      <c r="F89" s="792"/>
      <c r="G89" s="588"/>
      <c r="H89" s="588"/>
      <c r="I89" s="588"/>
      <c r="J89" s="588"/>
      <c r="K89" s="588"/>
      <c r="L89" s="588"/>
      <c r="M89" s="791"/>
      <c r="N89" s="2037"/>
      <c r="O89" s="2037"/>
      <c r="P89" s="2089"/>
      <c r="Q89" s="2033"/>
      <c r="R89" s="1872"/>
      <c r="S89" s="1872"/>
      <c r="T89" s="1872"/>
      <c r="U89" s="1872"/>
      <c r="V89" s="1872"/>
      <c r="W89" s="1872"/>
      <c r="X89" s="1872"/>
      <c r="Y89" s="1872"/>
      <c r="Z89" s="1872"/>
      <c r="AA89" s="1872"/>
      <c r="AB89" s="1872"/>
      <c r="AC89" s="1872"/>
    </row>
    <row r="90" spans="1:29" s="1108" customFormat="1" ht="15.75" thickBot="1">
      <c r="A90" s="609"/>
      <c r="B90" s="578"/>
      <c r="C90" s="612">
        <v>100</v>
      </c>
      <c r="D90" s="579">
        <f>C90-$K27</f>
        <v>100</v>
      </c>
      <c r="E90" s="579">
        <f t="shared" ref="E90:M90" si="17">D90-$K27</f>
        <v>100</v>
      </c>
      <c r="F90" s="579">
        <f t="shared" si="17"/>
        <v>100</v>
      </c>
      <c r="G90" s="579">
        <f t="shared" si="17"/>
        <v>100</v>
      </c>
      <c r="H90" s="579">
        <f t="shared" si="17"/>
        <v>100</v>
      </c>
      <c r="I90" s="579">
        <f t="shared" si="17"/>
        <v>100</v>
      </c>
      <c r="J90" s="579">
        <f t="shared" si="17"/>
        <v>100</v>
      </c>
      <c r="K90" s="579">
        <f t="shared" si="17"/>
        <v>100</v>
      </c>
      <c r="L90" s="579">
        <f t="shared" si="17"/>
        <v>100</v>
      </c>
      <c r="M90" s="579">
        <f t="shared" si="17"/>
        <v>100</v>
      </c>
      <c r="N90" s="2041"/>
      <c r="O90" s="2041"/>
      <c r="P90" s="2089"/>
      <c r="Q90" s="2033"/>
      <c r="R90" s="1872"/>
      <c r="S90" s="1872"/>
      <c r="T90" s="1872"/>
      <c r="U90" s="1872"/>
      <c r="V90" s="1872"/>
      <c r="W90" s="1872"/>
      <c r="X90" s="1872"/>
      <c r="Y90" s="1872"/>
      <c r="Z90" s="1872"/>
      <c r="AA90" s="1872"/>
      <c r="AB90" s="1872"/>
      <c r="AC90" s="1872"/>
    </row>
    <row r="91" spans="1:29" s="1227" customFormat="1" ht="15.75" thickTop="1">
      <c r="A91" s="587"/>
      <c r="B91" s="573" t="str">
        <f>B28</f>
        <v>朝向</v>
      </c>
      <c r="C91" s="588"/>
      <c r="D91" s="588"/>
      <c r="E91" s="588"/>
      <c r="F91" s="588"/>
      <c r="G91" s="588"/>
      <c r="H91" s="589"/>
      <c r="I91" s="589"/>
      <c r="J91" s="589"/>
      <c r="K91" s="589"/>
      <c r="L91" s="590"/>
      <c r="M91" s="591"/>
      <c r="N91" s="2042"/>
      <c r="O91" s="2042"/>
      <c r="P91" s="2090"/>
      <c r="Q91" s="2044"/>
      <c r="R91" s="2045"/>
      <c r="S91" s="2045"/>
      <c r="T91" s="2045"/>
      <c r="U91" s="2045"/>
      <c r="V91" s="2045"/>
      <c r="W91" s="2045"/>
      <c r="X91" s="2045"/>
      <c r="Y91" s="2045"/>
      <c r="Z91" s="2045"/>
      <c r="AA91" s="2045"/>
      <c r="AB91" s="2045"/>
      <c r="AC91" s="2045"/>
    </row>
    <row r="92" spans="1:29" s="1227" customFormat="1" ht="15.75" thickBot="1">
      <c r="A92" s="587"/>
      <c r="B92" s="578"/>
      <c r="C92" s="612">
        <v>100</v>
      </c>
      <c r="D92" s="579">
        <f t="shared" ref="D92:M92" si="18">C92-$K28</f>
        <v>100</v>
      </c>
      <c r="E92" s="579">
        <f t="shared" si="18"/>
        <v>100</v>
      </c>
      <c r="F92" s="579">
        <f t="shared" si="18"/>
        <v>100</v>
      </c>
      <c r="G92" s="579">
        <f t="shared" si="18"/>
        <v>100</v>
      </c>
      <c r="H92" s="579">
        <f t="shared" si="18"/>
        <v>100</v>
      </c>
      <c r="I92" s="579">
        <f t="shared" si="18"/>
        <v>100</v>
      </c>
      <c r="J92" s="579">
        <f t="shared" si="18"/>
        <v>100</v>
      </c>
      <c r="K92" s="579">
        <f t="shared" si="18"/>
        <v>100</v>
      </c>
      <c r="L92" s="579">
        <f t="shared" si="18"/>
        <v>100</v>
      </c>
      <c r="M92" s="579">
        <f t="shared" si="18"/>
        <v>100</v>
      </c>
      <c r="N92" s="2042"/>
      <c r="O92" s="2042"/>
      <c r="P92" s="2090"/>
      <c r="Q92" s="2044"/>
      <c r="R92" s="2045"/>
      <c r="S92" s="2045"/>
      <c r="T92" s="2045"/>
      <c r="U92" s="2045"/>
      <c r="V92" s="2045"/>
      <c r="W92" s="2045"/>
      <c r="X92" s="2045"/>
      <c r="Y92" s="2045"/>
      <c r="Z92" s="2045"/>
      <c r="AA92" s="2045"/>
      <c r="AB92" s="2045"/>
      <c r="AC92" s="2045"/>
    </row>
    <row r="93" spans="1:29" ht="15.75" thickTop="1">
      <c r="A93" s="569"/>
      <c r="B93" s="573">
        <f>B29</f>
        <v>111</v>
      </c>
      <c r="C93" s="588"/>
      <c r="D93" s="588"/>
      <c r="E93" s="588"/>
      <c r="F93" s="588"/>
      <c r="G93" s="588"/>
      <c r="H93" s="588"/>
      <c r="I93" s="588"/>
      <c r="J93" s="588"/>
      <c r="K93" s="588"/>
      <c r="L93" s="790"/>
      <c r="M93" s="791"/>
      <c r="N93" s="2039"/>
      <c r="O93" s="2039"/>
      <c r="P93" s="2089"/>
      <c r="Q93" s="2033"/>
      <c r="R93" s="2020"/>
      <c r="S93" s="2020"/>
      <c r="T93" s="2020"/>
      <c r="U93" s="2020"/>
      <c r="V93" s="2020"/>
      <c r="W93" s="2020"/>
      <c r="X93" s="2020"/>
      <c r="Y93" s="2020"/>
      <c r="Z93" s="2020"/>
      <c r="AA93" s="2020"/>
      <c r="AB93" s="2020"/>
      <c r="AC93" s="2020"/>
    </row>
    <row r="94" spans="1:29" ht="15.75" thickBot="1">
      <c r="A94" s="569"/>
      <c r="B94" s="578"/>
      <c r="C94" s="592"/>
      <c r="D94" s="571"/>
      <c r="E94" s="571"/>
      <c r="F94" s="571"/>
      <c r="G94" s="571"/>
      <c r="H94" s="571"/>
      <c r="I94" s="571"/>
      <c r="J94" s="571"/>
      <c r="K94" s="571"/>
      <c r="L94" s="571"/>
      <c r="M94" s="572"/>
      <c r="N94" s="2041"/>
      <c r="O94" s="2041"/>
      <c r="P94" s="2089"/>
      <c r="Q94" s="2033"/>
      <c r="R94" s="2020"/>
      <c r="S94" s="2020"/>
      <c r="T94" s="2020"/>
      <c r="U94" s="2020"/>
      <c r="V94" s="2020"/>
      <c r="W94" s="2020"/>
      <c r="X94" s="2020"/>
      <c r="Y94" s="2020"/>
      <c r="Z94" s="2020"/>
      <c r="AA94" s="2020"/>
      <c r="AB94" s="2020"/>
      <c r="AC94" s="2020"/>
    </row>
    <row r="95" spans="1:29" ht="15.75" thickTop="1">
      <c r="A95" s="569"/>
      <c r="B95" s="573">
        <f>B30</f>
        <v>111</v>
      </c>
      <c r="C95" s="588"/>
      <c r="D95" s="588"/>
      <c r="E95" s="588"/>
      <c r="F95" s="588"/>
      <c r="G95" s="618"/>
      <c r="H95" s="618"/>
      <c r="I95" s="618"/>
      <c r="J95" s="618"/>
      <c r="K95" s="619"/>
      <c r="L95" s="620"/>
      <c r="M95" s="621"/>
      <c r="N95" s="2039"/>
      <c r="O95" s="2039"/>
      <c r="P95" s="2089"/>
      <c r="Q95" s="2033"/>
      <c r="R95" s="2020"/>
      <c r="S95" s="2020"/>
      <c r="T95" s="2020"/>
      <c r="U95" s="2020"/>
      <c r="V95" s="2020"/>
      <c r="W95" s="2020"/>
      <c r="X95" s="2020"/>
      <c r="Y95" s="2020"/>
      <c r="Z95" s="2020"/>
      <c r="AA95" s="2020"/>
      <c r="AB95" s="2020"/>
      <c r="AC95" s="2020"/>
    </row>
    <row r="96" spans="1:29" ht="15.75" thickBot="1">
      <c r="A96" s="569"/>
      <c r="B96" s="578"/>
      <c r="C96" s="592"/>
      <c r="D96" s="592"/>
      <c r="E96" s="592"/>
      <c r="F96" s="592"/>
      <c r="G96" s="571"/>
      <c r="H96" s="571"/>
      <c r="I96" s="571"/>
      <c r="J96" s="571"/>
      <c r="K96" s="571"/>
      <c r="L96" s="571"/>
      <c r="M96" s="572"/>
      <c r="N96" s="2041"/>
      <c r="O96" s="2041"/>
      <c r="P96" s="2089"/>
      <c r="Q96" s="2033"/>
      <c r="R96" s="2020"/>
      <c r="S96" s="2020"/>
      <c r="T96" s="2020"/>
      <c r="U96" s="2020"/>
      <c r="V96" s="2020"/>
      <c r="W96" s="2020"/>
      <c r="X96" s="2020"/>
      <c r="Y96" s="2020"/>
      <c r="Z96" s="2020"/>
      <c r="AA96" s="2020"/>
      <c r="AB96" s="2020"/>
      <c r="AC96" s="2020"/>
    </row>
    <row r="97" spans="1:29" ht="15.75" thickTop="1">
      <c r="A97" s="569"/>
      <c r="B97" s="573">
        <f>B31</f>
        <v>111</v>
      </c>
      <c r="C97" s="588"/>
      <c r="D97" s="588"/>
      <c r="E97" s="588"/>
      <c r="F97" s="588"/>
      <c r="G97" s="618"/>
      <c r="H97" s="618"/>
      <c r="I97" s="618"/>
      <c r="J97" s="618"/>
      <c r="K97" s="619"/>
      <c r="L97" s="620"/>
      <c r="M97" s="621"/>
      <c r="N97" s="2039"/>
      <c r="O97" s="2039"/>
      <c r="P97" s="2089"/>
      <c r="Q97" s="2033"/>
      <c r="R97" s="2020"/>
      <c r="S97" s="2020"/>
      <c r="T97" s="2020"/>
      <c r="U97" s="2020"/>
      <c r="V97" s="2020"/>
      <c r="W97" s="2020"/>
      <c r="X97" s="2020"/>
      <c r="Y97" s="2020"/>
      <c r="Z97" s="2020"/>
      <c r="AA97" s="2020"/>
      <c r="AB97" s="2020"/>
      <c r="AC97" s="2020"/>
    </row>
    <row r="98" spans="1:29" ht="15.75" thickBot="1">
      <c r="A98" s="569"/>
      <c r="B98" s="578"/>
      <c r="C98" s="592"/>
      <c r="D98" s="571"/>
      <c r="E98" s="571"/>
      <c r="F98" s="571"/>
      <c r="G98" s="571"/>
      <c r="H98" s="571"/>
      <c r="I98" s="571"/>
      <c r="J98" s="571"/>
      <c r="K98" s="571"/>
      <c r="L98" s="571"/>
      <c r="M98" s="572"/>
      <c r="N98" s="2041"/>
      <c r="O98" s="2041"/>
      <c r="P98" s="2089"/>
      <c r="Q98" s="2033"/>
      <c r="R98" s="2020"/>
      <c r="S98" s="2020"/>
      <c r="T98" s="2020"/>
      <c r="U98" s="2020"/>
      <c r="V98" s="2020"/>
      <c r="W98" s="2020"/>
      <c r="X98" s="2020"/>
      <c r="Y98" s="2020"/>
      <c r="Z98" s="2020"/>
      <c r="AA98" s="2020"/>
      <c r="AB98" s="2020"/>
      <c r="AC98" s="2020"/>
    </row>
    <row r="99" spans="1:29" ht="15.75" thickTop="1">
      <c r="A99" s="569"/>
      <c r="B99" s="581">
        <f>B32</f>
        <v>111</v>
      </c>
      <c r="C99" s="561"/>
      <c r="D99" s="561"/>
      <c r="E99" s="561"/>
      <c r="F99" s="561"/>
      <c r="G99" s="622"/>
      <c r="H99" s="622"/>
      <c r="I99" s="622"/>
      <c r="J99" s="622"/>
      <c r="K99" s="623"/>
      <c r="L99" s="624"/>
      <c r="M99" s="625"/>
      <c r="N99" s="2039"/>
      <c r="O99" s="2039"/>
      <c r="P99" s="2089"/>
      <c r="Q99" s="2033"/>
      <c r="R99" s="2020"/>
      <c r="S99" s="2020"/>
      <c r="T99" s="2020"/>
      <c r="U99" s="2020"/>
      <c r="V99" s="2020"/>
      <c r="W99" s="2020"/>
      <c r="X99" s="2020"/>
      <c r="Y99" s="2020"/>
      <c r="Z99" s="2020"/>
      <c r="AA99" s="2020"/>
      <c r="AB99" s="2020"/>
      <c r="AC99" s="2020"/>
    </row>
    <row r="100" spans="1:29" ht="15.75" thickBot="1">
      <c r="A100" s="793"/>
      <c r="B100" s="599"/>
      <c r="C100" s="600"/>
      <c r="D100" s="600"/>
      <c r="E100" s="600"/>
      <c r="F100" s="600"/>
      <c r="G100" s="626"/>
      <c r="H100" s="626"/>
      <c r="I100" s="626"/>
      <c r="J100" s="626"/>
      <c r="K100" s="626"/>
      <c r="L100" s="626"/>
      <c r="M100" s="627"/>
      <c r="N100" s="2041"/>
      <c r="O100" s="2041"/>
      <c r="P100" s="2089"/>
      <c r="Q100" s="2033"/>
      <c r="R100" s="2020"/>
      <c r="S100" s="2020"/>
      <c r="T100" s="2020"/>
      <c r="U100" s="2020"/>
      <c r="V100" s="2020"/>
      <c r="W100" s="2020"/>
      <c r="X100" s="2020"/>
      <c r="Y100" s="2020"/>
      <c r="Z100" s="2020"/>
      <c r="AA100" s="2020"/>
      <c r="AB100" s="2020"/>
      <c r="AC100" s="2020"/>
    </row>
    <row r="101" spans="1:29">
      <c r="A101" s="564" t="s">
        <v>491</v>
      </c>
      <c r="B101" s="565" t="s">
        <v>686</v>
      </c>
      <c r="C101" s="498"/>
      <c r="D101" s="498"/>
      <c r="E101" s="498"/>
      <c r="F101" s="498"/>
      <c r="G101" s="498"/>
      <c r="H101" s="498"/>
      <c r="I101" s="498"/>
      <c r="J101" s="498"/>
      <c r="K101" s="566"/>
      <c r="L101" s="567"/>
      <c r="M101" s="568"/>
      <c r="N101" s="2039"/>
      <c r="O101" s="2039"/>
      <c r="P101" s="2089"/>
      <c r="Q101" s="2033"/>
      <c r="R101" s="2020"/>
      <c r="S101" s="2020"/>
      <c r="T101" s="2020"/>
      <c r="U101" s="2020"/>
      <c r="V101" s="2020"/>
      <c r="W101" s="2020"/>
      <c r="X101" s="2020"/>
      <c r="Y101" s="2020"/>
      <c r="Z101" s="2020"/>
      <c r="AA101" s="2020"/>
      <c r="AB101" s="2020"/>
      <c r="AC101" s="2020"/>
    </row>
    <row r="102" spans="1:29" ht="15.75" thickBot="1">
      <c r="A102" s="569"/>
      <c r="B102" s="578"/>
      <c r="C102" s="579">
        <v>100</v>
      </c>
      <c r="D102" s="579">
        <f t="shared" ref="D102:M102" si="19">C102-$K33</f>
        <v>100</v>
      </c>
      <c r="E102" s="579">
        <f t="shared" si="19"/>
        <v>100</v>
      </c>
      <c r="F102" s="579">
        <f t="shared" si="19"/>
        <v>100</v>
      </c>
      <c r="G102" s="579">
        <f t="shared" si="19"/>
        <v>100</v>
      </c>
      <c r="H102" s="579">
        <f t="shared" si="19"/>
        <v>100</v>
      </c>
      <c r="I102" s="579">
        <f t="shared" si="19"/>
        <v>100</v>
      </c>
      <c r="J102" s="579">
        <f t="shared" si="19"/>
        <v>100</v>
      </c>
      <c r="K102" s="579">
        <f t="shared" si="19"/>
        <v>100</v>
      </c>
      <c r="L102" s="579">
        <f t="shared" si="19"/>
        <v>100</v>
      </c>
      <c r="M102" s="580">
        <f t="shared" si="19"/>
        <v>100</v>
      </c>
      <c r="N102" s="2041"/>
      <c r="O102" s="2041"/>
      <c r="P102" s="2089"/>
      <c r="Q102" s="2033"/>
      <c r="R102" s="2020"/>
      <c r="S102" s="2020"/>
      <c r="T102" s="2020"/>
      <c r="U102" s="2020"/>
      <c r="V102" s="2020"/>
      <c r="W102" s="2020"/>
      <c r="X102" s="2020"/>
      <c r="Y102" s="2020"/>
      <c r="Z102" s="2020"/>
      <c r="AA102" s="2020"/>
      <c r="AB102" s="2020"/>
      <c r="AC102" s="2020"/>
    </row>
    <row r="103" spans="1:29" ht="15.75" thickTop="1">
      <c r="A103" s="569"/>
      <c r="B103" s="573" t="s">
        <v>687</v>
      </c>
      <c r="C103" s="608" t="str">
        <f>C104&amp;"(含)"&amp;"-"&amp;D104</f>
        <v>(含)-</v>
      </c>
      <c r="D103" s="608" t="str">
        <f t="shared" ref="D103:L103" si="20">D104&amp;"(含)"&amp;"-"&amp;E104</f>
        <v>(含)-</v>
      </c>
      <c r="E103" s="608" t="str">
        <f t="shared" si="20"/>
        <v>(含)-</v>
      </c>
      <c r="F103" s="608" t="str">
        <f t="shared" si="20"/>
        <v>(含)-</v>
      </c>
      <c r="G103" s="608" t="str">
        <f t="shared" si="20"/>
        <v>(含)-</v>
      </c>
      <c r="H103" s="608" t="str">
        <f t="shared" si="20"/>
        <v>(含)-</v>
      </c>
      <c r="I103" s="608" t="str">
        <f t="shared" si="20"/>
        <v>(含)-</v>
      </c>
      <c r="J103" s="608" t="str">
        <f t="shared" si="20"/>
        <v>(含)-</v>
      </c>
      <c r="K103" s="608" t="str">
        <f t="shared" si="20"/>
        <v>(含)-</v>
      </c>
      <c r="L103" s="608" t="str">
        <f t="shared" si="20"/>
        <v>(含)-</v>
      </c>
      <c r="M103" s="611" t="str">
        <f>M104&amp;"(含)"&amp;"-"&amp;P104</f>
        <v>(含)-</v>
      </c>
      <c r="N103" s="2037"/>
      <c r="O103" s="2037"/>
      <c r="P103" s="2089"/>
      <c r="Q103" s="2033"/>
      <c r="R103" s="2020"/>
      <c r="S103" s="2020"/>
      <c r="T103" s="2020"/>
      <c r="U103" s="2020"/>
      <c r="V103" s="2020"/>
      <c r="W103" s="2020"/>
      <c r="X103" s="2020"/>
      <c r="Y103" s="2020"/>
      <c r="Z103" s="2020"/>
      <c r="AA103" s="2020"/>
      <c r="AB103" s="2020"/>
      <c r="AC103" s="2020"/>
    </row>
    <row r="104" spans="1:29" s="1227" customFormat="1">
      <c r="A104" s="628"/>
      <c r="B104" s="629"/>
      <c r="C104" s="630"/>
      <c r="D104" s="630"/>
      <c r="E104" s="630"/>
      <c r="F104" s="630"/>
      <c r="G104" s="630"/>
      <c r="H104" s="630"/>
      <c r="I104" s="630"/>
      <c r="J104" s="631"/>
      <c r="K104" s="631"/>
      <c r="L104" s="632"/>
      <c r="M104" s="633"/>
      <c r="N104" s="2042"/>
      <c r="O104" s="2042"/>
      <c r="P104" s="2090"/>
      <c r="Q104" s="2044"/>
      <c r="R104" s="2045"/>
      <c r="S104" s="2045"/>
      <c r="T104" s="2045"/>
      <c r="U104" s="2045"/>
      <c r="V104" s="2045"/>
      <c r="W104" s="2045"/>
      <c r="X104" s="2045"/>
      <c r="Y104" s="2045"/>
      <c r="Z104" s="2045"/>
      <c r="AA104" s="2045"/>
      <c r="AB104" s="2045"/>
      <c r="AC104" s="2045"/>
    </row>
    <row r="105" spans="1:29" s="1227" customFormat="1" ht="15.75" thickBot="1">
      <c r="A105" s="587"/>
      <c r="B105" s="578"/>
      <c r="C105" s="592"/>
      <c r="D105" s="571"/>
      <c r="E105" s="571"/>
      <c r="F105" s="571"/>
      <c r="G105" s="571"/>
      <c r="H105" s="571"/>
      <c r="I105" s="571"/>
      <c r="J105" s="571"/>
      <c r="K105" s="571"/>
      <c r="L105" s="571"/>
      <c r="M105" s="572"/>
      <c r="N105" s="2041"/>
      <c r="O105" s="2041"/>
      <c r="P105" s="2090"/>
      <c r="Q105" s="2044"/>
      <c r="R105" s="2045"/>
      <c r="S105" s="2045"/>
      <c r="T105" s="2045"/>
      <c r="U105" s="2045"/>
      <c r="V105" s="2045"/>
      <c r="W105" s="2045"/>
      <c r="X105" s="2045"/>
      <c r="Y105" s="2045"/>
      <c r="Z105" s="2045"/>
      <c r="AA105" s="2045"/>
      <c r="AB105" s="2045"/>
      <c r="AC105" s="2045"/>
    </row>
    <row r="106" spans="1:29" ht="15" thickTop="1">
      <c r="A106" s="635"/>
      <c r="B106" s="573" t="s">
        <v>688</v>
      </c>
      <c r="C106" s="588"/>
      <c r="D106" s="588"/>
      <c r="E106" s="618"/>
      <c r="F106" s="618"/>
      <c r="G106" s="618"/>
      <c r="H106" s="618"/>
      <c r="I106" s="618"/>
      <c r="J106" s="618"/>
      <c r="K106" s="619"/>
      <c r="L106" s="620"/>
      <c r="M106" s="621"/>
      <c r="N106" s="2039"/>
      <c r="O106" s="2039"/>
      <c r="P106" s="2089"/>
      <c r="Q106" s="2033"/>
      <c r="R106" s="2020"/>
      <c r="S106" s="2020"/>
      <c r="T106" s="2020"/>
      <c r="U106" s="2020"/>
      <c r="V106" s="2020"/>
      <c r="W106" s="2020"/>
      <c r="X106" s="2020"/>
      <c r="Y106" s="2020"/>
      <c r="Z106" s="2020"/>
      <c r="AA106" s="2020"/>
      <c r="AB106" s="2020"/>
      <c r="AC106" s="2020"/>
    </row>
    <row r="107" spans="1:29" ht="15.75" thickBot="1">
      <c r="A107" s="569"/>
      <c r="B107" s="578"/>
      <c r="C107" s="579">
        <v>100</v>
      </c>
      <c r="D107" s="579">
        <f t="shared" ref="D107:M107" si="21">C107-$K35</f>
        <v>100</v>
      </c>
      <c r="E107" s="579">
        <f t="shared" si="21"/>
        <v>100</v>
      </c>
      <c r="F107" s="579">
        <f t="shared" si="21"/>
        <v>100</v>
      </c>
      <c r="G107" s="579">
        <f t="shared" si="21"/>
        <v>100</v>
      </c>
      <c r="H107" s="579">
        <f t="shared" si="21"/>
        <v>100</v>
      </c>
      <c r="I107" s="579">
        <f t="shared" si="21"/>
        <v>100</v>
      </c>
      <c r="J107" s="579">
        <f t="shared" si="21"/>
        <v>100</v>
      </c>
      <c r="K107" s="579">
        <f t="shared" si="21"/>
        <v>100</v>
      </c>
      <c r="L107" s="579">
        <f t="shared" si="21"/>
        <v>100</v>
      </c>
      <c r="M107" s="580">
        <f t="shared" si="21"/>
        <v>100</v>
      </c>
      <c r="N107" s="2041"/>
      <c r="O107" s="2041"/>
      <c r="P107" s="2089"/>
      <c r="Q107" s="2033"/>
      <c r="R107" s="2020"/>
      <c r="S107" s="2020"/>
      <c r="T107" s="2020"/>
      <c r="U107" s="2020"/>
      <c r="V107" s="2020"/>
      <c r="W107" s="2020"/>
      <c r="X107" s="2020"/>
      <c r="Y107" s="2020"/>
      <c r="Z107" s="2020"/>
      <c r="AA107" s="2020"/>
      <c r="AB107" s="2020"/>
      <c r="AC107" s="2020"/>
    </row>
    <row r="108" spans="1:29" ht="15" thickTop="1">
      <c r="A108" s="635"/>
      <c r="B108" s="573" t="s">
        <v>690</v>
      </c>
      <c r="C108" s="588"/>
      <c r="D108" s="588"/>
      <c r="E108" s="588"/>
      <c r="F108" s="618"/>
      <c r="G108" s="618"/>
      <c r="H108" s="618"/>
      <c r="I108" s="618"/>
      <c r="J108" s="618"/>
      <c r="K108" s="619"/>
      <c r="L108" s="620"/>
      <c r="M108" s="621"/>
      <c r="N108" s="2039"/>
      <c r="O108" s="2039"/>
      <c r="P108" s="2089"/>
      <c r="Q108" s="2033"/>
      <c r="R108" s="2020"/>
      <c r="S108" s="2020"/>
      <c r="T108" s="2020"/>
      <c r="U108" s="2020"/>
      <c r="V108" s="2020"/>
      <c r="W108" s="2020"/>
      <c r="X108" s="2020"/>
      <c r="Y108" s="2020"/>
      <c r="Z108" s="2020"/>
      <c r="AA108" s="2020"/>
      <c r="AB108" s="2020"/>
      <c r="AC108" s="2020"/>
    </row>
    <row r="109" spans="1:29" ht="15.75" thickBot="1">
      <c r="A109" s="569"/>
      <c r="B109" s="578"/>
      <c r="C109" s="579">
        <v>100</v>
      </c>
      <c r="D109" s="579">
        <f t="shared" ref="D109:M109" si="22">C109-$K36</f>
        <v>100</v>
      </c>
      <c r="E109" s="579">
        <f t="shared" si="22"/>
        <v>100</v>
      </c>
      <c r="F109" s="579">
        <f t="shared" si="22"/>
        <v>100</v>
      </c>
      <c r="G109" s="579">
        <f t="shared" si="22"/>
        <v>100</v>
      </c>
      <c r="H109" s="579">
        <f t="shared" si="22"/>
        <v>100</v>
      </c>
      <c r="I109" s="579">
        <f t="shared" si="22"/>
        <v>100</v>
      </c>
      <c r="J109" s="579">
        <f t="shared" si="22"/>
        <v>100</v>
      </c>
      <c r="K109" s="579">
        <f t="shared" si="22"/>
        <v>100</v>
      </c>
      <c r="L109" s="579">
        <f t="shared" si="22"/>
        <v>100</v>
      </c>
      <c r="M109" s="580">
        <f t="shared" si="22"/>
        <v>100</v>
      </c>
      <c r="N109" s="2041"/>
      <c r="O109" s="2041"/>
      <c r="P109" s="2089"/>
      <c r="Q109" s="2033"/>
      <c r="R109" s="2020"/>
      <c r="S109" s="2020"/>
      <c r="T109" s="2020"/>
      <c r="U109" s="2020"/>
      <c r="V109" s="2020"/>
      <c r="W109" s="2020"/>
      <c r="X109" s="2020"/>
      <c r="Y109" s="2020"/>
      <c r="Z109" s="2020"/>
      <c r="AA109" s="2020"/>
      <c r="AB109" s="2020"/>
      <c r="AC109" s="2020"/>
    </row>
    <row r="110" spans="1:29" ht="15" thickTop="1">
      <c r="A110" s="635"/>
      <c r="B110" s="573" t="s">
        <v>691</v>
      </c>
      <c r="C110" s="608" t="str">
        <f>C111&amp;"(含)"&amp;"-"&amp;D111</f>
        <v>0.5(含)-0.6</v>
      </c>
      <c r="D110" s="608" t="str">
        <f>D111&amp;"(含)"&amp;"-"&amp;E111</f>
        <v>0.6(含)-0.7</v>
      </c>
      <c r="E110" s="608" t="str">
        <f>E111&amp;"(含)"&amp;"-"&amp;F111</f>
        <v>0.7(含)-0.8</v>
      </c>
      <c r="F110" s="608" t="str">
        <f>F111&amp;"(含)"&amp;"-"&amp;G111</f>
        <v>0.8(含)-0.9</v>
      </c>
      <c r="G110" s="608" t="str">
        <f>G111&amp;"(含)"&amp;"-"&amp;ROUND(H111,0)</f>
        <v>0.9(含)-1</v>
      </c>
      <c r="H110" s="608"/>
      <c r="I110" s="618"/>
      <c r="J110" s="618"/>
      <c r="K110" s="619"/>
      <c r="L110" s="620"/>
      <c r="M110" s="621"/>
      <c r="N110" s="2039"/>
      <c r="O110" s="2039"/>
      <c r="P110" s="2089"/>
      <c r="Q110" s="2033"/>
      <c r="R110" s="2020"/>
      <c r="S110" s="2020"/>
      <c r="T110" s="2020"/>
      <c r="U110" s="2020"/>
      <c r="V110" s="2020"/>
      <c r="W110" s="2020"/>
      <c r="X110" s="2020"/>
      <c r="Y110" s="2020"/>
      <c r="Z110" s="2020"/>
      <c r="AA110" s="2020"/>
      <c r="AB110" s="2020"/>
      <c r="AC110" s="2020"/>
    </row>
    <row r="111" spans="1:29">
      <c r="A111" s="635"/>
      <c r="B111" s="581"/>
      <c r="C111" s="794">
        <v>0.5</v>
      </c>
      <c r="D111" s="794">
        <v>0.6</v>
      </c>
      <c r="E111" s="794">
        <v>0.7</v>
      </c>
      <c r="F111" s="794">
        <v>0.8</v>
      </c>
      <c r="G111" s="794">
        <v>0.9</v>
      </c>
      <c r="H111" s="794">
        <v>1.0001</v>
      </c>
      <c r="I111" s="805"/>
      <c r="J111" s="805"/>
      <c r="K111" s="806"/>
      <c r="L111" s="807"/>
      <c r="M111" s="808"/>
      <c r="N111" s="2039"/>
      <c r="O111" s="2039"/>
      <c r="P111" s="2089"/>
      <c r="Q111" s="2033"/>
      <c r="R111" s="2020"/>
      <c r="S111" s="2020"/>
      <c r="T111" s="2020"/>
      <c r="U111" s="2020"/>
      <c r="V111" s="2020"/>
      <c r="W111" s="2020"/>
      <c r="X111" s="2020"/>
      <c r="Y111" s="2020"/>
      <c r="Z111" s="2020"/>
      <c r="AA111" s="2020"/>
      <c r="AB111" s="2020"/>
      <c r="AC111" s="2020"/>
    </row>
    <row r="112" spans="1:29" ht="15.75" thickBot="1">
      <c r="A112" s="569"/>
      <c r="B112" s="578"/>
      <c r="C112" s="612">
        <v>100</v>
      </c>
      <c r="D112" s="579">
        <f>C112+$K37</f>
        <v>100</v>
      </c>
      <c r="E112" s="579">
        <f t="shared" ref="E112:M112" si="23">D112+$K37</f>
        <v>100</v>
      </c>
      <c r="F112" s="579">
        <f t="shared" si="23"/>
        <v>100</v>
      </c>
      <c r="G112" s="579">
        <f t="shared" si="23"/>
        <v>100</v>
      </c>
      <c r="H112" s="579">
        <f t="shared" si="23"/>
        <v>100</v>
      </c>
      <c r="I112" s="579">
        <f t="shared" si="23"/>
        <v>100</v>
      </c>
      <c r="J112" s="579">
        <f t="shared" si="23"/>
        <v>100</v>
      </c>
      <c r="K112" s="579">
        <f t="shared" si="23"/>
        <v>100</v>
      </c>
      <c r="L112" s="579">
        <f t="shared" si="23"/>
        <v>100</v>
      </c>
      <c r="M112" s="579">
        <f t="shared" si="23"/>
        <v>100</v>
      </c>
      <c r="N112" s="2041"/>
      <c r="O112" s="2041"/>
      <c r="P112" s="2089"/>
      <c r="Q112" s="2033"/>
      <c r="R112" s="2020"/>
      <c r="S112" s="2020"/>
      <c r="T112" s="2020"/>
      <c r="U112" s="2020"/>
      <c r="V112" s="2020"/>
      <c r="W112" s="2020"/>
      <c r="X112" s="2020"/>
      <c r="Y112" s="2020"/>
      <c r="Z112" s="2020"/>
      <c r="AA112" s="2020"/>
      <c r="AB112" s="2020"/>
      <c r="AC112" s="2020"/>
    </row>
    <row r="113" spans="1:29" s="1227" customFormat="1" ht="15" thickTop="1">
      <c r="A113" s="628"/>
      <c r="B113" s="573" t="s">
        <v>725</v>
      </c>
      <c r="C113" s="588"/>
      <c r="D113" s="588"/>
      <c r="E113" s="588"/>
      <c r="F113" s="588"/>
      <c r="G113" s="588"/>
      <c r="H113" s="618"/>
      <c r="I113" s="618"/>
      <c r="J113" s="618"/>
      <c r="K113" s="619"/>
      <c r="L113" s="620"/>
      <c r="M113" s="621"/>
      <c r="N113" s="2042"/>
      <c r="O113" s="2042"/>
      <c r="P113" s="2090"/>
      <c r="Q113" s="2044"/>
      <c r="R113" s="2045"/>
      <c r="S113" s="2045"/>
      <c r="T113" s="2045"/>
      <c r="U113" s="2045"/>
      <c r="V113" s="2045"/>
      <c r="W113" s="2045"/>
      <c r="X113" s="2045"/>
      <c r="Y113" s="2045"/>
      <c r="Z113" s="2045"/>
      <c r="AA113" s="2045"/>
      <c r="AB113" s="2045"/>
      <c r="AC113" s="2045"/>
    </row>
    <row r="114" spans="1:29" s="1227" customFormat="1" ht="15.75" thickBot="1">
      <c r="A114" s="587"/>
      <c r="B114" s="578"/>
      <c r="C114" s="579">
        <v>100</v>
      </c>
      <c r="D114" s="579">
        <f>C114-$K38</f>
        <v>100</v>
      </c>
      <c r="E114" s="579">
        <f t="shared" ref="E114:M114" si="24">D114-$K38</f>
        <v>100</v>
      </c>
      <c r="F114" s="579">
        <f t="shared" si="24"/>
        <v>100</v>
      </c>
      <c r="G114" s="579">
        <f t="shared" si="24"/>
        <v>100</v>
      </c>
      <c r="H114" s="579">
        <f t="shared" si="24"/>
        <v>100</v>
      </c>
      <c r="I114" s="579">
        <f t="shared" si="24"/>
        <v>100</v>
      </c>
      <c r="J114" s="579">
        <f t="shared" si="24"/>
        <v>100</v>
      </c>
      <c r="K114" s="579">
        <f t="shared" si="24"/>
        <v>100</v>
      </c>
      <c r="L114" s="579">
        <f t="shared" si="24"/>
        <v>100</v>
      </c>
      <c r="M114" s="579">
        <f t="shared" si="24"/>
        <v>100</v>
      </c>
      <c r="N114" s="2042"/>
      <c r="O114" s="2042"/>
      <c r="P114" s="2090"/>
      <c r="Q114" s="2044"/>
      <c r="R114" s="2045"/>
      <c r="S114" s="2045"/>
      <c r="T114" s="2045"/>
      <c r="U114" s="2045"/>
      <c r="V114" s="2045"/>
      <c r="W114" s="2045"/>
      <c r="X114" s="2045"/>
      <c r="Y114" s="2045"/>
      <c r="Z114" s="2045"/>
      <c r="AA114" s="2045"/>
      <c r="AB114" s="2045"/>
      <c r="AC114" s="2045"/>
    </row>
    <row r="115" spans="1:29" ht="15" thickTop="1">
      <c r="A115" s="635"/>
      <c r="B115" s="573" t="s">
        <v>692</v>
      </c>
      <c r="C115" s="588"/>
      <c r="D115" s="588"/>
      <c r="E115" s="618"/>
      <c r="F115" s="618"/>
      <c r="G115" s="618"/>
      <c r="H115" s="618"/>
      <c r="I115" s="618"/>
      <c r="J115" s="618"/>
      <c r="K115" s="619"/>
      <c r="L115" s="620"/>
      <c r="M115" s="621"/>
      <c r="N115" s="2039"/>
      <c r="O115" s="2039"/>
      <c r="P115" s="2089"/>
      <c r="Q115" s="2033"/>
      <c r="R115" s="2020"/>
      <c r="S115" s="2020"/>
      <c r="T115" s="2020"/>
      <c r="U115" s="2020"/>
      <c r="V115" s="2020"/>
      <c r="W115" s="2020"/>
      <c r="X115" s="2020"/>
      <c r="Y115" s="2020"/>
      <c r="Z115" s="2020"/>
      <c r="AA115" s="2020"/>
      <c r="AB115" s="2020"/>
      <c r="AC115" s="2020"/>
    </row>
    <row r="116" spans="1:29" ht="15.75" thickBot="1">
      <c r="A116" s="569"/>
      <c r="B116" s="578"/>
      <c r="C116" s="579">
        <v>100</v>
      </c>
      <c r="D116" s="579">
        <f t="shared" ref="D116:M116" si="25">C116-$K39</f>
        <v>100</v>
      </c>
      <c r="E116" s="579">
        <f t="shared" si="25"/>
        <v>100</v>
      </c>
      <c r="F116" s="579">
        <f t="shared" si="25"/>
        <v>100</v>
      </c>
      <c r="G116" s="579">
        <f t="shared" si="25"/>
        <v>100</v>
      </c>
      <c r="H116" s="579">
        <f t="shared" si="25"/>
        <v>100</v>
      </c>
      <c r="I116" s="579">
        <f t="shared" si="25"/>
        <v>100</v>
      </c>
      <c r="J116" s="579">
        <f t="shared" si="25"/>
        <v>100</v>
      </c>
      <c r="K116" s="579">
        <f t="shared" si="25"/>
        <v>100</v>
      </c>
      <c r="L116" s="579">
        <f t="shared" si="25"/>
        <v>100</v>
      </c>
      <c r="M116" s="580">
        <f t="shared" si="25"/>
        <v>100</v>
      </c>
      <c r="N116" s="2041"/>
      <c r="O116" s="2041"/>
      <c r="P116" s="2089"/>
      <c r="Q116" s="2033"/>
      <c r="R116" s="2020"/>
      <c r="S116" s="2020"/>
      <c r="T116" s="2020"/>
      <c r="U116" s="2020"/>
      <c r="V116" s="2020"/>
      <c r="W116" s="2020"/>
      <c r="X116" s="2020"/>
      <c r="Y116" s="2020"/>
      <c r="Z116" s="2020"/>
      <c r="AA116" s="2020"/>
      <c r="AB116" s="2020"/>
      <c r="AC116" s="2020"/>
    </row>
    <row r="117" spans="1:29" ht="15" thickTop="1">
      <c r="A117" s="635"/>
      <c r="B117" s="1778" t="s">
        <v>2484</v>
      </c>
      <c r="C117" s="588"/>
      <c r="D117" s="588"/>
      <c r="E117" s="588"/>
      <c r="F117" s="588"/>
      <c r="G117" s="588"/>
      <c r="H117" s="618"/>
      <c r="I117" s="618"/>
      <c r="J117" s="618"/>
      <c r="K117" s="619"/>
      <c r="L117" s="620"/>
      <c r="M117" s="621"/>
      <c r="N117" s="2039"/>
      <c r="O117" s="2039"/>
      <c r="P117" s="2089"/>
      <c r="Q117" s="2033"/>
      <c r="R117" s="2020"/>
      <c r="S117" s="2020"/>
      <c r="T117" s="2020"/>
      <c r="U117" s="2020"/>
      <c r="V117" s="2020"/>
      <c r="W117" s="2020"/>
      <c r="X117" s="2020"/>
      <c r="Y117" s="2020"/>
      <c r="Z117" s="2020"/>
      <c r="AA117" s="2020"/>
      <c r="AB117" s="2020"/>
      <c r="AC117" s="2020"/>
    </row>
    <row r="118" spans="1:29" ht="15.75" thickBot="1">
      <c r="A118" s="569"/>
      <c r="B118" s="578"/>
      <c r="C118" s="579">
        <v>100</v>
      </c>
      <c r="D118" s="579">
        <f>C118-$K40</f>
        <v>100</v>
      </c>
      <c r="E118" s="579">
        <f>D118-$K40</f>
        <v>100</v>
      </c>
      <c r="F118" s="579">
        <f>E118-$K40</f>
        <v>100</v>
      </c>
      <c r="G118" s="579">
        <f>F118-$K40</f>
        <v>100</v>
      </c>
      <c r="H118" s="579"/>
      <c r="I118" s="579"/>
      <c r="J118" s="579"/>
      <c r="K118" s="579"/>
      <c r="L118" s="579"/>
      <c r="M118" s="580"/>
      <c r="N118" s="2041"/>
      <c r="O118" s="2041"/>
      <c r="P118" s="2089"/>
      <c r="Q118" s="2033"/>
      <c r="R118" s="2020"/>
      <c r="S118" s="2020"/>
      <c r="T118" s="2020"/>
      <c r="U118" s="2020"/>
      <c r="V118" s="2020"/>
      <c r="W118" s="2020"/>
      <c r="X118" s="2020"/>
      <c r="Y118" s="2020"/>
      <c r="Z118" s="2020"/>
      <c r="AA118" s="2020"/>
      <c r="AB118" s="2020"/>
      <c r="AC118" s="2020"/>
    </row>
    <row r="119" spans="1:29" ht="15" thickTop="1">
      <c r="A119" s="635"/>
      <c r="B119" s="817" t="s">
        <v>726</v>
      </c>
      <c r="C119" s="618"/>
      <c r="D119" s="618"/>
      <c r="E119" s="618"/>
      <c r="F119" s="618"/>
      <c r="G119" s="618"/>
      <c r="H119" s="618"/>
      <c r="I119" s="618"/>
      <c r="J119" s="618"/>
      <c r="K119" s="618"/>
      <c r="L119" s="818"/>
      <c r="M119" s="819"/>
      <c r="N119" s="2041"/>
      <c r="O119" s="2041"/>
      <c r="P119" s="2094"/>
      <c r="Q119" s="2081"/>
      <c r="R119" s="2020"/>
      <c r="S119" s="2020"/>
      <c r="T119" s="2020"/>
      <c r="U119" s="2020"/>
      <c r="V119" s="2020"/>
      <c r="W119" s="2020"/>
      <c r="X119" s="2020"/>
      <c r="Y119" s="2020"/>
      <c r="Z119" s="2020"/>
      <c r="AA119" s="2020"/>
      <c r="AB119" s="2020"/>
      <c r="AC119" s="2020"/>
    </row>
    <row r="120" spans="1:29" ht="15.75" thickBot="1">
      <c r="A120" s="569"/>
      <c r="B120" s="578"/>
      <c r="C120" s="612">
        <v>100</v>
      </c>
      <c r="D120" s="579">
        <f>C120-$K41</f>
        <v>100</v>
      </c>
      <c r="E120" s="579">
        <f t="shared" ref="E120:M120" si="26">D120-$K41</f>
        <v>100</v>
      </c>
      <c r="F120" s="579">
        <f t="shared" si="26"/>
        <v>100</v>
      </c>
      <c r="G120" s="579">
        <f t="shared" si="26"/>
        <v>100</v>
      </c>
      <c r="H120" s="579">
        <f t="shared" si="26"/>
        <v>100</v>
      </c>
      <c r="I120" s="579">
        <f t="shared" si="26"/>
        <v>100</v>
      </c>
      <c r="J120" s="579">
        <f t="shared" si="26"/>
        <v>100</v>
      </c>
      <c r="K120" s="579">
        <f t="shared" si="26"/>
        <v>100</v>
      </c>
      <c r="L120" s="579">
        <f t="shared" si="26"/>
        <v>100</v>
      </c>
      <c r="M120" s="579">
        <f t="shared" si="26"/>
        <v>100</v>
      </c>
      <c r="N120" s="2041"/>
      <c r="O120" s="2041"/>
      <c r="P120" s="2089"/>
      <c r="Q120" s="2033"/>
      <c r="R120" s="2020"/>
      <c r="S120" s="2020"/>
      <c r="T120" s="2020"/>
      <c r="U120" s="2020"/>
      <c r="V120" s="2020"/>
      <c r="W120" s="2020"/>
      <c r="X120" s="2020"/>
      <c r="Y120" s="2020"/>
      <c r="Z120" s="2020"/>
      <c r="AA120" s="2020"/>
      <c r="AB120" s="2020"/>
      <c r="AC120" s="2020"/>
    </row>
    <row r="121" spans="1:29" s="1227" customFormat="1" ht="15" thickTop="1">
      <c r="A121" s="628"/>
      <c r="B121" s="573" t="s">
        <v>714</v>
      </c>
      <c r="C121" s="588"/>
      <c r="D121" s="588"/>
      <c r="E121" s="588"/>
      <c r="F121" s="618"/>
      <c r="G121" s="589"/>
      <c r="H121" s="589"/>
      <c r="I121" s="589"/>
      <c r="J121" s="589"/>
      <c r="K121" s="589"/>
      <c r="L121" s="590"/>
      <c r="M121" s="591"/>
      <c r="N121" s="2042"/>
      <c r="O121" s="2042"/>
      <c r="P121" s="2090"/>
      <c r="Q121" s="2044"/>
      <c r="R121" s="2045"/>
      <c r="S121" s="2045"/>
      <c r="T121" s="2045"/>
      <c r="U121" s="2045"/>
      <c r="V121" s="2045"/>
      <c r="W121" s="2045"/>
      <c r="X121" s="2045"/>
      <c r="Y121" s="2045"/>
      <c r="Z121" s="2045"/>
      <c r="AA121" s="2045"/>
      <c r="AB121" s="2045"/>
      <c r="AC121" s="2045"/>
    </row>
    <row r="122" spans="1:29" s="1227" customFormat="1" ht="15.75" thickBot="1">
      <c r="A122" s="587"/>
      <c r="B122" s="570"/>
      <c r="C122" s="592"/>
      <c r="D122" s="592"/>
      <c r="E122" s="592"/>
      <c r="F122" s="592"/>
      <c r="G122" s="592"/>
      <c r="H122" s="592"/>
      <c r="I122" s="592"/>
      <c r="J122" s="592"/>
      <c r="K122" s="592"/>
      <c r="L122" s="592"/>
      <c r="M122" s="592"/>
      <c r="N122" s="2042"/>
      <c r="O122" s="2042"/>
      <c r="P122" s="2090"/>
      <c r="Q122" s="2044"/>
      <c r="R122" s="2045"/>
      <c r="S122" s="2045"/>
      <c r="T122" s="2045"/>
      <c r="U122" s="2045"/>
      <c r="V122" s="2045"/>
      <c r="W122" s="2045"/>
      <c r="X122" s="2045"/>
      <c r="Y122" s="2045"/>
      <c r="Z122" s="2045"/>
      <c r="AA122" s="2045"/>
      <c r="AB122" s="2045"/>
      <c r="AC122" s="2045"/>
    </row>
    <row r="123" spans="1:29" ht="15" thickTop="1">
      <c r="A123" s="635"/>
      <c r="B123" s="573" t="s">
        <v>694</v>
      </c>
      <c r="C123" s="588"/>
      <c r="D123" s="588"/>
      <c r="E123" s="588"/>
      <c r="F123" s="618"/>
      <c r="G123" s="618"/>
      <c r="H123" s="618"/>
      <c r="I123" s="618"/>
      <c r="J123" s="618"/>
      <c r="K123" s="619"/>
      <c r="L123" s="620"/>
      <c r="M123" s="621"/>
      <c r="N123" s="2039"/>
      <c r="O123" s="2039"/>
      <c r="P123" s="2089"/>
      <c r="Q123" s="2033"/>
      <c r="R123" s="2020"/>
      <c r="S123" s="2020"/>
      <c r="T123" s="2020"/>
      <c r="U123" s="2020"/>
      <c r="V123" s="2020"/>
      <c r="W123" s="2020"/>
      <c r="X123" s="2020"/>
      <c r="Y123" s="2020"/>
      <c r="Z123" s="2020"/>
      <c r="AA123" s="2020"/>
      <c r="AB123" s="2020"/>
      <c r="AC123" s="2020"/>
    </row>
    <row r="124" spans="1:29" ht="15.75" thickBot="1">
      <c r="A124" s="569"/>
      <c r="B124" s="578"/>
      <c r="C124" s="579">
        <v>100</v>
      </c>
      <c r="D124" s="579">
        <f t="shared" ref="D124:M124" si="27">C124-$K43</f>
        <v>100</v>
      </c>
      <c r="E124" s="579">
        <f t="shared" si="27"/>
        <v>100</v>
      </c>
      <c r="F124" s="579">
        <f t="shared" si="27"/>
        <v>100</v>
      </c>
      <c r="G124" s="579">
        <f t="shared" si="27"/>
        <v>100</v>
      </c>
      <c r="H124" s="579">
        <f t="shared" si="27"/>
        <v>100</v>
      </c>
      <c r="I124" s="579">
        <f t="shared" si="27"/>
        <v>100</v>
      </c>
      <c r="J124" s="579">
        <f t="shared" si="27"/>
        <v>100</v>
      </c>
      <c r="K124" s="579">
        <f t="shared" si="27"/>
        <v>100</v>
      </c>
      <c r="L124" s="579">
        <f t="shared" si="27"/>
        <v>100</v>
      </c>
      <c r="M124" s="580">
        <f t="shared" si="27"/>
        <v>100</v>
      </c>
      <c r="N124" s="2041"/>
      <c r="O124" s="2041"/>
      <c r="P124" s="2089"/>
      <c r="Q124" s="2033"/>
      <c r="R124" s="2020"/>
      <c r="S124" s="2020"/>
      <c r="T124" s="2020"/>
      <c r="U124" s="2020"/>
      <c r="V124" s="2020"/>
      <c r="W124" s="2020"/>
      <c r="X124" s="2020"/>
      <c r="Y124" s="2020"/>
      <c r="Z124" s="2020"/>
      <c r="AA124" s="2020"/>
      <c r="AB124" s="2020"/>
      <c r="AC124" s="2020"/>
    </row>
    <row r="125" spans="1:29" ht="27.75" thickTop="1">
      <c r="A125" s="635"/>
      <c r="B125" s="573" t="s">
        <v>695</v>
      </c>
      <c r="C125" s="608" t="s">
        <v>519</v>
      </c>
      <c r="D125" s="608" t="s">
        <v>520</v>
      </c>
      <c r="E125" s="608" t="s">
        <v>521</v>
      </c>
      <c r="F125" s="608" t="s">
        <v>522</v>
      </c>
      <c r="G125" s="608" t="s">
        <v>523</v>
      </c>
      <c r="H125" s="574"/>
      <c r="I125" s="574"/>
      <c r="J125" s="574"/>
      <c r="K125" s="575"/>
      <c r="L125" s="576"/>
      <c r="M125" s="577"/>
      <c r="N125" s="2039"/>
      <c r="O125" s="2039"/>
      <c r="P125" s="2090"/>
      <c r="Q125" s="2033"/>
      <c r="R125" s="2020"/>
      <c r="S125" s="2020"/>
      <c r="T125" s="2020"/>
      <c r="U125" s="2020"/>
      <c r="V125" s="2020"/>
      <c r="W125" s="2020"/>
      <c r="X125" s="2020"/>
      <c r="Y125" s="2020"/>
      <c r="Z125" s="2020"/>
      <c r="AA125" s="2020"/>
      <c r="AB125" s="2020"/>
      <c r="AC125" s="2020"/>
    </row>
    <row r="126" spans="1:29" ht="15.75" thickBot="1">
      <c r="A126" s="569"/>
      <c r="B126" s="578"/>
      <c r="C126" s="579">
        <v>100</v>
      </c>
      <c r="D126" s="579">
        <f>C126-$K44</f>
        <v>100</v>
      </c>
      <c r="E126" s="579">
        <f>D126-$K44</f>
        <v>100</v>
      </c>
      <c r="F126" s="579">
        <f>E126-$K44</f>
        <v>100</v>
      </c>
      <c r="G126" s="579">
        <f>F126-$K44</f>
        <v>100</v>
      </c>
      <c r="H126" s="579"/>
      <c r="I126" s="579"/>
      <c r="J126" s="579"/>
      <c r="K126" s="579"/>
      <c r="L126" s="579"/>
      <c r="M126" s="580"/>
      <c r="N126" s="2041"/>
      <c r="O126" s="2041"/>
      <c r="P126" s="2089"/>
      <c r="Q126" s="2033"/>
      <c r="R126" s="2020"/>
      <c r="S126" s="2020"/>
      <c r="T126" s="2020"/>
      <c r="U126" s="2020"/>
      <c r="V126" s="2020"/>
      <c r="W126" s="2020"/>
      <c r="X126" s="2020"/>
      <c r="Y126" s="2020"/>
      <c r="Z126" s="2020"/>
      <c r="AA126" s="2020"/>
      <c r="AB126" s="2020"/>
      <c r="AC126" s="2020"/>
    </row>
    <row r="127" spans="1:29" s="1227" customFormat="1" ht="15" thickTop="1">
      <c r="A127" s="628"/>
      <c r="B127" s="573">
        <f>B45</f>
        <v>111</v>
      </c>
      <c r="C127" s="588"/>
      <c r="D127" s="588"/>
      <c r="E127" s="588"/>
      <c r="F127" s="588"/>
      <c r="G127" s="588"/>
      <c r="H127" s="589"/>
      <c r="I127" s="589"/>
      <c r="J127" s="589"/>
      <c r="K127" s="589"/>
      <c r="L127" s="590"/>
      <c r="M127" s="591"/>
      <c r="N127" s="2042"/>
      <c r="O127" s="2042"/>
      <c r="P127" s="2090"/>
      <c r="Q127" s="2044"/>
      <c r="R127" s="2045"/>
      <c r="S127" s="2045"/>
      <c r="T127" s="2045"/>
      <c r="U127" s="2045"/>
      <c r="V127" s="2045"/>
      <c r="W127" s="2045"/>
      <c r="X127" s="2045"/>
      <c r="Y127" s="2045"/>
      <c r="Z127" s="2045"/>
      <c r="AA127" s="2045"/>
      <c r="AB127" s="2045"/>
      <c r="AC127" s="2045"/>
    </row>
    <row r="128" spans="1:29" s="1227" customFormat="1" ht="15.75" thickBot="1">
      <c r="A128" s="587"/>
      <c r="B128" s="578"/>
      <c r="C128" s="592"/>
      <c r="D128" s="571"/>
      <c r="E128" s="571"/>
      <c r="F128" s="571"/>
      <c r="G128" s="592"/>
      <c r="H128" s="593"/>
      <c r="I128" s="593"/>
      <c r="J128" s="593"/>
      <c r="K128" s="593"/>
      <c r="L128" s="593"/>
      <c r="M128" s="594"/>
      <c r="N128" s="2042"/>
      <c r="O128" s="2042"/>
      <c r="P128" s="2090"/>
      <c r="Q128" s="2044"/>
      <c r="R128" s="2045"/>
      <c r="S128" s="2045"/>
      <c r="T128" s="2045"/>
      <c r="U128" s="2045"/>
      <c r="V128" s="2045"/>
      <c r="W128" s="2045"/>
      <c r="X128" s="2045"/>
      <c r="Y128" s="2045"/>
      <c r="Z128" s="2045"/>
      <c r="AA128" s="2045"/>
      <c r="AB128" s="2045"/>
      <c r="AC128" s="2045"/>
    </row>
    <row r="129" spans="1:29" ht="15" thickTop="1">
      <c r="A129" s="635"/>
      <c r="B129" s="573">
        <f>B46</f>
        <v>111</v>
      </c>
      <c r="C129" s="588"/>
      <c r="D129" s="588"/>
      <c r="E129" s="588"/>
      <c r="F129" s="588"/>
      <c r="G129" s="618"/>
      <c r="H129" s="618"/>
      <c r="I129" s="618"/>
      <c r="J129" s="618"/>
      <c r="K129" s="619"/>
      <c r="L129" s="620"/>
      <c r="M129" s="621"/>
      <c r="N129" s="2039"/>
      <c r="O129" s="2039"/>
      <c r="P129" s="2089"/>
      <c r="Q129" s="2033"/>
      <c r="R129" s="2020"/>
      <c r="S129" s="2020"/>
      <c r="T129" s="2020"/>
      <c r="U129" s="2020"/>
      <c r="V129" s="2020"/>
      <c r="W129" s="2020"/>
      <c r="X129" s="2020"/>
      <c r="Y129" s="2020"/>
      <c r="Z129" s="2020"/>
      <c r="AA129" s="2020"/>
      <c r="AB129" s="2020"/>
      <c r="AC129" s="2020"/>
    </row>
    <row r="130" spans="1:29" ht="15.75" thickBot="1">
      <c r="A130" s="569"/>
      <c r="B130" s="578"/>
      <c r="C130" s="592"/>
      <c r="D130" s="592"/>
      <c r="E130" s="592"/>
      <c r="F130" s="592"/>
      <c r="G130" s="571"/>
      <c r="H130" s="571"/>
      <c r="I130" s="571"/>
      <c r="J130" s="571"/>
      <c r="K130" s="571"/>
      <c r="L130" s="571"/>
      <c r="M130" s="572"/>
      <c r="N130" s="2041"/>
      <c r="O130" s="2041"/>
      <c r="P130" s="2089"/>
      <c r="Q130" s="2033"/>
      <c r="R130" s="2020"/>
      <c r="S130" s="2020"/>
      <c r="T130" s="2020"/>
      <c r="U130" s="2020"/>
      <c r="V130" s="2020"/>
      <c r="W130" s="2020"/>
      <c r="X130" s="2020"/>
      <c r="Y130" s="2020"/>
      <c r="Z130" s="2020"/>
      <c r="AA130" s="2020"/>
      <c r="AB130" s="2020"/>
      <c r="AC130" s="2020"/>
    </row>
    <row r="131" spans="1:29" ht="15" thickTop="1">
      <c r="A131" s="635"/>
      <c r="B131" s="581">
        <f>B47</f>
        <v>111</v>
      </c>
      <c r="C131" s="561"/>
      <c r="D131" s="561"/>
      <c r="E131" s="561"/>
      <c r="F131" s="561"/>
      <c r="G131" s="622"/>
      <c r="H131" s="622"/>
      <c r="I131" s="622"/>
      <c r="J131" s="622"/>
      <c r="K131" s="561"/>
      <c r="L131" s="562"/>
      <c r="M131" s="625"/>
      <c r="N131" s="2039"/>
      <c r="O131" s="2039"/>
      <c r="P131" s="2089"/>
      <c r="Q131" s="2033"/>
      <c r="R131" s="2020"/>
      <c r="S131" s="2020"/>
      <c r="T131" s="2020"/>
      <c r="U131" s="2020"/>
      <c r="V131" s="2020"/>
      <c r="W131" s="2020"/>
      <c r="X131" s="2020"/>
      <c r="Y131" s="2020"/>
      <c r="Z131" s="2020"/>
      <c r="AA131" s="2020"/>
      <c r="AB131" s="2020"/>
      <c r="AC131" s="2020"/>
    </row>
    <row r="132" spans="1:29" ht="15.75" thickBot="1">
      <c r="A132" s="793"/>
      <c r="B132" s="599"/>
      <c r="C132" s="600"/>
      <c r="D132" s="600"/>
      <c r="E132" s="600"/>
      <c r="F132" s="600"/>
      <c r="G132" s="626"/>
      <c r="H132" s="626"/>
      <c r="I132" s="626"/>
      <c r="J132" s="626"/>
      <c r="K132" s="626"/>
      <c r="L132" s="626"/>
      <c r="M132" s="627"/>
      <c r="N132" s="2041"/>
      <c r="O132" s="2041"/>
      <c r="P132" s="2089"/>
      <c r="Q132" s="2033"/>
      <c r="R132" s="2020"/>
      <c r="S132" s="2020"/>
      <c r="T132" s="2020"/>
      <c r="U132" s="2020"/>
      <c r="V132" s="2020"/>
      <c r="W132" s="2020"/>
      <c r="X132" s="2020"/>
      <c r="Y132" s="2020"/>
      <c r="Z132" s="2020"/>
      <c r="AA132" s="2020"/>
      <c r="AB132" s="2020"/>
      <c r="AC132" s="2020"/>
    </row>
    <row r="133" spans="1:29">
      <c r="A133" s="2054"/>
      <c r="B133" s="2054"/>
      <c r="C133" s="2054"/>
      <c r="D133" s="2054"/>
      <c r="E133" s="2054"/>
      <c r="F133" s="2054"/>
      <c r="G133" s="2054"/>
      <c r="H133" s="2054"/>
      <c r="I133" s="2054"/>
      <c r="J133" s="2054"/>
      <c r="K133" s="2055"/>
      <c r="L133" s="2056"/>
      <c r="M133" s="2054"/>
      <c r="N133" s="2054"/>
      <c r="O133" s="2054"/>
      <c r="P133" s="2095"/>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95"/>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95"/>
      <c r="Q135" s="2054"/>
      <c r="R135" s="2054"/>
      <c r="S135" s="2054"/>
      <c r="T135" s="2054"/>
      <c r="U135" s="2054"/>
      <c r="V135" s="2054"/>
      <c r="W135" s="2054"/>
      <c r="X135" s="2054"/>
      <c r="Y135" s="2054"/>
      <c r="Z135" s="2054"/>
      <c r="AA135" s="2054"/>
      <c r="AB135" s="2054"/>
      <c r="AC135" s="2054"/>
    </row>
    <row r="136" spans="1:29">
      <c r="A136" s="2054"/>
      <c r="B136" s="2054"/>
      <c r="C136" s="2054"/>
      <c r="D136" s="2054"/>
      <c r="E136" s="2054"/>
      <c r="F136" s="2054"/>
      <c r="G136" s="2054"/>
      <c r="H136" s="2054"/>
      <c r="I136" s="2054"/>
      <c r="J136" s="2054"/>
      <c r="K136" s="2055"/>
      <c r="L136" s="2056"/>
      <c r="M136" s="2054"/>
      <c r="N136" s="2054"/>
      <c r="O136" s="2054"/>
      <c r="P136" s="2095"/>
      <c r="Q136" s="2054"/>
      <c r="R136" s="2054"/>
      <c r="S136" s="2054"/>
      <c r="T136" s="2054"/>
      <c r="U136" s="2054"/>
      <c r="V136" s="2054"/>
      <c r="W136" s="2054"/>
      <c r="X136" s="2054"/>
      <c r="Y136" s="2054"/>
      <c r="Z136" s="2054"/>
      <c r="AA136" s="2054"/>
      <c r="AB136" s="2054"/>
      <c r="AC136" s="2054"/>
    </row>
    <row r="137" spans="1:29">
      <c r="A137" s="2054"/>
      <c r="B137" s="2054"/>
      <c r="C137" s="2054"/>
      <c r="D137" s="2054"/>
      <c r="E137" s="2054"/>
      <c r="F137" s="2054"/>
      <c r="G137" s="2054"/>
      <c r="H137" s="2054"/>
      <c r="I137" s="2054"/>
      <c r="J137" s="2054"/>
      <c r="K137" s="2055"/>
      <c r="L137" s="2056"/>
      <c r="M137" s="2054"/>
      <c r="N137" s="2054"/>
      <c r="O137" s="2054"/>
      <c r="P137" s="2095"/>
      <c r="Q137" s="2054"/>
      <c r="R137" s="2054"/>
      <c r="S137" s="2054"/>
      <c r="T137" s="2054"/>
      <c r="U137" s="2054"/>
      <c r="V137" s="2054"/>
      <c r="W137" s="2054"/>
      <c r="X137" s="2054"/>
      <c r="Y137" s="2054"/>
      <c r="Z137" s="2054"/>
      <c r="AA137" s="2054"/>
      <c r="AB137" s="2054"/>
      <c r="AC137" s="2054"/>
    </row>
    <row r="138" spans="1:29">
      <c r="A138" s="2054"/>
      <c r="B138" s="2054"/>
      <c r="C138" s="2054"/>
      <c r="D138" s="2054"/>
      <c r="E138" s="2054"/>
      <c r="F138" s="2054"/>
      <c r="G138" s="2054"/>
      <c r="H138" s="2054"/>
      <c r="I138" s="2054"/>
      <c r="J138" s="2054"/>
      <c r="K138" s="2055"/>
      <c r="L138" s="2056"/>
      <c r="M138" s="2054"/>
      <c r="N138" s="2054"/>
      <c r="O138" s="2054"/>
      <c r="P138" s="2095"/>
      <c r="Q138" s="2054"/>
      <c r="R138" s="2054"/>
      <c r="S138" s="2054"/>
      <c r="T138" s="2054"/>
      <c r="U138" s="2054"/>
      <c r="V138" s="2054"/>
      <c r="W138" s="2054"/>
      <c r="X138" s="2054"/>
      <c r="Y138" s="2054"/>
      <c r="Z138" s="2054"/>
      <c r="AA138" s="2054"/>
      <c r="AB138" s="2054"/>
      <c r="AC138" s="2054"/>
    </row>
    <row r="139" spans="1:29">
      <c r="A139" s="2054"/>
      <c r="B139" s="2054"/>
      <c r="C139" s="2054"/>
      <c r="D139" s="2054"/>
      <c r="E139" s="2054"/>
      <c r="F139" s="2054"/>
      <c r="G139" s="2054"/>
      <c r="H139" s="2054"/>
      <c r="I139" s="2054"/>
      <c r="J139" s="2054"/>
      <c r="K139" s="2055"/>
      <c r="L139" s="2056"/>
      <c r="M139" s="2054"/>
      <c r="N139" s="2054"/>
      <c r="O139" s="2054"/>
      <c r="P139" s="2095"/>
      <c r="Q139" s="2054"/>
      <c r="R139" s="2054"/>
      <c r="S139" s="2054"/>
      <c r="T139" s="2054"/>
      <c r="U139" s="2054"/>
      <c r="V139" s="2054"/>
      <c r="W139" s="2054"/>
      <c r="X139" s="2054"/>
      <c r="Y139" s="2054"/>
      <c r="Z139" s="2054"/>
      <c r="AA139" s="2054"/>
      <c r="AB139" s="2054"/>
      <c r="AC139" s="2054"/>
    </row>
    <row r="140" spans="1:29">
      <c r="A140" s="2054"/>
      <c r="B140" s="2054"/>
      <c r="C140" s="2054"/>
      <c r="D140" s="2054"/>
      <c r="E140" s="2054"/>
      <c r="F140" s="2054"/>
      <c r="G140" s="2054"/>
      <c r="H140" s="2054"/>
      <c r="I140" s="2054"/>
      <c r="J140" s="2054"/>
      <c r="K140" s="2055"/>
      <c r="L140" s="2056"/>
      <c r="M140" s="2054"/>
      <c r="N140" s="2054"/>
      <c r="O140" s="2054"/>
      <c r="P140" s="2095"/>
      <c r="Q140" s="2054"/>
      <c r="R140" s="2054"/>
      <c r="S140" s="2054"/>
      <c r="T140" s="2054"/>
      <c r="U140" s="2054"/>
      <c r="V140" s="2054"/>
      <c r="W140" s="2054"/>
      <c r="X140" s="2054"/>
      <c r="Y140" s="2054"/>
      <c r="Z140" s="2054"/>
      <c r="AA140" s="2054"/>
      <c r="AB140" s="2054"/>
      <c r="AC140" s="2054"/>
    </row>
    <row r="141" spans="1:29">
      <c r="A141" s="2054"/>
      <c r="B141" s="2054"/>
      <c r="C141" s="2054"/>
      <c r="D141" s="2054"/>
      <c r="E141" s="2054"/>
      <c r="F141" s="2054"/>
      <c r="G141" s="2054"/>
      <c r="H141" s="2054"/>
      <c r="I141" s="2054"/>
      <c r="J141" s="2054"/>
      <c r="K141" s="2055"/>
      <c r="L141" s="2056"/>
      <c r="M141" s="2054"/>
      <c r="N141" s="2054"/>
      <c r="O141" s="2054"/>
      <c r="P141" s="2095"/>
      <c r="Q141" s="2054"/>
      <c r="R141" s="2054"/>
      <c r="S141" s="2054"/>
      <c r="T141" s="2054"/>
      <c r="U141" s="2054"/>
      <c r="V141" s="2054"/>
      <c r="W141" s="2054"/>
      <c r="X141" s="2054"/>
      <c r="Y141" s="2054"/>
      <c r="Z141" s="2054"/>
      <c r="AA141" s="2054"/>
      <c r="AB141" s="2054"/>
      <c r="AC141" s="2054"/>
    </row>
    <row r="142" spans="1:29">
      <c r="A142" s="2054"/>
      <c r="B142" s="2054"/>
      <c r="C142" s="2054"/>
      <c r="D142" s="2054"/>
      <c r="E142" s="2054"/>
      <c r="F142" s="2054"/>
      <c r="G142" s="2054"/>
      <c r="H142" s="2054"/>
      <c r="I142" s="2054"/>
      <c r="J142" s="2054"/>
      <c r="K142" s="2055"/>
      <c r="L142" s="2056"/>
      <c r="M142" s="2054"/>
      <c r="N142" s="2054"/>
      <c r="O142" s="2054"/>
      <c r="P142" s="2095"/>
      <c r="Q142" s="2054"/>
      <c r="R142" s="2054"/>
      <c r="S142" s="2054"/>
      <c r="T142" s="2054"/>
      <c r="U142" s="2054"/>
      <c r="V142" s="2054"/>
      <c r="W142" s="2054"/>
      <c r="X142" s="2054"/>
      <c r="Y142" s="2054"/>
      <c r="Z142" s="2054"/>
      <c r="AA142" s="2054"/>
      <c r="AB142" s="2054"/>
      <c r="AC142" s="2054"/>
    </row>
    <row r="143" spans="1:29">
      <c r="A143" s="2054"/>
      <c r="B143" s="2054"/>
      <c r="C143" s="2054"/>
      <c r="D143" s="2054"/>
      <c r="E143" s="2054"/>
      <c r="F143" s="2054"/>
      <c r="G143" s="2054"/>
      <c r="H143" s="2054"/>
      <c r="I143" s="2054"/>
      <c r="J143" s="2054"/>
      <c r="K143" s="2055"/>
      <c r="L143" s="2056"/>
      <c r="M143" s="2054"/>
      <c r="N143" s="2054"/>
      <c r="O143" s="2054"/>
      <c r="P143" s="2095"/>
      <c r="Q143" s="2054"/>
      <c r="R143" s="2054"/>
      <c r="S143" s="2054"/>
      <c r="T143" s="2054"/>
      <c r="U143" s="2054"/>
      <c r="V143" s="2054"/>
      <c r="W143" s="2054"/>
      <c r="X143" s="2054"/>
      <c r="Y143" s="2054"/>
      <c r="Z143" s="2054"/>
      <c r="AA143" s="2054"/>
      <c r="AB143" s="2054"/>
      <c r="AC143" s="2054"/>
    </row>
    <row r="144" spans="1:29">
      <c r="A144" s="2054"/>
      <c r="B144" s="2054"/>
      <c r="C144" s="2054"/>
      <c r="D144" s="2054"/>
      <c r="E144" s="2054"/>
      <c r="F144" s="2054"/>
      <c r="G144" s="2054"/>
      <c r="H144" s="2054"/>
      <c r="I144" s="2054"/>
      <c r="J144" s="2054"/>
      <c r="K144" s="2055"/>
      <c r="L144" s="2056"/>
      <c r="M144" s="2054"/>
      <c r="N144" s="2054"/>
      <c r="O144" s="2054"/>
      <c r="P144" s="2095"/>
      <c r="Q144" s="2054"/>
      <c r="R144" s="2054"/>
      <c r="S144" s="2054"/>
      <c r="T144" s="2054"/>
      <c r="U144" s="2054"/>
      <c r="V144" s="2054"/>
      <c r="W144" s="2054"/>
      <c r="X144" s="2054"/>
      <c r="Y144" s="2054"/>
      <c r="Z144" s="2054"/>
      <c r="AA144" s="2054"/>
      <c r="AB144" s="2054"/>
      <c r="AC144" s="2054"/>
    </row>
    <row r="145" spans="1:29">
      <c r="A145" s="2054"/>
      <c r="B145" s="2054"/>
      <c r="C145" s="2054"/>
      <c r="D145" s="2054"/>
      <c r="E145" s="2054"/>
      <c r="F145" s="2054"/>
      <c r="G145" s="2054"/>
      <c r="H145" s="2054"/>
      <c r="I145" s="2054"/>
      <c r="J145" s="2054"/>
      <c r="K145" s="2055"/>
      <c r="L145" s="2056"/>
      <c r="M145" s="2054"/>
      <c r="N145" s="2054"/>
      <c r="O145" s="2054"/>
      <c r="P145" s="2095"/>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95"/>
      <c r="Q146" s="2054"/>
      <c r="R146" s="2054"/>
      <c r="S146" s="2054"/>
      <c r="T146" s="2054"/>
      <c r="U146" s="2054"/>
      <c r="V146" s="2054"/>
      <c r="W146" s="2054"/>
      <c r="X146" s="2054"/>
      <c r="Y146" s="2054"/>
      <c r="Z146" s="2054"/>
      <c r="AA146" s="2054"/>
      <c r="AB146" s="2054"/>
      <c r="AC146" s="2054"/>
    </row>
    <row r="147" spans="1:29">
      <c r="A147" s="2054"/>
      <c r="B147" s="2054"/>
      <c r="C147" s="2054"/>
      <c r="D147" s="2054"/>
      <c r="E147" s="2054"/>
      <c r="F147" s="2054"/>
      <c r="G147" s="2054"/>
      <c r="H147" s="2054"/>
      <c r="I147" s="2054"/>
      <c r="J147" s="2054"/>
      <c r="K147" s="2055"/>
      <c r="L147" s="2056"/>
      <c r="M147" s="2054"/>
      <c r="N147" s="2054"/>
      <c r="O147" s="2054"/>
      <c r="P147" s="2095"/>
      <c r="Q147" s="2054"/>
      <c r="R147" s="2054"/>
      <c r="S147" s="2054"/>
      <c r="T147" s="2054"/>
      <c r="U147" s="2054"/>
      <c r="V147" s="2054"/>
      <c r="W147" s="2054"/>
      <c r="X147" s="2054"/>
      <c r="Y147" s="2054"/>
      <c r="Z147" s="2054"/>
      <c r="AA147" s="2054"/>
      <c r="AB147" s="2054"/>
      <c r="AC147" s="2054"/>
    </row>
    <row r="148" spans="1:29">
      <c r="A148" s="2054"/>
      <c r="B148" s="2054"/>
      <c r="C148" s="2054"/>
      <c r="D148" s="2054"/>
      <c r="E148" s="2054"/>
      <c r="F148" s="2054"/>
      <c r="G148" s="2054"/>
      <c r="H148" s="2054"/>
      <c r="I148" s="2054"/>
      <c r="J148" s="2054"/>
      <c r="K148" s="2055"/>
      <c r="L148" s="2056"/>
      <c r="M148" s="2054"/>
      <c r="N148" s="2054"/>
      <c r="O148" s="2054"/>
      <c r="P148" s="2095"/>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95"/>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95"/>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95"/>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95"/>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95"/>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95"/>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95"/>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95"/>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95"/>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95"/>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95"/>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95"/>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95"/>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95"/>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95"/>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95"/>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95"/>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95"/>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95"/>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95"/>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95"/>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95"/>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95"/>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95"/>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95"/>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95"/>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95"/>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95"/>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95"/>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95"/>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95"/>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95"/>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95"/>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95"/>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95"/>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95"/>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95"/>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95"/>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95"/>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95"/>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95"/>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95"/>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95"/>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95"/>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95"/>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95"/>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95"/>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95"/>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95"/>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95"/>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95"/>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95"/>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95"/>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95"/>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95"/>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95"/>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95"/>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95"/>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95"/>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95"/>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95"/>
      <c r="Q209" s="2054"/>
      <c r="R209" s="2054"/>
      <c r="S209" s="2054"/>
      <c r="T209" s="2054"/>
      <c r="U209" s="2054"/>
      <c r="V209" s="2054"/>
      <c r="W209" s="2054"/>
      <c r="X209" s="2054"/>
      <c r="Y209" s="2054"/>
      <c r="Z209" s="2054"/>
      <c r="AA209" s="2054"/>
      <c r="AB209" s="2054"/>
      <c r="AC209" s="2054"/>
    </row>
    <row r="210" spans="1:29">
      <c r="A210" s="2054"/>
      <c r="B210" s="2054"/>
      <c r="C210" s="2054"/>
      <c r="D210" s="2054"/>
      <c r="E210" s="2054"/>
      <c r="F210" s="2054"/>
      <c r="G210" s="2054"/>
      <c r="H210" s="2054"/>
      <c r="I210" s="2054"/>
      <c r="J210" s="2054"/>
      <c r="K210" s="2055"/>
      <c r="L210" s="2056"/>
      <c r="M210" s="2054"/>
      <c r="N210" s="2054"/>
      <c r="O210" s="2054"/>
      <c r="P210" s="2095"/>
      <c r="Q210" s="2054"/>
      <c r="R210" s="2054"/>
      <c r="S210" s="2054"/>
      <c r="T210" s="2054"/>
      <c r="U210" s="2054"/>
      <c r="V210" s="2054"/>
      <c r="W210" s="2054"/>
      <c r="X210" s="2054"/>
      <c r="Y210" s="2054"/>
      <c r="Z210" s="2054"/>
      <c r="AA210" s="2054"/>
      <c r="AB210" s="2054"/>
      <c r="AC210" s="2054"/>
    </row>
    <row r="211" spans="1:29">
      <c r="A211" s="2054"/>
      <c r="B211" s="2054"/>
      <c r="C211" s="2054"/>
      <c r="D211" s="2054"/>
      <c r="E211" s="2054"/>
      <c r="F211" s="2054"/>
      <c r="G211" s="2054"/>
      <c r="H211" s="2054"/>
      <c r="I211" s="2054"/>
      <c r="J211" s="2054"/>
      <c r="K211" s="2055"/>
      <c r="L211" s="2056"/>
      <c r="M211" s="2054"/>
      <c r="N211" s="2054"/>
      <c r="O211" s="2054"/>
      <c r="P211" s="2095"/>
      <c r="Q211" s="2054"/>
      <c r="R211" s="2054"/>
      <c r="S211" s="2054"/>
      <c r="T211" s="2054"/>
      <c r="U211" s="2054"/>
      <c r="V211" s="2054"/>
      <c r="W211" s="2054"/>
      <c r="X211" s="2054"/>
      <c r="Y211" s="2054"/>
      <c r="Z211" s="2054"/>
      <c r="AA211" s="2054"/>
      <c r="AB211" s="2054"/>
      <c r="AC211" s="2054"/>
    </row>
    <row r="212" spans="1:29">
      <c r="A212" s="2054"/>
      <c r="B212" s="2054"/>
      <c r="C212" s="2054"/>
      <c r="D212" s="2054"/>
      <c r="E212" s="2054"/>
      <c r="F212" s="2054"/>
      <c r="G212" s="2054"/>
      <c r="H212" s="2054"/>
      <c r="I212" s="2054"/>
      <c r="J212" s="2054"/>
      <c r="K212" s="2055"/>
      <c r="L212" s="2056"/>
      <c r="M212" s="2054"/>
      <c r="N212" s="2054"/>
      <c r="O212" s="2054"/>
      <c r="P212" s="2095"/>
      <c r="Q212" s="2054"/>
      <c r="R212" s="2054"/>
      <c r="S212" s="2054"/>
      <c r="T212" s="2054"/>
      <c r="U212" s="2054"/>
      <c r="V212" s="2054"/>
      <c r="W212" s="2054"/>
      <c r="X212" s="2054"/>
      <c r="Y212" s="2054"/>
      <c r="Z212" s="2054"/>
      <c r="AA212" s="2054"/>
      <c r="AB212" s="2054"/>
      <c r="AC212" s="2054"/>
    </row>
    <row r="213" spans="1:29">
      <c r="A213" s="2054"/>
      <c r="B213" s="2054"/>
      <c r="C213" s="2054"/>
      <c r="D213" s="2054"/>
      <c r="E213" s="2054"/>
      <c r="F213" s="2054"/>
      <c r="G213" s="2054"/>
      <c r="H213" s="2054"/>
      <c r="I213" s="2054"/>
      <c r="J213" s="2054"/>
      <c r="K213" s="2055"/>
      <c r="L213" s="2056"/>
      <c r="M213" s="2054"/>
      <c r="N213" s="2054"/>
      <c r="O213" s="2054"/>
      <c r="P213" s="2095"/>
      <c r="Q213" s="2054"/>
      <c r="R213" s="2054"/>
      <c r="S213" s="2054"/>
      <c r="T213" s="2054"/>
      <c r="U213" s="2054"/>
      <c r="V213" s="2054"/>
      <c r="W213" s="2054"/>
      <c r="X213" s="2054"/>
      <c r="Y213" s="2054"/>
      <c r="Z213" s="2054"/>
      <c r="AA213" s="2054"/>
      <c r="AB213" s="2054"/>
      <c r="AC213" s="2054"/>
    </row>
    <row r="214" spans="1:29">
      <c r="A214" s="2054"/>
      <c r="B214" s="2054"/>
      <c r="C214" s="2054"/>
      <c r="D214" s="2054"/>
      <c r="E214" s="2054"/>
      <c r="F214" s="2054"/>
      <c r="G214" s="2054"/>
      <c r="H214" s="2054"/>
      <c r="I214" s="2054"/>
      <c r="J214" s="2054"/>
      <c r="K214" s="2055"/>
      <c r="L214" s="2056"/>
      <c r="M214" s="2054"/>
      <c r="N214" s="2054"/>
      <c r="O214" s="2054"/>
      <c r="P214" s="2095"/>
      <c r="Q214" s="2054"/>
      <c r="R214" s="2054"/>
      <c r="S214" s="2054"/>
      <c r="T214" s="2054"/>
      <c r="U214" s="2054"/>
      <c r="V214" s="2054"/>
      <c r="W214" s="2054"/>
      <c r="X214" s="2054"/>
      <c r="Y214" s="2054"/>
      <c r="Z214" s="2054"/>
      <c r="AA214" s="2054"/>
      <c r="AB214" s="2054"/>
      <c r="AC214" s="2054"/>
    </row>
    <row r="215" spans="1:29">
      <c r="A215" s="2054"/>
      <c r="B215" s="2054"/>
      <c r="C215" s="2054"/>
      <c r="D215" s="2054"/>
      <c r="E215" s="2054"/>
      <c r="F215" s="2054"/>
      <c r="G215" s="2054"/>
      <c r="H215" s="2054"/>
      <c r="I215" s="2054"/>
      <c r="J215" s="2054"/>
      <c r="K215" s="2055"/>
      <c r="L215" s="2056"/>
      <c r="M215" s="2054"/>
      <c r="N215" s="2054"/>
      <c r="O215" s="2054"/>
      <c r="P215" s="2095"/>
      <c r="Q215" s="2054"/>
      <c r="R215" s="2054"/>
      <c r="S215" s="2054"/>
      <c r="T215" s="2054"/>
      <c r="U215" s="2054"/>
      <c r="V215" s="2054"/>
      <c r="W215" s="2054"/>
      <c r="X215" s="2054"/>
      <c r="Y215" s="2054"/>
      <c r="Z215" s="2054"/>
      <c r="AA215" s="2054"/>
      <c r="AB215" s="2054"/>
      <c r="AC215" s="2054"/>
    </row>
    <row r="216" spans="1:29">
      <c r="A216" s="2054"/>
      <c r="B216" s="2054"/>
      <c r="C216" s="2054"/>
      <c r="D216" s="2054"/>
      <c r="E216" s="2054"/>
      <c r="F216" s="2054"/>
      <c r="G216" s="2054"/>
      <c r="H216" s="2054"/>
      <c r="I216" s="2054"/>
      <c r="J216" s="2054"/>
      <c r="K216" s="2055"/>
      <c r="L216" s="2056"/>
      <c r="M216" s="2054"/>
      <c r="N216" s="2054"/>
      <c r="O216" s="2054"/>
      <c r="P216" s="2095"/>
      <c r="Q216" s="2054"/>
      <c r="R216" s="2054"/>
      <c r="S216" s="2054"/>
      <c r="T216" s="2054"/>
      <c r="U216" s="2054"/>
      <c r="V216" s="2054"/>
      <c r="W216" s="2054"/>
      <c r="X216" s="2054"/>
      <c r="Y216" s="2054"/>
      <c r="Z216" s="2054"/>
      <c r="AA216" s="2054"/>
      <c r="AB216" s="2054"/>
      <c r="AC216" s="2054"/>
    </row>
    <row r="217" spans="1:29">
      <c r="A217" s="2054"/>
      <c r="B217" s="2054"/>
      <c r="C217" s="2054"/>
      <c r="D217" s="2054"/>
      <c r="E217" s="2054"/>
      <c r="F217" s="2054"/>
      <c r="G217" s="2054"/>
      <c r="H217" s="2054"/>
      <c r="I217" s="2054"/>
      <c r="J217" s="2054"/>
      <c r="K217" s="2055"/>
      <c r="L217" s="2056"/>
      <c r="M217" s="2054"/>
      <c r="N217" s="2054"/>
      <c r="O217" s="2054"/>
      <c r="P217" s="2095"/>
      <c r="Q217" s="2054"/>
      <c r="R217" s="2054"/>
      <c r="S217" s="2054"/>
      <c r="T217" s="2054"/>
      <c r="U217" s="2054"/>
      <c r="V217" s="2054"/>
      <c r="W217" s="2054"/>
      <c r="X217" s="2054"/>
      <c r="Y217" s="2054"/>
      <c r="Z217" s="2054"/>
      <c r="AA217" s="2054"/>
      <c r="AB217" s="2054"/>
      <c r="AC217" s="2054"/>
    </row>
    <row r="218" spans="1:29">
      <c r="A218" s="2054"/>
      <c r="B218" s="2054"/>
      <c r="C218" s="2054"/>
      <c r="D218" s="2054"/>
      <c r="E218" s="2054"/>
      <c r="F218" s="2054"/>
      <c r="G218" s="2054"/>
      <c r="H218" s="2054"/>
      <c r="I218" s="2054"/>
      <c r="J218" s="2054"/>
      <c r="K218" s="2055"/>
      <c r="L218" s="2056"/>
      <c r="M218" s="2054"/>
      <c r="N218" s="2054"/>
      <c r="O218" s="2054"/>
      <c r="P218" s="2095"/>
      <c r="Q218" s="2054"/>
      <c r="R218" s="2054"/>
      <c r="S218" s="2054"/>
      <c r="T218" s="2054"/>
      <c r="U218" s="2054"/>
      <c r="V218" s="2054"/>
      <c r="W218" s="2054"/>
      <c r="X218" s="2054"/>
      <c r="Y218" s="2054"/>
      <c r="Z218" s="2054"/>
      <c r="AA218" s="2054"/>
      <c r="AB218" s="2054"/>
      <c r="AC218" s="2054"/>
    </row>
    <row r="219" spans="1:29">
      <c r="A219" s="2054"/>
      <c r="B219" s="2054"/>
      <c r="C219" s="2054"/>
      <c r="D219" s="2054"/>
      <c r="E219" s="2054"/>
      <c r="F219" s="2054"/>
      <c r="G219" s="2054"/>
      <c r="H219" s="2054"/>
      <c r="I219" s="2054"/>
      <c r="J219" s="2054"/>
      <c r="K219" s="2055"/>
      <c r="L219" s="2056"/>
      <c r="M219" s="2054"/>
      <c r="N219" s="2054"/>
      <c r="O219" s="2054"/>
      <c r="P219" s="2095"/>
      <c r="Q219" s="2054"/>
      <c r="R219" s="2054"/>
      <c r="S219" s="2054"/>
      <c r="T219" s="2054"/>
      <c r="U219" s="2054"/>
      <c r="V219" s="2054"/>
      <c r="W219" s="2054"/>
      <c r="X219" s="2054"/>
      <c r="Y219" s="2054"/>
      <c r="Z219" s="2054"/>
      <c r="AA219" s="2054"/>
      <c r="AB219" s="2054"/>
      <c r="AC219" s="2054"/>
    </row>
    <row r="220" spans="1:29">
      <c r="A220" s="2054"/>
      <c r="B220" s="2054"/>
      <c r="C220" s="2054"/>
      <c r="D220" s="2054"/>
      <c r="E220" s="2054"/>
      <c r="F220" s="2054"/>
      <c r="G220" s="2054"/>
      <c r="H220" s="2054"/>
      <c r="I220" s="2054"/>
      <c r="J220" s="2054"/>
      <c r="K220" s="2055"/>
      <c r="L220" s="2056"/>
      <c r="M220" s="2054"/>
      <c r="N220" s="2054"/>
      <c r="O220" s="2054"/>
      <c r="P220" s="2095"/>
      <c r="Q220" s="2054"/>
      <c r="R220" s="2054"/>
      <c r="S220" s="2054"/>
      <c r="T220" s="2054"/>
      <c r="U220" s="2054"/>
      <c r="V220" s="2054"/>
      <c r="W220" s="2054"/>
      <c r="X220" s="2054"/>
      <c r="Y220" s="2054"/>
      <c r="Z220" s="2054"/>
      <c r="AA220" s="2054"/>
      <c r="AB220" s="2054"/>
      <c r="AC220" s="2054"/>
    </row>
    <row r="221" spans="1:29">
      <c r="A221" s="2054"/>
      <c r="B221" s="2054"/>
      <c r="C221" s="2054"/>
      <c r="D221" s="2054"/>
      <c r="E221" s="2054"/>
      <c r="F221" s="2054"/>
      <c r="G221" s="2054"/>
      <c r="H221" s="2054"/>
      <c r="I221" s="2054"/>
      <c r="J221" s="2054"/>
      <c r="K221" s="2055"/>
      <c r="L221" s="2056"/>
      <c r="M221" s="2054"/>
      <c r="N221" s="2054"/>
      <c r="O221" s="2054"/>
      <c r="P221" s="2095"/>
      <c r="Q221" s="2054"/>
      <c r="R221" s="2054"/>
      <c r="S221" s="2054"/>
      <c r="T221" s="2054"/>
      <c r="U221" s="2054"/>
      <c r="V221" s="2054"/>
      <c r="W221" s="2054"/>
      <c r="X221" s="2054"/>
      <c r="Y221" s="2054"/>
      <c r="Z221" s="2054"/>
      <c r="AA221" s="2054"/>
      <c r="AB221" s="2054"/>
      <c r="AC221" s="2054"/>
    </row>
    <row r="222" spans="1:29">
      <c r="A222" s="2054"/>
      <c r="B222" s="2054"/>
      <c r="C222" s="2054"/>
      <c r="D222" s="2054"/>
      <c r="E222" s="2054"/>
      <c r="F222" s="2054"/>
      <c r="G222" s="2054"/>
      <c r="H222" s="2054"/>
      <c r="I222" s="2054"/>
      <c r="J222" s="2054"/>
      <c r="K222" s="2055"/>
      <c r="L222" s="2056"/>
      <c r="M222" s="2054"/>
      <c r="N222" s="2054"/>
      <c r="O222" s="2054"/>
      <c r="P222" s="2095"/>
      <c r="Q222" s="2054"/>
      <c r="R222" s="2054"/>
      <c r="S222" s="2054"/>
      <c r="T222" s="2054"/>
      <c r="U222" s="2054"/>
      <c r="V222" s="2054"/>
      <c r="W222" s="2054"/>
      <c r="X222" s="2054"/>
      <c r="Y222" s="2054"/>
      <c r="Z222" s="2054"/>
      <c r="AA222" s="2054"/>
      <c r="AB222" s="2054"/>
      <c r="AC222" s="2054"/>
    </row>
    <row r="223" spans="1:29">
      <c r="A223" s="2054"/>
      <c r="B223" s="2054"/>
      <c r="C223" s="2054"/>
      <c r="D223" s="2054"/>
      <c r="E223" s="2054"/>
      <c r="F223" s="2054"/>
      <c r="G223" s="2054"/>
      <c r="H223" s="2054"/>
      <c r="I223" s="2054"/>
      <c r="J223" s="2054"/>
      <c r="K223" s="2055"/>
      <c r="L223" s="2056"/>
      <c r="M223" s="2054"/>
      <c r="N223" s="2054"/>
      <c r="O223" s="2054"/>
      <c r="P223" s="2095"/>
      <c r="Q223" s="2054"/>
      <c r="R223" s="2054"/>
      <c r="S223" s="2054"/>
      <c r="T223" s="2054"/>
      <c r="U223" s="2054"/>
      <c r="V223" s="2054"/>
      <c r="W223" s="2054"/>
      <c r="X223" s="2054"/>
      <c r="Y223" s="2054"/>
      <c r="Z223" s="2054"/>
      <c r="AA223" s="2054"/>
      <c r="AB223" s="2054"/>
      <c r="AC223" s="2054"/>
    </row>
    <row r="224" spans="1:29">
      <c r="A224" s="2054"/>
      <c r="B224" s="2054"/>
      <c r="C224" s="2054"/>
      <c r="D224" s="2054"/>
      <c r="E224" s="2054"/>
      <c r="F224" s="2054"/>
      <c r="G224" s="2054"/>
      <c r="H224" s="2054"/>
      <c r="I224" s="2054"/>
      <c r="J224" s="2054"/>
      <c r="K224" s="2055"/>
      <c r="L224" s="2056"/>
      <c r="M224" s="2054"/>
      <c r="N224" s="2054"/>
      <c r="O224" s="2054"/>
      <c r="P224" s="2095"/>
      <c r="Q224" s="2054"/>
      <c r="R224" s="2054"/>
      <c r="S224" s="2054"/>
      <c r="T224" s="2054"/>
      <c r="U224" s="2054"/>
      <c r="V224" s="2054"/>
      <c r="W224" s="2054"/>
      <c r="X224" s="2054"/>
      <c r="Y224" s="2054"/>
      <c r="Z224" s="2054"/>
      <c r="AA224" s="2054"/>
      <c r="AB224" s="2054"/>
      <c r="AC224" s="2054"/>
    </row>
    <row r="225" spans="1:29">
      <c r="A225" s="2054"/>
      <c r="B225" s="2054"/>
      <c r="C225" s="2054"/>
      <c r="D225" s="2054"/>
      <c r="E225" s="2054"/>
      <c r="F225" s="2054"/>
      <c r="G225" s="2054"/>
      <c r="H225" s="2054"/>
      <c r="I225" s="2054"/>
      <c r="J225" s="2054"/>
      <c r="K225" s="2055"/>
      <c r="L225" s="2056"/>
      <c r="M225" s="2054"/>
      <c r="N225" s="2054"/>
      <c r="O225" s="2054"/>
      <c r="P225" s="2095"/>
      <c r="Q225" s="2054"/>
      <c r="R225" s="2054"/>
      <c r="S225" s="2054"/>
      <c r="T225" s="2054"/>
      <c r="U225" s="2054"/>
      <c r="V225" s="2054"/>
      <c r="W225" s="2054"/>
      <c r="X225" s="2054"/>
      <c r="Y225" s="2054"/>
      <c r="Z225" s="2054"/>
      <c r="AA225" s="2054"/>
      <c r="AB225" s="2054"/>
      <c r="AC225" s="2054"/>
    </row>
    <row r="226" spans="1:29">
      <c r="A226" s="2054"/>
      <c r="B226" s="2054"/>
      <c r="C226" s="2054"/>
      <c r="D226" s="2054"/>
      <c r="E226" s="2054"/>
      <c r="F226" s="2054"/>
      <c r="G226" s="2054"/>
      <c r="H226" s="2054"/>
      <c r="I226" s="2054"/>
      <c r="J226" s="2054"/>
      <c r="K226" s="2055"/>
      <c r="L226" s="2056"/>
      <c r="M226" s="2054"/>
      <c r="N226" s="2054"/>
      <c r="O226" s="2054"/>
      <c r="P226" s="2095"/>
      <c r="Q226" s="2054"/>
      <c r="R226" s="2054"/>
      <c r="S226" s="2054"/>
      <c r="T226" s="2054"/>
      <c r="U226" s="2054"/>
      <c r="V226" s="2054"/>
      <c r="W226" s="2054"/>
      <c r="X226" s="2054"/>
      <c r="Y226" s="2054"/>
      <c r="Z226" s="2054"/>
      <c r="AA226" s="2054"/>
      <c r="AB226" s="2054"/>
      <c r="AC226" s="2054"/>
    </row>
    <row r="227" spans="1:29">
      <c r="A227" s="2054"/>
      <c r="B227" s="2054"/>
      <c r="C227" s="2054"/>
      <c r="D227" s="2054"/>
      <c r="E227" s="2054"/>
      <c r="F227" s="2054"/>
      <c r="G227" s="2054"/>
      <c r="H227" s="2054"/>
      <c r="I227" s="2054"/>
      <c r="J227" s="2054"/>
      <c r="K227" s="2055"/>
      <c r="L227" s="2056"/>
      <c r="M227" s="2054"/>
      <c r="N227" s="2054"/>
      <c r="O227" s="2054"/>
      <c r="P227" s="2095"/>
      <c r="Q227" s="2054"/>
      <c r="R227" s="2054"/>
      <c r="S227" s="2054"/>
      <c r="T227" s="2054"/>
      <c r="U227" s="2054"/>
      <c r="V227" s="2054"/>
      <c r="W227" s="2054"/>
      <c r="X227" s="2054"/>
      <c r="Y227" s="2054"/>
      <c r="Z227" s="2054"/>
      <c r="AA227" s="2054"/>
      <c r="AB227" s="2054"/>
      <c r="AC227" s="2054"/>
    </row>
    <row r="228" spans="1:29">
      <c r="A228" s="2054"/>
      <c r="B228" s="2054"/>
      <c r="C228" s="2054"/>
      <c r="D228" s="2054"/>
      <c r="E228" s="2054"/>
      <c r="F228" s="2054"/>
      <c r="G228" s="2054"/>
      <c r="H228" s="2054"/>
      <c r="I228" s="2054"/>
      <c r="J228" s="2054"/>
      <c r="K228" s="2055"/>
      <c r="L228" s="2056"/>
      <c r="M228" s="2054"/>
      <c r="N228" s="2054"/>
      <c r="O228" s="2054"/>
      <c r="P228" s="2095"/>
      <c r="Q228" s="2054"/>
      <c r="R228" s="2054"/>
      <c r="S228" s="2054"/>
      <c r="T228" s="2054"/>
      <c r="U228" s="2054"/>
      <c r="V228" s="2054"/>
      <c r="W228" s="2054"/>
      <c r="X228" s="2054"/>
      <c r="Y228" s="2054"/>
      <c r="Z228" s="2054"/>
      <c r="AA228" s="2054"/>
      <c r="AB228" s="2054"/>
      <c r="AC228" s="2054"/>
    </row>
    <row r="229" spans="1:29">
      <c r="A229" s="2054"/>
      <c r="B229" s="2054"/>
      <c r="C229" s="2054"/>
      <c r="D229" s="2054"/>
      <c r="E229" s="2054"/>
      <c r="F229" s="2054"/>
      <c r="G229" s="2054"/>
      <c r="H229" s="2054"/>
      <c r="I229" s="2054"/>
      <c r="J229" s="2054"/>
      <c r="K229" s="2055"/>
      <c r="L229" s="2056"/>
      <c r="M229" s="2054"/>
      <c r="N229" s="2054"/>
      <c r="O229" s="2054"/>
      <c r="P229" s="2095"/>
      <c r="Q229" s="2054"/>
      <c r="R229" s="2054"/>
      <c r="S229" s="2054"/>
      <c r="T229" s="2054"/>
      <c r="U229" s="2054"/>
      <c r="V229" s="2054"/>
      <c r="W229" s="2054"/>
      <c r="X229" s="2054"/>
      <c r="Y229" s="2054"/>
      <c r="Z229" s="2054"/>
      <c r="AA229" s="2054"/>
      <c r="AB229" s="2054"/>
      <c r="AC229" s="2054"/>
    </row>
    <row r="230" spans="1:29">
      <c r="A230" s="2054"/>
      <c r="B230" s="2054"/>
      <c r="C230" s="2054"/>
      <c r="D230" s="2054"/>
      <c r="E230" s="2054"/>
      <c r="F230" s="2054"/>
      <c r="G230" s="2054"/>
      <c r="H230" s="2054"/>
      <c r="I230" s="2054"/>
      <c r="J230" s="2054"/>
      <c r="K230" s="2055"/>
      <c r="L230" s="2056"/>
      <c r="M230" s="2054"/>
      <c r="N230" s="2054"/>
      <c r="O230" s="2054"/>
      <c r="P230" s="2095"/>
      <c r="Q230" s="2054"/>
      <c r="R230" s="2054"/>
      <c r="S230" s="2054"/>
      <c r="T230" s="2054"/>
      <c r="U230" s="2054"/>
      <c r="V230" s="2054"/>
      <c r="W230" s="2054"/>
      <c r="X230" s="2054"/>
      <c r="Y230" s="2054"/>
      <c r="Z230" s="2054"/>
      <c r="AA230" s="2054"/>
      <c r="AB230" s="2054"/>
      <c r="AC230" s="2054"/>
    </row>
    <row r="231" spans="1:29">
      <c r="A231" s="2054"/>
      <c r="B231" s="2054"/>
      <c r="C231" s="2054"/>
      <c r="D231" s="2054"/>
      <c r="E231" s="2054"/>
      <c r="F231" s="2054"/>
      <c r="G231" s="2054"/>
      <c r="H231" s="2054"/>
      <c r="I231" s="2054"/>
      <c r="J231" s="2054"/>
      <c r="K231" s="2055"/>
      <c r="L231" s="2056"/>
      <c r="M231" s="2054"/>
      <c r="N231" s="2054"/>
      <c r="O231" s="2054"/>
      <c r="P231" s="2095"/>
      <c r="Q231" s="2054"/>
      <c r="R231" s="2054"/>
      <c r="S231" s="2054"/>
      <c r="T231" s="2054"/>
      <c r="U231" s="2054"/>
      <c r="V231" s="2054"/>
      <c r="W231" s="2054"/>
      <c r="X231" s="2054"/>
      <c r="Y231" s="2054"/>
      <c r="Z231" s="2054"/>
      <c r="AA231" s="2054"/>
      <c r="AB231" s="2054"/>
      <c r="AC231" s="2054"/>
    </row>
    <row r="232" spans="1:29">
      <c r="A232" s="2054"/>
      <c r="B232" s="2054"/>
      <c r="C232" s="2054"/>
      <c r="D232" s="2054"/>
      <c r="E232" s="2054"/>
      <c r="F232" s="2054"/>
      <c r="G232" s="2054"/>
      <c r="H232" s="2054"/>
      <c r="I232" s="2054"/>
      <c r="J232" s="2054"/>
      <c r="K232" s="2055"/>
      <c r="L232" s="2056"/>
      <c r="M232" s="2054"/>
      <c r="N232" s="2054"/>
      <c r="O232" s="2054"/>
      <c r="P232" s="2095"/>
      <c r="Q232" s="2054"/>
      <c r="R232" s="2054"/>
      <c r="S232" s="2054"/>
      <c r="T232" s="2054"/>
      <c r="U232" s="2054"/>
      <c r="V232" s="2054"/>
      <c r="W232" s="2054"/>
      <c r="X232" s="2054"/>
      <c r="Y232" s="2054"/>
      <c r="Z232" s="2054"/>
      <c r="AA232" s="2054"/>
      <c r="AB232" s="2054"/>
      <c r="AC232" s="2054"/>
    </row>
    <row r="233" spans="1:29">
      <c r="A233" s="2054"/>
      <c r="B233" s="2054"/>
      <c r="C233" s="2054"/>
      <c r="D233" s="2054"/>
      <c r="E233" s="2054"/>
      <c r="F233" s="2054"/>
      <c r="G233" s="2054"/>
      <c r="H233" s="2054"/>
      <c r="I233" s="2054"/>
      <c r="J233" s="2054"/>
      <c r="K233" s="2055"/>
      <c r="L233" s="2056"/>
      <c r="M233" s="2054"/>
      <c r="N233" s="2054"/>
      <c r="O233" s="2054"/>
      <c r="P233" s="2095"/>
      <c r="Q233" s="2054"/>
      <c r="R233" s="2054"/>
      <c r="S233" s="2054"/>
      <c r="T233" s="2054"/>
      <c r="U233" s="2054"/>
      <c r="V233" s="2054"/>
      <c r="W233" s="2054"/>
      <c r="X233" s="2054"/>
      <c r="Y233" s="2054"/>
      <c r="Z233" s="2054"/>
      <c r="AA233" s="2054"/>
      <c r="AB233" s="2054"/>
      <c r="AC233" s="2054"/>
    </row>
    <row r="234" spans="1:29">
      <c r="A234" s="2054"/>
      <c r="B234" s="2054"/>
      <c r="C234" s="2054"/>
      <c r="D234" s="2054"/>
      <c r="E234" s="2054"/>
      <c r="F234" s="2054"/>
      <c r="G234" s="2054"/>
      <c r="H234" s="2054"/>
      <c r="I234" s="2054"/>
      <c r="J234" s="2054"/>
      <c r="K234" s="2055"/>
      <c r="L234" s="2056"/>
      <c r="M234" s="2054"/>
      <c r="N234" s="2054"/>
      <c r="O234" s="2054"/>
      <c r="P234" s="2095"/>
      <c r="Q234" s="2054"/>
      <c r="R234" s="2054"/>
      <c r="S234" s="2054"/>
      <c r="T234" s="2054"/>
      <c r="U234" s="2054"/>
      <c r="V234" s="2054"/>
      <c r="W234" s="2054"/>
      <c r="X234" s="2054"/>
      <c r="Y234" s="2054"/>
      <c r="Z234" s="2054"/>
      <c r="AA234" s="2054"/>
      <c r="AB234" s="2054"/>
      <c r="AC234" s="2054"/>
    </row>
    <row r="235" spans="1:29">
      <c r="A235" s="2054"/>
      <c r="B235" s="2054"/>
      <c r="C235" s="2054"/>
      <c r="D235" s="2054"/>
      <c r="E235" s="2054"/>
      <c r="F235" s="2054"/>
      <c r="G235" s="2054"/>
      <c r="H235" s="2054"/>
      <c r="I235" s="2054"/>
      <c r="J235" s="2054"/>
      <c r="K235" s="2055"/>
      <c r="L235" s="2056"/>
      <c r="M235" s="2054"/>
      <c r="N235" s="2054"/>
      <c r="O235" s="2054"/>
      <c r="P235" s="2095"/>
      <c r="Q235" s="2054"/>
      <c r="R235" s="2054"/>
      <c r="S235" s="2054"/>
      <c r="T235" s="2054"/>
      <c r="U235" s="2054"/>
      <c r="V235" s="2054"/>
      <c r="W235" s="2054"/>
      <c r="X235" s="2054"/>
      <c r="Y235" s="2054"/>
      <c r="Z235" s="2054"/>
      <c r="AA235" s="2054"/>
      <c r="AB235" s="2054"/>
      <c r="AC235" s="2054"/>
    </row>
    <row r="236" spans="1:29">
      <c r="A236" s="2054"/>
      <c r="B236" s="2054"/>
      <c r="C236" s="2054"/>
      <c r="D236" s="2054"/>
      <c r="E236" s="2054"/>
      <c r="F236" s="2054"/>
      <c r="G236" s="2054"/>
      <c r="H236" s="2054"/>
      <c r="I236" s="2054"/>
      <c r="J236" s="2054"/>
      <c r="K236" s="2055"/>
      <c r="L236" s="2056"/>
      <c r="M236" s="2054"/>
      <c r="N236" s="2054"/>
      <c r="O236" s="2054"/>
      <c r="P236" s="2095"/>
      <c r="Q236" s="2054"/>
      <c r="R236" s="2054"/>
      <c r="S236" s="2054"/>
      <c r="T236" s="2054"/>
      <c r="U236" s="2054"/>
      <c r="V236" s="2054"/>
      <c r="W236" s="2054"/>
      <c r="X236" s="2054"/>
      <c r="Y236" s="2054"/>
      <c r="Z236" s="2054"/>
      <c r="AA236" s="2054"/>
      <c r="AB236" s="2054"/>
      <c r="AC236" s="2054"/>
    </row>
    <row r="237" spans="1:29">
      <c r="A237" s="2054"/>
      <c r="B237" s="2054"/>
      <c r="C237" s="2054"/>
      <c r="D237" s="2054"/>
      <c r="E237" s="2054"/>
      <c r="F237" s="2054"/>
      <c r="G237" s="2054"/>
      <c r="H237" s="2054"/>
      <c r="I237" s="2054"/>
      <c r="J237" s="2054"/>
      <c r="K237" s="2055"/>
      <c r="L237" s="2056"/>
      <c r="M237" s="2054"/>
      <c r="N237" s="2054"/>
      <c r="O237" s="2054"/>
      <c r="P237" s="2095"/>
      <c r="Q237" s="2054"/>
      <c r="R237" s="2054"/>
      <c r="S237" s="2054"/>
      <c r="T237" s="2054"/>
      <c r="U237" s="2054"/>
      <c r="V237" s="2054"/>
      <c r="W237" s="2054"/>
      <c r="X237" s="2054"/>
      <c r="Y237" s="2054"/>
      <c r="Z237" s="2054"/>
      <c r="AA237" s="2054"/>
      <c r="AB237" s="2054"/>
      <c r="AC237" s="2054"/>
    </row>
    <row r="238" spans="1:29">
      <c r="A238" s="2054"/>
      <c r="B238" s="2054"/>
      <c r="C238" s="2054"/>
      <c r="D238" s="2054"/>
      <c r="E238" s="2054"/>
      <c r="F238" s="2054"/>
      <c r="G238" s="2054"/>
      <c r="H238" s="2054"/>
      <c r="I238" s="2054"/>
      <c r="J238" s="2054"/>
      <c r="K238" s="2055"/>
      <c r="L238" s="2056"/>
      <c r="M238" s="2054"/>
      <c r="N238" s="2054"/>
      <c r="O238" s="2054"/>
      <c r="P238" s="2095"/>
      <c r="Q238" s="2054"/>
      <c r="R238" s="2054"/>
      <c r="S238" s="2054"/>
      <c r="T238" s="2054"/>
      <c r="U238" s="2054"/>
      <c r="V238" s="2054"/>
      <c r="W238" s="2054"/>
      <c r="X238" s="2054"/>
      <c r="Y238" s="2054"/>
      <c r="Z238" s="2054"/>
      <c r="AA238" s="2054"/>
      <c r="AB238" s="2054"/>
      <c r="AC238" s="2054"/>
    </row>
    <row r="239" spans="1:29">
      <c r="A239" s="2054"/>
      <c r="B239" s="2054"/>
      <c r="C239" s="2054"/>
      <c r="D239" s="2054"/>
      <c r="E239" s="2054"/>
      <c r="F239" s="2054"/>
      <c r="G239" s="2054"/>
      <c r="H239" s="2054"/>
      <c r="I239" s="2054"/>
      <c r="J239" s="2054"/>
      <c r="K239" s="2055"/>
      <c r="L239" s="2056"/>
      <c r="M239" s="2054"/>
      <c r="N239" s="2054"/>
      <c r="O239" s="2054"/>
      <c r="P239" s="2095"/>
      <c r="Q239" s="2054"/>
      <c r="R239" s="2054"/>
      <c r="S239" s="2054"/>
      <c r="T239" s="2054"/>
      <c r="U239" s="2054"/>
      <c r="V239" s="2054"/>
      <c r="W239" s="2054"/>
      <c r="X239" s="2054"/>
      <c r="Y239" s="2054"/>
      <c r="Z239" s="2054"/>
      <c r="AA239" s="2054"/>
      <c r="AB239" s="2054"/>
      <c r="AC239" s="2054"/>
    </row>
    <row r="240" spans="1:29">
      <c r="A240" s="2054"/>
      <c r="B240" s="2054"/>
      <c r="C240" s="2054"/>
      <c r="D240" s="2054"/>
      <c r="E240" s="2054"/>
      <c r="F240" s="2054"/>
      <c r="G240" s="2054"/>
      <c r="H240" s="2054"/>
      <c r="I240" s="2054"/>
      <c r="J240" s="2054"/>
      <c r="K240" s="2055"/>
      <c r="L240" s="2056"/>
      <c r="M240" s="2054"/>
      <c r="N240" s="2054"/>
      <c r="O240" s="2054"/>
      <c r="P240" s="2095"/>
      <c r="Q240" s="2054"/>
      <c r="R240" s="2054"/>
      <c r="S240" s="2054"/>
      <c r="T240" s="2054"/>
      <c r="U240" s="2054"/>
      <c r="V240" s="2054"/>
      <c r="W240" s="2054"/>
      <c r="X240" s="2054"/>
      <c r="Y240" s="2054"/>
      <c r="Z240" s="2054"/>
      <c r="AA240" s="2054"/>
      <c r="AB240" s="2054"/>
      <c r="AC240" s="2054"/>
    </row>
    <row r="241" spans="1:29">
      <c r="A241" s="2054"/>
      <c r="B241" s="2054"/>
      <c r="C241" s="2054"/>
      <c r="D241" s="2054"/>
      <c r="E241" s="2054"/>
      <c r="F241" s="2054"/>
      <c r="G241" s="2054"/>
      <c r="H241" s="2054"/>
      <c r="I241" s="2054"/>
      <c r="J241" s="2054"/>
      <c r="K241" s="2055"/>
      <c r="L241" s="2056"/>
      <c r="M241" s="2054"/>
      <c r="N241" s="2054"/>
      <c r="O241" s="2054"/>
      <c r="P241" s="2095"/>
      <c r="Q241" s="2054"/>
      <c r="R241" s="2054"/>
      <c r="S241" s="2054"/>
      <c r="T241" s="2054"/>
      <c r="U241" s="2054"/>
      <c r="V241" s="2054"/>
      <c r="W241" s="2054"/>
      <c r="X241" s="2054"/>
      <c r="Y241" s="2054"/>
      <c r="Z241" s="2054"/>
      <c r="AA241" s="2054"/>
      <c r="AB241" s="2054"/>
      <c r="AC241" s="2054"/>
    </row>
    <row r="242" spans="1:29">
      <c r="A242" s="2054"/>
      <c r="B242" s="2054"/>
      <c r="C242" s="2054"/>
      <c r="D242" s="2054"/>
      <c r="E242" s="2054"/>
      <c r="F242" s="2054"/>
      <c r="G242" s="2054"/>
      <c r="H242" s="2054"/>
      <c r="I242" s="2054"/>
      <c r="J242" s="2054"/>
      <c r="K242" s="2055"/>
      <c r="L242" s="2056"/>
      <c r="M242" s="2054"/>
      <c r="N242" s="2054"/>
      <c r="O242" s="2054"/>
      <c r="P242" s="2095"/>
      <c r="Q242" s="2054"/>
      <c r="R242" s="2054"/>
      <c r="S242" s="2054"/>
      <c r="T242" s="2054"/>
      <c r="U242" s="2054"/>
      <c r="V242" s="2054"/>
      <c r="W242" s="2054"/>
      <c r="X242" s="2054"/>
      <c r="Y242" s="2054"/>
      <c r="Z242" s="2054"/>
      <c r="AA242" s="2054"/>
      <c r="AB242" s="2054"/>
      <c r="AC242" s="2054"/>
    </row>
    <row r="243" spans="1:29">
      <c r="A243" s="2054"/>
      <c r="B243" s="2054"/>
      <c r="C243" s="2054"/>
      <c r="D243" s="2054"/>
      <c r="E243" s="2054"/>
      <c r="F243" s="2054"/>
      <c r="G243" s="2054"/>
      <c r="H243" s="2054"/>
      <c r="I243" s="2054"/>
      <c r="J243" s="2054"/>
      <c r="K243" s="2055"/>
      <c r="L243" s="2056"/>
      <c r="M243" s="2054"/>
      <c r="N243" s="2054"/>
      <c r="O243" s="2054"/>
      <c r="P243" s="2095"/>
      <c r="Q243" s="2054"/>
      <c r="R243" s="2054"/>
      <c r="S243" s="2054"/>
      <c r="T243" s="2054"/>
      <c r="U243" s="2054"/>
      <c r="V243" s="2054"/>
      <c r="W243" s="2054"/>
      <c r="X243" s="2054"/>
      <c r="Y243" s="2054"/>
      <c r="Z243" s="2054"/>
      <c r="AA243" s="2054"/>
      <c r="AB243" s="2054"/>
      <c r="AC243" s="2054"/>
    </row>
    <row r="244" spans="1:29">
      <c r="A244" s="2054"/>
      <c r="B244" s="2054"/>
      <c r="C244" s="2054"/>
      <c r="D244" s="2054"/>
      <c r="E244" s="2054"/>
      <c r="F244" s="2054"/>
      <c r="G244" s="2054"/>
      <c r="H244" s="2054"/>
      <c r="I244" s="2054"/>
      <c r="J244" s="2054"/>
      <c r="K244" s="2055"/>
      <c r="L244" s="2056"/>
      <c r="M244" s="2054"/>
      <c r="N244" s="2054"/>
      <c r="O244" s="2054"/>
      <c r="P244" s="2095"/>
      <c r="Q244" s="2054"/>
      <c r="R244" s="2054"/>
      <c r="S244" s="2054"/>
      <c r="T244" s="2054"/>
      <c r="U244" s="2054"/>
      <c r="V244" s="2054"/>
      <c r="W244" s="2054"/>
      <c r="X244" s="2054"/>
      <c r="Y244" s="2054"/>
      <c r="Z244" s="2054"/>
      <c r="AA244" s="2054"/>
      <c r="AB244" s="2054"/>
      <c r="AC244" s="2054"/>
    </row>
    <row r="245" spans="1:29">
      <c r="A245" s="2054"/>
      <c r="B245" s="2054"/>
      <c r="C245" s="2054"/>
      <c r="D245" s="2054"/>
      <c r="E245" s="2054"/>
      <c r="F245" s="2054"/>
      <c r="G245" s="2054"/>
      <c r="H245" s="2054"/>
      <c r="I245" s="2054"/>
      <c r="J245" s="2054"/>
      <c r="K245" s="2055"/>
      <c r="L245" s="2056"/>
      <c r="M245" s="2054"/>
      <c r="N245" s="2054"/>
      <c r="O245" s="2054"/>
      <c r="P245" s="2095"/>
      <c r="Q245" s="2054"/>
      <c r="R245" s="2054"/>
      <c r="S245" s="2054"/>
      <c r="T245" s="2054"/>
      <c r="U245" s="2054"/>
      <c r="V245" s="2054"/>
      <c r="W245" s="2054"/>
      <c r="X245" s="2054"/>
      <c r="Y245" s="2054"/>
      <c r="Z245" s="2054"/>
      <c r="AA245" s="2054"/>
      <c r="AB245" s="2054"/>
      <c r="AC245" s="2054"/>
    </row>
    <row r="246" spans="1:29">
      <c r="A246" s="2054"/>
      <c r="B246" s="2054"/>
      <c r="C246" s="2054"/>
      <c r="D246" s="2054"/>
      <c r="E246" s="2054"/>
      <c r="F246" s="2054"/>
      <c r="G246" s="2054"/>
      <c r="H246" s="2054"/>
      <c r="I246" s="2054"/>
      <c r="J246" s="2054"/>
      <c r="K246" s="2055"/>
      <c r="L246" s="2056"/>
      <c r="M246" s="2054"/>
      <c r="N246" s="2054"/>
      <c r="O246" s="2054"/>
      <c r="P246" s="2095"/>
      <c r="Q246" s="2054"/>
      <c r="R246" s="2054"/>
      <c r="S246" s="2054"/>
      <c r="T246" s="2054"/>
      <c r="U246" s="2054"/>
      <c r="V246" s="2054"/>
      <c r="W246" s="2054"/>
      <c r="X246" s="2054"/>
      <c r="Y246" s="2054"/>
      <c r="Z246" s="2054"/>
      <c r="AA246" s="2054"/>
      <c r="AB246" s="2054"/>
      <c r="AC246" s="2054"/>
    </row>
    <row r="247" spans="1:29">
      <c r="A247" s="2054"/>
      <c r="B247" s="2054"/>
      <c r="C247" s="2054"/>
      <c r="D247" s="2054"/>
      <c r="E247" s="2054"/>
      <c r="F247" s="2054"/>
      <c r="G247" s="2054"/>
      <c r="H247" s="2054"/>
      <c r="I247" s="2054"/>
      <c r="J247" s="2054"/>
      <c r="K247" s="2055"/>
      <c r="L247" s="2056"/>
      <c r="M247" s="2054"/>
      <c r="N247" s="2054"/>
      <c r="O247" s="2054"/>
      <c r="P247" s="2095"/>
      <c r="Q247" s="2054"/>
      <c r="R247" s="2054"/>
      <c r="S247" s="2054"/>
      <c r="T247" s="2054"/>
      <c r="U247" s="2054"/>
      <c r="V247" s="2054"/>
      <c r="W247" s="2054"/>
      <c r="X247" s="2054"/>
      <c r="Y247" s="2054"/>
      <c r="Z247" s="2054"/>
      <c r="AA247" s="2054"/>
      <c r="AB247" s="2054"/>
      <c r="AC247" s="2054"/>
    </row>
    <row r="248" spans="1:29">
      <c r="A248" s="2054"/>
      <c r="B248" s="2054"/>
      <c r="C248" s="2054"/>
      <c r="D248" s="2054"/>
      <c r="E248" s="2054"/>
      <c r="F248" s="2054"/>
      <c r="G248" s="2054"/>
      <c r="H248" s="2054"/>
      <c r="I248" s="2054"/>
      <c r="J248" s="2054"/>
      <c r="K248" s="2055"/>
      <c r="L248" s="2056"/>
      <c r="M248" s="2054"/>
      <c r="N248" s="2054"/>
      <c r="O248" s="2054"/>
      <c r="P248" s="2095"/>
      <c r="Q248" s="2054"/>
      <c r="R248" s="2054"/>
      <c r="S248" s="2054"/>
      <c r="T248" s="2054"/>
      <c r="U248" s="2054"/>
      <c r="V248" s="2054"/>
      <c r="W248" s="2054"/>
      <c r="X248" s="2054"/>
      <c r="Y248" s="2054"/>
      <c r="Z248" s="2054"/>
      <c r="AA248" s="2054"/>
      <c r="AB248" s="2054"/>
      <c r="AC248" s="2054"/>
    </row>
    <row r="249" spans="1:29">
      <c r="A249" s="2054"/>
      <c r="B249" s="2054"/>
      <c r="C249" s="2054"/>
      <c r="D249" s="2054"/>
      <c r="E249" s="2054"/>
      <c r="F249" s="2054"/>
      <c r="G249" s="2054"/>
      <c r="H249" s="2054"/>
      <c r="I249" s="2054"/>
      <c r="J249" s="2054"/>
      <c r="K249" s="2055"/>
      <c r="L249" s="2056"/>
      <c r="M249" s="2054"/>
      <c r="N249" s="2054"/>
      <c r="O249" s="2054"/>
      <c r="P249" s="2095"/>
      <c r="Q249" s="2054"/>
      <c r="R249" s="2054"/>
      <c r="S249" s="2054"/>
      <c r="T249" s="2054"/>
      <c r="U249" s="2054"/>
      <c r="V249" s="2054"/>
      <c r="W249" s="2054"/>
      <c r="X249" s="2054"/>
      <c r="Y249" s="2054"/>
      <c r="Z249" s="2054"/>
      <c r="AA249" s="2054"/>
      <c r="AB249" s="2054"/>
      <c r="AC249" s="2054"/>
    </row>
    <row r="250" spans="1:29">
      <c r="A250" s="2054"/>
      <c r="B250" s="2054"/>
      <c r="C250" s="2054"/>
      <c r="D250" s="2054"/>
      <c r="E250" s="2054"/>
      <c r="F250" s="2054"/>
      <c r="G250" s="2054"/>
      <c r="H250" s="2054"/>
      <c r="I250" s="2054"/>
      <c r="J250" s="2054"/>
      <c r="K250" s="2055"/>
      <c r="L250" s="2056"/>
      <c r="M250" s="2054"/>
      <c r="N250" s="2054"/>
      <c r="O250" s="2054"/>
      <c r="P250" s="2095"/>
      <c r="Q250" s="2054"/>
      <c r="R250" s="2054"/>
      <c r="S250" s="2054"/>
      <c r="T250" s="2054"/>
      <c r="U250" s="2054"/>
      <c r="V250" s="2054"/>
      <c r="W250" s="2054"/>
      <c r="X250" s="2054"/>
      <c r="Y250" s="2054"/>
      <c r="Z250" s="2054"/>
      <c r="AA250" s="2054"/>
      <c r="AB250" s="2054"/>
      <c r="AC250" s="2054"/>
    </row>
    <row r="251" spans="1:29">
      <c r="A251" s="2054"/>
      <c r="B251" s="2054"/>
      <c r="C251" s="2054"/>
      <c r="D251" s="2054"/>
      <c r="E251" s="2054"/>
      <c r="F251" s="2054"/>
      <c r="G251" s="2054"/>
      <c r="H251" s="2054"/>
      <c r="I251" s="2054"/>
      <c r="J251" s="2054"/>
      <c r="K251" s="2055"/>
      <c r="L251" s="2056"/>
      <c r="M251" s="2054"/>
      <c r="N251" s="2054"/>
      <c r="O251" s="2054"/>
      <c r="P251" s="2095"/>
      <c r="Q251" s="2054"/>
      <c r="R251" s="2054"/>
      <c r="S251" s="2054"/>
      <c r="T251" s="2054"/>
      <c r="U251" s="2054"/>
      <c r="V251" s="2054"/>
      <c r="W251" s="2054"/>
      <c r="X251" s="2054"/>
      <c r="Y251" s="2054"/>
      <c r="Z251" s="2054"/>
      <c r="AA251" s="2054"/>
      <c r="AB251" s="2054"/>
      <c r="AC251" s="2054"/>
    </row>
    <row r="252" spans="1:29">
      <c r="A252" s="2054"/>
      <c r="B252" s="2054"/>
      <c r="C252" s="2054"/>
      <c r="D252" s="2054"/>
      <c r="E252" s="2054"/>
      <c r="F252" s="2054"/>
      <c r="G252" s="2054"/>
      <c r="H252" s="2054"/>
      <c r="I252" s="2054"/>
      <c r="J252" s="2054"/>
      <c r="K252" s="2055"/>
      <c r="L252" s="2056"/>
      <c r="M252" s="2054"/>
      <c r="N252" s="2054"/>
      <c r="O252" s="2054"/>
      <c r="P252" s="2095"/>
      <c r="Q252" s="2054"/>
      <c r="R252" s="2054"/>
      <c r="S252" s="2054"/>
      <c r="T252" s="2054"/>
      <c r="U252" s="2054"/>
      <c r="V252" s="2054"/>
      <c r="W252" s="2054"/>
      <c r="X252" s="2054"/>
      <c r="Y252" s="2054"/>
      <c r="Z252" s="2054"/>
      <c r="AA252" s="2054"/>
      <c r="AB252" s="2054"/>
      <c r="AC252" s="2054"/>
    </row>
    <row r="253" spans="1:29">
      <c r="A253" s="2054"/>
      <c r="B253" s="2054"/>
      <c r="C253" s="2054"/>
      <c r="D253" s="2054"/>
      <c r="E253" s="2054"/>
      <c r="F253" s="2054"/>
      <c r="G253" s="2054"/>
      <c r="H253" s="2054"/>
      <c r="I253" s="2054"/>
      <c r="J253" s="2054"/>
      <c r="K253" s="2055"/>
      <c r="L253" s="2056"/>
      <c r="M253" s="2054"/>
      <c r="N253" s="2054"/>
      <c r="O253" s="2054"/>
      <c r="P253" s="2095"/>
      <c r="Q253" s="2054"/>
      <c r="R253" s="2054"/>
      <c r="S253" s="2054"/>
      <c r="T253" s="2054"/>
      <c r="U253" s="2054"/>
      <c r="V253" s="2054"/>
      <c r="W253" s="2054"/>
      <c r="X253" s="2054"/>
      <c r="Y253" s="2054"/>
      <c r="Z253" s="2054"/>
      <c r="AA253" s="2054"/>
      <c r="AB253" s="2054"/>
      <c r="AC253" s="2054"/>
    </row>
    <row r="254" spans="1:29">
      <c r="A254" s="2054"/>
      <c r="B254" s="2054"/>
      <c r="C254" s="2054"/>
      <c r="D254" s="2054"/>
      <c r="E254" s="2054"/>
      <c r="F254" s="2054"/>
      <c r="G254" s="2054"/>
      <c r="H254" s="2054"/>
      <c r="I254" s="2054"/>
      <c r="J254" s="2054"/>
      <c r="K254" s="2055"/>
      <c r="L254" s="2056"/>
      <c r="M254" s="2054"/>
      <c r="N254" s="2054"/>
      <c r="O254" s="2054"/>
      <c r="P254" s="2095"/>
      <c r="Q254" s="2054"/>
      <c r="R254" s="2054"/>
      <c r="S254" s="2054"/>
      <c r="T254" s="2054"/>
      <c r="U254" s="2054"/>
      <c r="V254" s="2054"/>
      <c r="W254" s="2054"/>
      <c r="X254" s="2054"/>
      <c r="Y254" s="2054"/>
      <c r="Z254" s="2054"/>
      <c r="AA254" s="2054"/>
      <c r="AB254" s="2054"/>
      <c r="AC254" s="2054"/>
    </row>
    <row r="255" spans="1:29">
      <c r="A255" s="2054"/>
      <c r="B255" s="2054"/>
      <c r="C255" s="2054"/>
      <c r="D255" s="2054"/>
      <c r="E255" s="2054"/>
      <c r="F255" s="2054"/>
      <c r="G255" s="2054"/>
      <c r="H255" s="2054"/>
      <c r="I255" s="2054"/>
      <c r="J255" s="2054"/>
      <c r="K255" s="2055"/>
      <c r="L255" s="2056"/>
      <c r="M255" s="2054"/>
      <c r="N255" s="2054"/>
      <c r="O255" s="2054"/>
      <c r="P255" s="2095"/>
      <c r="Q255" s="2054"/>
      <c r="R255" s="2054"/>
      <c r="S255" s="2054"/>
      <c r="T255" s="2054"/>
      <c r="U255" s="2054"/>
      <c r="V255" s="2054"/>
      <c r="W255" s="2054"/>
      <c r="X255" s="2054"/>
      <c r="Y255" s="2054"/>
      <c r="Z255" s="2054"/>
      <c r="AA255" s="2054"/>
      <c r="AB255" s="2054"/>
      <c r="AC255" s="2054"/>
    </row>
    <row r="256" spans="1:29">
      <c r="A256" s="2054"/>
      <c r="B256" s="2054"/>
      <c r="C256" s="2054"/>
      <c r="D256" s="2054"/>
      <c r="E256" s="2054"/>
      <c r="F256" s="2054"/>
      <c r="G256" s="2054"/>
      <c r="H256" s="2054"/>
      <c r="I256" s="2054"/>
      <c r="J256" s="2054"/>
      <c r="K256" s="2055"/>
      <c r="L256" s="2056"/>
      <c r="M256" s="2054"/>
      <c r="N256" s="2054"/>
      <c r="O256" s="2054"/>
      <c r="P256" s="2095"/>
      <c r="Q256" s="2054"/>
      <c r="R256" s="2054"/>
      <c r="S256" s="2054"/>
      <c r="T256" s="2054"/>
      <c r="U256" s="2054"/>
      <c r="V256" s="2054"/>
      <c r="W256" s="2054"/>
      <c r="X256" s="2054"/>
      <c r="Y256" s="2054"/>
      <c r="Z256" s="2054"/>
      <c r="AA256" s="2054"/>
      <c r="AB256" s="2054"/>
      <c r="AC256" s="2054"/>
    </row>
    <row r="257" spans="1:29">
      <c r="A257" s="2054"/>
      <c r="B257" s="2054"/>
      <c r="C257" s="2054"/>
      <c r="D257" s="2054"/>
      <c r="E257" s="2054"/>
      <c r="F257" s="2054"/>
      <c r="G257" s="2054"/>
      <c r="H257" s="2054"/>
      <c r="I257" s="2054"/>
      <c r="J257" s="2054"/>
      <c r="K257" s="2055"/>
      <c r="L257" s="2056"/>
      <c r="M257" s="2054"/>
      <c r="N257" s="2054"/>
      <c r="O257" s="2054"/>
      <c r="P257" s="2095"/>
      <c r="Q257" s="2054"/>
      <c r="R257" s="2054"/>
      <c r="S257" s="2054"/>
      <c r="T257" s="2054"/>
      <c r="U257" s="2054"/>
      <c r="V257" s="2054"/>
      <c r="W257" s="2054"/>
      <c r="X257" s="2054"/>
      <c r="Y257" s="2054"/>
      <c r="Z257" s="2054"/>
      <c r="AA257" s="2054"/>
      <c r="AB257" s="2054"/>
      <c r="AC257" s="2054"/>
    </row>
    <row r="258" spans="1:29">
      <c r="A258" s="2054"/>
      <c r="B258" s="2054"/>
      <c r="C258" s="2054"/>
      <c r="D258" s="2054"/>
      <c r="E258" s="2054"/>
      <c r="F258" s="2054"/>
      <c r="G258" s="2054"/>
      <c r="H258" s="2054"/>
      <c r="I258" s="2054"/>
      <c r="J258" s="2054"/>
      <c r="K258" s="2055"/>
      <c r="L258" s="2056"/>
      <c r="M258" s="2054"/>
      <c r="N258" s="2054"/>
      <c r="O258" s="2054"/>
      <c r="P258" s="2095"/>
      <c r="Q258" s="2054"/>
      <c r="R258" s="2054"/>
      <c r="S258" s="2054"/>
      <c r="T258" s="2054"/>
      <c r="U258" s="2054"/>
      <c r="V258" s="2054"/>
      <c r="W258" s="2054"/>
      <c r="X258" s="2054"/>
      <c r="Y258" s="2054"/>
      <c r="Z258" s="2054"/>
      <c r="AA258" s="2054"/>
      <c r="AB258" s="2054"/>
      <c r="AC258" s="2054"/>
    </row>
    <row r="259" spans="1:29">
      <c r="A259" s="2054"/>
      <c r="B259" s="2054"/>
      <c r="C259" s="2054"/>
      <c r="D259" s="2054"/>
      <c r="E259" s="2054"/>
      <c r="F259" s="2054"/>
      <c r="G259" s="2054"/>
      <c r="H259" s="2054"/>
      <c r="I259" s="2054"/>
      <c r="J259" s="2054"/>
      <c r="K259" s="2055"/>
      <c r="L259" s="2056"/>
      <c r="M259" s="2054"/>
      <c r="N259" s="2054"/>
      <c r="O259" s="2054"/>
      <c r="P259" s="2095"/>
      <c r="Q259" s="2054"/>
      <c r="R259" s="2054"/>
      <c r="S259" s="2054"/>
      <c r="T259" s="2054"/>
      <c r="U259" s="2054"/>
      <c r="V259" s="2054"/>
      <c r="W259" s="2054"/>
      <c r="X259" s="2054"/>
      <c r="Y259" s="2054"/>
      <c r="Z259" s="2054"/>
      <c r="AA259" s="2054"/>
      <c r="AB259" s="2054"/>
      <c r="AC259" s="2054"/>
    </row>
    <row r="260" spans="1:29">
      <c r="A260" s="2054"/>
      <c r="B260" s="2054"/>
      <c r="C260" s="2054"/>
      <c r="D260" s="2054"/>
      <c r="E260" s="2054"/>
      <c r="F260" s="2054"/>
      <c r="G260" s="2054"/>
      <c r="H260" s="2054"/>
      <c r="I260" s="2054"/>
      <c r="J260" s="2054"/>
      <c r="K260" s="2055"/>
      <c r="L260" s="2056"/>
      <c r="M260" s="2054"/>
      <c r="N260" s="2054"/>
      <c r="O260" s="2054"/>
      <c r="P260" s="2095"/>
      <c r="Q260" s="2054"/>
      <c r="R260" s="2054"/>
      <c r="S260" s="2054"/>
      <c r="T260" s="2054"/>
      <c r="U260" s="2054"/>
      <c r="V260" s="2054"/>
      <c r="W260" s="2054"/>
      <c r="X260" s="2054"/>
      <c r="Y260" s="2054"/>
      <c r="Z260" s="2054"/>
      <c r="AA260" s="2054"/>
      <c r="AB260" s="2054"/>
      <c r="AC260" s="2054"/>
    </row>
    <row r="261" spans="1:29">
      <c r="A261" s="2054"/>
      <c r="B261" s="2054"/>
      <c r="C261" s="2054"/>
      <c r="D261" s="2054"/>
      <c r="E261" s="2054"/>
      <c r="F261" s="2054"/>
      <c r="G261" s="2054"/>
      <c r="H261" s="2054"/>
      <c r="I261" s="2054"/>
      <c r="J261" s="2054"/>
      <c r="K261" s="2055"/>
      <c r="L261" s="2056"/>
      <c r="M261" s="2054"/>
      <c r="N261" s="2054"/>
      <c r="O261" s="2054"/>
      <c r="P261" s="2095"/>
      <c r="Q261" s="2054"/>
      <c r="R261" s="2054"/>
      <c r="S261" s="2054"/>
      <c r="T261" s="2054"/>
      <c r="U261" s="2054"/>
      <c r="V261" s="2054"/>
      <c r="W261" s="2054"/>
      <c r="X261" s="2054"/>
      <c r="Y261" s="2054"/>
      <c r="Z261" s="2054"/>
      <c r="AA261" s="2054"/>
      <c r="AB261" s="2054"/>
      <c r="AC261" s="2054"/>
    </row>
    <row r="262" spans="1:29">
      <c r="A262" s="2054"/>
      <c r="B262" s="2054"/>
      <c r="C262" s="2054"/>
      <c r="D262" s="2054"/>
      <c r="E262" s="2054"/>
      <c r="F262" s="2054"/>
      <c r="G262" s="2054"/>
      <c r="H262" s="2054"/>
      <c r="I262" s="2054"/>
      <c r="J262" s="2054"/>
      <c r="K262" s="2055"/>
      <c r="L262" s="2056"/>
      <c r="M262" s="2054"/>
      <c r="N262" s="2054"/>
      <c r="O262" s="2054"/>
      <c r="P262" s="2095"/>
      <c r="Q262" s="2054"/>
      <c r="R262" s="2054"/>
      <c r="S262" s="2054"/>
      <c r="T262" s="2054"/>
      <c r="U262" s="2054"/>
      <c r="V262" s="2054"/>
      <c r="W262" s="2054"/>
      <c r="X262" s="2054"/>
      <c r="Y262" s="2054"/>
      <c r="Z262" s="2054"/>
      <c r="AA262" s="2054"/>
      <c r="AB262" s="2054"/>
      <c r="AC262" s="2054"/>
    </row>
    <row r="263" spans="1:29">
      <c r="A263" s="2054"/>
      <c r="B263" s="2054"/>
      <c r="C263" s="2054"/>
      <c r="D263" s="2054"/>
      <c r="E263" s="2054"/>
      <c r="F263" s="2054"/>
      <c r="G263" s="2054"/>
      <c r="H263" s="2054"/>
      <c r="I263" s="2054"/>
      <c r="J263" s="2054"/>
      <c r="K263" s="2055"/>
      <c r="L263" s="2056"/>
      <c r="M263" s="2054"/>
      <c r="N263" s="2054"/>
      <c r="O263" s="2054"/>
      <c r="P263" s="2095"/>
      <c r="Q263" s="2054"/>
      <c r="R263" s="2054"/>
      <c r="S263" s="2054"/>
      <c r="T263" s="2054"/>
      <c r="U263" s="2054"/>
      <c r="V263" s="2054"/>
      <c r="W263" s="2054"/>
      <c r="X263" s="2054"/>
      <c r="Y263" s="2054"/>
      <c r="Z263" s="2054"/>
      <c r="AA263" s="2054"/>
      <c r="AB263" s="2054"/>
      <c r="AC263" s="2054"/>
    </row>
    <row r="264" spans="1:29">
      <c r="A264" s="2054"/>
      <c r="B264" s="2054"/>
      <c r="C264" s="2054"/>
      <c r="D264" s="2054"/>
      <c r="E264" s="2054"/>
      <c r="F264" s="2054"/>
      <c r="G264" s="2054"/>
      <c r="H264" s="2054"/>
      <c r="I264" s="2054"/>
      <c r="J264" s="2054"/>
      <c r="K264" s="2055"/>
      <c r="L264" s="2056"/>
      <c r="M264" s="2054"/>
      <c r="N264" s="2054"/>
      <c r="O264" s="2054"/>
      <c r="P264" s="2095"/>
      <c r="Q264" s="2054"/>
      <c r="R264" s="2054"/>
      <c r="S264" s="2054"/>
      <c r="T264" s="2054"/>
      <c r="U264" s="2054"/>
      <c r="V264" s="2054"/>
      <c r="W264" s="2054"/>
      <c r="X264" s="2054"/>
      <c r="Y264" s="2054"/>
      <c r="Z264" s="2054"/>
      <c r="AA264" s="2054"/>
      <c r="AB264" s="2054"/>
      <c r="AC264" s="2054"/>
    </row>
    <row r="265" spans="1:29">
      <c r="A265" s="2054"/>
      <c r="B265" s="2054"/>
      <c r="C265" s="2054"/>
      <c r="D265" s="2054"/>
      <c r="E265" s="2054"/>
      <c r="F265" s="2054"/>
      <c r="G265" s="2054"/>
      <c r="H265" s="2054"/>
      <c r="I265" s="2054"/>
      <c r="J265" s="2054"/>
      <c r="K265" s="2055"/>
      <c r="L265" s="2056"/>
      <c r="M265" s="2054"/>
      <c r="N265" s="2054"/>
      <c r="O265" s="2054"/>
      <c r="P265" s="2095"/>
      <c r="Q265" s="2054"/>
      <c r="R265" s="2054"/>
      <c r="S265" s="2054"/>
      <c r="T265" s="2054"/>
      <c r="U265" s="2054"/>
      <c r="V265" s="2054"/>
      <c r="W265" s="2054"/>
      <c r="X265" s="2054"/>
      <c r="Y265" s="2054"/>
      <c r="Z265" s="2054"/>
      <c r="AA265" s="2054"/>
      <c r="AB265" s="2054"/>
      <c r="AC265" s="2054"/>
    </row>
    <row r="266" spans="1:29">
      <c r="A266" s="2054"/>
      <c r="B266" s="2054"/>
      <c r="C266" s="2054"/>
      <c r="D266" s="2054"/>
      <c r="E266" s="2054"/>
      <c r="F266" s="2054"/>
      <c r="G266" s="2054"/>
      <c r="H266" s="2054"/>
      <c r="I266" s="2054"/>
      <c r="J266" s="2054"/>
      <c r="K266" s="2055"/>
      <c r="L266" s="2056"/>
      <c r="M266" s="2054"/>
      <c r="N266" s="2054"/>
      <c r="O266" s="2054"/>
      <c r="P266" s="2095"/>
      <c r="Q266" s="2054"/>
      <c r="R266" s="2054"/>
      <c r="S266" s="2054"/>
      <c r="T266" s="2054"/>
      <c r="U266" s="2054"/>
      <c r="V266" s="2054"/>
      <c r="W266" s="2054"/>
      <c r="X266" s="2054"/>
      <c r="Y266" s="2054"/>
      <c r="Z266" s="2054"/>
      <c r="AA266" s="2054"/>
      <c r="AB266" s="2054"/>
      <c r="AC266" s="2054"/>
    </row>
    <row r="267" spans="1:29">
      <c r="A267" s="2054"/>
      <c r="B267" s="2054"/>
      <c r="C267" s="2054"/>
      <c r="D267" s="2054"/>
      <c r="E267" s="2054"/>
      <c r="F267" s="2054"/>
      <c r="G267" s="2054"/>
      <c r="H267" s="2054"/>
      <c r="I267" s="2054"/>
      <c r="J267" s="2054"/>
      <c r="K267" s="2055"/>
      <c r="L267" s="2056"/>
      <c r="M267" s="2054"/>
      <c r="N267" s="2054"/>
      <c r="O267" s="2054"/>
      <c r="P267" s="2095"/>
      <c r="Q267" s="2054"/>
      <c r="R267" s="2054"/>
      <c r="S267" s="2054"/>
      <c r="T267" s="2054"/>
      <c r="U267" s="2054"/>
      <c r="V267" s="2054"/>
      <c r="W267" s="2054"/>
      <c r="X267" s="2054"/>
      <c r="Y267" s="2054"/>
      <c r="Z267" s="2054"/>
      <c r="AA267" s="2054"/>
      <c r="AB267" s="2054"/>
      <c r="AC267" s="2054"/>
    </row>
    <row r="268" spans="1:29">
      <c r="A268" s="2054"/>
      <c r="B268" s="2054"/>
      <c r="C268" s="2054"/>
      <c r="D268" s="2054"/>
      <c r="E268" s="2054"/>
      <c r="F268" s="2054"/>
      <c r="G268" s="2054"/>
      <c r="H268" s="2054"/>
      <c r="I268" s="2054"/>
      <c r="J268" s="2054"/>
      <c r="K268" s="2055"/>
      <c r="L268" s="2056"/>
      <c r="M268" s="2054"/>
      <c r="N268" s="2054"/>
      <c r="O268" s="2054"/>
      <c r="P268" s="2095"/>
      <c r="Q268" s="2054"/>
      <c r="R268" s="2054"/>
      <c r="S268" s="2054"/>
      <c r="T268" s="2054"/>
      <c r="U268" s="2054"/>
      <c r="V268" s="2054"/>
      <c r="W268" s="2054"/>
      <c r="X268" s="2054"/>
      <c r="Y268" s="2054"/>
      <c r="Z268" s="2054"/>
      <c r="AA268" s="2054"/>
      <c r="AB268" s="2054"/>
      <c r="AC268" s="2054"/>
    </row>
    <row r="269" spans="1:29">
      <c r="A269" s="2054"/>
      <c r="B269" s="2054"/>
      <c r="C269" s="2054"/>
      <c r="D269" s="2054"/>
      <c r="E269" s="2054"/>
      <c r="F269" s="2054"/>
      <c r="G269" s="2054"/>
      <c r="H269" s="2054"/>
      <c r="I269" s="2054"/>
      <c r="J269" s="2054"/>
      <c r="K269" s="2055"/>
      <c r="L269" s="2056"/>
      <c r="M269" s="2054"/>
      <c r="N269" s="2054"/>
      <c r="O269" s="2054"/>
      <c r="P269" s="2095"/>
      <c r="Q269" s="2054"/>
      <c r="R269" s="2054"/>
      <c r="S269" s="2054"/>
      <c r="T269" s="2054"/>
      <c r="U269" s="2054"/>
      <c r="V269" s="2054"/>
      <c r="W269" s="2054"/>
      <c r="X269" s="2054"/>
      <c r="Y269" s="2054"/>
      <c r="Z269" s="2054"/>
      <c r="AA269" s="2054"/>
      <c r="AB269" s="2054"/>
      <c r="AC269" s="2054"/>
    </row>
    <row r="270" spans="1:29">
      <c r="A270" s="2054"/>
      <c r="B270" s="2054"/>
      <c r="C270" s="2054"/>
      <c r="D270" s="2054"/>
      <c r="E270" s="2054"/>
      <c r="F270" s="2054"/>
      <c r="G270" s="2054"/>
      <c r="H270" s="2054"/>
      <c r="I270" s="2054"/>
      <c r="J270" s="2054"/>
      <c r="K270" s="2055"/>
      <c r="L270" s="2056"/>
      <c r="M270" s="2054"/>
      <c r="N270" s="2054"/>
      <c r="O270" s="2054"/>
      <c r="P270" s="2095"/>
      <c r="Q270" s="2054"/>
      <c r="R270" s="2054"/>
      <c r="S270" s="2054"/>
      <c r="T270" s="2054"/>
      <c r="U270" s="2054"/>
      <c r="V270" s="2054"/>
      <c r="W270" s="2054"/>
      <c r="X270" s="2054"/>
      <c r="Y270" s="2054"/>
      <c r="Z270" s="2054"/>
      <c r="AA270" s="2054"/>
      <c r="AB270" s="2054"/>
      <c r="AC270" s="2054"/>
    </row>
    <row r="271" spans="1:29">
      <c r="A271" s="2054"/>
      <c r="B271" s="2054"/>
      <c r="C271" s="2054"/>
      <c r="D271" s="2054"/>
      <c r="E271" s="2054"/>
      <c r="F271" s="2054"/>
      <c r="G271" s="2054"/>
      <c r="H271" s="2054"/>
      <c r="I271" s="2054"/>
      <c r="J271" s="2054"/>
      <c r="K271" s="2055"/>
      <c r="L271" s="2056"/>
      <c r="M271" s="2054"/>
      <c r="N271" s="2054"/>
      <c r="O271" s="2054"/>
      <c r="P271" s="2095"/>
      <c r="Q271" s="2054"/>
      <c r="R271" s="2054"/>
      <c r="S271" s="2054"/>
      <c r="T271" s="2054"/>
      <c r="U271" s="2054"/>
      <c r="V271" s="2054"/>
      <c r="W271" s="2054"/>
      <c r="X271" s="2054"/>
      <c r="Y271" s="2054"/>
      <c r="Z271" s="2054"/>
      <c r="AA271" s="2054"/>
      <c r="AB271" s="2054"/>
      <c r="AC271" s="2054"/>
    </row>
    <row r="272" spans="1:29">
      <c r="A272" s="2054"/>
      <c r="B272" s="2054"/>
      <c r="C272" s="2054"/>
      <c r="D272" s="2054"/>
      <c r="E272" s="2054"/>
      <c r="F272" s="2054"/>
      <c r="G272" s="2054"/>
      <c r="H272" s="2054"/>
      <c r="I272" s="2054"/>
      <c r="J272" s="2054"/>
      <c r="K272" s="2055"/>
      <c r="L272" s="2056"/>
      <c r="M272" s="2054"/>
      <c r="N272" s="2054"/>
      <c r="O272" s="2054"/>
      <c r="P272" s="2095"/>
      <c r="Q272" s="2054"/>
      <c r="R272" s="2054"/>
      <c r="S272" s="2054"/>
      <c r="T272" s="2054"/>
      <c r="U272" s="2054"/>
      <c r="V272" s="2054"/>
      <c r="W272" s="2054"/>
      <c r="X272" s="2054"/>
      <c r="Y272" s="2054"/>
      <c r="Z272" s="2054"/>
      <c r="AA272" s="2054"/>
      <c r="AB272" s="2054"/>
      <c r="AC272" s="2054"/>
    </row>
    <row r="273" spans="1:29">
      <c r="A273" s="2054"/>
      <c r="B273" s="2054"/>
      <c r="C273" s="2054"/>
      <c r="D273" s="2054"/>
      <c r="E273" s="2054"/>
      <c r="F273" s="2054"/>
      <c r="G273" s="2054"/>
      <c r="H273" s="2054"/>
      <c r="I273" s="2054"/>
      <c r="J273" s="2054"/>
      <c r="K273" s="2055"/>
      <c r="L273" s="2056"/>
      <c r="M273" s="2054"/>
      <c r="N273" s="2054"/>
      <c r="O273" s="2054"/>
      <c r="P273" s="2095"/>
      <c r="Q273" s="2054"/>
      <c r="R273" s="2054"/>
      <c r="S273" s="2054"/>
      <c r="T273" s="2054"/>
      <c r="U273" s="2054"/>
      <c r="V273" s="2054"/>
      <c r="W273" s="2054"/>
      <c r="X273" s="2054"/>
      <c r="Y273" s="2054"/>
      <c r="Z273" s="2054"/>
      <c r="AA273" s="2054"/>
      <c r="AB273" s="2054"/>
      <c r="AC273" s="2054"/>
    </row>
    <row r="274" spans="1:29">
      <c r="A274" s="2054"/>
      <c r="B274" s="2054"/>
      <c r="C274" s="2054"/>
      <c r="D274" s="2054"/>
      <c r="E274" s="2054"/>
      <c r="F274" s="2054"/>
      <c r="G274" s="2054"/>
      <c r="H274" s="2054"/>
      <c r="I274" s="2054"/>
      <c r="J274" s="2054"/>
      <c r="K274" s="2055"/>
      <c r="L274" s="2056"/>
      <c r="M274" s="2054"/>
      <c r="N274" s="2054"/>
      <c r="O274" s="2054"/>
      <c r="P274" s="2095"/>
      <c r="Q274" s="2054"/>
      <c r="R274" s="2054"/>
      <c r="S274" s="2054"/>
      <c r="T274" s="2054"/>
      <c r="U274" s="2054"/>
      <c r="V274" s="2054"/>
      <c r="W274" s="2054"/>
      <c r="X274" s="2054"/>
      <c r="Y274" s="2054"/>
      <c r="Z274" s="2054"/>
      <c r="AA274" s="2054"/>
      <c r="AB274" s="2054"/>
      <c r="AC274" s="2054"/>
    </row>
    <row r="275" spans="1:29">
      <c r="A275" s="2054"/>
      <c r="B275" s="2054"/>
      <c r="C275" s="2054"/>
      <c r="D275" s="2054"/>
      <c r="E275" s="2054"/>
      <c r="F275" s="2054"/>
      <c r="G275" s="2054"/>
      <c r="H275" s="2054"/>
      <c r="I275" s="2054"/>
      <c r="J275" s="2054"/>
      <c r="K275" s="2055"/>
      <c r="L275" s="2056"/>
      <c r="M275" s="2054"/>
      <c r="N275" s="2054"/>
      <c r="O275" s="2054"/>
      <c r="P275" s="2095"/>
      <c r="Q275" s="2054"/>
      <c r="R275" s="2054"/>
      <c r="S275" s="2054"/>
      <c r="T275" s="2054"/>
      <c r="U275" s="2054"/>
      <c r="V275" s="2054"/>
      <c r="W275" s="2054"/>
      <c r="X275" s="2054"/>
      <c r="Y275" s="2054"/>
      <c r="Z275" s="2054"/>
      <c r="AA275" s="2054"/>
      <c r="AB275" s="2054"/>
      <c r="AC275" s="2054"/>
    </row>
    <row r="276" spans="1:29">
      <c r="A276" s="2054"/>
      <c r="B276" s="2054"/>
      <c r="C276" s="2054"/>
      <c r="D276" s="2054"/>
      <c r="E276" s="2054"/>
      <c r="F276" s="2054"/>
      <c r="G276" s="2054"/>
      <c r="H276" s="2054"/>
      <c r="I276" s="2054"/>
      <c r="J276" s="2054"/>
      <c r="K276" s="2055"/>
      <c r="L276" s="2056"/>
      <c r="M276" s="2054"/>
      <c r="N276" s="2054"/>
      <c r="O276" s="2054"/>
      <c r="P276" s="2095"/>
      <c r="Q276" s="2054"/>
      <c r="R276" s="2054"/>
      <c r="S276" s="2054"/>
      <c r="T276" s="2054"/>
      <c r="U276" s="2054"/>
      <c r="V276" s="2054"/>
      <c r="W276" s="2054"/>
      <c r="X276" s="2054"/>
      <c r="Y276" s="2054"/>
      <c r="Z276" s="2054"/>
      <c r="AA276" s="2054"/>
      <c r="AB276" s="2054"/>
      <c r="AC276" s="2054"/>
    </row>
    <row r="277" spans="1:29">
      <c r="A277" s="2054"/>
      <c r="B277" s="2054"/>
      <c r="C277" s="2054"/>
      <c r="D277" s="2054"/>
      <c r="E277" s="2054"/>
      <c r="F277" s="2054"/>
      <c r="G277" s="2054"/>
      <c r="H277" s="2054"/>
      <c r="I277" s="2054"/>
      <c r="J277" s="2054"/>
      <c r="K277" s="2055"/>
      <c r="L277" s="2056"/>
      <c r="M277" s="2054"/>
      <c r="N277" s="2054"/>
      <c r="O277" s="2054"/>
      <c r="P277" s="2095"/>
      <c r="Q277" s="2054"/>
      <c r="R277" s="2054"/>
      <c r="S277" s="2054"/>
      <c r="T277" s="2054"/>
      <c r="U277" s="2054"/>
      <c r="V277" s="2054"/>
      <c r="W277" s="2054"/>
      <c r="X277" s="2054"/>
      <c r="Y277" s="2054"/>
      <c r="Z277" s="2054"/>
      <c r="AA277" s="2054"/>
      <c r="AB277" s="2054"/>
      <c r="AC277" s="2054"/>
    </row>
    <row r="278" spans="1:29">
      <c r="A278" s="2054"/>
      <c r="B278" s="2054"/>
      <c r="C278" s="2054"/>
      <c r="D278" s="2054"/>
      <c r="E278" s="2054"/>
      <c r="F278" s="2054"/>
      <c r="G278" s="2054"/>
      <c r="H278" s="2054"/>
      <c r="I278" s="2054"/>
      <c r="J278" s="2054"/>
      <c r="K278" s="2055"/>
      <c r="L278" s="2056"/>
      <c r="M278" s="2054"/>
      <c r="N278" s="2054"/>
      <c r="O278" s="2054"/>
      <c r="P278" s="2095"/>
      <c r="Q278" s="2054"/>
      <c r="R278" s="2054"/>
      <c r="S278" s="2054"/>
      <c r="T278" s="2054"/>
      <c r="U278" s="2054"/>
      <c r="V278" s="2054"/>
      <c r="W278" s="2054"/>
      <c r="X278" s="2054"/>
      <c r="Y278" s="2054"/>
      <c r="Z278" s="2054"/>
      <c r="AA278" s="2054"/>
      <c r="AB278" s="2054"/>
      <c r="AC278" s="2054"/>
    </row>
    <row r="279" spans="1:29">
      <c r="A279" s="2054"/>
      <c r="B279" s="2054"/>
      <c r="C279" s="2054"/>
      <c r="D279" s="2054"/>
      <c r="E279" s="2054"/>
      <c r="F279" s="2054"/>
      <c r="G279" s="2054"/>
      <c r="H279" s="2054"/>
      <c r="I279" s="2054"/>
      <c r="J279" s="2054"/>
      <c r="K279" s="2055"/>
      <c r="L279" s="2056"/>
      <c r="M279" s="2054"/>
      <c r="N279" s="2054"/>
      <c r="O279" s="2054"/>
      <c r="P279" s="2095"/>
      <c r="Q279" s="2054"/>
      <c r="R279" s="2054"/>
      <c r="S279" s="2054"/>
      <c r="T279" s="2054"/>
      <c r="U279" s="2054"/>
      <c r="V279" s="2054"/>
      <c r="W279" s="2054"/>
      <c r="X279" s="2054"/>
      <c r="Y279" s="2054"/>
      <c r="Z279" s="2054"/>
      <c r="AA279" s="2054"/>
      <c r="AB279" s="2054"/>
      <c r="AC279" s="2054"/>
    </row>
    <row r="280" spans="1:29">
      <c r="A280" s="2054"/>
      <c r="B280" s="2054"/>
      <c r="C280" s="2054"/>
      <c r="D280" s="2054"/>
      <c r="E280" s="2054"/>
      <c r="F280" s="2054"/>
      <c r="G280" s="2054"/>
      <c r="H280" s="2054"/>
      <c r="I280" s="2054"/>
      <c r="J280" s="2054"/>
      <c r="K280" s="2055"/>
      <c r="L280" s="2056"/>
      <c r="M280" s="2054"/>
      <c r="N280" s="2054"/>
      <c r="O280" s="2054"/>
      <c r="P280" s="2095"/>
      <c r="Q280" s="2054"/>
      <c r="R280" s="2054"/>
      <c r="S280" s="2054"/>
      <c r="T280" s="2054"/>
      <c r="U280" s="2054"/>
      <c r="V280" s="2054"/>
      <c r="W280" s="2054"/>
      <c r="X280" s="2054"/>
      <c r="Y280" s="2054"/>
      <c r="Z280" s="2054"/>
      <c r="AA280" s="2054"/>
      <c r="AB280" s="2054"/>
      <c r="AC280" s="2054"/>
    </row>
    <row r="281" spans="1:29">
      <c r="A281" s="2054"/>
      <c r="B281" s="2054"/>
      <c r="C281" s="2054"/>
      <c r="D281" s="2054"/>
      <c r="E281" s="2054"/>
      <c r="F281" s="2054"/>
      <c r="G281" s="2054"/>
      <c r="H281" s="2054"/>
      <c r="I281" s="2054"/>
      <c r="J281" s="2054"/>
      <c r="K281" s="2055"/>
      <c r="L281" s="2056"/>
      <c r="M281" s="2054"/>
      <c r="N281" s="2054"/>
      <c r="O281" s="2054"/>
      <c r="P281" s="2095"/>
      <c r="Q281" s="2054"/>
      <c r="R281" s="2054"/>
      <c r="S281" s="2054"/>
      <c r="T281" s="2054"/>
      <c r="U281" s="2054"/>
      <c r="V281" s="2054"/>
      <c r="W281" s="2054"/>
      <c r="X281" s="2054"/>
      <c r="Y281" s="2054"/>
      <c r="Z281" s="2054"/>
      <c r="AA281" s="2054"/>
      <c r="AB281" s="2054"/>
      <c r="AC281" s="2054"/>
    </row>
    <row r="282" spans="1:29">
      <c r="A282" s="2054"/>
      <c r="B282" s="2054"/>
      <c r="C282" s="2054"/>
      <c r="D282" s="2054"/>
      <c r="E282" s="2054"/>
      <c r="F282" s="2054"/>
      <c r="G282" s="2054"/>
      <c r="H282" s="2054"/>
      <c r="I282" s="2054"/>
      <c r="J282" s="2054"/>
      <c r="K282" s="2055"/>
      <c r="L282" s="2056"/>
      <c r="M282" s="2054"/>
      <c r="N282" s="2054"/>
      <c r="O282" s="2054"/>
      <c r="P282" s="2095"/>
      <c r="Q282" s="2054"/>
      <c r="R282" s="2054"/>
      <c r="S282" s="2054"/>
      <c r="T282" s="2054"/>
      <c r="U282" s="2054"/>
      <c r="V282" s="2054"/>
      <c r="W282" s="2054"/>
      <c r="X282" s="2054"/>
      <c r="Y282" s="2054"/>
      <c r="Z282" s="2054"/>
      <c r="AA282" s="2054"/>
      <c r="AB282" s="2054"/>
      <c r="AC282" s="2054"/>
    </row>
    <row r="283" spans="1:29">
      <c r="A283" s="2054"/>
      <c r="B283" s="2054"/>
      <c r="C283" s="2054"/>
      <c r="D283" s="2054"/>
      <c r="E283" s="2054"/>
      <c r="F283" s="2054"/>
      <c r="G283" s="2054"/>
      <c r="H283" s="2054"/>
      <c r="I283" s="2054"/>
      <c r="J283" s="2054"/>
      <c r="K283" s="2055"/>
      <c r="L283" s="2056"/>
      <c r="M283" s="2054"/>
      <c r="N283" s="2054"/>
      <c r="O283" s="2054"/>
      <c r="P283" s="2095"/>
      <c r="Q283" s="2054"/>
      <c r="R283" s="2054"/>
      <c r="S283" s="2054"/>
      <c r="T283" s="2054"/>
      <c r="U283" s="2054"/>
      <c r="V283" s="2054"/>
      <c r="W283" s="2054"/>
      <c r="X283" s="2054"/>
      <c r="Y283" s="2054"/>
      <c r="Z283" s="2054"/>
      <c r="AA283" s="2054"/>
      <c r="AB283" s="2054"/>
      <c r="AC283" s="2054"/>
    </row>
    <row r="284" spans="1:29">
      <c r="A284" s="2054"/>
      <c r="B284" s="2054"/>
      <c r="C284" s="2054"/>
      <c r="D284" s="2054"/>
      <c r="E284" s="2054"/>
      <c r="F284" s="2054"/>
      <c r="G284" s="2054"/>
      <c r="H284" s="2054"/>
      <c r="I284" s="2054"/>
      <c r="J284" s="2054"/>
      <c r="K284" s="2055"/>
      <c r="L284" s="2056"/>
      <c r="M284" s="2054"/>
      <c r="N284" s="2054"/>
      <c r="O284" s="2054"/>
      <c r="P284" s="2095"/>
      <c r="Q284" s="2054"/>
      <c r="R284" s="2054"/>
      <c r="S284" s="2054"/>
      <c r="T284" s="2054"/>
      <c r="U284" s="2054"/>
      <c r="V284" s="2054"/>
      <c r="W284" s="2054"/>
      <c r="X284" s="2054"/>
      <c r="Y284" s="2054"/>
      <c r="Z284" s="2054"/>
      <c r="AA284" s="2054"/>
      <c r="AB284" s="2054"/>
      <c r="AC284" s="2054"/>
    </row>
    <row r="285" spans="1:29">
      <c r="A285" s="2054"/>
      <c r="B285" s="2054"/>
      <c r="C285" s="2054"/>
      <c r="D285" s="2054"/>
      <c r="E285" s="2054"/>
      <c r="F285" s="2054"/>
      <c r="G285" s="2054"/>
      <c r="H285" s="2054"/>
      <c r="I285" s="2054"/>
      <c r="J285" s="2054"/>
      <c r="K285" s="2055"/>
      <c r="L285" s="2056"/>
      <c r="M285" s="2054"/>
      <c r="N285" s="2054"/>
      <c r="O285" s="2054"/>
      <c r="P285" s="2095"/>
      <c r="Q285" s="2054"/>
      <c r="R285" s="2054"/>
      <c r="S285" s="2054"/>
      <c r="T285" s="2054"/>
      <c r="U285" s="2054"/>
      <c r="V285" s="2054"/>
      <c r="W285" s="2054"/>
      <c r="X285" s="2054"/>
      <c r="Y285" s="2054"/>
      <c r="Z285" s="2054"/>
      <c r="AA285" s="2054"/>
      <c r="AB285" s="2054"/>
      <c r="AC285" s="2054"/>
    </row>
    <row r="286" spans="1:29">
      <c r="A286" s="2054"/>
      <c r="B286" s="2054"/>
      <c r="C286" s="2054"/>
      <c r="D286" s="2054"/>
      <c r="E286" s="2054"/>
      <c r="F286" s="2054"/>
      <c r="G286" s="2054"/>
      <c r="H286" s="2054"/>
      <c r="I286" s="2054"/>
      <c r="J286" s="2054"/>
      <c r="K286" s="2055"/>
      <c r="L286" s="2056"/>
      <c r="M286" s="2054"/>
      <c r="N286" s="2054"/>
      <c r="O286" s="2054"/>
      <c r="P286" s="2095"/>
      <c r="Q286" s="2054"/>
      <c r="R286" s="2054"/>
      <c r="S286" s="2054"/>
      <c r="T286" s="2054"/>
      <c r="U286" s="2054"/>
      <c r="V286" s="2054"/>
      <c r="W286" s="2054"/>
      <c r="X286" s="2054"/>
      <c r="Y286" s="2054"/>
      <c r="Z286" s="2054"/>
      <c r="AA286" s="2054"/>
      <c r="AB286" s="2054"/>
      <c r="AC286" s="2054"/>
    </row>
    <row r="287" spans="1:29">
      <c r="A287" s="2054"/>
      <c r="B287" s="2054"/>
      <c r="C287" s="2054"/>
      <c r="D287" s="2054"/>
      <c r="E287" s="2054"/>
      <c r="F287" s="2054"/>
      <c r="G287" s="2054"/>
      <c r="H287" s="2054"/>
      <c r="I287" s="2054"/>
      <c r="J287" s="2054"/>
      <c r="K287" s="2055"/>
      <c r="L287" s="2056"/>
      <c r="M287" s="2054"/>
      <c r="N287" s="2054"/>
      <c r="O287" s="2054"/>
      <c r="P287" s="2095"/>
      <c r="Q287" s="2054"/>
      <c r="R287" s="2054"/>
      <c r="S287" s="2054"/>
      <c r="T287" s="2054"/>
      <c r="U287" s="2054"/>
      <c r="V287" s="2054"/>
      <c r="W287" s="2054"/>
      <c r="X287" s="2054"/>
      <c r="Y287" s="2054"/>
      <c r="Z287" s="2054"/>
      <c r="AA287" s="2054"/>
      <c r="AB287" s="2054"/>
      <c r="AC287" s="2054"/>
    </row>
    <row r="288" spans="1:29">
      <c r="A288" s="2054"/>
      <c r="B288" s="2054"/>
      <c r="C288" s="2054"/>
      <c r="D288" s="2054"/>
      <c r="E288" s="2054"/>
      <c r="F288" s="2054"/>
      <c r="G288" s="2054"/>
      <c r="H288" s="2054"/>
      <c r="I288" s="2054"/>
      <c r="J288" s="2054"/>
      <c r="K288" s="2055"/>
      <c r="L288" s="2056"/>
      <c r="M288" s="2054"/>
      <c r="N288" s="2054"/>
      <c r="O288" s="2054"/>
      <c r="P288" s="2095"/>
      <c r="Q288" s="2054"/>
      <c r="R288" s="2054"/>
      <c r="S288" s="2054"/>
      <c r="T288" s="2054"/>
      <c r="U288" s="2054"/>
      <c r="V288" s="2054"/>
      <c r="W288" s="2054"/>
      <c r="X288" s="2054"/>
      <c r="Y288" s="2054"/>
      <c r="Z288" s="2054"/>
      <c r="AA288" s="2054"/>
      <c r="AB288" s="2054"/>
      <c r="AC288" s="2054"/>
    </row>
    <row r="289" spans="1:29">
      <c r="A289" s="2054"/>
      <c r="B289" s="2054"/>
      <c r="C289" s="2054"/>
      <c r="D289" s="2054"/>
      <c r="E289" s="2054"/>
      <c r="F289" s="2054"/>
      <c r="G289" s="2054"/>
      <c r="H289" s="2054"/>
      <c r="I289" s="2054"/>
      <c r="J289" s="2054"/>
      <c r="K289" s="2055"/>
      <c r="L289" s="2056"/>
      <c r="M289" s="2054"/>
      <c r="N289" s="2054"/>
      <c r="O289" s="2054"/>
      <c r="P289" s="2095"/>
      <c r="Q289" s="2054"/>
      <c r="R289" s="2054"/>
      <c r="S289" s="2054"/>
      <c r="T289" s="2054"/>
      <c r="U289" s="2054"/>
      <c r="V289" s="2054"/>
      <c r="W289" s="2054"/>
      <c r="X289" s="2054"/>
      <c r="Y289" s="2054"/>
      <c r="Z289" s="2054"/>
      <c r="AA289" s="2054"/>
      <c r="AB289" s="2054"/>
      <c r="AC289" s="2054"/>
    </row>
    <row r="290" spans="1:29">
      <c r="A290" s="2054"/>
      <c r="B290" s="2054"/>
      <c r="C290" s="2054"/>
      <c r="D290" s="2054"/>
      <c r="E290" s="2054"/>
      <c r="F290" s="2054"/>
      <c r="G290" s="2054"/>
      <c r="H290" s="2054"/>
      <c r="I290" s="2054"/>
      <c r="J290" s="2054"/>
      <c r="K290" s="2055"/>
      <c r="L290" s="2056"/>
      <c r="M290" s="2054"/>
      <c r="N290" s="2054"/>
      <c r="O290" s="2054"/>
      <c r="P290" s="2095"/>
      <c r="Q290" s="2054"/>
      <c r="R290" s="2054"/>
      <c r="S290" s="2054"/>
      <c r="T290" s="2054"/>
      <c r="U290" s="2054"/>
      <c r="V290" s="2054"/>
      <c r="W290" s="2054"/>
      <c r="X290" s="2054"/>
      <c r="Y290" s="2054"/>
      <c r="Z290" s="2054"/>
      <c r="AA290" s="2054"/>
      <c r="AB290" s="2054"/>
      <c r="AC290" s="2054"/>
    </row>
    <row r="291" spans="1:29">
      <c r="A291" s="2054"/>
      <c r="B291" s="2054"/>
      <c r="C291" s="2054"/>
      <c r="D291" s="2054"/>
      <c r="E291" s="2054"/>
      <c r="F291" s="2054"/>
      <c r="G291" s="2054"/>
      <c r="H291" s="2054"/>
      <c r="I291" s="2054"/>
      <c r="J291" s="2054"/>
      <c r="K291" s="2055"/>
      <c r="L291" s="2056"/>
      <c r="M291" s="2054"/>
      <c r="N291" s="2054"/>
      <c r="O291" s="2054"/>
      <c r="P291" s="2095"/>
      <c r="Q291" s="2054"/>
      <c r="R291" s="2054"/>
      <c r="S291" s="2054"/>
      <c r="T291" s="2054"/>
      <c r="U291" s="2054"/>
      <c r="V291" s="2054"/>
      <c r="W291" s="2054"/>
      <c r="X291" s="2054"/>
      <c r="Y291" s="2054"/>
      <c r="Z291" s="2054"/>
      <c r="AA291" s="2054"/>
      <c r="AB291" s="2054"/>
      <c r="AC291" s="2054"/>
    </row>
    <row r="292" spans="1:29">
      <c r="A292" s="2054"/>
      <c r="B292" s="2054"/>
      <c r="C292" s="2054"/>
      <c r="D292" s="2054"/>
      <c r="E292" s="2054"/>
      <c r="F292" s="2054"/>
      <c r="G292" s="2054"/>
      <c r="H292" s="2054"/>
      <c r="I292" s="2054"/>
      <c r="J292" s="2054"/>
      <c r="K292" s="2055"/>
      <c r="L292" s="2056"/>
      <c r="M292" s="2054"/>
      <c r="N292" s="2054"/>
      <c r="O292" s="2054"/>
      <c r="P292" s="2095"/>
      <c r="Q292" s="2054"/>
      <c r="R292" s="2054"/>
      <c r="S292" s="2054"/>
      <c r="T292" s="2054"/>
      <c r="U292" s="2054"/>
      <c r="V292" s="2054"/>
      <c r="W292" s="2054"/>
      <c r="X292" s="2054"/>
      <c r="Y292" s="2054"/>
      <c r="Z292" s="2054"/>
      <c r="AA292" s="2054"/>
      <c r="AB292" s="2054"/>
      <c r="AC292" s="2054"/>
    </row>
    <row r="293" spans="1:29">
      <c r="A293" s="2054"/>
      <c r="B293" s="2054"/>
      <c r="C293" s="2054"/>
      <c r="D293" s="2054"/>
      <c r="E293" s="2054"/>
      <c r="F293" s="2054"/>
      <c r="G293" s="2054"/>
      <c r="H293" s="2054"/>
      <c r="I293" s="2054"/>
      <c r="J293" s="2054"/>
      <c r="K293" s="2055"/>
      <c r="L293" s="2056"/>
      <c r="M293" s="2054"/>
      <c r="N293" s="2054"/>
      <c r="O293" s="2054"/>
      <c r="P293" s="2095"/>
      <c r="Q293" s="2054"/>
      <c r="R293" s="2054"/>
      <c r="S293" s="2054"/>
      <c r="T293" s="2054"/>
      <c r="U293" s="2054"/>
      <c r="V293" s="2054"/>
      <c r="W293" s="2054"/>
      <c r="X293" s="2054"/>
      <c r="Y293" s="2054"/>
      <c r="Z293" s="2054"/>
      <c r="AA293" s="2054"/>
      <c r="AB293" s="2054"/>
      <c r="AC293" s="2054"/>
    </row>
    <row r="294" spans="1:29">
      <c r="A294" s="2054"/>
      <c r="B294" s="2054"/>
      <c r="C294" s="2054"/>
      <c r="D294" s="2054"/>
      <c r="E294" s="2054"/>
      <c r="F294" s="2054"/>
      <c r="G294" s="2054"/>
      <c r="H294" s="2054"/>
      <c r="I294" s="2054"/>
      <c r="J294" s="2054"/>
      <c r="K294" s="2055"/>
      <c r="L294" s="2056"/>
      <c r="M294" s="2054"/>
      <c r="N294" s="2054"/>
      <c r="O294" s="2054"/>
      <c r="P294" s="2095"/>
      <c r="Q294" s="2054"/>
      <c r="R294" s="2054"/>
      <c r="S294" s="2054"/>
      <c r="T294" s="2054"/>
      <c r="U294" s="2054"/>
      <c r="V294" s="2054"/>
      <c r="W294" s="2054"/>
      <c r="X294" s="2054"/>
      <c r="Y294" s="2054"/>
      <c r="Z294" s="2054"/>
      <c r="AA294" s="2054"/>
      <c r="AB294" s="2054"/>
      <c r="AC294" s="2054"/>
    </row>
    <row r="295" spans="1:29">
      <c r="A295" s="2054"/>
      <c r="B295" s="2054"/>
      <c r="C295" s="2054"/>
      <c r="D295" s="2054"/>
      <c r="E295" s="2054"/>
      <c r="F295" s="2054"/>
      <c r="G295" s="2054"/>
      <c r="H295" s="2054"/>
      <c r="I295" s="2054"/>
      <c r="J295" s="2054"/>
      <c r="K295" s="2055"/>
      <c r="L295" s="2056"/>
      <c r="M295" s="2054"/>
      <c r="N295" s="2054"/>
      <c r="O295" s="2054"/>
      <c r="P295" s="2095"/>
      <c r="Q295" s="2054"/>
      <c r="R295" s="2054"/>
      <c r="S295" s="2054"/>
      <c r="T295" s="2054"/>
      <c r="U295" s="2054"/>
      <c r="V295" s="2054"/>
      <c r="W295" s="2054"/>
      <c r="X295" s="2054"/>
      <c r="Y295" s="2054"/>
      <c r="Z295" s="2054"/>
      <c r="AA295" s="2054"/>
      <c r="AB295" s="2054"/>
      <c r="AC295" s="2054"/>
    </row>
    <row r="296" spans="1:29">
      <c r="A296" s="2054"/>
      <c r="B296" s="2054"/>
      <c r="C296" s="2054"/>
      <c r="D296" s="2054"/>
      <c r="E296" s="2054"/>
      <c r="F296" s="2054"/>
      <c r="G296" s="2054"/>
      <c r="H296" s="2054"/>
      <c r="I296" s="2054"/>
      <c r="J296" s="2054"/>
      <c r="K296" s="2055"/>
      <c r="L296" s="2056"/>
      <c r="M296" s="2054"/>
      <c r="N296" s="2054"/>
      <c r="O296" s="2054"/>
      <c r="P296" s="2095"/>
      <c r="Q296" s="2054"/>
      <c r="R296" s="2054"/>
      <c r="S296" s="2054"/>
      <c r="T296" s="2054"/>
      <c r="U296" s="2054"/>
      <c r="V296" s="2054"/>
      <c r="W296" s="2054"/>
      <c r="X296" s="2054"/>
      <c r="Y296" s="2054"/>
      <c r="Z296" s="2054"/>
      <c r="AA296" s="2054"/>
      <c r="AB296" s="2054"/>
      <c r="AC296" s="2054"/>
    </row>
    <row r="297" spans="1:29">
      <c r="A297" s="2054"/>
      <c r="B297" s="2054"/>
      <c r="C297" s="2054"/>
      <c r="D297" s="2054"/>
      <c r="E297" s="2054"/>
      <c r="F297" s="2054"/>
      <c r="G297" s="2054"/>
      <c r="H297" s="2054"/>
      <c r="I297" s="2054"/>
      <c r="J297" s="2054"/>
      <c r="K297" s="2055"/>
      <c r="L297" s="2056"/>
      <c r="M297" s="2054"/>
      <c r="N297" s="2054"/>
      <c r="O297" s="2054"/>
      <c r="P297" s="2095"/>
      <c r="Q297" s="2054"/>
      <c r="R297" s="2054"/>
      <c r="S297" s="2054"/>
      <c r="T297" s="2054"/>
      <c r="U297" s="2054"/>
      <c r="V297" s="2054"/>
      <c r="W297" s="2054"/>
      <c r="X297" s="2054"/>
      <c r="Y297" s="2054"/>
      <c r="Z297" s="2054"/>
      <c r="AA297" s="2054"/>
      <c r="AB297" s="2054"/>
      <c r="AC297" s="2054"/>
    </row>
    <row r="298" spans="1:29">
      <c r="A298" s="2054"/>
      <c r="B298" s="2054"/>
      <c r="C298" s="2054"/>
      <c r="D298" s="2054"/>
      <c r="E298" s="2054"/>
      <c r="F298" s="2054"/>
      <c r="G298" s="2054"/>
      <c r="H298" s="2054"/>
      <c r="I298" s="2054"/>
      <c r="J298" s="2054"/>
      <c r="K298" s="2055"/>
      <c r="L298" s="2056"/>
      <c r="M298" s="2054"/>
      <c r="N298" s="2054"/>
      <c r="O298" s="2054"/>
      <c r="P298" s="2095"/>
      <c r="Q298" s="2054"/>
      <c r="R298" s="2054"/>
      <c r="S298" s="2054"/>
      <c r="T298" s="2054"/>
      <c r="U298" s="2054"/>
      <c r="V298" s="2054"/>
      <c r="W298" s="2054"/>
      <c r="X298" s="2054"/>
      <c r="Y298" s="2054"/>
      <c r="Z298" s="2054"/>
      <c r="AA298" s="2054"/>
      <c r="AB298" s="2054"/>
      <c r="AC298" s="2054"/>
    </row>
    <row r="299" spans="1:29">
      <c r="A299" s="2054"/>
      <c r="B299" s="2054"/>
      <c r="C299" s="2054"/>
      <c r="D299" s="2054"/>
      <c r="E299" s="2054"/>
      <c r="F299" s="2054"/>
      <c r="G299" s="2054"/>
      <c r="H299" s="2054"/>
      <c r="I299" s="2054"/>
      <c r="J299" s="2054"/>
      <c r="K299" s="2055"/>
      <c r="L299" s="2056"/>
      <c r="M299" s="2054"/>
      <c r="N299" s="2054"/>
      <c r="O299" s="2054"/>
      <c r="P299" s="2095"/>
      <c r="Q299" s="2054"/>
      <c r="R299" s="2054"/>
      <c r="S299" s="2054"/>
      <c r="T299" s="2054"/>
      <c r="U299" s="2054"/>
      <c r="V299" s="2054"/>
      <c r="W299" s="2054"/>
      <c r="X299" s="2054"/>
      <c r="Y299" s="2054"/>
      <c r="Z299" s="2054"/>
      <c r="AA299" s="2054"/>
      <c r="AB299" s="2054"/>
      <c r="AC299" s="2054"/>
    </row>
    <row r="300" spans="1:29">
      <c r="A300" s="2054"/>
      <c r="B300" s="2054"/>
      <c r="C300" s="2054"/>
      <c r="D300" s="2054"/>
      <c r="E300" s="2054"/>
      <c r="F300" s="2054"/>
      <c r="G300" s="2054"/>
      <c r="H300" s="2054"/>
      <c r="I300" s="2054"/>
      <c r="J300" s="2054"/>
      <c r="K300" s="2055"/>
      <c r="L300" s="2056"/>
      <c r="M300" s="2054"/>
      <c r="N300" s="2054"/>
      <c r="O300" s="2054"/>
      <c r="P300" s="2095"/>
      <c r="Q300" s="2054"/>
      <c r="R300" s="2054"/>
      <c r="S300" s="2054"/>
      <c r="T300" s="2054"/>
      <c r="U300" s="2054"/>
      <c r="V300" s="2054"/>
      <c r="W300" s="2054"/>
      <c r="X300" s="2054"/>
      <c r="Y300" s="2054"/>
      <c r="Z300" s="2054"/>
      <c r="AA300" s="2054"/>
      <c r="AB300" s="2054"/>
      <c r="AC300" s="2054"/>
    </row>
    <row r="301" spans="1:29">
      <c r="A301" s="2054"/>
      <c r="B301" s="2054"/>
      <c r="C301" s="2054"/>
      <c r="D301" s="2054"/>
      <c r="E301" s="2054"/>
      <c r="F301" s="2054"/>
      <c r="G301" s="2054"/>
      <c r="H301" s="2054"/>
      <c r="I301" s="2054"/>
      <c r="J301" s="2054"/>
      <c r="K301" s="2055"/>
      <c r="L301" s="2056"/>
      <c r="M301" s="2054"/>
      <c r="N301" s="2054"/>
      <c r="O301" s="2054"/>
      <c r="P301" s="2095"/>
      <c r="Q301" s="2054"/>
      <c r="R301" s="2054"/>
      <c r="S301" s="2054"/>
      <c r="T301" s="2054"/>
      <c r="U301" s="2054"/>
      <c r="V301" s="2054"/>
      <c r="W301" s="2054"/>
      <c r="X301" s="2054"/>
      <c r="Y301" s="2054"/>
      <c r="Z301" s="2054"/>
      <c r="AA301" s="2054"/>
      <c r="AB301" s="2054"/>
      <c r="AC301" s="2054"/>
    </row>
    <row r="302" spans="1:29">
      <c r="A302" s="2054"/>
      <c r="B302" s="2054"/>
      <c r="C302" s="2054"/>
      <c r="D302" s="2054"/>
      <c r="E302" s="2054"/>
      <c r="F302" s="2054"/>
      <c r="G302" s="2054"/>
      <c r="H302" s="2054"/>
      <c r="I302" s="2054"/>
      <c r="J302" s="2054"/>
      <c r="K302" s="2055"/>
      <c r="L302" s="2056"/>
      <c r="M302" s="2054"/>
      <c r="N302" s="2054"/>
      <c r="O302" s="2054"/>
      <c r="P302" s="2095"/>
      <c r="Q302" s="2054"/>
      <c r="R302" s="2054"/>
      <c r="S302" s="2054"/>
      <c r="T302" s="2054"/>
      <c r="U302" s="2054"/>
      <c r="V302" s="2054"/>
      <c r="W302" s="2054"/>
      <c r="X302" s="2054"/>
      <c r="Y302" s="2054"/>
      <c r="Z302" s="2054"/>
      <c r="AA302" s="2054"/>
      <c r="AB302" s="2054"/>
      <c r="AC302" s="2054"/>
    </row>
    <row r="303" spans="1:29">
      <c r="A303" s="2054"/>
      <c r="B303" s="2054"/>
      <c r="C303" s="2054"/>
      <c r="D303" s="2054"/>
      <c r="E303" s="2054"/>
      <c r="F303" s="2054"/>
      <c r="G303" s="2054"/>
      <c r="H303" s="2054"/>
      <c r="I303" s="2054"/>
      <c r="J303" s="2054"/>
      <c r="K303" s="2055"/>
      <c r="L303" s="2056"/>
      <c r="M303" s="2054"/>
      <c r="N303" s="2054"/>
      <c r="O303" s="2054"/>
      <c r="P303" s="2095"/>
      <c r="Q303" s="2054"/>
      <c r="R303" s="2054"/>
      <c r="S303" s="2054"/>
      <c r="T303" s="2054"/>
      <c r="U303" s="2054"/>
      <c r="V303" s="2054"/>
      <c r="W303" s="2054"/>
      <c r="X303" s="2054"/>
      <c r="Y303" s="2054"/>
      <c r="Z303" s="2054"/>
      <c r="AA303" s="2054"/>
      <c r="AB303" s="2054"/>
      <c r="AC303" s="2054"/>
    </row>
    <row r="304" spans="1:29">
      <c r="A304" s="2054"/>
      <c r="B304" s="2054"/>
      <c r="C304" s="2054"/>
      <c r="D304" s="2054"/>
      <c r="E304" s="2054"/>
      <c r="F304" s="2054"/>
      <c r="G304" s="2054"/>
      <c r="H304" s="2054"/>
      <c r="I304" s="2054"/>
      <c r="J304" s="2054"/>
      <c r="K304" s="2055"/>
      <c r="L304" s="2056"/>
      <c r="M304" s="2054"/>
      <c r="N304" s="2054"/>
      <c r="O304" s="2054"/>
      <c r="P304" s="2095"/>
      <c r="Q304" s="2054"/>
      <c r="R304" s="2054"/>
      <c r="S304" s="2054"/>
      <c r="T304" s="2054"/>
      <c r="U304" s="2054"/>
      <c r="V304" s="2054"/>
      <c r="W304" s="2054"/>
      <c r="X304" s="2054"/>
      <c r="Y304" s="2054"/>
      <c r="Z304" s="2054"/>
      <c r="AA304" s="2054"/>
      <c r="AB304" s="2054"/>
      <c r="AC304" s="2054"/>
    </row>
    <row r="305" spans="1:29">
      <c r="A305" s="2054"/>
      <c r="B305" s="2054"/>
      <c r="C305" s="2054"/>
      <c r="D305" s="2054"/>
      <c r="E305" s="2054"/>
      <c r="F305" s="2054"/>
      <c r="G305" s="2054"/>
      <c r="H305" s="2054"/>
      <c r="I305" s="2054"/>
      <c r="J305" s="2054"/>
      <c r="K305" s="2055"/>
      <c r="L305" s="2056"/>
      <c r="M305" s="2054"/>
      <c r="N305" s="2054"/>
      <c r="O305" s="2054"/>
      <c r="P305" s="2095"/>
      <c r="Q305" s="2054"/>
      <c r="R305" s="2054"/>
      <c r="S305" s="2054"/>
      <c r="T305" s="2054"/>
      <c r="U305" s="2054"/>
      <c r="V305" s="2054"/>
      <c r="W305" s="2054"/>
      <c r="X305" s="2054"/>
      <c r="Y305" s="2054"/>
      <c r="Z305" s="2054"/>
      <c r="AA305" s="2054"/>
      <c r="AB305" s="2054"/>
      <c r="AC305" s="2054"/>
    </row>
    <row r="306" spans="1:29">
      <c r="A306" s="2054"/>
      <c r="B306" s="2054"/>
      <c r="C306" s="2054"/>
      <c r="D306" s="2054"/>
      <c r="E306" s="2054"/>
      <c r="F306" s="2054"/>
      <c r="G306" s="2054"/>
      <c r="H306" s="2054"/>
      <c r="I306" s="2054"/>
      <c r="J306" s="2054"/>
      <c r="K306" s="2055"/>
      <c r="L306" s="2056"/>
      <c r="M306" s="2054"/>
      <c r="N306" s="2054"/>
      <c r="O306" s="2054"/>
      <c r="P306" s="2095"/>
      <c r="Q306" s="2054"/>
      <c r="R306" s="2054"/>
      <c r="S306" s="2054"/>
      <c r="T306" s="2054"/>
      <c r="U306" s="2054"/>
      <c r="V306" s="2054"/>
      <c r="W306" s="2054"/>
      <c r="X306" s="2054"/>
      <c r="Y306" s="2054"/>
      <c r="Z306" s="2054"/>
      <c r="AA306" s="2054"/>
      <c r="AB306" s="2054"/>
      <c r="AC306" s="2054"/>
    </row>
    <row r="307" spans="1:29">
      <c r="A307" s="2054"/>
      <c r="B307" s="2054"/>
      <c r="C307" s="2054"/>
      <c r="D307" s="2054"/>
      <c r="E307" s="2054"/>
      <c r="F307" s="2054"/>
      <c r="G307" s="2054"/>
      <c r="H307" s="2054"/>
      <c r="I307" s="2054"/>
      <c r="J307" s="2054"/>
      <c r="K307" s="2055"/>
      <c r="L307" s="2056"/>
      <c r="M307" s="2054"/>
      <c r="N307" s="2054"/>
      <c r="O307" s="2054"/>
      <c r="P307" s="2095"/>
      <c r="Q307" s="2054"/>
      <c r="R307" s="2054"/>
      <c r="S307" s="2054"/>
      <c r="T307" s="2054"/>
      <c r="U307" s="2054"/>
      <c r="V307" s="2054"/>
      <c r="W307" s="2054"/>
      <c r="X307" s="2054"/>
      <c r="Y307" s="2054"/>
      <c r="Z307" s="2054"/>
      <c r="AA307" s="2054"/>
      <c r="AB307" s="2054"/>
      <c r="AC307" s="2054"/>
    </row>
    <row r="308" spans="1:29">
      <c r="A308" s="2054"/>
      <c r="B308" s="2054"/>
      <c r="C308" s="2054"/>
      <c r="D308" s="2054"/>
      <c r="E308" s="2054"/>
      <c r="F308" s="2054"/>
      <c r="G308" s="2054"/>
      <c r="H308" s="2054"/>
      <c r="I308" s="2054"/>
      <c r="J308" s="2054"/>
      <c r="K308" s="2055"/>
      <c r="L308" s="2056"/>
      <c r="M308" s="2054"/>
      <c r="N308" s="2054"/>
      <c r="O308" s="2054"/>
      <c r="P308" s="2095"/>
      <c r="Q308" s="2054"/>
      <c r="R308" s="2054"/>
      <c r="S308" s="2054"/>
      <c r="T308" s="2054"/>
      <c r="U308" s="2054"/>
      <c r="V308" s="2054"/>
      <c r="W308" s="2054"/>
      <c r="X308" s="2054"/>
      <c r="Y308" s="2054"/>
      <c r="Z308" s="2054"/>
      <c r="AA308" s="2054"/>
      <c r="AB308" s="2054"/>
      <c r="AC308" s="2054"/>
    </row>
    <row r="309" spans="1:29">
      <c r="A309" s="2054"/>
      <c r="B309" s="2054"/>
      <c r="C309" s="2054"/>
      <c r="D309" s="2054"/>
      <c r="E309" s="2054"/>
      <c r="F309" s="2054"/>
      <c r="G309" s="2054"/>
      <c r="H309" s="2054"/>
      <c r="I309" s="2054"/>
      <c r="J309" s="2054"/>
      <c r="K309" s="2055"/>
      <c r="L309" s="2056"/>
      <c r="M309" s="2054"/>
      <c r="N309" s="2054"/>
      <c r="O309" s="2054"/>
      <c r="P309" s="2095"/>
      <c r="Q309" s="2054"/>
      <c r="R309" s="2054"/>
      <c r="S309" s="2054"/>
      <c r="T309" s="2054"/>
      <c r="U309" s="2054"/>
      <c r="V309" s="2054"/>
      <c r="W309" s="2054"/>
      <c r="X309" s="2054"/>
      <c r="Y309" s="2054"/>
      <c r="Z309" s="2054"/>
      <c r="AA309" s="2054"/>
      <c r="AB309" s="2054"/>
      <c r="AC309" s="2054"/>
    </row>
    <row r="310" spans="1:29">
      <c r="A310" s="2054"/>
      <c r="B310" s="2054"/>
      <c r="C310" s="2054"/>
      <c r="D310" s="2054"/>
      <c r="E310" s="2054"/>
      <c r="F310" s="2054"/>
      <c r="G310" s="2054"/>
      <c r="H310" s="2054"/>
      <c r="I310" s="2054"/>
      <c r="J310" s="2054"/>
      <c r="K310" s="2055"/>
      <c r="L310" s="2056"/>
      <c r="M310" s="2054"/>
      <c r="N310" s="2054"/>
      <c r="O310" s="2054"/>
      <c r="P310" s="2095"/>
      <c r="Q310" s="2054"/>
      <c r="R310" s="2054"/>
      <c r="S310" s="2054"/>
      <c r="T310" s="2054"/>
      <c r="U310" s="2054"/>
      <c r="V310" s="2054"/>
      <c r="W310" s="2054"/>
      <c r="X310" s="2054"/>
      <c r="Y310" s="2054"/>
      <c r="Z310" s="2054"/>
      <c r="AA310" s="2054"/>
      <c r="AB310" s="2054"/>
      <c r="AC310" s="2054"/>
    </row>
    <row r="311" spans="1:29">
      <c r="A311" s="2054"/>
      <c r="B311" s="2054"/>
      <c r="C311" s="2054"/>
      <c r="D311" s="2054"/>
      <c r="E311" s="2054"/>
      <c r="F311" s="2054"/>
      <c r="G311" s="2054"/>
      <c r="H311" s="2054"/>
      <c r="I311" s="2054"/>
      <c r="J311" s="2054"/>
      <c r="K311" s="2055"/>
      <c r="L311" s="2056"/>
      <c r="M311" s="2054"/>
      <c r="N311" s="2054"/>
      <c r="O311" s="2054"/>
      <c r="P311" s="2095"/>
      <c r="Q311" s="2054"/>
      <c r="R311" s="2054"/>
      <c r="S311" s="2054"/>
      <c r="T311" s="2054"/>
      <c r="U311" s="2054"/>
      <c r="V311" s="2054"/>
      <c r="W311" s="2054"/>
      <c r="X311" s="2054"/>
      <c r="Y311" s="2054"/>
      <c r="Z311" s="2054"/>
      <c r="AA311" s="2054"/>
      <c r="AB311" s="2054"/>
      <c r="AC311" s="2054"/>
    </row>
    <row r="312" spans="1:29">
      <c r="A312" s="2054"/>
      <c r="B312" s="2054"/>
      <c r="C312" s="2054"/>
      <c r="D312" s="2054"/>
      <c r="E312" s="2054"/>
      <c r="F312" s="2054"/>
      <c r="G312" s="2054"/>
      <c r="H312" s="2054"/>
      <c r="I312" s="2054"/>
      <c r="J312" s="2054"/>
      <c r="K312" s="2055"/>
      <c r="L312" s="2056"/>
      <c r="M312" s="2054"/>
      <c r="N312" s="2054"/>
      <c r="O312" s="2054"/>
      <c r="P312" s="2095"/>
      <c r="Q312" s="2054"/>
      <c r="R312" s="2054"/>
      <c r="S312" s="2054"/>
      <c r="T312" s="2054"/>
      <c r="U312" s="2054"/>
      <c r="V312" s="2054"/>
      <c r="W312" s="2054"/>
      <c r="X312" s="2054"/>
      <c r="Y312" s="2054"/>
      <c r="Z312" s="2054"/>
      <c r="AA312" s="2054"/>
      <c r="AB312" s="2054"/>
      <c r="AC312" s="2054"/>
    </row>
    <row r="313" spans="1:29">
      <c r="A313" s="2054"/>
      <c r="B313" s="2054"/>
      <c r="C313" s="2054"/>
      <c r="D313" s="2054"/>
      <c r="E313" s="2054"/>
      <c r="F313" s="2054"/>
      <c r="G313" s="2054"/>
      <c r="H313" s="2054"/>
      <c r="I313" s="2054"/>
      <c r="J313" s="2054"/>
      <c r="K313" s="2055"/>
      <c r="L313" s="2056"/>
      <c r="M313" s="2054"/>
      <c r="N313" s="2054"/>
      <c r="O313" s="2054"/>
      <c r="P313" s="2095"/>
      <c r="Q313" s="2054"/>
      <c r="R313" s="2054"/>
      <c r="S313" s="2054"/>
      <c r="T313" s="2054"/>
      <c r="U313" s="2054"/>
      <c r="V313" s="2054"/>
      <c r="W313" s="2054"/>
      <c r="X313" s="2054"/>
      <c r="Y313" s="2054"/>
      <c r="Z313" s="2054"/>
      <c r="AA313" s="2054"/>
      <c r="AB313" s="2054"/>
      <c r="AC313" s="2054"/>
    </row>
    <row r="314" spans="1:29">
      <c r="A314" s="2054"/>
      <c r="B314" s="2054"/>
      <c r="C314" s="2054"/>
      <c r="D314" s="2054"/>
      <c r="E314" s="2054"/>
      <c r="F314" s="2054"/>
      <c r="G314" s="2054"/>
      <c r="H314" s="2054"/>
      <c r="I314" s="2054"/>
      <c r="J314" s="2054"/>
      <c r="K314" s="2055"/>
      <c r="L314" s="2056"/>
      <c r="M314" s="2054"/>
      <c r="N314" s="2054"/>
      <c r="O314" s="2054"/>
      <c r="P314" s="2095"/>
      <c r="Q314" s="2054"/>
      <c r="R314" s="2054"/>
      <c r="S314" s="2054"/>
      <c r="T314" s="2054"/>
      <c r="U314" s="2054"/>
      <c r="V314" s="2054"/>
      <c r="W314" s="2054"/>
      <c r="X314" s="2054"/>
      <c r="Y314" s="2054"/>
      <c r="Z314" s="2054"/>
      <c r="AA314" s="2054"/>
      <c r="AB314" s="2054"/>
      <c r="AC314" s="2054"/>
    </row>
    <row r="315" spans="1:29">
      <c r="A315" s="2054"/>
      <c r="B315" s="2054"/>
      <c r="C315" s="2054"/>
      <c r="D315" s="2054"/>
      <c r="E315" s="2054"/>
      <c r="F315" s="2054"/>
      <c r="G315" s="2054"/>
      <c r="H315" s="2054"/>
      <c r="I315" s="2054"/>
      <c r="J315" s="2054"/>
      <c r="K315" s="2055"/>
      <c r="L315" s="2056"/>
      <c r="M315" s="2054"/>
      <c r="N315" s="2054"/>
      <c r="O315" s="2054"/>
      <c r="P315" s="2095"/>
      <c r="Q315" s="2054"/>
      <c r="R315" s="2054"/>
      <c r="S315" s="2054"/>
      <c r="T315" s="2054"/>
      <c r="U315" s="2054"/>
      <c r="V315" s="2054"/>
      <c r="W315" s="2054"/>
      <c r="X315" s="2054"/>
      <c r="Y315" s="2054"/>
      <c r="Z315" s="2054"/>
      <c r="AA315" s="2054"/>
      <c r="AB315" s="2054"/>
      <c r="AC315" s="2054"/>
    </row>
    <row r="316" spans="1:29">
      <c r="A316" s="2054"/>
      <c r="B316" s="2054"/>
      <c r="C316" s="2054"/>
      <c r="D316" s="2054"/>
      <c r="E316" s="2054"/>
      <c r="F316" s="2054"/>
      <c r="G316" s="2054"/>
      <c r="H316" s="2054"/>
      <c r="I316" s="2054"/>
      <c r="J316" s="2054"/>
      <c r="K316" s="2055"/>
      <c r="L316" s="2056"/>
      <c r="M316" s="2054"/>
      <c r="N316" s="2054"/>
      <c r="O316" s="2054"/>
      <c r="P316" s="2095"/>
      <c r="Q316" s="2054"/>
      <c r="R316" s="2054"/>
      <c r="S316" s="2054"/>
      <c r="T316" s="2054"/>
      <c r="U316" s="2054"/>
      <c r="V316" s="2054"/>
      <c r="W316" s="2054"/>
      <c r="X316" s="2054"/>
      <c r="Y316" s="2054"/>
      <c r="Z316" s="2054"/>
      <c r="AA316" s="2054"/>
      <c r="AB316" s="2054"/>
      <c r="AC316" s="2054"/>
    </row>
    <row r="317" spans="1:29">
      <c r="A317" s="2054"/>
      <c r="B317" s="2054"/>
      <c r="C317" s="2054"/>
      <c r="D317" s="2054"/>
      <c r="E317" s="2054"/>
      <c r="F317" s="2054"/>
      <c r="G317" s="2054"/>
      <c r="H317" s="2054"/>
      <c r="I317" s="2054"/>
      <c r="J317" s="2054"/>
      <c r="K317" s="2055"/>
      <c r="L317" s="2056"/>
      <c r="M317" s="2054"/>
      <c r="N317" s="2054"/>
      <c r="O317" s="2054"/>
      <c r="P317" s="2095"/>
      <c r="Q317" s="2054"/>
      <c r="R317" s="2054"/>
      <c r="S317" s="2054"/>
      <c r="T317" s="2054"/>
      <c r="U317" s="2054"/>
      <c r="V317" s="2054"/>
      <c r="W317" s="2054"/>
      <c r="X317" s="2054"/>
      <c r="Y317" s="2054"/>
      <c r="Z317" s="2054"/>
      <c r="AA317" s="2054"/>
      <c r="AB317" s="2054"/>
      <c r="AC317" s="2054"/>
    </row>
    <row r="318" spans="1:29">
      <c r="A318" s="2054"/>
      <c r="B318" s="2054"/>
      <c r="C318" s="2054"/>
      <c r="D318" s="2054"/>
      <c r="E318" s="2054"/>
      <c r="F318" s="2054"/>
      <c r="G318" s="2054"/>
      <c r="H318" s="2054"/>
      <c r="I318" s="2054"/>
      <c r="J318" s="2054"/>
      <c r="K318" s="2055"/>
      <c r="L318" s="2056"/>
      <c r="M318" s="2054"/>
      <c r="N318" s="2054"/>
      <c r="O318" s="2054"/>
      <c r="P318" s="2095"/>
      <c r="Q318" s="2054"/>
      <c r="R318" s="2054"/>
      <c r="S318" s="2054"/>
      <c r="T318" s="2054"/>
      <c r="U318" s="2054"/>
      <c r="V318" s="2054"/>
      <c r="W318" s="2054"/>
      <c r="X318" s="2054"/>
      <c r="Y318" s="2054"/>
      <c r="Z318" s="2054"/>
      <c r="AA318" s="2054"/>
      <c r="AB318" s="2054"/>
      <c r="AC318" s="2054"/>
    </row>
    <row r="319" spans="1:29">
      <c r="A319" s="2054"/>
      <c r="B319" s="2054"/>
      <c r="C319" s="2054"/>
      <c r="D319" s="2054"/>
      <c r="E319" s="2054"/>
      <c r="F319" s="2054"/>
      <c r="G319" s="2054"/>
      <c r="H319" s="2054"/>
      <c r="I319" s="2054"/>
      <c r="J319" s="2054"/>
      <c r="K319" s="2055"/>
      <c r="L319" s="2056"/>
      <c r="M319" s="2054"/>
      <c r="N319" s="2054"/>
      <c r="O319" s="2054"/>
      <c r="P319" s="2095"/>
      <c r="Q319" s="2054"/>
      <c r="R319" s="2054"/>
      <c r="S319" s="2054"/>
      <c r="T319" s="2054"/>
      <c r="U319" s="2054"/>
      <c r="V319" s="2054"/>
      <c r="W319" s="2054"/>
      <c r="X319" s="2054"/>
      <c r="Y319" s="2054"/>
      <c r="Z319" s="2054"/>
      <c r="AA319" s="2054"/>
      <c r="AB319" s="2054"/>
      <c r="AC319" s="2054"/>
    </row>
    <row r="320" spans="1:29">
      <c r="A320" s="2054"/>
      <c r="B320" s="2054"/>
      <c r="C320" s="2054"/>
      <c r="D320" s="2054"/>
      <c r="E320" s="2054"/>
      <c r="F320" s="2054"/>
      <c r="G320" s="2054"/>
      <c r="H320" s="2054"/>
      <c r="I320" s="2054"/>
      <c r="J320" s="2054"/>
      <c r="K320" s="2055"/>
      <c r="L320" s="2056"/>
      <c r="M320" s="2054"/>
      <c r="N320" s="2054"/>
      <c r="O320" s="2054"/>
      <c r="P320" s="2095"/>
      <c r="Q320" s="2054"/>
      <c r="R320" s="2054"/>
      <c r="S320" s="2054"/>
      <c r="T320" s="2054"/>
      <c r="U320" s="2054"/>
      <c r="V320" s="2054"/>
      <c r="W320" s="2054"/>
      <c r="X320" s="2054"/>
      <c r="Y320" s="2054"/>
      <c r="Z320" s="2054"/>
      <c r="AA320" s="2054"/>
      <c r="AB320" s="2054"/>
      <c r="AC320" s="2054"/>
    </row>
    <row r="321" spans="1:29">
      <c r="A321" s="2054"/>
      <c r="B321" s="2054"/>
      <c r="C321" s="2054"/>
      <c r="D321" s="2054"/>
      <c r="E321" s="2054"/>
      <c r="F321" s="2054"/>
      <c r="G321" s="2054"/>
      <c r="H321" s="2054"/>
      <c r="I321" s="2054"/>
      <c r="J321" s="2054"/>
      <c r="K321" s="2055"/>
      <c r="L321" s="2056"/>
      <c r="M321" s="2054"/>
      <c r="N321" s="2054"/>
      <c r="O321" s="2054"/>
      <c r="P321" s="2095"/>
      <c r="Q321" s="2054"/>
      <c r="R321" s="2054"/>
      <c r="S321" s="2054"/>
      <c r="T321" s="2054"/>
      <c r="U321" s="2054"/>
      <c r="V321" s="2054"/>
      <c r="W321" s="2054"/>
      <c r="X321" s="2054"/>
      <c r="Y321" s="2054"/>
      <c r="Z321" s="2054"/>
      <c r="AA321" s="2054"/>
      <c r="AB321" s="2054"/>
      <c r="AC321" s="2054"/>
    </row>
    <row r="322" spans="1:29">
      <c r="A322" s="2054"/>
      <c r="B322" s="2054"/>
      <c r="C322" s="2054"/>
      <c r="D322" s="2054"/>
      <c r="E322" s="2054"/>
      <c r="F322" s="2054"/>
      <c r="G322" s="2054"/>
      <c r="H322" s="2054"/>
      <c r="I322" s="2054"/>
      <c r="J322" s="2054"/>
      <c r="K322" s="2055"/>
      <c r="L322" s="2056"/>
      <c r="M322" s="2054"/>
      <c r="N322" s="2054"/>
      <c r="O322" s="2054"/>
      <c r="P322" s="2095"/>
      <c r="Q322" s="2054"/>
      <c r="R322" s="2054"/>
      <c r="S322" s="2054"/>
      <c r="T322" s="2054"/>
      <c r="U322" s="2054"/>
      <c r="V322" s="2054"/>
      <c r="W322" s="2054"/>
      <c r="X322" s="2054"/>
      <c r="Y322" s="2054"/>
      <c r="Z322" s="2054"/>
      <c r="AA322" s="2054"/>
      <c r="AB322" s="2054"/>
      <c r="AC322" s="2054"/>
    </row>
    <row r="323" spans="1:29">
      <c r="A323" s="2054"/>
      <c r="B323" s="2054"/>
      <c r="C323" s="2054"/>
      <c r="D323" s="2054"/>
      <c r="E323" s="2054"/>
      <c r="F323" s="2054"/>
      <c r="G323" s="2054"/>
      <c r="H323" s="2054"/>
      <c r="I323" s="2054"/>
      <c r="J323" s="2054"/>
      <c r="K323" s="2055"/>
      <c r="L323" s="2056"/>
      <c r="M323" s="2054"/>
      <c r="N323" s="2054"/>
      <c r="O323" s="2054"/>
      <c r="P323" s="2095"/>
      <c r="Q323" s="2054"/>
      <c r="R323" s="2054"/>
      <c r="S323" s="2054"/>
      <c r="T323" s="2054"/>
      <c r="U323" s="2054"/>
      <c r="V323" s="2054"/>
      <c r="W323" s="2054"/>
      <c r="X323" s="2054"/>
      <c r="Y323" s="2054"/>
      <c r="Z323" s="2054"/>
      <c r="AA323" s="2054"/>
      <c r="AB323" s="2054"/>
      <c r="AC323" s="2054"/>
    </row>
    <row r="324" spans="1:29">
      <c r="A324" s="2054"/>
      <c r="B324" s="2054"/>
      <c r="C324" s="2054"/>
      <c r="D324" s="2054"/>
      <c r="E324" s="2054"/>
      <c r="F324" s="2054"/>
      <c r="G324" s="2054"/>
      <c r="H324" s="2054"/>
      <c r="I324" s="2054"/>
      <c r="J324" s="2054"/>
      <c r="K324" s="2055"/>
      <c r="L324" s="2056"/>
      <c r="M324" s="2054"/>
      <c r="N324" s="2054"/>
      <c r="O324" s="2054"/>
      <c r="P324" s="2095"/>
      <c r="Q324" s="2054"/>
      <c r="R324" s="2054"/>
      <c r="S324" s="2054"/>
      <c r="T324" s="2054"/>
      <c r="U324" s="2054"/>
      <c r="V324" s="2054"/>
      <c r="W324" s="2054"/>
      <c r="X324" s="2054"/>
      <c r="Y324" s="2054"/>
      <c r="Z324" s="2054"/>
      <c r="AA324" s="2054"/>
      <c r="AB324" s="2054"/>
      <c r="AC324" s="2054"/>
    </row>
    <row r="325" spans="1:29">
      <c r="A325" s="2054"/>
      <c r="B325" s="2054"/>
      <c r="C325" s="2054"/>
      <c r="D325" s="2054"/>
      <c r="E325" s="2054"/>
      <c r="F325" s="2054"/>
      <c r="G325" s="2054"/>
      <c r="H325" s="2054"/>
      <c r="I325" s="2054"/>
      <c r="J325" s="2054"/>
      <c r="K325" s="2055"/>
      <c r="L325" s="2056"/>
      <c r="M325" s="2054"/>
      <c r="N325" s="2054"/>
      <c r="O325" s="2054"/>
      <c r="P325" s="2095"/>
      <c r="Q325" s="2054"/>
      <c r="R325" s="2054"/>
      <c r="S325" s="2054"/>
      <c r="T325" s="2054"/>
      <c r="U325" s="2054"/>
      <c r="V325" s="2054"/>
      <c r="W325" s="2054"/>
      <c r="X325" s="2054"/>
      <c r="Y325" s="2054"/>
      <c r="Z325" s="2054"/>
      <c r="AA325" s="2054"/>
      <c r="AB325" s="2054"/>
      <c r="AC325" s="2054"/>
    </row>
    <row r="326" spans="1:29">
      <c r="A326" s="2054"/>
      <c r="B326" s="2054"/>
      <c r="C326" s="2054"/>
      <c r="D326" s="2054"/>
      <c r="E326" s="2054"/>
      <c r="F326" s="2054"/>
      <c r="G326" s="2054"/>
      <c r="H326" s="2054"/>
      <c r="I326" s="2054"/>
      <c r="J326" s="2054"/>
      <c r="K326" s="2055"/>
      <c r="L326" s="2056"/>
      <c r="M326" s="2054"/>
      <c r="N326" s="2054"/>
      <c r="O326" s="2054"/>
      <c r="P326" s="2095"/>
      <c r="Q326" s="2054"/>
      <c r="R326" s="2054"/>
      <c r="S326" s="2054"/>
      <c r="T326" s="2054"/>
      <c r="U326" s="2054"/>
      <c r="V326" s="2054"/>
      <c r="W326" s="2054"/>
      <c r="X326" s="2054"/>
      <c r="Y326" s="2054"/>
      <c r="Z326" s="2054"/>
      <c r="AA326" s="2054"/>
      <c r="AB326" s="2054"/>
      <c r="AC326" s="2054"/>
    </row>
    <row r="327" spans="1:29">
      <c r="A327" s="2054"/>
      <c r="B327" s="2054"/>
      <c r="C327" s="2054"/>
      <c r="D327" s="2054"/>
      <c r="E327" s="2054"/>
      <c r="F327" s="2054"/>
      <c r="G327" s="2054"/>
      <c r="H327" s="2054"/>
      <c r="I327" s="2054"/>
      <c r="J327" s="2054"/>
      <c r="K327" s="2055"/>
      <c r="L327" s="2056"/>
      <c r="M327" s="2054"/>
      <c r="N327" s="2054"/>
      <c r="O327" s="2054"/>
      <c r="P327" s="2095"/>
      <c r="Q327" s="2054"/>
      <c r="R327" s="2054"/>
      <c r="S327" s="2054"/>
      <c r="T327" s="2054"/>
      <c r="U327" s="2054"/>
      <c r="V327" s="2054"/>
      <c r="W327" s="2054"/>
      <c r="X327" s="2054"/>
      <c r="Y327" s="2054"/>
      <c r="Z327" s="2054"/>
      <c r="AA327" s="2054"/>
      <c r="AB327" s="2054"/>
      <c r="AC327" s="2054"/>
    </row>
    <row r="328" spans="1:29">
      <c r="A328" s="2054"/>
      <c r="B328" s="2054"/>
      <c r="C328" s="2054"/>
      <c r="D328" s="2054"/>
      <c r="E328" s="2054"/>
      <c r="F328" s="2054"/>
      <c r="G328" s="2054"/>
      <c r="H328" s="2054"/>
      <c r="I328" s="2054"/>
      <c r="J328" s="2054"/>
      <c r="K328" s="2055"/>
      <c r="L328" s="2056"/>
      <c r="M328" s="2054"/>
      <c r="N328" s="2054"/>
      <c r="O328" s="2054"/>
      <c r="P328" s="2095"/>
      <c r="Q328" s="2054"/>
      <c r="R328" s="2054"/>
      <c r="S328" s="2054"/>
      <c r="T328" s="2054"/>
      <c r="U328" s="2054"/>
      <c r="V328" s="2054"/>
      <c r="W328" s="2054"/>
      <c r="X328" s="2054"/>
      <c r="Y328" s="2054"/>
      <c r="Z328" s="2054"/>
      <c r="AA328" s="2054"/>
      <c r="AB328" s="2054"/>
      <c r="AC328" s="2054"/>
    </row>
    <row r="329" spans="1:29">
      <c r="A329" s="2054"/>
      <c r="B329" s="2054"/>
      <c r="C329" s="2054"/>
      <c r="D329" s="2054"/>
      <c r="E329" s="2054"/>
      <c r="F329" s="2054"/>
      <c r="G329" s="2054"/>
      <c r="H329" s="2054"/>
      <c r="I329" s="2054"/>
      <c r="J329" s="2054"/>
      <c r="K329" s="2055"/>
      <c r="L329" s="2056"/>
      <c r="M329" s="2054"/>
      <c r="N329" s="2054"/>
      <c r="O329" s="2054"/>
      <c r="P329" s="2095"/>
      <c r="Q329" s="2054"/>
      <c r="R329" s="2054"/>
      <c r="S329" s="2054"/>
      <c r="T329" s="2054"/>
      <c r="U329" s="2054"/>
      <c r="V329" s="2054"/>
      <c r="W329" s="2054"/>
      <c r="X329" s="2054"/>
      <c r="Y329" s="2054"/>
      <c r="Z329" s="2054"/>
      <c r="AA329" s="2054"/>
      <c r="AB329" s="2054"/>
      <c r="AC329" s="2054"/>
    </row>
    <row r="330" spans="1:29">
      <c r="A330" s="2054"/>
      <c r="B330" s="2054"/>
      <c r="C330" s="2054"/>
      <c r="D330" s="2054"/>
      <c r="E330" s="2054"/>
      <c r="F330" s="2054"/>
      <c r="G330" s="2054"/>
      <c r="H330" s="2054"/>
      <c r="I330" s="2054"/>
      <c r="J330" s="2054"/>
      <c r="K330" s="2055"/>
      <c r="L330" s="2056"/>
      <c r="M330" s="2054"/>
      <c r="N330" s="2054"/>
      <c r="O330" s="2054"/>
      <c r="P330" s="2095"/>
      <c r="Q330" s="2054"/>
      <c r="R330" s="2054"/>
      <c r="S330" s="2054"/>
      <c r="T330" s="2054"/>
      <c r="U330" s="2054"/>
      <c r="V330" s="2054"/>
      <c r="W330" s="2054"/>
      <c r="X330" s="2054"/>
      <c r="Y330" s="2054"/>
      <c r="Z330" s="2054"/>
      <c r="AA330" s="2054"/>
      <c r="AB330" s="2054"/>
      <c r="AC330" s="2054"/>
    </row>
    <row r="331" spans="1:29">
      <c r="A331" s="2054"/>
      <c r="B331" s="2054"/>
      <c r="C331" s="2054"/>
      <c r="D331" s="2054"/>
      <c r="E331" s="2054"/>
      <c r="F331" s="2054"/>
      <c r="G331" s="2054"/>
      <c r="H331" s="2054"/>
      <c r="I331" s="2054"/>
      <c r="J331" s="2054"/>
      <c r="K331" s="2055"/>
      <c r="L331" s="2056"/>
      <c r="M331" s="2054"/>
      <c r="N331" s="2054"/>
      <c r="O331" s="2054"/>
      <c r="P331" s="2095"/>
      <c r="Q331" s="2054"/>
      <c r="R331" s="2054"/>
      <c r="S331" s="2054"/>
      <c r="T331" s="2054"/>
      <c r="U331" s="2054"/>
      <c r="V331" s="2054"/>
      <c r="W331" s="2054"/>
      <c r="X331" s="2054"/>
      <c r="Y331" s="2054"/>
      <c r="Z331" s="2054"/>
      <c r="AA331" s="2054"/>
      <c r="AB331" s="2054"/>
      <c r="AC331" s="2054"/>
    </row>
    <row r="332" spans="1:29">
      <c r="A332" s="2054"/>
      <c r="B332" s="2054"/>
      <c r="C332" s="2054"/>
      <c r="D332" s="2054"/>
      <c r="E332" s="2054"/>
      <c r="F332" s="2054"/>
      <c r="G332" s="2054"/>
      <c r="H332" s="2054"/>
      <c r="I332" s="2054"/>
      <c r="J332" s="2054"/>
      <c r="K332" s="2055"/>
      <c r="L332" s="2056"/>
      <c r="M332" s="2054"/>
      <c r="N332" s="2054"/>
      <c r="O332" s="2054"/>
      <c r="P332" s="2095"/>
      <c r="Q332" s="2054"/>
      <c r="R332" s="2054"/>
      <c r="S332" s="2054"/>
      <c r="T332" s="2054"/>
      <c r="U332" s="2054"/>
      <c r="V332" s="2054"/>
      <c r="W332" s="2054"/>
      <c r="X332" s="2054"/>
      <c r="Y332" s="2054"/>
      <c r="Z332" s="2054"/>
      <c r="AA332" s="2054"/>
      <c r="AB332" s="2054"/>
      <c r="AC332" s="2054"/>
    </row>
    <row r="333" spans="1:29">
      <c r="A333" s="2054"/>
      <c r="B333" s="2054"/>
      <c r="C333" s="2054"/>
      <c r="D333" s="2054"/>
      <c r="E333" s="2054"/>
      <c r="F333" s="2054"/>
      <c r="G333" s="2054"/>
      <c r="H333" s="2054"/>
      <c r="I333" s="2054"/>
      <c r="J333" s="2054"/>
      <c r="K333" s="2055"/>
      <c r="L333" s="2056"/>
      <c r="M333" s="2054"/>
      <c r="N333" s="2054"/>
      <c r="O333" s="2054"/>
      <c r="P333" s="2095"/>
      <c r="Q333" s="2054"/>
      <c r="R333" s="2054"/>
      <c r="S333" s="2054"/>
      <c r="T333" s="2054"/>
      <c r="U333" s="2054"/>
      <c r="V333" s="2054"/>
      <c r="W333" s="2054"/>
      <c r="X333" s="2054"/>
      <c r="Y333" s="2054"/>
      <c r="Z333" s="2054"/>
      <c r="AA333" s="2054"/>
      <c r="AB333" s="2054"/>
      <c r="AC333" s="2054"/>
    </row>
    <row r="334" spans="1:29">
      <c r="A334" s="2054"/>
      <c r="B334" s="2054"/>
      <c r="C334" s="2054"/>
      <c r="D334" s="2054"/>
      <c r="E334" s="2054"/>
      <c r="F334" s="2054"/>
      <c r="G334" s="2054"/>
      <c r="H334" s="2054"/>
      <c r="I334" s="2054"/>
      <c r="J334" s="2054"/>
      <c r="K334" s="2055"/>
      <c r="L334" s="2056"/>
      <c r="M334" s="2054"/>
      <c r="N334" s="2054"/>
      <c r="O334" s="2054"/>
      <c r="P334" s="2095"/>
      <c r="Q334" s="2054"/>
      <c r="R334" s="2054"/>
      <c r="S334" s="2054"/>
      <c r="T334" s="2054"/>
      <c r="U334" s="2054"/>
      <c r="V334" s="2054"/>
      <c r="W334" s="2054"/>
      <c r="X334" s="2054"/>
      <c r="Y334" s="2054"/>
      <c r="Z334" s="2054"/>
      <c r="AA334" s="2054"/>
      <c r="AB334" s="2054"/>
      <c r="AC334" s="2054"/>
    </row>
    <row r="335" spans="1:29">
      <c r="A335" s="2054"/>
      <c r="B335" s="2054"/>
      <c r="C335" s="2054"/>
      <c r="D335" s="2054"/>
      <c r="E335" s="2054"/>
      <c r="F335" s="2054"/>
      <c r="G335" s="2054"/>
      <c r="H335" s="2054"/>
      <c r="I335" s="2054"/>
      <c r="J335" s="2054"/>
      <c r="K335" s="2055"/>
      <c r="L335" s="2056"/>
      <c r="M335" s="2054"/>
      <c r="N335" s="2054"/>
      <c r="O335" s="2054"/>
      <c r="P335" s="2095"/>
      <c r="Q335" s="2054"/>
      <c r="R335" s="2054"/>
      <c r="S335" s="2054"/>
      <c r="T335" s="2054"/>
      <c r="U335" s="2054"/>
      <c r="V335" s="2054"/>
      <c r="W335" s="2054"/>
      <c r="X335" s="2054"/>
      <c r="Y335" s="2054"/>
      <c r="Z335" s="2054"/>
      <c r="AA335" s="2054"/>
      <c r="AB335" s="2054"/>
      <c r="AC335" s="2054"/>
    </row>
    <row r="336" spans="1:29">
      <c r="A336" s="2054"/>
      <c r="B336" s="2054"/>
      <c r="C336" s="2054"/>
      <c r="D336" s="2054"/>
      <c r="E336" s="2054"/>
      <c r="F336" s="2054"/>
      <c r="G336" s="2054"/>
      <c r="H336" s="2054"/>
      <c r="I336" s="2054"/>
      <c r="J336" s="2054"/>
      <c r="K336" s="2055"/>
      <c r="L336" s="2056"/>
      <c r="M336" s="2054"/>
      <c r="N336" s="2054"/>
      <c r="O336" s="2054"/>
      <c r="P336" s="2095"/>
      <c r="Q336" s="2054"/>
      <c r="R336" s="2054"/>
      <c r="S336" s="2054"/>
      <c r="T336" s="2054"/>
      <c r="U336" s="2054"/>
      <c r="V336" s="2054"/>
      <c r="W336" s="2054"/>
      <c r="X336" s="2054"/>
      <c r="Y336" s="2054"/>
      <c r="Z336" s="2054"/>
      <c r="AA336" s="2054"/>
      <c r="AB336" s="2054"/>
      <c r="AC336" s="2054"/>
    </row>
    <row r="337" spans="1:29">
      <c r="A337" s="2054"/>
      <c r="B337" s="2054"/>
      <c r="C337" s="2054"/>
      <c r="D337" s="2054"/>
      <c r="E337" s="2054"/>
      <c r="F337" s="2054"/>
      <c r="G337" s="2054"/>
      <c r="H337" s="2054"/>
      <c r="I337" s="2054"/>
      <c r="J337" s="2054"/>
      <c r="K337" s="2055"/>
      <c r="L337" s="2056"/>
      <c r="M337" s="2054"/>
      <c r="N337" s="2054"/>
      <c r="O337" s="2054"/>
      <c r="P337" s="2095"/>
      <c r="Q337" s="2054"/>
      <c r="R337" s="2054"/>
      <c r="S337" s="2054"/>
      <c r="T337" s="2054"/>
      <c r="U337" s="2054"/>
      <c r="V337" s="2054"/>
      <c r="W337" s="2054"/>
      <c r="X337" s="2054"/>
      <c r="Y337" s="2054"/>
      <c r="Z337" s="2054"/>
      <c r="AA337" s="2054"/>
      <c r="AB337" s="2054"/>
      <c r="AC337" s="2054"/>
    </row>
    <row r="338" spans="1:29">
      <c r="A338" s="2054"/>
      <c r="B338" s="2054"/>
      <c r="C338" s="2054"/>
      <c r="D338" s="2054"/>
      <c r="E338" s="2054"/>
      <c r="F338" s="2054"/>
      <c r="G338" s="2054"/>
      <c r="H338" s="2054"/>
      <c r="I338" s="2054"/>
      <c r="J338" s="2054"/>
      <c r="K338" s="2055"/>
      <c r="L338" s="2056"/>
      <c r="M338" s="2054"/>
      <c r="N338" s="2054"/>
      <c r="O338" s="2054"/>
      <c r="P338" s="2095"/>
      <c r="Q338" s="2054"/>
      <c r="R338" s="2054"/>
      <c r="S338" s="2054"/>
      <c r="T338" s="2054"/>
      <c r="U338" s="2054"/>
      <c r="V338" s="2054"/>
      <c r="W338" s="2054"/>
      <c r="X338" s="2054"/>
      <c r="Y338" s="2054"/>
      <c r="Z338" s="2054"/>
      <c r="AA338" s="2054"/>
      <c r="AB338" s="2054"/>
      <c r="AC338" s="2054"/>
    </row>
    <row r="339" spans="1:29">
      <c r="A339" s="2054"/>
      <c r="B339" s="2054"/>
      <c r="C339" s="2054"/>
      <c r="D339" s="2054"/>
      <c r="E339" s="2054"/>
      <c r="F339" s="2054"/>
      <c r="G339" s="2054"/>
      <c r="H339" s="2054"/>
      <c r="I339" s="2054"/>
      <c r="J339" s="2054"/>
      <c r="K339" s="2055"/>
      <c r="L339" s="2056"/>
      <c r="M339" s="2054"/>
      <c r="N339" s="2054"/>
      <c r="O339" s="2054"/>
      <c r="P339" s="2095"/>
      <c r="Q339" s="2054"/>
      <c r="R339" s="2054"/>
      <c r="S339" s="2054"/>
      <c r="T339" s="2054"/>
      <c r="U339" s="2054"/>
      <c r="V339" s="2054"/>
      <c r="W339" s="2054"/>
      <c r="X339" s="2054"/>
      <c r="Y339" s="2054"/>
      <c r="Z339" s="2054"/>
      <c r="AA339" s="2054"/>
      <c r="AB339" s="2054"/>
      <c r="AC339" s="2054"/>
    </row>
    <row r="340" spans="1:29">
      <c r="A340" s="2054"/>
      <c r="B340" s="2054"/>
      <c r="C340" s="2054"/>
      <c r="D340" s="2054"/>
      <c r="E340" s="2054"/>
      <c r="F340" s="2054"/>
      <c r="G340" s="2054"/>
      <c r="H340" s="2054"/>
      <c r="I340" s="2054"/>
      <c r="J340" s="2054"/>
      <c r="K340" s="2055"/>
      <c r="L340" s="2056"/>
      <c r="M340" s="2054"/>
      <c r="N340" s="2054"/>
      <c r="O340" s="2054"/>
      <c r="P340" s="2095"/>
      <c r="Q340" s="2054"/>
      <c r="R340" s="2054"/>
      <c r="S340" s="2054"/>
      <c r="T340" s="2054"/>
      <c r="U340" s="2054"/>
      <c r="V340" s="2054"/>
      <c r="W340" s="2054"/>
      <c r="X340" s="2054"/>
      <c r="Y340" s="2054"/>
      <c r="Z340" s="2054"/>
      <c r="AA340" s="2054"/>
      <c r="AB340" s="2054"/>
      <c r="AC340" s="2054"/>
    </row>
    <row r="341" spans="1:29">
      <c r="A341" s="2054"/>
      <c r="B341" s="2054"/>
      <c r="C341" s="2054"/>
      <c r="D341" s="2054"/>
      <c r="E341" s="2054"/>
      <c r="F341" s="2054"/>
      <c r="G341" s="2054"/>
      <c r="H341" s="2054"/>
      <c r="I341" s="2054"/>
      <c r="J341" s="2054"/>
      <c r="K341" s="2055"/>
      <c r="L341" s="2056"/>
      <c r="M341" s="2054"/>
      <c r="N341" s="2054"/>
      <c r="O341" s="2054"/>
      <c r="P341" s="2095"/>
      <c r="Q341" s="2054"/>
      <c r="R341" s="2054"/>
      <c r="S341" s="2054"/>
      <c r="T341" s="2054"/>
      <c r="U341" s="2054"/>
      <c r="V341" s="2054"/>
      <c r="W341" s="2054"/>
      <c r="X341" s="2054"/>
      <c r="Y341" s="2054"/>
      <c r="Z341" s="2054"/>
      <c r="AA341" s="2054"/>
      <c r="AB341" s="2054"/>
      <c r="AC341" s="2054"/>
    </row>
    <row r="342" spans="1:29">
      <c r="A342" s="2054"/>
      <c r="B342" s="2054"/>
      <c r="C342" s="2054"/>
      <c r="D342" s="2054"/>
      <c r="E342" s="2054"/>
      <c r="F342" s="2054"/>
      <c r="G342" s="2054"/>
      <c r="H342" s="2054"/>
      <c r="I342" s="2054"/>
      <c r="J342" s="2054"/>
      <c r="K342" s="2055"/>
      <c r="L342" s="2056"/>
      <c r="M342" s="2054"/>
      <c r="N342" s="2054"/>
      <c r="O342" s="2054"/>
      <c r="P342" s="2095"/>
      <c r="Q342" s="2054"/>
      <c r="R342" s="2054"/>
      <c r="S342" s="2054"/>
      <c r="T342" s="2054"/>
      <c r="U342" s="2054"/>
      <c r="V342" s="2054"/>
      <c r="W342" s="2054"/>
      <c r="X342" s="2054"/>
      <c r="Y342" s="2054"/>
      <c r="Z342" s="2054"/>
      <c r="AA342" s="2054"/>
      <c r="AB342" s="2054"/>
      <c r="AC342" s="2054"/>
    </row>
    <row r="343" spans="1:29">
      <c r="A343" s="2054"/>
      <c r="B343" s="2054"/>
      <c r="C343" s="2054"/>
      <c r="D343" s="2054"/>
      <c r="E343" s="2054"/>
      <c r="F343" s="2054"/>
      <c r="G343" s="2054"/>
      <c r="H343" s="2054"/>
      <c r="I343" s="2054"/>
      <c r="J343" s="2054"/>
      <c r="K343" s="2055"/>
      <c r="L343" s="2056"/>
      <c r="M343" s="2054"/>
      <c r="N343" s="2054"/>
      <c r="O343" s="2054"/>
      <c r="P343" s="2095"/>
      <c r="Q343" s="2054"/>
      <c r="R343" s="2054"/>
      <c r="S343" s="2054"/>
      <c r="T343" s="2054"/>
      <c r="U343" s="2054"/>
      <c r="V343" s="2054"/>
      <c r="W343" s="2054"/>
      <c r="X343" s="2054"/>
      <c r="Y343" s="2054"/>
      <c r="Z343" s="2054"/>
      <c r="AA343" s="2054"/>
      <c r="AB343" s="2054"/>
      <c r="AC343" s="2054"/>
    </row>
    <row r="344" spans="1:29">
      <c r="A344" s="2054"/>
      <c r="B344" s="2054"/>
      <c r="C344" s="2054"/>
      <c r="D344" s="2054"/>
      <c r="E344" s="2054"/>
      <c r="F344" s="2054"/>
      <c r="G344" s="2054"/>
      <c r="H344" s="2054"/>
      <c r="I344" s="2054"/>
      <c r="J344" s="2054"/>
      <c r="K344" s="2055"/>
      <c r="L344" s="2056"/>
      <c r="M344" s="2054"/>
      <c r="N344" s="2054"/>
      <c r="O344" s="2054"/>
      <c r="P344" s="2095"/>
      <c r="Q344" s="2054"/>
      <c r="R344" s="2054"/>
      <c r="S344" s="2054"/>
      <c r="T344" s="2054"/>
      <c r="U344" s="2054"/>
      <c r="V344" s="2054"/>
      <c r="W344" s="2054"/>
      <c r="X344" s="2054"/>
      <c r="Y344" s="2054"/>
      <c r="Z344" s="2054"/>
      <c r="AA344" s="2054"/>
      <c r="AB344" s="2054"/>
      <c r="AC344" s="2054"/>
    </row>
    <row r="345" spans="1:29">
      <c r="A345" s="2054"/>
      <c r="B345" s="2054"/>
      <c r="C345" s="2054"/>
      <c r="D345" s="2054"/>
      <c r="E345" s="2054"/>
      <c r="F345" s="2054"/>
      <c r="G345" s="2054"/>
      <c r="H345" s="2054"/>
      <c r="I345" s="2054"/>
      <c r="J345" s="2054"/>
      <c r="K345" s="2055"/>
      <c r="L345" s="2056"/>
      <c r="M345" s="2054"/>
      <c r="N345" s="2054"/>
      <c r="O345" s="2054"/>
      <c r="P345" s="2095"/>
      <c r="Q345" s="2054"/>
      <c r="R345" s="2054"/>
      <c r="S345" s="2054"/>
      <c r="T345" s="2054"/>
      <c r="U345" s="2054"/>
      <c r="V345" s="2054"/>
      <c r="W345" s="2054"/>
      <c r="X345" s="2054"/>
      <c r="Y345" s="2054"/>
      <c r="Z345" s="2054"/>
      <c r="AA345" s="2054"/>
      <c r="AB345" s="2054"/>
      <c r="AC345" s="2054"/>
    </row>
    <row r="346" spans="1:29">
      <c r="A346" s="2054"/>
      <c r="B346" s="2054"/>
      <c r="C346" s="2054"/>
      <c r="D346" s="2054"/>
      <c r="E346" s="2054"/>
      <c r="F346" s="2054"/>
      <c r="G346" s="2054"/>
      <c r="H346" s="2054"/>
      <c r="I346" s="2054"/>
      <c r="J346" s="2054"/>
      <c r="K346" s="2055"/>
      <c r="L346" s="2056"/>
      <c r="M346" s="2054"/>
      <c r="N346" s="2054"/>
      <c r="O346" s="2054"/>
      <c r="P346" s="2095"/>
      <c r="Q346" s="2054"/>
      <c r="R346" s="2054"/>
      <c r="S346" s="2054"/>
      <c r="T346" s="2054"/>
      <c r="U346" s="2054"/>
      <c r="V346" s="2054"/>
      <c r="W346" s="2054"/>
      <c r="X346" s="2054"/>
      <c r="Y346" s="2054"/>
      <c r="Z346" s="2054"/>
      <c r="AA346" s="2054"/>
      <c r="AB346" s="2054"/>
      <c r="AC346" s="2054"/>
    </row>
    <row r="347" spans="1:29">
      <c r="A347" s="2054"/>
      <c r="B347" s="2054"/>
      <c r="C347" s="2054"/>
      <c r="D347" s="2054"/>
      <c r="E347" s="2054"/>
      <c r="F347" s="2054"/>
      <c r="G347" s="2054"/>
      <c r="H347" s="2054"/>
      <c r="I347" s="2054"/>
      <c r="J347" s="2054"/>
      <c r="K347" s="2055"/>
      <c r="L347" s="2056"/>
      <c r="M347" s="2054"/>
      <c r="N347" s="2054"/>
      <c r="O347" s="2054"/>
      <c r="P347" s="2095"/>
      <c r="Q347" s="2054"/>
      <c r="R347" s="2054"/>
      <c r="S347" s="2054"/>
      <c r="T347" s="2054"/>
      <c r="U347" s="2054"/>
      <c r="V347" s="2054"/>
      <c r="W347" s="2054"/>
      <c r="X347" s="2054"/>
      <c r="Y347" s="2054"/>
      <c r="Z347" s="2054"/>
      <c r="AA347" s="2054"/>
      <c r="AB347" s="2054"/>
      <c r="AC347" s="2054"/>
    </row>
    <row r="348" spans="1:29">
      <c r="A348" s="2054"/>
      <c r="B348" s="2054"/>
      <c r="C348" s="2054"/>
      <c r="D348" s="2054"/>
      <c r="E348" s="2054"/>
      <c r="F348" s="2054"/>
      <c r="G348" s="2054"/>
      <c r="H348" s="2054"/>
      <c r="I348" s="2054"/>
      <c r="J348" s="2054"/>
      <c r="K348" s="2055"/>
      <c r="L348" s="2056"/>
      <c r="M348" s="2054"/>
      <c r="N348" s="2054"/>
      <c r="O348" s="2054"/>
      <c r="P348" s="2095"/>
      <c r="Q348" s="2054"/>
      <c r="R348" s="2054"/>
      <c r="S348" s="2054"/>
      <c r="T348" s="2054"/>
      <c r="U348" s="2054"/>
      <c r="V348" s="2054"/>
      <c r="W348" s="2054"/>
      <c r="X348" s="2054"/>
      <c r="Y348" s="2054"/>
      <c r="Z348" s="2054"/>
      <c r="AA348" s="2054"/>
      <c r="AB348" s="2054"/>
      <c r="AC348" s="2054"/>
    </row>
    <row r="349" spans="1:29">
      <c r="A349" s="2054"/>
      <c r="B349" s="2054"/>
      <c r="C349" s="2054"/>
      <c r="D349" s="2054"/>
      <c r="E349" s="2054"/>
      <c r="F349" s="2054"/>
      <c r="G349" s="2054"/>
      <c r="H349" s="2054"/>
      <c r="I349" s="2054"/>
      <c r="J349" s="2054"/>
      <c r="K349" s="2055"/>
      <c r="L349" s="2056"/>
      <c r="M349" s="2054"/>
      <c r="N349" s="2054"/>
      <c r="O349" s="2054"/>
      <c r="P349" s="2095"/>
      <c r="Q349" s="2054"/>
      <c r="R349" s="2054"/>
      <c r="S349" s="2054"/>
      <c r="T349" s="2054"/>
      <c r="U349" s="2054"/>
      <c r="V349" s="2054"/>
      <c r="W349" s="2054"/>
      <c r="X349" s="2054"/>
      <c r="Y349" s="2054"/>
      <c r="Z349" s="2054"/>
      <c r="AA349" s="2054"/>
      <c r="AB349" s="2054"/>
      <c r="AC349" s="2054"/>
    </row>
    <row r="350" spans="1:29">
      <c r="A350" s="2054"/>
      <c r="B350" s="2054"/>
      <c r="C350" s="2054"/>
      <c r="D350" s="2054"/>
      <c r="E350" s="2054"/>
      <c r="F350" s="2054"/>
      <c r="G350" s="2054"/>
      <c r="H350" s="2054"/>
      <c r="I350" s="2054"/>
      <c r="J350" s="2054"/>
      <c r="K350" s="2055"/>
      <c r="L350" s="2056"/>
      <c r="M350" s="2054"/>
      <c r="N350" s="2054"/>
      <c r="O350" s="2054"/>
      <c r="P350" s="2095"/>
      <c r="Q350" s="2054"/>
      <c r="R350" s="2054"/>
      <c r="S350" s="2054"/>
      <c r="T350" s="2054"/>
      <c r="U350" s="2054"/>
      <c r="V350" s="2054"/>
      <c r="W350" s="2054"/>
      <c r="X350" s="2054"/>
      <c r="Y350" s="2054"/>
      <c r="Z350" s="2054"/>
      <c r="AA350" s="2054"/>
      <c r="AB350" s="2054"/>
      <c r="AC350" s="2054"/>
    </row>
    <row r="351" spans="1:29">
      <c r="A351" s="2054"/>
      <c r="B351" s="2054"/>
      <c r="C351" s="2054"/>
      <c r="D351" s="2054"/>
      <c r="E351" s="2054"/>
      <c r="F351" s="2054"/>
      <c r="G351" s="2054"/>
      <c r="H351" s="2054"/>
      <c r="I351" s="2054"/>
      <c r="J351" s="2054"/>
      <c r="K351" s="2055"/>
      <c r="L351" s="2056"/>
      <c r="M351" s="2054"/>
      <c r="N351" s="2054"/>
      <c r="O351" s="2054"/>
      <c r="P351" s="2095"/>
      <c r="Q351" s="2054"/>
      <c r="R351" s="2054"/>
      <c r="S351" s="2054"/>
      <c r="T351" s="2054"/>
      <c r="U351" s="2054"/>
      <c r="V351" s="2054"/>
      <c r="W351" s="2054"/>
      <c r="X351" s="2054"/>
      <c r="Y351" s="2054"/>
      <c r="Z351" s="2054"/>
      <c r="AA351" s="2054"/>
      <c r="AB351" s="2054"/>
      <c r="AC351" s="2054"/>
    </row>
    <row r="352" spans="1:29">
      <c r="A352" s="2054"/>
      <c r="B352" s="2054"/>
      <c r="C352" s="2054"/>
      <c r="D352" s="2054"/>
      <c r="E352" s="2054"/>
      <c r="F352" s="2054"/>
      <c r="G352" s="2054"/>
      <c r="H352" s="2054"/>
      <c r="I352" s="2054"/>
      <c r="J352" s="2054"/>
      <c r="K352" s="2055"/>
      <c r="L352" s="2056"/>
      <c r="M352" s="2054"/>
      <c r="N352" s="2054"/>
      <c r="O352" s="2054"/>
      <c r="P352" s="2095"/>
      <c r="Q352" s="2054"/>
      <c r="R352" s="2054"/>
      <c r="S352" s="2054"/>
      <c r="T352" s="2054"/>
      <c r="U352" s="2054"/>
      <c r="V352" s="2054"/>
      <c r="W352" s="2054"/>
      <c r="X352" s="2054"/>
      <c r="Y352" s="2054"/>
      <c r="Z352" s="2054"/>
      <c r="AA352" s="2054"/>
      <c r="AB352" s="2054"/>
      <c r="AC352" s="2054"/>
    </row>
    <row r="353" spans="1:29">
      <c r="A353" s="2054"/>
      <c r="B353" s="2054"/>
      <c r="C353" s="2054"/>
      <c r="D353" s="2054"/>
      <c r="E353" s="2054"/>
      <c r="F353" s="2054"/>
      <c r="G353" s="2054"/>
      <c r="H353" s="2054"/>
      <c r="I353" s="2054"/>
      <c r="J353" s="2054"/>
      <c r="K353" s="2055"/>
      <c r="L353" s="2056"/>
      <c r="M353" s="2054"/>
      <c r="N353" s="2054"/>
      <c r="O353" s="2054"/>
      <c r="P353" s="2095"/>
      <c r="Q353" s="2054"/>
      <c r="R353" s="2054"/>
      <c r="S353" s="2054"/>
      <c r="T353" s="2054"/>
      <c r="U353" s="2054"/>
      <c r="V353" s="2054"/>
      <c r="W353" s="2054"/>
      <c r="X353" s="2054"/>
      <c r="Y353" s="2054"/>
      <c r="Z353" s="2054"/>
      <c r="AA353" s="2054"/>
      <c r="AB353" s="2054"/>
      <c r="AC353" s="2054"/>
    </row>
    <row r="354" spans="1:29">
      <c r="A354" s="2054"/>
      <c r="B354" s="2054"/>
      <c r="C354" s="2054"/>
      <c r="D354" s="2054"/>
      <c r="E354" s="2054"/>
      <c r="F354" s="2054"/>
      <c r="G354" s="2054"/>
      <c r="H354" s="2054"/>
      <c r="I354" s="2054"/>
      <c r="J354" s="2054"/>
      <c r="K354" s="2055"/>
      <c r="L354" s="2056"/>
      <c r="M354" s="2054"/>
      <c r="N354" s="2054"/>
      <c r="O354" s="2054"/>
      <c r="P354" s="2095"/>
      <c r="Q354" s="2054"/>
      <c r="R354" s="2054"/>
      <c r="S354" s="2054"/>
      <c r="T354" s="2054"/>
      <c r="U354" s="2054"/>
      <c r="V354" s="2054"/>
      <c r="W354" s="2054"/>
      <c r="X354" s="2054"/>
      <c r="Y354" s="2054"/>
      <c r="Z354" s="2054"/>
      <c r="AA354" s="2054"/>
      <c r="AB354" s="2054"/>
      <c r="AC354" s="2054"/>
    </row>
    <row r="355" spans="1:29">
      <c r="A355" s="2054"/>
      <c r="B355" s="2054"/>
      <c r="C355" s="2054"/>
      <c r="D355" s="2054"/>
      <c r="E355" s="2054"/>
      <c r="F355" s="2054"/>
      <c r="G355" s="2054"/>
      <c r="H355" s="2054"/>
      <c r="I355" s="2054"/>
      <c r="J355" s="2054"/>
      <c r="K355" s="2055"/>
      <c r="L355" s="2056"/>
      <c r="M355" s="2054"/>
      <c r="N355" s="2054"/>
      <c r="O355" s="2054"/>
      <c r="P355" s="2095"/>
      <c r="Q355" s="2054"/>
      <c r="R355" s="2054"/>
      <c r="S355" s="2054"/>
      <c r="T355" s="2054"/>
      <c r="U355" s="2054"/>
      <c r="V355" s="2054"/>
      <c r="W355" s="2054"/>
      <c r="X355" s="2054"/>
      <c r="Y355" s="2054"/>
      <c r="Z355" s="2054"/>
      <c r="AA355" s="2054"/>
      <c r="AB355" s="2054"/>
      <c r="AC355" s="2054"/>
    </row>
    <row r="356" spans="1:29">
      <c r="A356" s="2054"/>
      <c r="B356" s="2054"/>
      <c r="C356" s="2054"/>
      <c r="D356" s="2054"/>
      <c r="E356" s="2054"/>
      <c r="F356" s="2054"/>
      <c r="G356" s="2054"/>
      <c r="H356" s="2054"/>
      <c r="I356" s="2054"/>
      <c r="J356" s="2054"/>
      <c r="K356" s="2055"/>
      <c r="L356" s="2056"/>
      <c r="M356" s="2054"/>
      <c r="N356" s="2054"/>
      <c r="O356" s="2054"/>
      <c r="P356" s="2095"/>
      <c r="Q356" s="2054"/>
      <c r="R356" s="2054"/>
      <c r="S356" s="2054"/>
      <c r="T356" s="2054"/>
      <c r="U356" s="2054"/>
      <c r="V356" s="2054"/>
      <c r="W356" s="2054"/>
      <c r="X356" s="2054"/>
      <c r="Y356" s="2054"/>
      <c r="Z356" s="2054"/>
      <c r="AA356" s="2054"/>
      <c r="AB356" s="2054"/>
      <c r="AC356" s="2054"/>
    </row>
    <row r="357" spans="1:29">
      <c r="A357" s="2054"/>
      <c r="B357" s="2054"/>
      <c r="C357" s="2054"/>
      <c r="D357" s="2054"/>
      <c r="E357" s="2054"/>
      <c r="F357" s="2054"/>
      <c r="G357" s="2054"/>
      <c r="H357" s="2054"/>
      <c r="I357" s="2054"/>
      <c r="J357" s="2054"/>
      <c r="K357" s="2055"/>
      <c r="L357" s="2056"/>
      <c r="M357" s="2054"/>
      <c r="N357" s="2054"/>
      <c r="O357" s="2054"/>
      <c r="P357" s="2095"/>
      <c r="Q357" s="2054"/>
      <c r="R357" s="2054"/>
      <c r="S357" s="2054"/>
      <c r="T357" s="2054"/>
      <c r="U357" s="2054"/>
      <c r="V357" s="2054"/>
      <c r="W357" s="2054"/>
      <c r="X357" s="2054"/>
      <c r="Y357" s="2054"/>
      <c r="Z357" s="2054"/>
      <c r="AA357" s="2054"/>
      <c r="AB357" s="2054"/>
      <c r="AC357" s="2054"/>
    </row>
    <row r="358" spans="1:29">
      <c r="A358" s="2054"/>
      <c r="B358" s="2054"/>
      <c r="C358" s="2054"/>
      <c r="D358" s="2054"/>
      <c r="E358" s="2054"/>
      <c r="F358" s="2054"/>
      <c r="G358" s="2054"/>
      <c r="H358" s="2054"/>
      <c r="I358" s="2054"/>
      <c r="J358" s="2054"/>
      <c r="K358" s="2055"/>
      <c r="L358" s="2056"/>
      <c r="M358" s="2054"/>
      <c r="N358" s="2054"/>
      <c r="O358" s="2054"/>
      <c r="P358" s="2095"/>
      <c r="Q358" s="2054"/>
      <c r="R358" s="2054"/>
      <c r="S358" s="2054"/>
      <c r="T358" s="2054"/>
      <c r="U358" s="2054"/>
      <c r="V358" s="2054"/>
      <c r="W358" s="2054"/>
      <c r="X358" s="2054"/>
      <c r="Y358" s="2054"/>
      <c r="Z358" s="2054"/>
      <c r="AA358" s="2054"/>
      <c r="AB358" s="2054"/>
      <c r="AC358" s="2054"/>
    </row>
    <row r="359" spans="1:29">
      <c r="A359" s="2054"/>
      <c r="B359" s="2054"/>
      <c r="C359" s="2054"/>
      <c r="D359" s="2054"/>
      <c r="E359" s="2054"/>
      <c r="F359" s="2054"/>
      <c r="G359" s="2054"/>
      <c r="H359" s="2054"/>
      <c r="I359" s="2054"/>
      <c r="J359" s="2054"/>
      <c r="K359" s="2055"/>
      <c r="L359" s="2056"/>
      <c r="M359" s="2054"/>
      <c r="N359" s="2054"/>
      <c r="O359" s="2054"/>
      <c r="P359" s="2095"/>
      <c r="Q359" s="2054"/>
      <c r="R359" s="2054"/>
      <c r="S359" s="2054"/>
      <c r="T359" s="2054"/>
      <c r="U359" s="2054"/>
      <c r="V359" s="2054"/>
      <c r="W359" s="2054"/>
      <c r="X359" s="2054"/>
      <c r="Y359" s="2054"/>
      <c r="Z359" s="2054"/>
      <c r="AA359" s="2054"/>
      <c r="AB359" s="2054"/>
      <c r="AC359" s="2054"/>
    </row>
    <row r="360" spans="1:29">
      <c r="A360" s="2054"/>
      <c r="B360" s="2054"/>
      <c r="C360" s="2054"/>
      <c r="D360" s="2054"/>
      <c r="E360" s="2054"/>
      <c r="F360" s="2054"/>
      <c r="G360" s="2054"/>
      <c r="H360" s="2054"/>
      <c r="I360" s="2054"/>
      <c r="J360" s="2054"/>
      <c r="K360" s="2055"/>
      <c r="L360" s="2056"/>
      <c r="M360" s="2054"/>
      <c r="N360" s="2054"/>
      <c r="O360" s="2054"/>
      <c r="P360" s="2095"/>
      <c r="Q360" s="2054"/>
      <c r="R360" s="2054"/>
      <c r="S360" s="2054"/>
      <c r="T360" s="2054"/>
      <c r="U360" s="2054"/>
      <c r="V360" s="2054"/>
      <c r="W360" s="2054"/>
      <c r="X360" s="2054"/>
      <c r="Y360" s="2054"/>
      <c r="Z360" s="2054"/>
      <c r="AA360" s="2054"/>
      <c r="AB360" s="2054"/>
      <c r="AC360" s="2054"/>
    </row>
    <row r="361" spans="1:29">
      <c r="A361" s="2054"/>
      <c r="B361" s="2054"/>
      <c r="C361" s="2054"/>
      <c r="D361" s="2054"/>
      <c r="E361" s="2054"/>
      <c r="F361" s="2054"/>
      <c r="G361" s="2054"/>
      <c r="H361" s="2054"/>
      <c r="I361" s="2054"/>
      <c r="J361" s="2054"/>
      <c r="K361" s="2055"/>
      <c r="L361" s="2056"/>
      <c r="M361" s="2054"/>
      <c r="N361" s="2054"/>
      <c r="O361" s="2054"/>
      <c r="P361" s="2095"/>
      <c r="Q361" s="2054"/>
      <c r="R361" s="2054"/>
      <c r="S361" s="2054"/>
      <c r="T361" s="2054"/>
      <c r="U361" s="2054"/>
      <c r="V361" s="2054"/>
      <c r="W361" s="2054"/>
      <c r="X361" s="2054"/>
      <c r="Y361" s="2054"/>
      <c r="Z361" s="2054"/>
      <c r="AA361" s="2054"/>
      <c r="AB361" s="2054"/>
      <c r="AC361" s="2054"/>
    </row>
    <row r="362" spans="1:29">
      <c r="A362" s="2054"/>
      <c r="B362" s="2054"/>
      <c r="C362" s="2054"/>
      <c r="D362" s="2054"/>
      <c r="E362" s="2054"/>
      <c r="F362" s="2054"/>
      <c r="G362" s="2054"/>
      <c r="H362" s="2054"/>
      <c r="I362" s="2054"/>
      <c r="J362" s="2054"/>
      <c r="K362" s="2055"/>
      <c r="L362" s="2056"/>
      <c r="M362" s="2054"/>
      <c r="N362" s="2054"/>
      <c r="O362" s="2054"/>
      <c r="P362" s="2095"/>
      <c r="Q362" s="2054"/>
      <c r="R362" s="2054"/>
      <c r="S362" s="2054"/>
      <c r="T362" s="2054"/>
      <c r="U362" s="2054"/>
      <c r="V362" s="2054"/>
      <c r="W362" s="2054"/>
      <c r="X362" s="2054"/>
      <c r="Y362" s="2054"/>
      <c r="Z362" s="2054"/>
      <c r="AA362" s="2054"/>
      <c r="AB362" s="2054"/>
      <c r="AC362" s="2054"/>
    </row>
    <row r="363" spans="1:29">
      <c r="A363" s="2054"/>
      <c r="B363" s="2054"/>
      <c r="C363" s="2054"/>
      <c r="D363" s="2054"/>
      <c r="E363" s="2054"/>
      <c r="F363" s="2054"/>
      <c r="G363" s="2054"/>
      <c r="H363" s="2054"/>
      <c r="I363" s="2054"/>
      <c r="J363" s="2054"/>
      <c r="K363" s="2055"/>
      <c r="L363" s="2056"/>
      <c r="M363" s="2054"/>
      <c r="N363" s="2054"/>
      <c r="O363" s="2054"/>
      <c r="P363" s="2095"/>
      <c r="Q363" s="2054"/>
      <c r="R363" s="2054"/>
      <c r="S363" s="2054"/>
      <c r="T363" s="2054"/>
      <c r="U363" s="2054"/>
      <c r="V363" s="2054"/>
      <c r="W363" s="2054"/>
      <c r="X363" s="2054"/>
      <c r="Y363" s="2054"/>
      <c r="Z363" s="2054"/>
      <c r="AA363" s="2054"/>
      <c r="AB363" s="2054"/>
      <c r="AC363" s="2054"/>
    </row>
    <row r="364" spans="1:29">
      <c r="A364" s="2054"/>
      <c r="B364" s="2054"/>
      <c r="C364" s="2054"/>
      <c r="D364" s="2054"/>
      <c r="E364" s="2054"/>
      <c r="F364" s="2054"/>
      <c r="G364" s="2054"/>
      <c r="H364" s="2054"/>
      <c r="I364" s="2054"/>
      <c r="J364" s="2054"/>
      <c r="K364" s="2055"/>
      <c r="L364" s="2056"/>
      <c r="M364" s="2054"/>
      <c r="N364" s="2054"/>
      <c r="O364" s="2054"/>
      <c r="P364" s="2095"/>
      <c r="Q364" s="2054"/>
      <c r="R364" s="2054"/>
      <c r="S364" s="2054"/>
      <c r="T364" s="2054"/>
      <c r="U364" s="2054"/>
      <c r="V364" s="2054"/>
      <c r="W364" s="2054"/>
      <c r="X364" s="2054"/>
      <c r="Y364" s="2054"/>
      <c r="Z364" s="2054"/>
      <c r="AA364" s="2054"/>
      <c r="AB364" s="2054"/>
      <c r="AC364" s="2054"/>
    </row>
    <row r="365" spans="1:29">
      <c r="A365" s="2054"/>
      <c r="B365" s="2054"/>
      <c r="C365" s="2054"/>
      <c r="D365" s="2054"/>
      <c r="E365" s="2054"/>
      <c r="F365" s="2054"/>
      <c r="G365" s="2054"/>
      <c r="H365" s="2054"/>
      <c r="I365" s="2054"/>
      <c r="J365" s="2054"/>
      <c r="K365" s="2055"/>
      <c r="L365" s="2056"/>
      <c r="M365" s="2054"/>
      <c r="N365" s="2054"/>
      <c r="O365" s="2054"/>
      <c r="P365" s="2095"/>
      <c r="Q365" s="2054"/>
      <c r="R365" s="2054"/>
      <c r="S365" s="2054"/>
      <c r="T365" s="2054"/>
      <c r="U365" s="2054"/>
      <c r="V365" s="2054"/>
      <c r="W365" s="2054"/>
      <c r="X365" s="2054"/>
      <c r="Y365" s="2054"/>
      <c r="Z365" s="2054"/>
      <c r="AA365" s="2054"/>
      <c r="AB365" s="2054"/>
      <c r="AC365" s="2054"/>
    </row>
    <row r="366" spans="1:29">
      <c r="A366" s="2054"/>
      <c r="B366" s="2054"/>
      <c r="C366" s="2054"/>
      <c r="D366" s="2054"/>
      <c r="E366" s="2054"/>
      <c r="F366" s="2054"/>
      <c r="G366" s="2054"/>
      <c r="H366" s="2054"/>
      <c r="I366" s="2054"/>
      <c r="J366" s="2054"/>
      <c r="K366" s="2055"/>
      <c r="L366" s="2056"/>
      <c r="M366" s="2054"/>
      <c r="N366" s="2054"/>
      <c r="O366" s="2054"/>
      <c r="P366" s="2095"/>
      <c r="Q366" s="2054"/>
      <c r="R366" s="2054"/>
      <c r="S366" s="2054"/>
      <c r="T366" s="2054"/>
      <c r="U366" s="2054"/>
      <c r="V366" s="2054"/>
      <c r="W366" s="2054"/>
      <c r="X366" s="2054"/>
      <c r="Y366" s="2054"/>
      <c r="Z366" s="2054"/>
      <c r="AA366" s="2054"/>
      <c r="AB366" s="2054"/>
      <c r="AC366" s="2054"/>
    </row>
    <row r="367" spans="1:29">
      <c r="A367" s="2054"/>
      <c r="B367" s="2054"/>
      <c r="C367" s="2054"/>
      <c r="D367" s="2054"/>
      <c r="E367" s="2054"/>
      <c r="F367" s="2054"/>
      <c r="G367" s="2054"/>
      <c r="H367" s="2054"/>
      <c r="I367" s="2054"/>
      <c r="J367" s="2054"/>
      <c r="K367" s="2055"/>
      <c r="L367" s="2056"/>
      <c r="M367" s="2054"/>
      <c r="N367" s="2054"/>
      <c r="O367" s="2054"/>
      <c r="P367" s="2095"/>
      <c r="Q367" s="2054"/>
      <c r="R367" s="2054"/>
      <c r="S367" s="2054"/>
      <c r="T367" s="2054"/>
      <c r="U367" s="2054"/>
      <c r="V367" s="2054"/>
      <c r="W367" s="2054"/>
      <c r="X367" s="2054"/>
      <c r="Y367" s="2054"/>
      <c r="Z367" s="2054"/>
      <c r="AA367" s="2054"/>
      <c r="AB367" s="2054"/>
      <c r="AC367" s="2054"/>
    </row>
    <row r="368" spans="1:29">
      <c r="A368" s="2054"/>
      <c r="B368" s="2054"/>
      <c r="C368" s="2054"/>
      <c r="D368" s="2054"/>
      <c r="E368" s="2054"/>
      <c r="F368" s="2054"/>
      <c r="G368" s="2054"/>
      <c r="H368" s="2054"/>
      <c r="I368" s="2054"/>
      <c r="J368" s="2054"/>
      <c r="K368" s="2055"/>
      <c r="L368" s="2056"/>
      <c r="M368" s="2054"/>
      <c r="N368" s="2054"/>
      <c r="O368" s="2054"/>
      <c r="P368" s="2095"/>
      <c r="Q368" s="2054"/>
      <c r="R368" s="2054"/>
      <c r="S368" s="2054"/>
      <c r="T368" s="2054"/>
      <c r="U368" s="2054"/>
      <c r="V368" s="2054"/>
      <c r="W368" s="2054"/>
      <c r="X368" s="2054"/>
      <c r="Y368" s="2054"/>
      <c r="Z368" s="2054"/>
      <c r="AA368" s="2054"/>
      <c r="AB368" s="2054"/>
      <c r="AC368" s="2054"/>
    </row>
    <row r="369" spans="1:29">
      <c r="A369" s="2054"/>
      <c r="B369" s="2054"/>
      <c r="C369" s="2054"/>
      <c r="D369" s="2054"/>
      <c r="E369" s="2054"/>
      <c r="F369" s="2054"/>
      <c r="G369" s="2054"/>
      <c r="H369" s="2054"/>
      <c r="I369" s="2054"/>
      <c r="J369" s="2054"/>
      <c r="K369" s="2055"/>
      <c r="L369" s="2056"/>
      <c r="M369" s="2054"/>
      <c r="N369" s="2054"/>
      <c r="O369" s="2054"/>
      <c r="P369" s="2095"/>
      <c r="Q369" s="2054"/>
      <c r="R369" s="2054"/>
      <c r="S369" s="2054"/>
      <c r="T369" s="2054"/>
      <c r="U369" s="2054"/>
      <c r="V369" s="2054"/>
      <c r="W369" s="2054"/>
      <c r="X369" s="2054"/>
      <c r="Y369" s="2054"/>
      <c r="Z369" s="2054"/>
      <c r="AA369" s="2054"/>
      <c r="AB369" s="2054"/>
      <c r="AC369" s="2054"/>
    </row>
    <row r="370" spans="1:29">
      <c r="A370" s="2054"/>
      <c r="B370" s="2054"/>
      <c r="C370" s="2054"/>
      <c r="D370" s="2054"/>
      <c r="E370" s="2054"/>
      <c r="F370" s="2054"/>
      <c r="G370" s="2054"/>
      <c r="H370" s="2054"/>
      <c r="I370" s="2054"/>
      <c r="J370" s="2054"/>
      <c r="K370" s="2055"/>
      <c r="L370" s="2056"/>
      <c r="M370" s="2054"/>
      <c r="N370" s="2054"/>
      <c r="O370" s="2054"/>
      <c r="P370" s="2095"/>
      <c r="Q370" s="2054"/>
      <c r="R370" s="2054"/>
      <c r="S370" s="2054"/>
      <c r="T370" s="2054"/>
      <c r="U370" s="2054"/>
      <c r="V370" s="2054"/>
      <c r="W370" s="2054"/>
      <c r="X370" s="2054"/>
      <c r="Y370" s="2054"/>
      <c r="Z370" s="2054"/>
      <c r="AA370" s="2054"/>
      <c r="AB370" s="2054"/>
      <c r="AC370" s="2054"/>
    </row>
    <row r="371" spans="1:29">
      <c r="A371" s="2054"/>
      <c r="B371" s="2054"/>
      <c r="C371" s="2054"/>
      <c r="D371" s="2054"/>
      <c r="E371" s="2054"/>
      <c r="F371" s="2054"/>
      <c r="G371" s="2054"/>
      <c r="H371" s="2054"/>
      <c r="I371" s="2054"/>
      <c r="J371" s="2054"/>
      <c r="K371" s="2055"/>
      <c r="L371" s="2056"/>
      <c r="M371" s="2054"/>
      <c r="N371" s="2054"/>
      <c r="O371" s="2054"/>
      <c r="P371" s="2095"/>
      <c r="Q371" s="2054"/>
      <c r="R371" s="2054"/>
      <c r="S371" s="2054"/>
      <c r="T371" s="2054"/>
      <c r="U371" s="2054"/>
      <c r="V371" s="2054"/>
      <c r="W371" s="2054"/>
      <c r="X371" s="2054"/>
      <c r="Y371" s="2054"/>
      <c r="Z371" s="2054"/>
      <c r="AA371" s="2054"/>
      <c r="AB371" s="2054"/>
      <c r="AC371" s="2054"/>
    </row>
    <row r="372" spans="1:29">
      <c r="A372" s="2054"/>
      <c r="B372" s="2054"/>
      <c r="C372" s="2054"/>
      <c r="D372" s="2054"/>
      <c r="E372" s="2054"/>
      <c r="F372" s="2054"/>
      <c r="G372" s="2054"/>
      <c r="H372" s="2054"/>
      <c r="I372" s="2054"/>
      <c r="J372" s="2054"/>
      <c r="K372" s="2055"/>
      <c r="L372" s="2056"/>
      <c r="M372" s="2054"/>
      <c r="N372" s="2054"/>
      <c r="O372" s="2054"/>
      <c r="P372" s="2095"/>
      <c r="Q372" s="2054"/>
      <c r="R372" s="2054"/>
      <c r="S372" s="2054"/>
      <c r="T372" s="2054"/>
      <c r="U372" s="2054"/>
      <c r="V372" s="2054"/>
      <c r="W372" s="2054"/>
      <c r="X372" s="2054"/>
      <c r="Y372" s="2054"/>
      <c r="Z372" s="2054"/>
      <c r="AA372" s="2054"/>
      <c r="AB372" s="2054"/>
      <c r="AC372" s="2054"/>
    </row>
    <row r="373" spans="1:29">
      <c r="A373" s="2054"/>
      <c r="B373" s="2054"/>
      <c r="C373" s="2054"/>
      <c r="D373" s="2054"/>
      <c r="E373" s="2054"/>
      <c r="F373" s="2054"/>
      <c r="G373" s="2054"/>
      <c r="H373" s="2054"/>
      <c r="I373" s="2054"/>
      <c r="J373" s="2054"/>
      <c r="K373" s="2055"/>
      <c r="L373" s="2056"/>
      <c r="M373" s="2054"/>
      <c r="N373" s="2054"/>
      <c r="O373" s="2054"/>
      <c r="P373" s="2095"/>
      <c r="Q373" s="2054"/>
      <c r="R373" s="2054"/>
      <c r="S373" s="2054"/>
      <c r="T373" s="2054"/>
      <c r="U373" s="2054"/>
      <c r="V373" s="2054"/>
      <c r="W373" s="2054"/>
      <c r="X373" s="2054"/>
      <c r="Y373" s="2054"/>
      <c r="Z373" s="2054"/>
      <c r="AA373" s="2054"/>
      <c r="AB373" s="2054"/>
      <c r="AC373" s="2054"/>
    </row>
    <row r="374" spans="1:29">
      <c r="A374" s="2054"/>
      <c r="B374" s="2054"/>
      <c r="C374" s="2054"/>
      <c r="D374" s="2054"/>
      <c r="E374" s="2054"/>
      <c r="F374" s="2054"/>
      <c r="G374" s="2054"/>
      <c r="H374" s="2054"/>
      <c r="I374" s="2054"/>
      <c r="J374" s="2054"/>
      <c r="K374" s="2055"/>
      <c r="L374" s="2056"/>
      <c r="M374" s="2054"/>
      <c r="N374" s="2054"/>
      <c r="O374" s="2054"/>
      <c r="P374" s="2095"/>
      <c r="Q374" s="2054"/>
      <c r="R374" s="2054"/>
      <c r="S374" s="2054"/>
      <c r="T374" s="2054"/>
      <c r="U374" s="2054"/>
      <c r="V374" s="2054"/>
      <c r="W374" s="2054"/>
      <c r="X374" s="2054"/>
      <c r="Y374" s="2054"/>
      <c r="Z374" s="2054"/>
      <c r="AA374" s="2054"/>
      <c r="AB374" s="2054"/>
      <c r="AC374" s="2054"/>
    </row>
    <row r="375" spans="1:29">
      <c r="A375" s="2054"/>
      <c r="B375" s="2054"/>
      <c r="C375" s="2054"/>
      <c r="D375" s="2054"/>
      <c r="E375" s="2054"/>
      <c r="F375" s="2054"/>
      <c r="G375" s="2054"/>
      <c r="H375" s="2054"/>
      <c r="I375" s="2054"/>
      <c r="J375" s="2054"/>
      <c r="K375" s="2055"/>
      <c r="L375" s="2056"/>
      <c r="M375" s="2054"/>
      <c r="N375" s="2054"/>
      <c r="O375" s="2054"/>
      <c r="P375" s="2095"/>
      <c r="Q375" s="2054"/>
      <c r="R375" s="2054"/>
      <c r="S375" s="2054"/>
      <c r="T375" s="2054"/>
      <c r="U375" s="2054"/>
      <c r="V375" s="2054"/>
      <c r="W375" s="2054"/>
      <c r="X375" s="2054"/>
      <c r="Y375" s="2054"/>
      <c r="Z375" s="2054"/>
      <c r="AA375" s="2054"/>
      <c r="AB375" s="2054"/>
      <c r="AC375" s="2054"/>
    </row>
    <row r="376" spans="1:29">
      <c r="A376" s="2054"/>
      <c r="B376" s="2054"/>
      <c r="C376" s="2054"/>
      <c r="D376" s="2054"/>
      <c r="E376" s="2054"/>
      <c r="F376" s="2054"/>
      <c r="G376" s="2054"/>
      <c r="H376" s="2054"/>
      <c r="I376" s="2054"/>
      <c r="J376" s="2054"/>
      <c r="K376" s="2055"/>
      <c r="L376" s="2056"/>
      <c r="M376" s="2054"/>
      <c r="N376" s="2054"/>
      <c r="O376" s="2054"/>
      <c r="P376" s="2095"/>
      <c r="Q376" s="2054"/>
      <c r="R376" s="2054"/>
      <c r="S376" s="2054"/>
      <c r="T376" s="2054"/>
      <c r="U376" s="2054"/>
      <c r="V376" s="2054"/>
      <c r="W376" s="2054"/>
      <c r="X376" s="2054"/>
      <c r="Y376" s="2054"/>
      <c r="Z376" s="2054"/>
      <c r="AA376" s="2054"/>
      <c r="AB376" s="2054"/>
      <c r="AC376" s="2054"/>
    </row>
    <row r="377" spans="1:29">
      <c r="A377" s="2054"/>
      <c r="B377" s="2054"/>
      <c r="C377" s="2054"/>
      <c r="D377" s="2054"/>
      <c r="E377" s="2054"/>
      <c r="F377" s="2054"/>
      <c r="G377" s="2054"/>
      <c r="H377" s="2054"/>
      <c r="I377" s="2054"/>
      <c r="J377" s="2054"/>
      <c r="K377" s="2055"/>
      <c r="L377" s="2056"/>
      <c r="M377" s="2054"/>
      <c r="N377" s="2054"/>
      <c r="O377" s="2054"/>
      <c r="P377" s="2095"/>
      <c r="Q377" s="2054"/>
      <c r="R377" s="2054"/>
      <c r="S377" s="2054"/>
      <c r="T377" s="2054"/>
      <c r="U377" s="2054"/>
      <c r="V377" s="2054"/>
      <c r="W377" s="2054"/>
      <c r="X377" s="2054"/>
      <c r="Y377" s="2054"/>
      <c r="Z377" s="2054"/>
      <c r="AA377" s="2054"/>
      <c r="AB377" s="2054"/>
      <c r="AC377" s="2054"/>
    </row>
    <row r="378" spans="1:29">
      <c r="A378" s="2054"/>
      <c r="B378" s="2054"/>
      <c r="C378" s="2054"/>
      <c r="D378" s="2054"/>
      <c r="E378" s="2054"/>
      <c r="F378" s="2054"/>
      <c r="G378" s="2054"/>
      <c r="H378" s="2054"/>
      <c r="I378" s="2054"/>
      <c r="J378" s="2054"/>
      <c r="K378" s="2055"/>
      <c r="L378" s="2056"/>
      <c r="M378" s="2054"/>
      <c r="N378" s="2054"/>
      <c r="O378" s="2054"/>
      <c r="P378" s="2095"/>
      <c r="Q378" s="2054"/>
      <c r="R378" s="2054"/>
      <c r="S378" s="2054"/>
      <c r="T378" s="2054"/>
      <c r="U378" s="2054"/>
      <c r="V378" s="2054"/>
      <c r="W378" s="2054"/>
      <c r="X378" s="2054"/>
      <c r="Y378" s="2054"/>
      <c r="Z378" s="2054"/>
      <c r="AA378" s="2054"/>
      <c r="AB378" s="2054"/>
      <c r="AC378" s="2054"/>
    </row>
    <row r="379" spans="1:29">
      <c r="A379" s="2054"/>
      <c r="B379" s="2054"/>
      <c r="C379" s="2054"/>
      <c r="D379" s="2054"/>
      <c r="E379" s="2054"/>
      <c r="F379" s="2054"/>
      <c r="G379" s="2054"/>
      <c r="H379" s="2054"/>
      <c r="I379" s="2054"/>
      <c r="J379" s="2054"/>
      <c r="K379" s="2055"/>
      <c r="L379" s="2056"/>
      <c r="M379" s="2054"/>
      <c r="N379" s="2054"/>
      <c r="O379" s="2054"/>
      <c r="P379" s="2095"/>
      <c r="Q379" s="2054"/>
      <c r="R379" s="2054"/>
      <c r="S379" s="2054"/>
      <c r="T379" s="2054"/>
      <c r="U379" s="2054"/>
      <c r="V379" s="2054"/>
      <c r="W379" s="2054"/>
      <c r="X379" s="2054"/>
      <c r="Y379" s="2054"/>
      <c r="Z379" s="2054"/>
      <c r="AA379" s="2054"/>
      <c r="AB379" s="2054"/>
      <c r="AC379" s="2054"/>
    </row>
    <row r="380" spans="1:29">
      <c r="A380" s="2054"/>
      <c r="B380" s="2054"/>
      <c r="C380" s="2054"/>
      <c r="D380" s="2054"/>
      <c r="E380" s="2054"/>
      <c r="F380" s="2054"/>
      <c r="G380" s="2054"/>
      <c r="H380" s="2054"/>
      <c r="I380" s="2054"/>
      <c r="J380" s="2054"/>
      <c r="K380" s="2055"/>
      <c r="L380" s="2056"/>
      <c r="M380" s="2054"/>
      <c r="N380" s="2054"/>
      <c r="O380" s="2054"/>
      <c r="P380" s="2095"/>
      <c r="Q380" s="2054"/>
      <c r="R380" s="2054"/>
      <c r="S380" s="2054"/>
      <c r="T380" s="2054"/>
      <c r="U380" s="2054"/>
      <c r="V380" s="2054"/>
      <c r="W380" s="2054"/>
      <c r="X380" s="2054"/>
      <c r="Y380" s="2054"/>
      <c r="Z380" s="2054"/>
      <c r="AA380" s="2054"/>
      <c r="AB380" s="2054"/>
      <c r="AC380" s="2054"/>
    </row>
    <row r="381" spans="1:29">
      <c r="A381" s="2054"/>
      <c r="B381" s="2054"/>
      <c r="C381" s="2054"/>
      <c r="D381" s="2054"/>
      <c r="E381" s="2054"/>
      <c r="F381" s="2054"/>
      <c r="G381" s="2054"/>
      <c r="H381" s="2054"/>
      <c r="I381" s="2054"/>
      <c r="J381" s="2054"/>
      <c r="K381" s="2055"/>
      <c r="L381" s="2056"/>
      <c r="M381" s="2054"/>
      <c r="N381" s="2054"/>
      <c r="O381" s="2054"/>
      <c r="P381" s="2095"/>
      <c r="Q381" s="2054"/>
      <c r="R381" s="2054"/>
      <c r="S381" s="2054"/>
      <c r="T381" s="2054"/>
      <c r="U381" s="2054"/>
      <c r="V381" s="2054"/>
      <c r="W381" s="2054"/>
      <c r="X381" s="2054"/>
      <c r="Y381" s="2054"/>
      <c r="Z381" s="2054"/>
      <c r="AA381" s="2054"/>
      <c r="AB381" s="2054"/>
      <c r="AC381" s="2054"/>
    </row>
    <row r="382" spans="1:29">
      <c r="A382" s="2054"/>
      <c r="B382" s="2054"/>
      <c r="C382" s="2054"/>
      <c r="D382" s="2054"/>
      <c r="E382" s="2054"/>
      <c r="F382" s="2054"/>
      <c r="G382" s="2054"/>
      <c r="H382" s="2054"/>
      <c r="I382" s="2054"/>
      <c r="J382" s="2054"/>
      <c r="K382" s="2055"/>
      <c r="L382" s="2056"/>
      <c r="M382" s="2054"/>
      <c r="N382" s="2054"/>
      <c r="O382" s="2054"/>
      <c r="P382" s="2095"/>
      <c r="Q382" s="2054"/>
      <c r="R382" s="2054"/>
      <c r="S382" s="2054"/>
      <c r="T382" s="2054"/>
      <c r="U382" s="2054"/>
      <c r="V382" s="2054"/>
      <c r="W382" s="2054"/>
      <c r="X382" s="2054"/>
      <c r="Y382" s="2054"/>
      <c r="Z382" s="2054"/>
      <c r="AA382" s="2054"/>
      <c r="AB382" s="2054"/>
      <c r="AC382" s="2054"/>
    </row>
    <row r="383" spans="1:29">
      <c r="A383" s="2054"/>
      <c r="B383" s="2054"/>
      <c r="C383" s="2054"/>
      <c r="D383" s="2054"/>
      <c r="E383" s="2054"/>
      <c r="F383" s="2054"/>
      <c r="G383" s="2054"/>
      <c r="H383" s="2054"/>
      <c r="I383" s="2054"/>
      <c r="J383" s="2054"/>
      <c r="K383" s="2055"/>
      <c r="L383" s="2056"/>
      <c r="M383" s="2054"/>
      <c r="N383" s="2054"/>
      <c r="O383" s="2054"/>
      <c r="P383" s="2095"/>
      <c r="Q383" s="2054"/>
      <c r="R383" s="2054"/>
      <c r="S383" s="2054"/>
      <c r="T383" s="2054"/>
      <c r="U383" s="2054"/>
      <c r="V383" s="2054"/>
      <c r="W383" s="2054"/>
      <c r="X383" s="2054"/>
      <c r="Y383" s="2054"/>
      <c r="Z383" s="2054"/>
      <c r="AA383" s="2054"/>
      <c r="AB383" s="2054"/>
      <c r="AC383" s="2054"/>
    </row>
    <row r="384" spans="1:29">
      <c r="A384" s="2054"/>
      <c r="B384" s="2054"/>
      <c r="C384" s="2054"/>
      <c r="D384" s="2054"/>
      <c r="E384" s="2054"/>
      <c r="F384" s="2054"/>
      <c r="G384" s="2054"/>
      <c r="H384" s="2054"/>
      <c r="I384" s="2054"/>
      <c r="J384" s="2054"/>
      <c r="K384" s="2055"/>
      <c r="L384" s="2056"/>
      <c r="M384" s="2054"/>
      <c r="N384" s="2054"/>
      <c r="O384" s="2054"/>
      <c r="P384" s="2095"/>
      <c r="Q384" s="2054"/>
      <c r="R384" s="2054"/>
      <c r="S384" s="2054"/>
      <c r="T384" s="2054"/>
      <c r="U384" s="2054"/>
      <c r="V384" s="2054"/>
      <c r="W384" s="2054"/>
      <c r="X384" s="2054"/>
      <c r="Y384" s="2054"/>
      <c r="Z384" s="2054"/>
      <c r="AA384" s="2054"/>
      <c r="AB384" s="2054"/>
      <c r="AC384" s="2054"/>
    </row>
    <row r="385" spans="1:29">
      <c r="A385" s="2054"/>
      <c r="B385" s="2054"/>
      <c r="C385" s="2054"/>
      <c r="D385" s="2054"/>
      <c r="E385" s="2054"/>
      <c r="F385" s="2054"/>
      <c r="G385" s="2054"/>
      <c r="H385" s="2054"/>
      <c r="I385" s="2054"/>
      <c r="J385" s="2054"/>
      <c r="K385" s="2055"/>
      <c r="L385" s="2056"/>
      <c r="M385" s="2054"/>
      <c r="N385" s="2054"/>
      <c r="O385" s="2054"/>
      <c r="P385" s="2095"/>
      <c r="Q385" s="2054"/>
      <c r="R385" s="2054"/>
      <c r="S385" s="2054"/>
      <c r="T385" s="2054"/>
      <c r="U385" s="2054"/>
      <c r="V385" s="2054"/>
      <c r="W385" s="2054"/>
      <c r="X385" s="2054"/>
      <c r="Y385" s="2054"/>
      <c r="Z385" s="2054"/>
      <c r="AA385" s="2054"/>
      <c r="AB385" s="2054"/>
      <c r="AC385" s="2054"/>
    </row>
    <row r="386" spans="1:29">
      <c r="A386" s="2054"/>
      <c r="B386" s="2054"/>
      <c r="C386" s="2054"/>
      <c r="D386" s="2054"/>
      <c r="E386" s="2054"/>
      <c r="F386" s="2054"/>
      <c r="G386" s="2054"/>
      <c r="H386" s="2054"/>
      <c r="I386" s="2054"/>
      <c r="J386" s="2054"/>
      <c r="K386" s="2055"/>
      <c r="L386" s="2056"/>
      <c r="M386" s="2054"/>
      <c r="N386" s="2054"/>
      <c r="O386" s="2054"/>
      <c r="P386" s="2095"/>
      <c r="Q386" s="2054"/>
      <c r="R386" s="2054"/>
      <c r="S386" s="2054"/>
      <c r="T386" s="2054"/>
      <c r="U386" s="2054"/>
      <c r="V386" s="2054"/>
      <c r="W386" s="2054"/>
      <c r="X386" s="2054"/>
      <c r="Y386" s="2054"/>
      <c r="Z386" s="2054"/>
      <c r="AA386" s="2054"/>
      <c r="AB386" s="2054"/>
      <c r="AC386" s="2054"/>
    </row>
    <row r="387" spans="1:29">
      <c r="A387" s="2054"/>
      <c r="B387" s="2054"/>
      <c r="C387" s="2054"/>
      <c r="D387" s="2054"/>
      <c r="E387" s="2054"/>
      <c r="F387" s="2054"/>
      <c r="G387" s="2054"/>
      <c r="H387" s="2054"/>
      <c r="I387" s="2054"/>
      <c r="J387" s="2054"/>
      <c r="K387" s="2055"/>
      <c r="L387" s="2056"/>
      <c r="M387" s="2054"/>
      <c r="N387" s="2054"/>
      <c r="O387" s="2054"/>
      <c r="P387" s="2095"/>
      <c r="Q387" s="2054"/>
      <c r="R387" s="2054"/>
      <c r="S387" s="2054"/>
      <c r="T387" s="2054"/>
      <c r="U387" s="2054"/>
      <c r="V387" s="2054"/>
      <c r="W387" s="2054"/>
      <c r="X387" s="2054"/>
      <c r="Y387" s="2054"/>
      <c r="Z387" s="2054"/>
      <c r="AA387" s="2054"/>
      <c r="AB387" s="2054"/>
      <c r="AC387" s="2054"/>
    </row>
    <row r="388" spans="1:29">
      <c r="A388" s="2054"/>
      <c r="B388" s="2054"/>
      <c r="C388" s="2054"/>
      <c r="D388" s="2054"/>
      <c r="E388" s="2054"/>
      <c r="F388" s="2054"/>
      <c r="G388" s="2054"/>
      <c r="H388" s="2054"/>
      <c r="I388" s="2054"/>
      <c r="J388" s="2054"/>
      <c r="K388" s="2055"/>
      <c r="L388" s="2056"/>
      <c r="M388" s="2054"/>
      <c r="N388" s="2054"/>
      <c r="O388" s="2054"/>
      <c r="P388" s="2095"/>
      <c r="Q388" s="2054"/>
      <c r="R388" s="2054"/>
      <c r="S388" s="2054"/>
      <c r="T388" s="2054"/>
      <c r="U388" s="2054"/>
      <c r="V388" s="2054"/>
      <c r="W388" s="2054"/>
      <c r="X388" s="2054"/>
      <c r="Y388" s="2054"/>
      <c r="Z388" s="2054"/>
      <c r="AA388" s="2054"/>
      <c r="AB388" s="2054"/>
      <c r="AC388" s="2054"/>
    </row>
    <row r="389" spans="1:29">
      <c r="A389" s="2054"/>
      <c r="B389" s="2054"/>
      <c r="C389" s="2054"/>
      <c r="D389" s="2054"/>
      <c r="E389" s="2054"/>
      <c r="F389" s="2054"/>
      <c r="G389" s="2054"/>
      <c r="H389" s="2054"/>
      <c r="I389" s="2054"/>
      <c r="J389" s="2054"/>
      <c r="K389" s="2055"/>
      <c r="L389" s="2056"/>
      <c r="M389" s="2054"/>
      <c r="N389" s="2054"/>
      <c r="O389" s="2054"/>
      <c r="P389" s="2095"/>
      <c r="Q389" s="2054"/>
      <c r="R389" s="2054"/>
      <c r="S389" s="2054"/>
      <c r="T389" s="2054"/>
      <c r="U389" s="2054"/>
      <c r="V389" s="2054"/>
      <c r="W389" s="2054"/>
      <c r="X389" s="2054"/>
      <c r="Y389" s="2054"/>
      <c r="Z389" s="2054"/>
      <c r="AA389" s="2054"/>
      <c r="AB389" s="2054"/>
      <c r="AC389" s="2054"/>
    </row>
    <row r="390" spans="1:29">
      <c r="A390" s="2054"/>
      <c r="B390" s="2054"/>
      <c r="C390" s="2054"/>
      <c r="D390" s="2054"/>
      <c r="E390" s="2054"/>
      <c r="F390" s="2054"/>
      <c r="G390" s="2054"/>
      <c r="H390" s="2054"/>
      <c r="I390" s="2054"/>
      <c r="J390" s="2054"/>
      <c r="K390" s="2055"/>
      <c r="L390" s="2056"/>
      <c r="M390" s="2054"/>
      <c r="N390" s="2054"/>
      <c r="O390" s="2054"/>
      <c r="P390" s="2095"/>
      <c r="Q390" s="2054"/>
      <c r="R390" s="2054"/>
      <c r="S390" s="2054"/>
      <c r="T390" s="2054"/>
      <c r="U390" s="2054"/>
      <c r="V390" s="2054"/>
      <c r="W390" s="2054"/>
      <c r="X390" s="2054"/>
      <c r="Y390" s="2054"/>
      <c r="Z390" s="2054"/>
      <c r="AA390" s="2054"/>
      <c r="AB390" s="2054"/>
      <c r="AC390" s="2054"/>
    </row>
    <row r="391" spans="1:29">
      <c r="A391" s="2054"/>
      <c r="B391" s="2054"/>
      <c r="C391" s="2054"/>
      <c r="D391" s="2054"/>
      <c r="E391" s="2054"/>
      <c r="F391" s="2054"/>
      <c r="G391" s="2054"/>
      <c r="H391" s="2054"/>
      <c r="I391" s="2054"/>
      <c r="J391" s="2054"/>
      <c r="K391" s="2055"/>
      <c r="L391" s="2056"/>
      <c r="M391" s="2054"/>
      <c r="N391" s="2054"/>
      <c r="O391" s="2054"/>
      <c r="P391" s="2095"/>
      <c r="Q391" s="2054"/>
      <c r="R391" s="2054"/>
      <c r="S391" s="2054"/>
      <c r="T391" s="2054"/>
      <c r="U391" s="2054"/>
      <c r="V391" s="2054"/>
      <c r="W391" s="2054"/>
      <c r="X391" s="2054"/>
      <c r="Y391" s="2054"/>
      <c r="Z391" s="2054"/>
      <c r="AA391" s="2054"/>
      <c r="AB391" s="2054"/>
      <c r="AC391" s="2054"/>
    </row>
    <row r="392" spans="1:29">
      <c r="A392" s="2054"/>
      <c r="B392" s="2054"/>
      <c r="C392" s="2054"/>
      <c r="D392" s="2054"/>
      <c r="E392" s="2054"/>
      <c r="F392" s="2054"/>
      <c r="G392" s="2054"/>
      <c r="H392" s="2054"/>
      <c r="I392" s="2054"/>
      <c r="J392" s="2054"/>
      <c r="K392" s="2055"/>
      <c r="L392" s="2056"/>
      <c r="M392" s="2054"/>
      <c r="N392" s="2054"/>
      <c r="O392" s="2054"/>
      <c r="P392" s="2095"/>
      <c r="Q392" s="2054"/>
      <c r="R392" s="2054"/>
      <c r="S392" s="2054"/>
      <c r="T392" s="2054"/>
      <c r="U392" s="2054"/>
      <c r="V392" s="2054"/>
      <c r="W392" s="2054"/>
      <c r="X392" s="2054"/>
      <c r="Y392" s="2054"/>
      <c r="Z392" s="2054"/>
      <c r="AA392" s="2054"/>
      <c r="AB392" s="2054"/>
      <c r="AC392" s="2054"/>
    </row>
    <row r="393" spans="1:29">
      <c r="A393" s="2054"/>
      <c r="B393" s="2054"/>
      <c r="C393" s="2054"/>
      <c r="D393" s="2054"/>
      <c r="E393" s="2054"/>
      <c r="F393" s="2054"/>
      <c r="G393" s="2054"/>
      <c r="H393" s="2054"/>
      <c r="I393" s="2054"/>
      <c r="J393" s="2054"/>
      <c r="K393" s="2055"/>
      <c r="L393" s="2056"/>
      <c r="M393" s="2054"/>
      <c r="N393" s="2054"/>
      <c r="O393" s="2054"/>
      <c r="P393" s="2095"/>
      <c r="Q393" s="2054"/>
      <c r="R393" s="2054"/>
      <c r="S393" s="2054"/>
      <c r="T393" s="2054"/>
      <c r="U393" s="2054"/>
      <c r="V393" s="2054"/>
      <c r="W393" s="2054"/>
      <c r="X393" s="2054"/>
      <c r="Y393" s="2054"/>
      <c r="Z393" s="2054"/>
      <c r="AA393" s="2054"/>
      <c r="AB393" s="2054"/>
      <c r="AC393" s="2054"/>
    </row>
    <row r="394" spans="1:29">
      <c r="A394" s="2054"/>
      <c r="B394" s="2054"/>
      <c r="C394" s="2054"/>
      <c r="D394" s="2054"/>
      <c r="E394" s="2054"/>
      <c r="F394" s="2054"/>
      <c r="G394" s="2054"/>
      <c r="H394" s="2054"/>
      <c r="I394" s="2054"/>
      <c r="J394" s="2054"/>
      <c r="K394" s="2055"/>
      <c r="L394" s="2056"/>
      <c r="M394" s="2054"/>
      <c r="N394" s="2054"/>
      <c r="O394" s="2054"/>
      <c r="P394" s="2095"/>
      <c r="Q394" s="2054"/>
      <c r="R394" s="2054"/>
      <c r="S394" s="2054"/>
      <c r="T394" s="2054"/>
      <c r="U394" s="2054"/>
      <c r="V394" s="2054"/>
      <c r="W394" s="2054"/>
      <c r="X394" s="2054"/>
      <c r="Y394" s="2054"/>
      <c r="Z394" s="2054"/>
      <c r="AA394" s="2054"/>
      <c r="AB394" s="2054"/>
      <c r="AC394" s="2054"/>
    </row>
    <row r="395" spans="1:29">
      <c r="A395" s="2054"/>
      <c r="B395" s="2054"/>
      <c r="C395" s="2054"/>
      <c r="D395" s="2054"/>
      <c r="E395" s="2054"/>
      <c r="F395" s="2054"/>
      <c r="G395" s="2054"/>
      <c r="H395" s="2054"/>
      <c r="I395" s="2054"/>
      <c r="J395" s="2054"/>
      <c r="K395" s="2055"/>
      <c r="L395" s="2056"/>
      <c r="M395" s="2054"/>
      <c r="N395" s="2054"/>
      <c r="O395" s="2054"/>
      <c r="P395" s="2095"/>
      <c r="Q395" s="2054"/>
      <c r="R395" s="2054"/>
      <c r="S395" s="2054"/>
      <c r="T395" s="2054"/>
      <c r="U395" s="2054"/>
      <c r="V395" s="2054"/>
      <c r="W395" s="2054"/>
      <c r="X395" s="2054"/>
      <c r="Y395" s="2054"/>
      <c r="Z395" s="2054"/>
      <c r="AA395" s="2054"/>
      <c r="AB395" s="2054"/>
      <c r="AC395" s="2054"/>
    </row>
    <row r="396" spans="1:29">
      <c r="A396" s="2054"/>
      <c r="B396" s="2054"/>
      <c r="C396" s="2054"/>
      <c r="D396" s="2054"/>
      <c r="E396" s="2054"/>
      <c r="F396" s="2054"/>
      <c r="G396" s="2054"/>
      <c r="H396" s="2054"/>
      <c r="I396" s="2054"/>
      <c r="J396" s="2054"/>
      <c r="K396" s="2055"/>
      <c r="L396" s="2056"/>
      <c r="M396" s="2054"/>
      <c r="N396" s="2054"/>
      <c r="O396" s="2054"/>
      <c r="P396" s="2095"/>
      <c r="Q396" s="2054"/>
      <c r="R396" s="2054"/>
      <c r="S396" s="2054"/>
      <c r="T396" s="2054"/>
      <c r="U396" s="2054"/>
      <c r="V396" s="2054"/>
      <c r="W396" s="2054"/>
      <c r="X396" s="2054"/>
      <c r="Y396" s="2054"/>
      <c r="Z396" s="2054"/>
      <c r="AA396" s="2054"/>
      <c r="AB396" s="2054"/>
      <c r="AC396" s="2054"/>
    </row>
    <row r="397" spans="1:29">
      <c r="A397" s="2054"/>
      <c r="B397" s="2054"/>
      <c r="C397" s="2054"/>
      <c r="D397" s="2054"/>
      <c r="E397" s="2054"/>
      <c r="F397" s="2054"/>
      <c r="G397" s="2054"/>
      <c r="H397" s="2054"/>
      <c r="I397" s="2054"/>
      <c r="J397" s="2054"/>
      <c r="K397" s="2055"/>
      <c r="L397" s="2056"/>
      <c r="M397" s="2054"/>
      <c r="N397" s="2054"/>
      <c r="O397" s="2054"/>
      <c r="P397" s="2095"/>
      <c r="Q397" s="2054"/>
      <c r="R397" s="2054"/>
      <c r="S397" s="2054"/>
      <c r="T397" s="2054"/>
      <c r="U397" s="2054"/>
      <c r="V397" s="2054"/>
      <c r="W397" s="2054"/>
      <c r="X397" s="2054"/>
      <c r="Y397" s="2054"/>
      <c r="Z397" s="2054"/>
      <c r="AA397" s="2054"/>
      <c r="AB397" s="2054"/>
      <c r="AC397" s="2054"/>
    </row>
    <row r="398" spans="1:29">
      <c r="A398" s="2054"/>
      <c r="B398" s="2054"/>
      <c r="C398" s="2054"/>
      <c r="D398" s="2054"/>
      <c r="E398" s="2054"/>
      <c r="F398" s="2054"/>
      <c r="G398" s="2054"/>
      <c r="H398" s="2054"/>
      <c r="I398" s="2054"/>
      <c r="J398" s="2054"/>
      <c r="K398" s="2055"/>
      <c r="L398" s="2056"/>
      <c r="M398" s="2054"/>
      <c r="N398" s="2054"/>
      <c r="O398" s="2054"/>
      <c r="P398" s="2095"/>
      <c r="Q398" s="2054"/>
      <c r="R398" s="2054"/>
      <c r="S398" s="2054"/>
      <c r="T398" s="2054"/>
      <c r="U398" s="2054"/>
      <c r="V398" s="2054"/>
      <c r="W398" s="2054"/>
      <c r="X398" s="2054"/>
      <c r="Y398" s="2054"/>
      <c r="Z398" s="2054"/>
      <c r="AA398" s="2054"/>
      <c r="AB398" s="2054"/>
      <c r="AC398" s="2054"/>
    </row>
    <row r="399" spans="1:29">
      <c r="A399" s="2054"/>
      <c r="B399" s="2054"/>
      <c r="C399" s="2054"/>
      <c r="D399" s="2054"/>
      <c r="E399" s="2054"/>
      <c r="F399" s="2054"/>
      <c r="G399" s="2054"/>
      <c r="H399" s="2054"/>
      <c r="I399" s="2054"/>
      <c r="J399" s="2054"/>
      <c r="K399" s="2055"/>
      <c r="L399" s="2056"/>
      <c r="M399" s="2054"/>
      <c r="N399" s="2054"/>
      <c r="O399" s="2054"/>
      <c r="P399" s="2095"/>
      <c r="Q399" s="2054"/>
      <c r="R399" s="2054"/>
      <c r="S399" s="2054"/>
      <c r="T399" s="2054"/>
      <c r="U399" s="2054"/>
      <c r="V399" s="2054"/>
      <c r="W399" s="2054"/>
      <c r="X399" s="2054"/>
      <c r="Y399" s="2054"/>
      <c r="Z399" s="2054"/>
      <c r="AA399" s="2054"/>
      <c r="AB399" s="2054"/>
      <c r="AC399" s="2054"/>
    </row>
    <row r="400" spans="1:29">
      <c r="A400" s="2054"/>
      <c r="B400" s="2054"/>
      <c r="C400" s="2054"/>
      <c r="D400" s="2054"/>
      <c r="E400" s="2054"/>
      <c r="F400" s="2054"/>
      <c r="G400" s="2054"/>
      <c r="H400" s="2054"/>
      <c r="I400" s="2054"/>
      <c r="J400" s="2054"/>
      <c r="K400" s="2055"/>
      <c r="L400" s="2056"/>
      <c r="M400" s="2054"/>
      <c r="N400" s="2054"/>
      <c r="O400" s="2054"/>
      <c r="P400" s="2095"/>
      <c r="Q400" s="2054"/>
      <c r="R400" s="2054"/>
      <c r="S400" s="2054"/>
      <c r="T400" s="2054"/>
      <c r="U400" s="2054"/>
      <c r="V400" s="2054"/>
      <c r="W400" s="2054"/>
      <c r="X400" s="2054"/>
      <c r="Y400" s="2054"/>
      <c r="Z400" s="2054"/>
      <c r="AA400" s="2054"/>
      <c r="AB400" s="2054"/>
      <c r="AC400" s="2054"/>
    </row>
    <row r="401" spans="1:29">
      <c r="A401" s="2054"/>
      <c r="B401" s="2054"/>
      <c r="C401" s="2054"/>
      <c r="D401" s="2054"/>
      <c r="E401" s="2054"/>
      <c r="F401" s="2054"/>
      <c r="G401" s="2054"/>
      <c r="H401" s="2054"/>
      <c r="I401" s="2054"/>
      <c r="J401" s="2054"/>
      <c r="K401" s="2055"/>
      <c r="L401" s="2056"/>
      <c r="M401" s="2054"/>
      <c r="N401" s="2054"/>
      <c r="O401" s="2054"/>
      <c r="P401" s="2095"/>
      <c r="Q401" s="2054"/>
      <c r="R401" s="2054"/>
      <c r="S401" s="2054"/>
      <c r="T401" s="2054"/>
      <c r="U401" s="2054"/>
      <c r="V401" s="2054"/>
      <c r="W401" s="2054"/>
      <c r="X401" s="2054"/>
      <c r="Y401" s="2054"/>
      <c r="Z401" s="2054"/>
      <c r="AA401" s="2054"/>
      <c r="AB401" s="2054"/>
      <c r="AC401" s="2054"/>
    </row>
    <row r="402" spans="1:29">
      <c r="A402" s="2054"/>
      <c r="B402" s="2054"/>
      <c r="C402" s="2054"/>
      <c r="D402" s="2054"/>
      <c r="E402" s="2054"/>
      <c r="F402" s="2054"/>
      <c r="G402" s="2054"/>
      <c r="H402" s="2054"/>
      <c r="I402" s="2054"/>
      <c r="J402" s="2054"/>
      <c r="K402" s="2055"/>
      <c r="L402" s="2056"/>
      <c r="M402" s="2054"/>
      <c r="N402" s="2054"/>
      <c r="O402" s="2054"/>
      <c r="P402" s="2095"/>
      <c r="Q402" s="2054"/>
      <c r="R402" s="2054"/>
      <c r="S402" s="2054"/>
      <c r="T402" s="2054"/>
      <c r="U402" s="2054"/>
      <c r="V402" s="2054"/>
      <c r="W402" s="2054"/>
      <c r="X402" s="2054"/>
      <c r="Y402" s="2054"/>
      <c r="Z402" s="2054"/>
      <c r="AA402" s="2054"/>
      <c r="AB402" s="2054"/>
      <c r="AC402" s="2054"/>
    </row>
    <row r="403" spans="1:29">
      <c r="A403" s="2054"/>
      <c r="B403" s="2054"/>
      <c r="C403" s="2054"/>
      <c r="D403" s="2054"/>
      <c r="E403" s="2054"/>
      <c r="F403" s="2054"/>
      <c r="G403" s="2054"/>
      <c r="H403" s="2054"/>
      <c r="I403" s="2054"/>
      <c r="J403" s="2054"/>
      <c r="K403" s="2055"/>
      <c r="L403" s="2056"/>
      <c r="M403" s="2054"/>
      <c r="N403" s="2054"/>
      <c r="O403" s="2054"/>
      <c r="P403" s="2095"/>
      <c r="Q403" s="2054"/>
      <c r="R403" s="2054"/>
      <c r="S403" s="2054"/>
      <c r="T403" s="2054"/>
      <c r="U403" s="2054"/>
      <c r="V403" s="2054"/>
      <c r="W403" s="2054"/>
      <c r="X403" s="2054"/>
      <c r="Y403" s="2054"/>
      <c r="Z403" s="2054"/>
      <c r="AA403" s="2054"/>
      <c r="AB403" s="2054"/>
      <c r="AC403" s="2054"/>
    </row>
    <row r="404" spans="1:29">
      <c r="A404" s="2054"/>
      <c r="B404" s="2054"/>
      <c r="C404" s="2054"/>
      <c r="D404" s="2054"/>
      <c r="E404" s="2054"/>
      <c r="F404" s="2054"/>
      <c r="G404" s="2054"/>
      <c r="H404" s="2054"/>
      <c r="I404" s="2054"/>
      <c r="J404" s="2054"/>
      <c r="K404" s="2055"/>
      <c r="L404" s="2056"/>
      <c r="M404" s="2054"/>
      <c r="N404" s="2054"/>
      <c r="O404" s="2054"/>
      <c r="P404" s="2095"/>
      <c r="Q404" s="2054"/>
      <c r="R404" s="2054"/>
      <c r="S404" s="2054"/>
      <c r="T404" s="2054"/>
      <c r="U404" s="2054"/>
      <c r="V404" s="2054"/>
      <c r="W404" s="2054"/>
      <c r="X404" s="2054"/>
      <c r="Y404" s="2054"/>
      <c r="Z404" s="2054"/>
      <c r="AA404" s="2054"/>
      <c r="AB404" s="2054"/>
      <c r="AC404" s="2054"/>
    </row>
    <row r="405" spans="1:29">
      <c r="A405" s="2054"/>
      <c r="B405" s="2054"/>
      <c r="C405" s="2054"/>
      <c r="D405" s="2054"/>
      <c r="E405" s="2054"/>
      <c r="F405" s="2054"/>
      <c r="G405" s="2054"/>
      <c r="H405" s="2054"/>
      <c r="I405" s="2054"/>
      <c r="J405" s="2054"/>
      <c r="K405" s="2055"/>
      <c r="L405" s="2056"/>
      <c r="M405" s="2054"/>
      <c r="N405" s="2054"/>
      <c r="O405" s="2054"/>
      <c r="P405" s="2095"/>
      <c r="Q405" s="2054"/>
      <c r="R405" s="2054"/>
      <c r="S405" s="2054"/>
      <c r="T405" s="2054"/>
      <c r="U405" s="2054"/>
      <c r="V405" s="2054"/>
      <c r="W405" s="2054"/>
      <c r="X405" s="2054"/>
      <c r="Y405" s="2054"/>
      <c r="Z405" s="2054"/>
      <c r="AA405" s="2054"/>
      <c r="AB405" s="2054"/>
      <c r="AC405" s="2054"/>
    </row>
    <row r="406" spans="1:29">
      <c r="A406" s="2054"/>
      <c r="B406" s="2054"/>
      <c r="C406" s="2054"/>
      <c r="D406" s="2054"/>
      <c r="E406" s="2054"/>
      <c r="F406" s="2054"/>
      <c r="G406" s="2054"/>
      <c r="H406" s="2054"/>
      <c r="I406" s="2054"/>
      <c r="J406" s="2054"/>
      <c r="K406" s="2055"/>
      <c r="L406" s="2056"/>
      <c r="M406" s="2054"/>
      <c r="N406" s="2054"/>
      <c r="O406" s="2054"/>
      <c r="P406" s="2095"/>
      <c r="Q406" s="2054"/>
      <c r="R406" s="2054"/>
      <c r="S406" s="2054"/>
      <c r="T406" s="2054"/>
      <c r="U406" s="2054"/>
      <c r="V406" s="2054"/>
      <c r="W406" s="2054"/>
      <c r="X406" s="2054"/>
      <c r="Y406" s="2054"/>
      <c r="Z406" s="2054"/>
      <c r="AA406" s="2054"/>
      <c r="AB406" s="2054"/>
      <c r="AC406" s="2054"/>
    </row>
    <row r="407" spans="1:29">
      <c r="A407" s="2054"/>
      <c r="B407" s="2054"/>
      <c r="C407" s="2054"/>
      <c r="D407" s="2054"/>
      <c r="E407" s="2054"/>
      <c r="F407" s="2054"/>
      <c r="G407" s="2054"/>
      <c r="H407" s="2054"/>
      <c r="I407" s="2054"/>
      <c r="J407" s="2054"/>
      <c r="K407" s="2055"/>
      <c r="L407" s="2056"/>
      <c r="M407" s="2054"/>
      <c r="N407" s="2054"/>
      <c r="O407" s="2054"/>
      <c r="P407" s="2095"/>
      <c r="Q407" s="2054"/>
      <c r="R407" s="2054"/>
      <c r="S407" s="2054"/>
      <c r="T407" s="2054"/>
      <c r="U407" s="2054"/>
      <c r="V407" s="2054"/>
      <c r="W407" s="2054"/>
      <c r="X407" s="2054"/>
      <c r="Y407" s="2054"/>
      <c r="Z407" s="2054"/>
      <c r="AA407" s="2054"/>
      <c r="AB407" s="2054"/>
      <c r="AC407" s="2054"/>
    </row>
    <row r="408" spans="1:29">
      <c r="A408" s="2054"/>
      <c r="B408" s="2054"/>
      <c r="C408" s="2054"/>
      <c r="D408" s="2054"/>
      <c r="E408" s="2054"/>
      <c r="F408" s="2054"/>
      <c r="G408" s="2054"/>
      <c r="H408" s="2054"/>
      <c r="I408" s="2054"/>
      <c r="J408" s="2054"/>
      <c r="K408" s="2055"/>
      <c r="L408" s="2056"/>
      <c r="M408" s="2054"/>
      <c r="N408" s="2054"/>
      <c r="O408" s="2054"/>
      <c r="P408" s="2095"/>
      <c r="Q408" s="2054"/>
      <c r="R408" s="2054"/>
      <c r="S408" s="2054"/>
      <c r="T408" s="2054"/>
      <c r="U408" s="2054"/>
      <c r="V408" s="2054"/>
      <c r="W408" s="2054"/>
      <c r="X408" s="2054"/>
      <c r="Y408" s="2054"/>
      <c r="Z408" s="2054"/>
      <c r="AA408" s="2054"/>
      <c r="AB408" s="2054"/>
      <c r="AC408" s="2054"/>
    </row>
    <row r="409" spans="1:29">
      <c r="A409" s="2054"/>
      <c r="B409" s="2054"/>
      <c r="C409" s="2054"/>
      <c r="D409" s="2054"/>
      <c r="E409" s="2054"/>
      <c r="F409" s="2054"/>
      <c r="G409" s="2054"/>
      <c r="H409" s="2054"/>
      <c r="I409" s="2054"/>
      <c r="J409" s="2054"/>
      <c r="K409" s="2055"/>
      <c r="L409" s="2056"/>
      <c r="M409" s="2054"/>
      <c r="N409" s="2054"/>
      <c r="O409" s="2054"/>
      <c r="P409" s="2095"/>
      <c r="Q409" s="2054"/>
      <c r="R409" s="2054"/>
      <c r="S409" s="2054"/>
      <c r="T409" s="2054"/>
      <c r="U409" s="2054"/>
      <c r="V409" s="2054"/>
      <c r="W409" s="2054"/>
      <c r="X409" s="2054"/>
      <c r="Y409" s="2054"/>
      <c r="Z409" s="2054"/>
      <c r="AA409" s="2054"/>
      <c r="AB409" s="2054"/>
      <c r="AC409" s="2054"/>
    </row>
    <row r="410" spans="1:29">
      <c r="A410" s="2054"/>
      <c r="B410" s="2054"/>
      <c r="C410" s="2054"/>
      <c r="D410" s="2054"/>
      <c r="E410" s="2054"/>
      <c r="F410" s="2054"/>
      <c r="G410" s="2054"/>
      <c r="H410" s="2054"/>
      <c r="I410" s="2054"/>
      <c r="J410" s="2054"/>
      <c r="K410" s="2055"/>
      <c r="L410" s="2056"/>
      <c r="M410" s="2054"/>
      <c r="N410" s="2054"/>
      <c r="O410" s="2054"/>
      <c r="P410" s="2095"/>
      <c r="Q410" s="2054"/>
      <c r="R410" s="2054"/>
      <c r="S410" s="2054"/>
      <c r="T410" s="2054"/>
      <c r="U410" s="2054"/>
      <c r="V410" s="2054"/>
      <c r="W410" s="2054"/>
      <c r="X410" s="2054"/>
      <c r="Y410" s="2054"/>
      <c r="Z410" s="2054"/>
      <c r="AA410" s="2054"/>
      <c r="AB410" s="2054"/>
      <c r="AC410" s="2054"/>
    </row>
    <row r="411" spans="1:29">
      <c r="A411" s="2054"/>
      <c r="B411" s="2054"/>
      <c r="C411" s="2054"/>
      <c r="D411" s="2054"/>
      <c r="E411" s="2054"/>
      <c r="F411" s="2054"/>
      <c r="G411" s="2054"/>
      <c r="H411" s="2054"/>
      <c r="I411" s="2054"/>
      <c r="J411" s="2054"/>
      <c r="K411" s="2055"/>
      <c r="L411" s="2056"/>
      <c r="M411" s="2054"/>
      <c r="N411" s="2054"/>
      <c r="O411" s="2054"/>
      <c r="P411" s="2095"/>
      <c r="Q411" s="2054"/>
      <c r="R411" s="2054"/>
      <c r="S411" s="2054"/>
      <c r="T411" s="2054"/>
      <c r="U411" s="2054"/>
      <c r="V411" s="2054"/>
      <c r="W411" s="2054"/>
      <c r="X411" s="2054"/>
      <c r="Y411" s="2054"/>
      <c r="Z411" s="2054"/>
      <c r="AA411" s="2054"/>
      <c r="AB411" s="2054"/>
      <c r="AC411" s="2054"/>
    </row>
    <row r="412" spans="1:29">
      <c r="A412" s="2054"/>
      <c r="B412" s="2054"/>
      <c r="C412" s="2054"/>
      <c r="D412" s="2054"/>
      <c r="E412" s="2054"/>
      <c r="F412" s="2054"/>
      <c r="G412" s="2054"/>
      <c r="H412" s="2054"/>
      <c r="I412" s="2054"/>
      <c r="J412" s="2054"/>
      <c r="K412" s="2055"/>
      <c r="L412" s="2056"/>
      <c r="M412" s="2054"/>
      <c r="N412" s="2054"/>
      <c r="O412" s="2054"/>
      <c r="P412" s="2095"/>
      <c r="Q412" s="2054"/>
      <c r="R412" s="2054"/>
      <c r="S412" s="2054"/>
      <c r="T412" s="2054"/>
      <c r="U412" s="2054"/>
      <c r="V412" s="2054"/>
      <c r="W412" s="2054"/>
      <c r="X412" s="2054"/>
      <c r="Y412" s="2054"/>
      <c r="Z412" s="2054"/>
      <c r="AA412" s="2054"/>
      <c r="AB412" s="2054"/>
      <c r="AC412" s="2054"/>
    </row>
    <row r="413" spans="1:29">
      <c r="A413" s="2054"/>
      <c r="B413" s="2054"/>
      <c r="C413" s="2054"/>
      <c r="D413" s="2054"/>
      <c r="E413" s="2054"/>
      <c r="F413" s="2054"/>
      <c r="G413" s="2054"/>
      <c r="H413" s="2054"/>
      <c r="I413" s="2054"/>
      <c r="J413" s="2054"/>
      <c r="K413" s="2055"/>
      <c r="L413" s="2056"/>
      <c r="M413" s="2054"/>
      <c r="N413" s="2054"/>
      <c r="O413" s="2054"/>
      <c r="P413" s="2095"/>
      <c r="Q413" s="2054"/>
      <c r="R413" s="2054"/>
      <c r="S413" s="2054"/>
      <c r="T413" s="2054"/>
      <c r="U413" s="2054"/>
      <c r="V413" s="2054"/>
      <c r="W413" s="2054"/>
      <c r="X413" s="2054"/>
      <c r="Y413" s="2054"/>
      <c r="Z413" s="2054"/>
      <c r="AA413" s="2054"/>
      <c r="AB413" s="2054"/>
      <c r="AC413" s="2054"/>
    </row>
    <row r="414" spans="1:29">
      <c r="A414" s="2054"/>
      <c r="B414" s="2054"/>
      <c r="C414" s="2054"/>
      <c r="D414" s="2054"/>
      <c r="E414" s="2054"/>
      <c r="F414" s="2054"/>
      <c r="G414" s="2054"/>
      <c r="H414" s="2054"/>
      <c r="I414" s="2054"/>
      <c r="J414" s="2054"/>
      <c r="K414" s="2055"/>
      <c r="L414" s="2056"/>
      <c r="M414" s="2054"/>
      <c r="N414" s="2054"/>
      <c r="O414" s="2054"/>
      <c r="P414" s="2095"/>
      <c r="Q414" s="2054"/>
      <c r="R414" s="2054"/>
      <c r="S414" s="2054"/>
      <c r="T414" s="2054"/>
      <c r="U414" s="2054"/>
      <c r="V414" s="2054"/>
      <c r="W414" s="2054"/>
      <c r="X414" s="2054"/>
      <c r="Y414" s="2054"/>
      <c r="Z414" s="2054"/>
      <c r="AA414" s="2054"/>
      <c r="AB414" s="2054"/>
      <c r="AC414" s="2054"/>
    </row>
    <row r="415" spans="1:29">
      <c r="A415" s="2054"/>
      <c r="B415" s="2054"/>
      <c r="C415" s="2054"/>
      <c r="D415" s="2054"/>
      <c r="E415" s="2054"/>
      <c r="F415" s="2054"/>
      <c r="G415" s="2054"/>
      <c r="H415" s="2054"/>
      <c r="I415" s="2054"/>
      <c r="J415" s="2054"/>
      <c r="K415" s="2055"/>
      <c r="L415" s="2056"/>
      <c r="M415" s="2054"/>
      <c r="N415" s="2054"/>
      <c r="O415" s="2054"/>
      <c r="P415" s="2095"/>
      <c r="Q415" s="2054"/>
      <c r="R415" s="2054"/>
      <c r="S415" s="2054"/>
      <c r="T415" s="2054"/>
      <c r="U415" s="2054"/>
      <c r="V415" s="2054"/>
      <c r="W415" s="2054"/>
      <c r="X415" s="2054"/>
      <c r="Y415" s="2054"/>
      <c r="Z415" s="2054"/>
      <c r="AA415" s="2054"/>
      <c r="AB415" s="2054"/>
      <c r="AC415" s="2054"/>
    </row>
    <row r="416" spans="1:29">
      <c r="A416" s="2054"/>
      <c r="B416" s="2054"/>
      <c r="C416" s="2054"/>
      <c r="D416" s="2054"/>
      <c r="E416" s="2054"/>
      <c r="F416" s="2054"/>
      <c r="G416" s="2054"/>
      <c r="H416" s="2054"/>
      <c r="I416" s="2054"/>
      <c r="J416" s="2054"/>
      <c r="K416" s="2055"/>
      <c r="L416" s="2056"/>
      <c r="M416" s="2054"/>
      <c r="N416" s="2054"/>
      <c r="O416" s="2054"/>
      <c r="P416" s="2095"/>
      <c r="Q416" s="2054"/>
      <c r="R416" s="2054"/>
      <c r="S416" s="2054"/>
      <c r="T416" s="2054"/>
      <c r="U416" s="2054"/>
      <c r="V416" s="2054"/>
      <c r="W416" s="2054"/>
      <c r="X416" s="2054"/>
      <c r="Y416" s="2054"/>
      <c r="Z416" s="2054"/>
      <c r="AA416" s="2054"/>
      <c r="AB416" s="2054"/>
      <c r="AC416" s="2054"/>
    </row>
    <row r="417" spans="1:29">
      <c r="A417" s="2054"/>
      <c r="B417" s="2054"/>
      <c r="C417" s="2054"/>
      <c r="D417" s="2054"/>
      <c r="E417" s="2054"/>
      <c r="F417" s="2054"/>
      <c r="G417" s="2054"/>
      <c r="H417" s="2054"/>
      <c r="I417" s="2054"/>
      <c r="J417" s="2054"/>
      <c r="K417" s="2055"/>
      <c r="L417" s="2056"/>
      <c r="M417" s="2054"/>
      <c r="N417" s="2054"/>
      <c r="O417" s="2054"/>
      <c r="P417" s="2095"/>
      <c r="Q417" s="2054"/>
      <c r="R417" s="2054"/>
      <c r="S417" s="2054"/>
      <c r="T417" s="2054"/>
      <c r="U417" s="2054"/>
      <c r="V417" s="2054"/>
      <c r="W417" s="2054"/>
      <c r="X417" s="2054"/>
      <c r="Y417" s="2054"/>
      <c r="Z417" s="2054"/>
      <c r="AA417" s="2054"/>
      <c r="AB417" s="2054"/>
      <c r="AC417" s="2054"/>
    </row>
    <row r="418" spans="1:29">
      <c r="A418" s="2054"/>
      <c r="B418" s="2054"/>
      <c r="C418" s="2054"/>
      <c r="D418" s="2054"/>
      <c r="E418" s="2054"/>
      <c r="F418" s="2054"/>
      <c r="G418" s="2054"/>
      <c r="H418" s="2054"/>
      <c r="I418" s="2054"/>
      <c r="J418" s="2054"/>
      <c r="K418" s="2055"/>
      <c r="L418" s="2056"/>
      <c r="M418" s="2054"/>
      <c r="N418" s="2054"/>
      <c r="O418" s="2054"/>
      <c r="P418" s="2095"/>
      <c r="Q418" s="2054"/>
      <c r="R418" s="2054"/>
      <c r="S418" s="2054"/>
      <c r="T418" s="2054"/>
      <c r="U418" s="2054"/>
      <c r="V418" s="2054"/>
      <c r="W418" s="2054"/>
      <c r="X418" s="2054"/>
      <c r="Y418" s="2054"/>
      <c r="Z418" s="2054"/>
      <c r="AA418" s="2054"/>
      <c r="AB418" s="2054"/>
      <c r="AC418" s="2054"/>
    </row>
    <row r="419" spans="1:29">
      <c r="A419" s="2054"/>
      <c r="B419" s="2054"/>
      <c r="C419" s="2054"/>
      <c r="D419" s="2054"/>
      <c r="E419" s="2054"/>
      <c r="F419" s="2054"/>
      <c r="G419" s="2054"/>
      <c r="H419" s="2054"/>
      <c r="I419" s="2054"/>
      <c r="J419" s="2054"/>
      <c r="K419" s="2055"/>
      <c r="L419" s="2056"/>
      <c r="M419" s="2054"/>
      <c r="N419" s="2054"/>
      <c r="O419" s="2054"/>
      <c r="P419" s="2095"/>
      <c r="Q419" s="2054"/>
      <c r="R419" s="2054"/>
      <c r="S419" s="2054"/>
      <c r="T419" s="2054"/>
      <c r="U419" s="2054"/>
      <c r="V419" s="2054"/>
      <c r="W419" s="2054"/>
      <c r="X419" s="2054"/>
      <c r="Y419" s="2054"/>
      <c r="Z419" s="2054"/>
      <c r="AA419" s="2054"/>
      <c r="AB419" s="2054"/>
      <c r="AC419" s="2054"/>
    </row>
    <row r="420" spans="1:29">
      <c r="A420" s="2054"/>
      <c r="B420" s="2054"/>
      <c r="C420" s="2054"/>
      <c r="D420" s="2054"/>
      <c r="E420" s="2054"/>
      <c r="F420" s="2054"/>
      <c r="G420" s="2054"/>
      <c r="H420" s="2054"/>
      <c r="I420" s="2054"/>
      <c r="J420" s="2054"/>
      <c r="K420" s="2055"/>
      <c r="L420" s="2056"/>
      <c r="M420" s="2054"/>
      <c r="N420" s="2054"/>
      <c r="O420" s="2054"/>
      <c r="P420" s="2095"/>
      <c r="Q420" s="2054"/>
      <c r="R420" s="2054"/>
      <c r="S420" s="2054"/>
      <c r="T420" s="2054"/>
      <c r="U420" s="2054"/>
      <c r="V420" s="2054"/>
      <c r="W420" s="2054"/>
      <c r="X420" s="2054"/>
      <c r="Y420" s="2054"/>
      <c r="Z420" s="2054"/>
      <c r="AA420" s="2054"/>
      <c r="AB420" s="2054"/>
      <c r="AC420" s="2054"/>
    </row>
    <row r="421" spans="1:29">
      <c r="A421" s="2054"/>
      <c r="B421" s="2054"/>
      <c r="C421" s="2054"/>
      <c r="D421" s="2054"/>
      <c r="E421" s="2054"/>
      <c r="F421" s="2054"/>
      <c r="G421" s="2054"/>
      <c r="H421" s="2054"/>
      <c r="I421" s="2054"/>
      <c r="J421" s="2054"/>
      <c r="K421" s="2055"/>
      <c r="L421" s="2056"/>
      <c r="M421" s="2054"/>
      <c r="N421" s="2054"/>
      <c r="O421" s="2054"/>
      <c r="P421" s="2095"/>
      <c r="Q421" s="2054"/>
      <c r="R421" s="2054"/>
      <c r="S421" s="2054"/>
      <c r="T421" s="2054"/>
      <c r="U421" s="2054"/>
      <c r="V421" s="2054"/>
      <c r="W421" s="2054"/>
      <c r="X421" s="2054"/>
      <c r="Y421" s="2054"/>
      <c r="Z421" s="2054"/>
      <c r="AA421" s="2054"/>
      <c r="AB421" s="2054"/>
      <c r="AC421" s="2054"/>
    </row>
    <row r="422" spans="1:29">
      <c r="A422" s="2054"/>
      <c r="B422" s="2054"/>
      <c r="C422" s="2054"/>
      <c r="D422" s="2054"/>
      <c r="E422" s="2054"/>
      <c r="F422" s="2054"/>
      <c r="G422" s="2054"/>
      <c r="H422" s="2054"/>
      <c r="I422" s="2054"/>
      <c r="J422" s="2054"/>
      <c r="K422" s="2055"/>
      <c r="L422" s="2056"/>
      <c r="M422" s="2054"/>
      <c r="N422" s="2054"/>
      <c r="O422" s="2054"/>
      <c r="P422" s="2095"/>
      <c r="Q422" s="2054"/>
      <c r="R422" s="2054"/>
      <c r="S422" s="2054"/>
      <c r="T422" s="2054"/>
      <c r="U422" s="2054"/>
      <c r="V422" s="2054"/>
      <c r="W422" s="2054"/>
      <c r="X422" s="2054"/>
      <c r="Y422" s="2054"/>
      <c r="Z422" s="2054"/>
      <c r="AA422" s="2054"/>
      <c r="AB422" s="2054"/>
      <c r="AC422" s="2054"/>
    </row>
    <row r="423" spans="1:29">
      <c r="A423" s="2054"/>
      <c r="B423" s="2054"/>
      <c r="C423" s="2054"/>
      <c r="D423" s="2054"/>
      <c r="E423" s="2054"/>
      <c r="F423" s="2054"/>
      <c r="G423" s="2054"/>
      <c r="H423" s="2054"/>
      <c r="I423" s="2054"/>
      <c r="J423" s="2054"/>
      <c r="K423" s="2055"/>
      <c r="L423" s="2056"/>
      <c r="M423" s="2054"/>
      <c r="N423" s="2054"/>
      <c r="O423" s="2054"/>
      <c r="P423" s="2095"/>
      <c r="Q423" s="2054"/>
      <c r="R423" s="2054"/>
      <c r="S423" s="2054"/>
      <c r="T423" s="2054"/>
      <c r="U423" s="2054"/>
      <c r="V423" s="2054"/>
      <c r="W423" s="2054"/>
      <c r="X423" s="2054"/>
      <c r="Y423" s="2054"/>
      <c r="Z423" s="2054"/>
      <c r="AA423" s="2054"/>
      <c r="AB423" s="2054"/>
      <c r="AC423" s="2054"/>
    </row>
    <row r="424" spans="1:29">
      <c r="A424" s="2054"/>
      <c r="B424" s="2054"/>
      <c r="C424" s="2054"/>
      <c r="D424" s="2054"/>
      <c r="E424" s="2054"/>
      <c r="F424" s="2054"/>
      <c r="G424" s="2054"/>
      <c r="H424" s="2054"/>
      <c r="I424" s="2054"/>
      <c r="J424" s="2054"/>
      <c r="K424" s="2055"/>
      <c r="L424" s="2056"/>
      <c r="M424" s="2054"/>
      <c r="N424" s="2054"/>
      <c r="O424" s="2054"/>
      <c r="P424" s="2095"/>
      <c r="Q424" s="2054"/>
      <c r="R424" s="2054"/>
      <c r="S424" s="2054"/>
      <c r="T424" s="2054"/>
      <c r="U424" s="2054"/>
      <c r="V424" s="2054"/>
      <c r="W424" s="2054"/>
      <c r="X424" s="2054"/>
      <c r="Y424" s="2054"/>
      <c r="Z424" s="2054"/>
      <c r="AA424" s="2054"/>
      <c r="AB424" s="2054"/>
      <c r="AC424" s="2054"/>
    </row>
    <row r="425" spans="1:29">
      <c r="A425" s="2054"/>
      <c r="B425" s="2054"/>
      <c r="C425" s="2054"/>
      <c r="D425" s="2054"/>
      <c r="E425" s="2054"/>
      <c r="F425" s="2054"/>
      <c r="G425" s="2054"/>
      <c r="H425" s="2054"/>
      <c r="I425" s="2054"/>
      <c r="J425" s="2054"/>
      <c r="K425" s="2055"/>
      <c r="L425" s="2056"/>
      <c r="M425" s="2054"/>
      <c r="N425" s="2054"/>
      <c r="O425" s="2054"/>
      <c r="P425" s="2095"/>
      <c r="Q425" s="2054"/>
      <c r="R425" s="2054"/>
      <c r="S425" s="2054"/>
      <c r="T425" s="2054"/>
      <c r="U425" s="2054"/>
      <c r="V425" s="2054"/>
      <c r="W425" s="2054"/>
      <c r="X425" s="2054"/>
      <c r="Y425" s="2054"/>
      <c r="Z425" s="2054"/>
      <c r="AA425" s="2054"/>
      <c r="AB425" s="2054"/>
      <c r="AC425" s="2054"/>
    </row>
    <row r="426" spans="1:29">
      <c r="A426" s="2054"/>
      <c r="B426" s="2054"/>
      <c r="C426" s="2054"/>
      <c r="D426" s="2054"/>
      <c r="E426" s="2054"/>
      <c r="F426" s="2054"/>
      <c r="G426" s="2054"/>
      <c r="H426" s="2054"/>
      <c r="I426" s="2054"/>
      <c r="J426" s="2054"/>
      <c r="K426" s="2055"/>
      <c r="L426" s="2056"/>
      <c r="M426" s="2054"/>
      <c r="N426" s="2054"/>
      <c r="O426" s="2054"/>
      <c r="P426" s="2095"/>
      <c r="Q426" s="2054"/>
      <c r="R426" s="2054"/>
      <c r="S426" s="2054"/>
      <c r="T426" s="2054"/>
      <c r="U426" s="2054"/>
      <c r="V426" s="2054"/>
      <c r="W426" s="2054"/>
      <c r="X426" s="2054"/>
      <c r="Y426" s="2054"/>
      <c r="Z426" s="2054"/>
      <c r="AA426" s="2054"/>
      <c r="AB426" s="2054"/>
      <c r="AC426" s="2054"/>
    </row>
    <row r="427" spans="1:29">
      <c r="A427" s="2054"/>
      <c r="B427" s="2054"/>
      <c r="C427" s="2054"/>
      <c r="D427" s="2054"/>
      <c r="E427" s="2054"/>
      <c r="F427" s="2054"/>
      <c r="G427" s="2054"/>
      <c r="H427" s="2054"/>
      <c r="I427" s="2054"/>
      <c r="J427" s="2054"/>
      <c r="K427" s="2055"/>
      <c r="L427" s="2056"/>
      <c r="M427" s="2054"/>
      <c r="N427" s="2054"/>
      <c r="O427" s="2054"/>
      <c r="P427" s="2095"/>
      <c r="Q427" s="2054"/>
      <c r="R427" s="2054"/>
      <c r="S427" s="2054"/>
      <c r="T427" s="2054"/>
      <c r="U427" s="2054"/>
      <c r="V427" s="2054"/>
      <c r="W427" s="2054"/>
      <c r="X427" s="2054"/>
      <c r="Y427" s="2054"/>
      <c r="Z427" s="2054"/>
      <c r="AA427" s="2054"/>
      <c r="AB427" s="2054"/>
      <c r="AC427" s="2054"/>
    </row>
    <row r="428" spans="1:29">
      <c r="A428" s="2054"/>
      <c r="B428" s="2054"/>
      <c r="C428" s="2054"/>
      <c r="D428" s="2054"/>
      <c r="E428" s="2054"/>
      <c r="F428" s="2054"/>
      <c r="G428" s="2054"/>
      <c r="H428" s="2054"/>
      <c r="I428" s="2054"/>
      <c r="J428" s="2054"/>
      <c r="K428" s="2055"/>
      <c r="L428" s="2056"/>
      <c r="M428" s="2054"/>
      <c r="N428" s="2054"/>
      <c r="O428" s="2054"/>
      <c r="P428" s="2095"/>
      <c r="Q428" s="2054"/>
      <c r="R428" s="2054"/>
      <c r="S428" s="2054"/>
      <c r="T428" s="2054"/>
      <c r="U428" s="2054"/>
      <c r="V428" s="2054"/>
      <c r="W428" s="2054"/>
      <c r="X428" s="2054"/>
      <c r="Y428" s="2054"/>
      <c r="Z428" s="2054"/>
      <c r="AA428" s="2054"/>
      <c r="AB428" s="2054"/>
      <c r="AC428" s="2054"/>
    </row>
    <row r="429" spans="1:29">
      <c r="A429" s="2054"/>
      <c r="B429" s="2054"/>
      <c r="C429" s="2054"/>
      <c r="D429" s="2054"/>
      <c r="E429" s="2054"/>
      <c r="F429" s="2054"/>
      <c r="G429" s="2054"/>
      <c r="H429" s="2054"/>
      <c r="I429" s="2054"/>
      <c r="J429" s="2054"/>
      <c r="K429" s="2055"/>
      <c r="L429" s="2056"/>
      <c r="M429" s="2054"/>
      <c r="N429" s="2054"/>
      <c r="O429" s="2054"/>
      <c r="P429" s="2095"/>
      <c r="Q429" s="2054"/>
      <c r="R429" s="2054"/>
      <c r="S429" s="2054"/>
      <c r="T429" s="2054"/>
      <c r="U429" s="2054"/>
      <c r="V429" s="2054"/>
      <c r="W429" s="2054"/>
      <c r="X429" s="2054"/>
      <c r="Y429" s="2054"/>
      <c r="Z429" s="2054"/>
      <c r="AA429" s="2054"/>
      <c r="AB429" s="2054"/>
      <c r="AC429" s="2054"/>
    </row>
    <row r="430" spans="1:29">
      <c r="A430" s="2054"/>
      <c r="B430" s="2054"/>
      <c r="C430" s="2054"/>
      <c r="D430" s="2054"/>
      <c r="E430" s="2054"/>
      <c r="F430" s="2054"/>
      <c r="G430" s="2054"/>
      <c r="H430" s="2054"/>
      <c r="I430" s="2054"/>
      <c r="J430" s="2054"/>
      <c r="K430" s="2055"/>
      <c r="L430" s="2056"/>
      <c r="M430" s="2054"/>
      <c r="N430" s="2054"/>
      <c r="O430" s="2054"/>
      <c r="P430" s="2095"/>
      <c r="Q430" s="2054"/>
      <c r="R430" s="2054"/>
      <c r="S430" s="2054"/>
      <c r="T430" s="2054"/>
      <c r="U430" s="2054"/>
      <c r="V430" s="2054"/>
      <c r="W430" s="2054"/>
      <c r="X430" s="2054"/>
      <c r="Y430" s="2054"/>
      <c r="Z430" s="2054"/>
      <c r="AA430" s="2054"/>
      <c r="AB430" s="2054"/>
      <c r="AC430" s="2054"/>
    </row>
    <row r="431" spans="1:29">
      <c r="A431" s="2054"/>
      <c r="B431" s="2054"/>
      <c r="C431" s="2054"/>
      <c r="D431" s="2054"/>
      <c r="E431" s="2054"/>
      <c r="F431" s="2054"/>
      <c r="G431" s="2054"/>
      <c r="H431" s="2054"/>
      <c r="I431" s="2054"/>
      <c r="J431" s="2054"/>
      <c r="K431" s="2055"/>
      <c r="L431" s="2056"/>
      <c r="M431" s="2054"/>
      <c r="N431" s="2054"/>
      <c r="O431" s="2054"/>
      <c r="P431" s="2095"/>
      <c r="Q431" s="2054"/>
      <c r="R431" s="2054"/>
      <c r="S431" s="2054"/>
      <c r="T431" s="2054"/>
      <c r="U431" s="2054"/>
      <c r="V431" s="2054"/>
      <c r="W431" s="2054"/>
      <c r="X431" s="2054"/>
      <c r="Y431" s="2054"/>
      <c r="Z431" s="2054"/>
      <c r="AA431" s="2054"/>
      <c r="AB431" s="2054"/>
      <c r="AC431" s="2054"/>
    </row>
    <row r="432" spans="1:29">
      <c r="A432" s="2054"/>
      <c r="B432" s="2054"/>
      <c r="C432" s="2054"/>
      <c r="D432" s="2054"/>
      <c r="E432" s="2054"/>
      <c r="F432" s="2054"/>
      <c r="G432" s="2054"/>
      <c r="H432" s="2054"/>
      <c r="I432" s="2054"/>
      <c r="J432" s="2054"/>
      <c r="K432" s="2055"/>
      <c r="L432" s="2056"/>
      <c r="M432" s="2054"/>
      <c r="N432" s="2054"/>
      <c r="O432" s="2054"/>
      <c r="P432" s="2095"/>
      <c r="Q432" s="2054"/>
      <c r="R432" s="2054"/>
      <c r="S432" s="2054"/>
      <c r="T432" s="2054"/>
      <c r="U432" s="2054"/>
      <c r="V432" s="2054"/>
      <c r="W432" s="2054"/>
      <c r="X432" s="2054"/>
      <c r="Y432" s="2054"/>
      <c r="Z432" s="2054"/>
      <c r="AA432" s="2054"/>
      <c r="AB432" s="2054"/>
      <c r="AC432" s="2054"/>
    </row>
    <row r="433" spans="1:29">
      <c r="A433" s="2054"/>
      <c r="B433" s="2054"/>
      <c r="C433" s="2054"/>
      <c r="D433" s="2054"/>
      <c r="E433" s="2054"/>
      <c r="F433" s="2054"/>
      <c r="G433" s="2054"/>
      <c r="H433" s="2054"/>
      <c r="I433" s="2054"/>
      <c r="J433" s="2054"/>
      <c r="K433" s="2055"/>
      <c r="L433" s="2056"/>
      <c r="M433" s="2054"/>
      <c r="N433" s="2054"/>
      <c r="O433" s="2054"/>
      <c r="P433" s="2095"/>
      <c r="Q433" s="2054"/>
      <c r="R433" s="2054"/>
      <c r="S433" s="2054"/>
      <c r="T433" s="2054"/>
      <c r="U433" s="2054"/>
      <c r="V433" s="2054"/>
      <c r="W433" s="2054"/>
      <c r="X433" s="2054"/>
      <c r="Y433" s="2054"/>
      <c r="Z433" s="2054"/>
      <c r="AA433" s="2054"/>
      <c r="AB433" s="2054"/>
      <c r="AC433" s="2054"/>
    </row>
    <row r="434" spans="1:29">
      <c r="A434" s="2054"/>
      <c r="B434" s="2054"/>
      <c r="C434" s="2054"/>
      <c r="D434" s="2054"/>
      <c r="E434" s="2054"/>
      <c r="F434" s="2054"/>
      <c r="G434" s="2054"/>
      <c r="H434" s="2054"/>
      <c r="I434" s="2054"/>
      <c r="J434" s="2054"/>
      <c r="K434" s="2055"/>
      <c r="L434" s="2056"/>
      <c r="M434" s="2054"/>
      <c r="N434" s="2054"/>
      <c r="O434" s="2054"/>
      <c r="P434" s="2095"/>
      <c r="Q434" s="2054"/>
      <c r="R434" s="2054"/>
      <c r="S434" s="2054"/>
      <c r="T434" s="2054"/>
      <c r="U434" s="2054"/>
      <c r="V434" s="2054"/>
      <c r="W434" s="2054"/>
      <c r="X434" s="2054"/>
      <c r="Y434" s="2054"/>
      <c r="Z434" s="2054"/>
      <c r="AA434" s="2054"/>
      <c r="AB434" s="2054"/>
      <c r="AC434" s="2054"/>
    </row>
    <row r="435" spans="1:29">
      <c r="A435" s="2054"/>
      <c r="B435" s="2054"/>
      <c r="C435" s="2054"/>
      <c r="D435" s="2054"/>
      <c r="E435" s="2054"/>
      <c r="F435" s="2054"/>
      <c r="G435" s="2054"/>
      <c r="H435" s="2054"/>
      <c r="I435" s="2054"/>
      <c r="J435" s="2054"/>
      <c r="K435" s="2055"/>
      <c r="L435" s="2056"/>
      <c r="M435" s="2054"/>
      <c r="N435" s="2054"/>
      <c r="O435" s="2054"/>
      <c r="P435" s="2095"/>
      <c r="Q435" s="2054"/>
      <c r="R435" s="2054"/>
      <c r="S435" s="2054"/>
      <c r="T435" s="2054"/>
      <c r="U435" s="2054"/>
      <c r="V435" s="2054"/>
      <c r="W435" s="2054"/>
      <c r="X435" s="2054"/>
      <c r="Y435" s="2054"/>
      <c r="Z435" s="2054"/>
      <c r="AA435" s="2054"/>
      <c r="AB435" s="2054"/>
      <c r="AC435" s="2054"/>
    </row>
    <row r="436" spans="1:29">
      <c r="A436" s="2054"/>
      <c r="B436" s="2054"/>
      <c r="C436" s="2054"/>
      <c r="D436" s="2054"/>
      <c r="E436" s="2054"/>
      <c r="F436" s="2054"/>
      <c r="G436" s="2054"/>
      <c r="H436" s="2054"/>
      <c r="I436" s="2054"/>
      <c r="J436" s="2054"/>
      <c r="K436" s="2055"/>
      <c r="L436" s="2056"/>
      <c r="M436" s="2054"/>
      <c r="N436" s="2054"/>
      <c r="O436" s="2054"/>
      <c r="P436" s="2095"/>
      <c r="Q436" s="2054"/>
      <c r="R436" s="2054"/>
      <c r="S436" s="2054"/>
      <c r="T436" s="2054"/>
      <c r="U436" s="2054"/>
      <c r="V436" s="2054"/>
      <c r="W436" s="2054"/>
      <c r="X436" s="2054"/>
      <c r="Y436" s="2054"/>
      <c r="Z436" s="2054"/>
      <c r="AA436" s="2054"/>
      <c r="AB436" s="2054"/>
      <c r="AC436" s="2054"/>
    </row>
    <row r="437" spans="1:29">
      <c r="A437" s="2054"/>
      <c r="B437" s="2054"/>
      <c r="C437" s="2054"/>
      <c r="D437" s="2054"/>
      <c r="E437" s="2054"/>
      <c r="F437" s="2054"/>
      <c r="G437" s="2054"/>
      <c r="H437" s="2054"/>
      <c r="I437" s="2054"/>
      <c r="J437" s="2054"/>
      <c r="K437" s="2055"/>
      <c r="L437" s="2056"/>
      <c r="M437" s="2054"/>
      <c r="N437" s="2054"/>
      <c r="O437" s="2054"/>
      <c r="P437" s="2095"/>
      <c r="Q437" s="2054"/>
      <c r="R437" s="2054"/>
      <c r="S437" s="2054"/>
      <c r="T437" s="2054"/>
      <c r="U437" s="2054"/>
      <c r="V437" s="2054"/>
      <c r="W437" s="2054"/>
      <c r="X437" s="2054"/>
      <c r="Y437" s="2054"/>
      <c r="Z437" s="2054"/>
      <c r="AA437" s="2054"/>
      <c r="AB437" s="2054"/>
      <c r="AC437" s="2054"/>
    </row>
    <row r="438" spans="1:29">
      <c r="A438" s="2054"/>
      <c r="B438" s="2054"/>
      <c r="C438" s="2054"/>
      <c r="D438" s="2054"/>
      <c r="E438" s="2054"/>
      <c r="F438" s="2054"/>
      <c r="G438" s="2054"/>
      <c r="H438" s="2054"/>
      <c r="I438" s="2054"/>
      <c r="J438" s="2054"/>
      <c r="K438" s="2055"/>
      <c r="L438" s="2056"/>
      <c r="M438" s="2054"/>
      <c r="N438" s="2054"/>
      <c r="O438" s="2054"/>
      <c r="P438" s="2095"/>
      <c r="Q438" s="2054"/>
      <c r="R438" s="2054"/>
      <c r="S438" s="2054"/>
      <c r="T438" s="2054"/>
      <c r="U438" s="2054"/>
      <c r="V438" s="2054"/>
      <c r="W438" s="2054"/>
      <c r="X438" s="2054"/>
      <c r="Y438" s="2054"/>
      <c r="Z438" s="2054"/>
      <c r="AA438" s="2054"/>
      <c r="AB438" s="2054"/>
      <c r="AC438" s="2054"/>
    </row>
    <row r="439" spans="1:29">
      <c r="A439" s="2054"/>
      <c r="B439" s="2054"/>
      <c r="C439" s="2054"/>
      <c r="D439" s="2054"/>
      <c r="E439" s="2054"/>
      <c r="F439" s="2054"/>
      <c r="G439" s="2054"/>
      <c r="H439" s="2054"/>
      <c r="I439" s="2054"/>
      <c r="J439" s="2054"/>
      <c r="K439" s="2055"/>
      <c r="L439" s="2056"/>
      <c r="M439" s="2054"/>
      <c r="N439" s="2054"/>
      <c r="O439" s="2054"/>
      <c r="P439" s="2095"/>
      <c r="Q439" s="2054"/>
      <c r="R439" s="2054"/>
      <c r="S439" s="2054"/>
      <c r="T439" s="2054"/>
      <c r="U439" s="2054"/>
      <c r="V439" s="2054"/>
      <c r="W439" s="2054"/>
      <c r="X439" s="2054"/>
      <c r="Y439" s="2054"/>
      <c r="Z439" s="2054"/>
      <c r="AA439" s="2054"/>
      <c r="AB439" s="2054"/>
      <c r="AC439" s="2054"/>
    </row>
    <row r="440" spans="1:29">
      <c r="A440" s="2054"/>
      <c r="B440" s="2054"/>
      <c r="C440" s="2054"/>
      <c r="D440" s="2054"/>
      <c r="E440" s="2054"/>
      <c r="F440" s="2054"/>
      <c r="G440" s="2054"/>
      <c r="H440" s="2054"/>
      <c r="I440" s="2054"/>
      <c r="J440" s="2054"/>
      <c r="K440" s="2055"/>
      <c r="L440" s="2056"/>
      <c r="M440" s="2054"/>
      <c r="N440" s="2054"/>
      <c r="O440" s="2054"/>
      <c r="P440" s="2095"/>
      <c r="Q440" s="2054"/>
      <c r="R440" s="2054"/>
      <c r="S440" s="2054"/>
      <c r="T440" s="2054"/>
      <c r="U440" s="2054"/>
      <c r="V440" s="2054"/>
      <c r="W440" s="2054"/>
      <c r="X440" s="2054"/>
      <c r="Y440" s="2054"/>
      <c r="Z440" s="2054"/>
      <c r="AA440" s="2054"/>
      <c r="AB440" s="2054"/>
      <c r="AC440" s="2054"/>
    </row>
    <row r="441" spans="1:29">
      <c r="A441" s="2054"/>
      <c r="B441" s="2054"/>
      <c r="C441" s="2054"/>
      <c r="D441" s="2054"/>
      <c r="E441" s="2054"/>
      <c r="F441" s="2054"/>
      <c r="G441" s="2054"/>
      <c r="H441" s="2054"/>
      <c r="I441" s="2054"/>
      <c r="J441" s="2054"/>
      <c r="K441" s="2055"/>
      <c r="L441" s="2056"/>
      <c r="M441" s="2054"/>
      <c r="N441" s="2054"/>
      <c r="O441" s="2054"/>
      <c r="P441" s="2095"/>
      <c r="Q441" s="2054"/>
      <c r="R441" s="2054"/>
      <c r="S441" s="2054"/>
      <c r="T441" s="2054"/>
      <c r="U441" s="2054"/>
      <c r="V441" s="2054"/>
      <c r="W441" s="2054"/>
      <c r="X441" s="2054"/>
      <c r="Y441" s="2054"/>
      <c r="Z441" s="2054"/>
      <c r="AA441" s="2054"/>
      <c r="AB441" s="2054"/>
      <c r="AC441" s="2054"/>
    </row>
    <row r="442" spans="1:29">
      <c r="A442" s="2054"/>
      <c r="B442" s="2054"/>
      <c r="C442" s="2054"/>
      <c r="D442" s="2054"/>
      <c r="E442" s="2054"/>
      <c r="F442" s="2054"/>
      <c r="G442" s="2054"/>
      <c r="H442" s="2054"/>
      <c r="I442" s="2054"/>
      <c r="J442" s="2054"/>
      <c r="K442" s="2055"/>
      <c r="L442" s="2056"/>
      <c r="M442" s="2054"/>
      <c r="N442" s="2054"/>
      <c r="O442" s="2054"/>
      <c r="P442" s="2095"/>
      <c r="Q442" s="2054"/>
      <c r="R442" s="2054"/>
      <c r="S442" s="2054"/>
      <c r="T442" s="2054"/>
      <c r="U442" s="2054"/>
      <c r="V442" s="2054"/>
      <c r="W442" s="2054"/>
      <c r="X442" s="2054"/>
      <c r="Y442" s="2054"/>
      <c r="Z442" s="2054"/>
      <c r="AA442" s="2054"/>
      <c r="AB442" s="2054"/>
      <c r="AC442" s="2054"/>
    </row>
    <row r="443" spans="1:29">
      <c r="A443" s="2054"/>
      <c r="B443" s="2054"/>
      <c r="C443" s="2054"/>
      <c r="D443" s="2054"/>
      <c r="E443" s="2054"/>
      <c r="F443" s="2054"/>
      <c r="G443" s="2054"/>
      <c r="H443" s="2054"/>
      <c r="I443" s="2054"/>
      <c r="J443" s="2054"/>
      <c r="K443" s="2055"/>
      <c r="L443" s="2056"/>
      <c r="M443" s="2054"/>
      <c r="N443" s="2054"/>
      <c r="O443" s="2054"/>
      <c r="P443" s="2095"/>
      <c r="Q443" s="2054"/>
      <c r="R443" s="2054"/>
      <c r="S443" s="2054"/>
      <c r="T443" s="2054"/>
      <c r="U443" s="2054"/>
      <c r="V443" s="2054"/>
      <c r="W443" s="2054"/>
      <c r="X443" s="2054"/>
      <c r="Y443" s="2054"/>
      <c r="Z443" s="2054"/>
      <c r="AA443" s="2054"/>
      <c r="AB443" s="2054"/>
      <c r="AC443" s="2054"/>
    </row>
    <row r="444" spans="1:29">
      <c r="A444" s="2054"/>
      <c r="B444" s="2054"/>
      <c r="C444" s="2054"/>
      <c r="D444" s="2054"/>
      <c r="E444" s="2054"/>
      <c r="F444" s="2054"/>
      <c r="G444" s="2054"/>
      <c r="H444" s="2054"/>
      <c r="I444" s="2054"/>
      <c r="J444" s="2054"/>
      <c r="K444" s="2055"/>
      <c r="L444" s="2056"/>
      <c r="M444" s="2054"/>
      <c r="N444" s="2054"/>
      <c r="O444" s="2054"/>
      <c r="P444" s="2095"/>
      <c r="Q444" s="2054"/>
      <c r="R444" s="2054"/>
      <c r="S444" s="2054"/>
      <c r="T444" s="2054"/>
      <c r="U444" s="2054"/>
      <c r="V444" s="2054"/>
      <c r="W444" s="2054"/>
      <c r="X444" s="2054"/>
      <c r="Y444" s="2054"/>
      <c r="Z444" s="2054"/>
      <c r="AA444" s="2054"/>
      <c r="AB444" s="2054"/>
      <c r="AC444" s="2054"/>
    </row>
    <row r="445" spans="1:29">
      <c r="A445" s="2054"/>
      <c r="B445" s="2054"/>
      <c r="C445" s="2054"/>
      <c r="D445" s="2054"/>
      <c r="E445" s="2054"/>
      <c r="F445" s="2054"/>
      <c r="G445" s="2054"/>
      <c r="H445" s="2054"/>
      <c r="I445" s="2054"/>
      <c r="J445" s="2054"/>
      <c r="K445" s="2055"/>
      <c r="L445" s="2056"/>
      <c r="M445" s="2054"/>
      <c r="N445" s="2054"/>
      <c r="O445" s="2054"/>
      <c r="P445" s="2095"/>
      <c r="Q445" s="2054"/>
      <c r="R445" s="2054"/>
      <c r="S445" s="2054"/>
      <c r="T445" s="2054"/>
      <c r="U445" s="2054"/>
      <c r="V445" s="2054"/>
      <c r="W445" s="2054"/>
      <c r="X445" s="2054"/>
      <c r="Y445" s="2054"/>
      <c r="Z445" s="2054"/>
      <c r="AA445" s="2054"/>
      <c r="AB445" s="2054"/>
      <c r="AC445" s="2054"/>
    </row>
    <row r="446" spans="1:29">
      <c r="A446" s="2054"/>
      <c r="B446" s="2054"/>
      <c r="C446" s="2054"/>
      <c r="D446" s="2054"/>
      <c r="E446" s="2054"/>
      <c r="F446" s="2054"/>
      <c r="G446" s="2054"/>
      <c r="H446" s="2054"/>
      <c r="I446" s="2054"/>
      <c r="J446" s="2054"/>
      <c r="K446" s="2055"/>
      <c r="L446" s="2056"/>
      <c r="M446" s="2054"/>
      <c r="N446" s="2054"/>
      <c r="O446" s="2054"/>
      <c r="P446" s="2095"/>
      <c r="Q446" s="2054"/>
      <c r="R446" s="2054"/>
      <c r="S446" s="2054"/>
      <c r="T446" s="2054"/>
      <c r="U446" s="2054"/>
      <c r="V446" s="2054"/>
      <c r="W446" s="2054"/>
      <c r="X446" s="2054"/>
      <c r="Y446" s="2054"/>
      <c r="Z446" s="2054"/>
      <c r="AA446" s="2054"/>
      <c r="AB446" s="2054"/>
      <c r="AC446" s="2054"/>
    </row>
    <row r="447" spans="1:29">
      <c r="A447" s="2054"/>
      <c r="B447" s="2054"/>
      <c r="C447" s="2054"/>
      <c r="D447" s="2054"/>
      <c r="E447" s="2054"/>
      <c r="F447" s="2054"/>
      <c r="G447" s="2054"/>
      <c r="H447" s="2054"/>
      <c r="I447" s="2054"/>
      <c r="J447" s="2054"/>
      <c r="K447" s="2055"/>
      <c r="L447" s="2056"/>
      <c r="M447" s="2054"/>
      <c r="N447" s="2054"/>
      <c r="O447" s="2054"/>
      <c r="P447" s="2095"/>
      <c r="Q447" s="2054"/>
      <c r="R447" s="2054"/>
      <c r="S447" s="2054"/>
      <c r="T447" s="2054"/>
      <c r="U447" s="2054"/>
      <c r="V447" s="2054"/>
      <c r="W447" s="2054"/>
      <c r="X447" s="2054"/>
      <c r="Y447" s="2054"/>
      <c r="Z447" s="2054"/>
      <c r="AA447" s="2054"/>
      <c r="AB447" s="2054"/>
      <c r="AC447" s="2054"/>
    </row>
    <row r="448" spans="1:29">
      <c r="A448" s="2054"/>
      <c r="B448" s="2054"/>
      <c r="C448" s="2054"/>
      <c r="D448" s="2054"/>
      <c r="E448" s="2054"/>
      <c r="F448" s="2054"/>
      <c r="G448" s="2054"/>
      <c r="H448" s="2054"/>
      <c r="I448" s="2054"/>
      <c r="J448" s="2054"/>
      <c r="K448" s="2055"/>
      <c r="L448" s="2056"/>
      <c r="M448" s="2054"/>
      <c r="N448" s="2054"/>
      <c r="O448" s="2054"/>
      <c r="P448" s="2095"/>
      <c r="Q448" s="2054"/>
      <c r="R448" s="2054"/>
      <c r="S448" s="2054"/>
      <c r="T448" s="2054"/>
      <c r="U448" s="2054"/>
      <c r="V448" s="2054"/>
      <c r="W448" s="2054"/>
      <c r="X448" s="2054"/>
      <c r="Y448" s="2054"/>
      <c r="Z448" s="2054"/>
      <c r="AA448" s="2054"/>
      <c r="AB448" s="2054"/>
      <c r="AC448" s="2054"/>
    </row>
    <row r="449" spans="1:29">
      <c r="A449" s="2054"/>
      <c r="B449" s="2054"/>
      <c r="C449" s="2054"/>
      <c r="D449" s="2054"/>
      <c r="E449" s="2054"/>
      <c r="F449" s="2054"/>
      <c r="G449" s="2054"/>
      <c r="H449" s="2054"/>
      <c r="I449" s="2054"/>
      <c r="J449" s="2054"/>
      <c r="K449" s="2055"/>
      <c r="L449" s="2056"/>
      <c r="M449" s="2054"/>
      <c r="N449" s="2054"/>
      <c r="O449" s="2054"/>
      <c r="P449" s="2095"/>
      <c r="Q449" s="2054"/>
      <c r="R449" s="2054"/>
      <c r="S449" s="2054"/>
      <c r="T449" s="2054"/>
      <c r="U449" s="2054"/>
      <c r="V449" s="2054"/>
      <c r="W449" s="2054"/>
      <c r="X449" s="2054"/>
      <c r="Y449" s="2054"/>
      <c r="Z449" s="2054"/>
      <c r="AA449" s="2054"/>
      <c r="AB449" s="2054"/>
      <c r="AC449" s="2054"/>
    </row>
    <row r="450" spans="1:29">
      <c r="A450" s="2054"/>
      <c r="B450" s="2054"/>
      <c r="C450" s="2054"/>
      <c r="D450" s="2054"/>
      <c r="E450" s="2054"/>
      <c r="F450" s="2054"/>
      <c r="G450" s="2054"/>
      <c r="H450" s="2054"/>
      <c r="I450" s="2054"/>
      <c r="J450" s="2054"/>
      <c r="K450" s="2055"/>
      <c r="L450" s="2056"/>
      <c r="M450" s="2054"/>
      <c r="N450" s="2054"/>
      <c r="O450" s="2054"/>
      <c r="P450" s="2095"/>
      <c r="Q450" s="2054"/>
      <c r="R450" s="2054"/>
      <c r="S450" s="2054"/>
      <c r="T450" s="2054"/>
      <c r="U450" s="2054"/>
      <c r="V450" s="2054"/>
      <c r="W450" s="2054"/>
      <c r="X450" s="2054"/>
      <c r="Y450" s="2054"/>
      <c r="Z450" s="2054"/>
      <c r="AA450" s="2054"/>
      <c r="AB450" s="2054"/>
      <c r="AC450" s="2054"/>
    </row>
    <row r="451" spans="1:29">
      <c r="A451" s="2054"/>
      <c r="B451" s="2054"/>
      <c r="C451" s="2054"/>
      <c r="D451" s="2054"/>
      <c r="E451" s="2054"/>
      <c r="F451" s="2054"/>
      <c r="G451" s="2054"/>
      <c r="H451" s="2054"/>
      <c r="I451" s="2054"/>
      <c r="J451" s="2054"/>
      <c r="K451" s="2055"/>
      <c r="L451" s="2056"/>
      <c r="M451" s="2054"/>
      <c r="N451" s="2054"/>
      <c r="O451" s="2054"/>
      <c r="P451" s="2095"/>
      <c r="Q451" s="2054"/>
      <c r="R451" s="2054"/>
      <c r="S451" s="2054"/>
      <c r="T451" s="2054"/>
      <c r="U451" s="2054"/>
      <c r="V451" s="2054"/>
      <c r="W451" s="2054"/>
      <c r="X451" s="2054"/>
      <c r="Y451" s="2054"/>
      <c r="Z451" s="2054"/>
      <c r="AA451" s="2054"/>
      <c r="AB451" s="2054"/>
      <c r="AC451" s="2054"/>
    </row>
    <row r="452" spans="1:29">
      <c r="A452" s="2054"/>
      <c r="B452" s="2054"/>
      <c r="C452" s="2054"/>
      <c r="D452" s="2054"/>
      <c r="E452" s="2054"/>
      <c r="F452" s="2054"/>
      <c r="G452" s="2054"/>
      <c r="H452" s="2054"/>
      <c r="I452" s="2054"/>
      <c r="J452" s="2054"/>
      <c r="K452" s="2055"/>
      <c r="L452" s="2056"/>
      <c r="M452" s="2054"/>
      <c r="N452" s="2054"/>
      <c r="O452" s="2054"/>
      <c r="P452" s="2095"/>
      <c r="Q452" s="2054"/>
      <c r="R452" s="2054"/>
      <c r="S452" s="2054"/>
      <c r="T452" s="2054"/>
      <c r="U452" s="2054"/>
      <c r="V452" s="2054"/>
      <c r="W452" s="2054"/>
      <c r="X452" s="2054"/>
      <c r="Y452" s="2054"/>
      <c r="Z452" s="2054"/>
      <c r="AA452" s="2054"/>
      <c r="AB452" s="2054"/>
      <c r="AC452" s="2054"/>
    </row>
    <row r="453" spans="1:29">
      <c r="A453" s="2054"/>
      <c r="B453" s="2054"/>
      <c r="C453" s="2054"/>
      <c r="D453" s="2054"/>
      <c r="E453" s="2054"/>
      <c r="F453" s="2054"/>
      <c r="G453" s="2054"/>
      <c r="H453" s="2054"/>
      <c r="I453" s="2054"/>
      <c r="J453" s="2054"/>
      <c r="K453" s="2055"/>
      <c r="L453" s="2056"/>
      <c r="M453" s="2054"/>
      <c r="N453" s="2054"/>
      <c r="O453" s="2054"/>
      <c r="P453" s="2095"/>
      <c r="Q453" s="2054"/>
      <c r="R453" s="2054"/>
      <c r="S453" s="2054"/>
      <c r="T453" s="2054"/>
      <c r="U453" s="2054"/>
      <c r="V453" s="2054"/>
      <c r="W453" s="2054"/>
      <c r="X453" s="2054"/>
      <c r="Y453" s="2054"/>
      <c r="Z453" s="2054"/>
      <c r="AA453" s="2054"/>
      <c r="AB453" s="2054"/>
      <c r="AC453" s="2054"/>
    </row>
    <row r="454" spans="1:29">
      <c r="A454" s="2054"/>
      <c r="B454" s="2054"/>
      <c r="C454" s="2054"/>
      <c r="D454" s="2054"/>
      <c r="E454" s="2054"/>
      <c r="F454" s="2054"/>
      <c r="G454" s="2054"/>
      <c r="H454" s="2054"/>
      <c r="I454" s="2054"/>
      <c r="J454" s="2054"/>
      <c r="K454" s="2055"/>
      <c r="L454" s="2056"/>
      <c r="M454" s="2054"/>
      <c r="N454" s="2054"/>
      <c r="O454" s="2054"/>
      <c r="P454" s="2095"/>
      <c r="Q454" s="2054"/>
      <c r="R454" s="2054"/>
      <c r="S454" s="2054"/>
      <c r="T454" s="2054"/>
      <c r="U454" s="2054"/>
      <c r="V454" s="2054"/>
      <c r="W454" s="2054"/>
      <c r="X454" s="2054"/>
      <c r="Y454" s="2054"/>
      <c r="Z454" s="2054"/>
      <c r="AA454" s="2054"/>
      <c r="AB454" s="2054"/>
      <c r="AC454" s="2054"/>
    </row>
    <row r="455" spans="1:29">
      <c r="A455" s="2054"/>
      <c r="B455" s="2054"/>
      <c r="C455" s="2054"/>
      <c r="D455" s="2054"/>
      <c r="E455" s="2054"/>
      <c r="F455" s="2054"/>
      <c r="G455" s="2054"/>
      <c r="H455" s="2054"/>
      <c r="I455" s="2054"/>
      <c r="J455" s="2054"/>
      <c r="K455" s="2055"/>
      <c r="L455" s="2056"/>
      <c r="M455" s="2054"/>
      <c r="N455" s="2054"/>
      <c r="O455" s="2054"/>
      <c r="P455" s="2095"/>
      <c r="Q455" s="2054"/>
      <c r="R455" s="2054"/>
      <c r="S455" s="2054"/>
      <c r="T455" s="2054"/>
      <c r="U455" s="2054"/>
      <c r="V455" s="2054"/>
      <c r="W455" s="2054"/>
      <c r="X455" s="2054"/>
      <c r="Y455" s="2054"/>
      <c r="Z455" s="2054"/>
      <c r="AA455" s="2054"/>
      <c r="AB455" s="2054"/>
      <c r="AC455" s="2054"/>
    </row>
    <row r="456" spans="1:29">
      <c r="A456" s="2054"/>
      <c r="B456" s="2054"/>
      <c r="C456" s="2054"/>
      <c r="D456" s="2054"/>
      <c r="E456" s="2054"/>
      <c r="F456" s="2054"/>
      <c r="G456" s="2054"/>
      <c r="H456" s="2054"/>
      <c r="I456" s="2054"/>
      <c r="J456" s="2054"/>
      <c r="K456" s="2055"/>
      <c r="L456" s="2056"/>
      <c r="M456" s="2054"/>
      <c r="N456" s="2054"/>
      <c r="O456" s="2054"/>
      <c r="P456" s="2095"/>
      <c r="Q456" s="2054"/>
      <c r="R456" s="2054"/>
      <c r="S456" s="2054"/>
      <c r="T456" s="2054"/>
      <c r="U456" s="2054"/>
      <c r="V456" s="2054"/>
      <c r="W456" s="2054"/>
      <c r="X456" s="2054"/>
      <c r="Y456" s="2054"/>
      <c r="Z456" s="2054"/>
      <c r="AA456" s="2054"/>
      <c r="AB456" s="2054"/>
      <c r="AC456" s="2054"/>
    </row>
    <row r="457" spans="1:29">
      <c r="A457" s="2054"/>
      <c r="B457" s="2054"/>
      <c r="C457" s="2054"/>
      <c r="D457" s="2054"/>
      <c r="E457" s="2054"/>
      <c r="F457" s="2054"/>
      <c r="G457" s="2054"/>
      <c r="H457" s="2054"/>
      <c r="I457" s="2054"/>
      <c r="J457" s="2054"/>
      <c r="K457" s="2055"/>
      <c r="L457" s="2056"/>
      <c r="M457" s="2054"/>
      <c r="N457" s="2054"/>
      <c r="O457" s="2054"/>
      <c r="P457" s="2095"/>
      <c r="Q457" s="2054"/>
      <c r="R457" s="2054"/>
      <c r="S457" s="2054"/>
      <c r="T457" s="2054"/>
      <c r="U457" s="2054"/>
      <c r="V457" s="2054"/>
      <c r="W457" s="2054"/>
      <c r="X457" s="2054"/>
      <c r="Y457" s="2054"/>
      <c r="Z457" s="2054"/>
      <c r="AA457" s="2054"/>
      <c r="AB457" s="2054"/>
      <c r="AC457" s="2054"/>
    </row>
    <row r="458" spans="1:29">
      <c r="A458" s="2054"/>
      <c r="B458" s="2054"/>
      <c r="C458" s="2054"/>
      <c r="D458" s="2054"/>
      <c r="E458" s="2054"/>
      <c r="F458" s="2054"/>
      <c r="G458" s="2054"/>
      <c r="H458" s="2054"/>
      <c r="I458" s="2054"/>
      <c r="J458" s="2054"/>
      <c r="K458" s="2055"/>
      <c r="L458" s="2056"/>
      <c r="M458" s="2054"/>
      <c r="N458" s="2054"/>
      <c r="O458" s="2054"/>
      <c r="P458" s="2095"/>
      <c r="Q458" s="2054"/>
      <c r="R458" s="2054"/>
      <c r="S458" s="2054"/>
      <c r="T458" s="2054"/>
      <c r="U458" s="2054"/>
      <c r="V458" s="2054"/>
      <c r="W458" s="2054"/>
      <c r="X458" s="2054"/>
      <c r="Y458" s="2054"/>
      <c r="Z458" s="2054"/>
      <c r="AA458" s="2054"/>
      <c r="AB458" s="2054"/>
      <c r="AC458" s="2054"/>
    </row>
    <row r="459" spans="1:29">
      <c r="A459" s="2054"/>
      <c r="B459" s="2054"/>
      <c r="C459" s="2054"/>
      <c r="D459" s="2054"/>
      <c r="E459" s="2054"/>
      <c r="F459" s="2054"/>
      <c r="G459" s="2054"/>
      <c r="H459" s="2054"/>
      <c r="I459" s="2054"/>
      <c r="J459" s="2054"/>
      <c r="K459" s="2055"/>
      <c r="L459" s="2056"/>
      <c r="M459" s="2054"/>
      <c r="N459" s="2054"/>
      <c r="O459" s="2054"/>
      <c r="P459" s="2095"/>
      <c r="Q459" s="2054"/>
      <c r="R459" s="2054"/>
      <c r="S459" s="2054"/>
      <c r="T459" s="2054"/>
      <c r="U459" s="2054"/>
      <c r="V459" s="2054"/>
      <c r="W459" s="2054"/>
      <c r="X459" s="2054"/>
      <c r="Y459" s="2054"/>
      <c r="Z459" s="2054"/>
      <c r="AA459" s="2054"/>
      <c r="AB459" s="2054"/>
      <c r="AC459" s="2054"/>
    </row>
    <row r="460" spans="1:29">
      <c r="A460" s="2054"/>
      <c r="B460" s="2054"/>
      <c r="C460" s="2054"/>
      <c r="D460" s="2054"/>
      <c r="E460" s="2054"/>
      <c r="F460" s="2054"/>
      <c r="G460" s="2054"/>
      <c r="H460" s="2054"/>
      <c r="I460" s="2054"/>
      <c r="J460" s="2054"/>
      <c r="K460" s="2055"/>
      <c r="L460" s="2056"/>
      <c r="M460" s="2054"/>
      <c r="N460" s="2054"/>
      <c r="O460" s="2054"/>
      <c r="P460" s="2095"/>
      <c r="Q460" s="2054"/>
      <c r="R460" s="2054"/>
      <c r="S460" s="2054"/>
      <c r="T460" s="2054"/>
      <c r="U460" s="2054"/>
      <c r="V460" s="2054"/>
      <c r="W460" s="2054"/>
      <c r="X460" s="2054"/>
      <c r="Y460" s="2054"/>
      <c r="Z460" s="2054"/>
      <c r="AA460" s="2054"/>
      <c r="AB460" s="2054"/>
      <c r="AC460" s="2054"/>
    </row>
    <row r="461" spans="1:29">
      <c r="A461" s="2054"/>
      <c r="B461" s="2054"/>
      <c r="C461" s="2054"/>
      <c r="D461" s="2054"/>
      <c r="E461" s="2054"/>
      <c r="F461" s="2054"/>
      <c r="G461" s="2054"/>
      <c r="H461" s="2054"/>
      <c r="I461" s="2054"/>
      <c r="J461" s="2054"/>
      <c r="K461" s="2055"/>
      <c r="L461" s="2056"/>
      <c r="M461" s="2054"/>
      <c r="N461" s="2054"/>
      <c r="O461" s="2054"/>
      <c r="P461" s="2095"/>
      <c r="Q461" s="2054"/>
      <c r="R461" s="2054"/>
      <c r="S461" s="2054"/>
      <c r="T461" s="2054"/>
      <c r="U461" s="2054"/>
      <c r="V461" s="2054"/>
      <c r="W461" s="2054"/>
      <c r="X461" s="2054"/>
      <c r="Y461" s="2054"/>
      <c r="Z461" s="2054"/>
      <c r="AA461" s="2054"/>
      <c r="AB461" s="2054"/>
      <c r="AC461" s="2054"/>
    </row>
    <row r="462" spans="1:29">
      <c r="A462" s="2054"/>
      <c r="B462" s="2054"/>
      <c r="C462" s="2054"/>
      <c r="D462" s="2054"/>
      <c r="E462" s="2054"/>
      <c r="F462" s="2054"/>
      <c r="G462" s="2054"/>
      <c r="H462" s="2054"/>
      <c r="I462" s="2054"/>
      <c r="J462" s="2054"/>
      <c r="K462" s="2055"/>
      <c r="L462" s="2056"/>
      <c r="M462" s="2054"/>
      <c r="N462" s="2054"/>
      <c r="O462" s="2054"/>
      <c r="P462" s="2095"/>
      <c r="Q462" s="2054"/>
      <c r="R462" s="2054"/>
      <c r="S462" s="2054"/>
      <c r="T462" s="2054"/>
      <c r="U462" s="2054"/>
      <c r="V462" s="2054"/>
      <c r="W462" s="2054"/>
      <c r="X462" s="2054"/>
      <c r="Y462" s="2054"/>
      <c r="Z462" s="2054"/>
      <c r="AA462" s="2054"/>
      <c r="AB462" s="2054"/>
      <c r="AC462" s="2054"/>
    </row>
    <row r="463" spans="1:29">
      <c r="A463" s="2054"/>
      <c r="B463" s="2054"/>
      <c r="C463" s="2054"/>
      <c r="D463" s="2054"/>
      <c r="E463" s="2054"/>
      <c r="F463" s="2054"/>
      <c r="G463" s="2054"/>
      <c r="H463" s="2054"/>
      <c r="I463" s="2054"/>
      <c r="J463" s="2054"/>
      <c r="K463" s="2055"/>
      <c r="L463" s="2056"/>
      <c r="M463" s="2054"/>
      <c r="N463" s="2054"/>
      <c r="O463" s="2054"/>
      <c r="P463" s="2095"/>
      <c r="Q463" s="2054"/>
      <c r="R463" s="2054"/>
      <c r="S463" s="2054"/>
      <c r="T463" s="2054"/>
      <c r="U463" s="2054"/>
      <c r="V463" s="2054"/>
      <c r="W463" s="2054"/>
      <c r="X463" s="2054"/>
      <c r="Y463" s="2054"/>
      <c r="Z463" s="2054"/>
      <c r="AA463" s="2054"/>
      <c r="AB463" s="2054"/>
      <c r="AC463" s="2054"/>
    </row>
    <row r="464" spans="1:29">
      <c r="A464" s="2054"/>
      <c r="B464" s="2054"/>
      <c r="C464" s="2054"/>
      <c r="D464" s="2054"/>
      <c r="E464" s="2054"/>
      <c r="F464" s="2054"/>
      <c r="G464" s="2054"/>
      <c r="H464" s="2054"/>
      <c r="I464" s="2054"/>
      <c r="J464" s="2054"/>
      <c r="K464" s="2055"/>
      <c r="L464" s="2056"/>
      <c r="M464" s="2054"/>
      <c r="N464" s="2054"/>
      <c r="O464" s="2054"/>
      <c r="P464" s="2095"/>
      <c r="Q464" s="2054"/>
      <c r="R464" s="2054"/>
      <c r="S464" s="2054"/>
      <c r="T464" s="2054"/>
      <c r="U464" s="2054"/>
      <c r="V464" s="2054"/>
      <c r="W464" s="2054"/>
      <c r="X464" s="2054"/>
      <c r="Y464" s="2054"/>
      <c r="Z464" s="2054"/>
      <c r="AA464" s="2054"/>
      <c r="AB464" s="2054"/>
      <c r="AC464" s="2054"/>
    </row>
    <row r="465" spans="1:29">
      <c r="A465" s="2054"/>
      <c r="B465" s="2054"/>
      <c r="C465" s="2054"/>
      <c r="D465" s="2054"/>
      <c r="E465" s="2054"/>
      <c r="F465" s="2054"/>
      <c r="G465" s="2054"/>
      <c r="H465" s="2054"/>
      <c r="I465" s="2054"/>
      <c r="J465" s="2054"/>
      <c r="K465" s="2055"/>
      <c r="L465" s="2056"/>
      <c r="M465" s="2054"/>
      <c r="N465" s="2054"/>
      <c r="O465" s="2054"/>
      <c r="P465" s="2095"/>
      <c r="Q465" s="2054"/>
      <c r="R465" s="2054"/>
      <c r="S465" s="2054"/>
      <c r="T465" s="2054"/>
      <c r="U465" s="2054"/>
      <c r="V465" s="2054"/>
      <c r="W465" s="2054"/>
      <c r="X465" s="2054"/>
      <c r="Y465" s="2054"/>
      <c r="Z465" s="2054"/>
      <c r="AA465" s="2054"/>
      <c r="AB465" s="2054"/>
      <c r="AC465" s="2054"/>
    </row>
    <row r="466" spans="1:29">
      <c r="A466" s="2054"/>
      <c r="B466" s="2054"/>
      <c r="C466" s="2054"/>
      <c r="D466" s="2054"/>
      <c r="E466" s="2054"/>
      <c r="F466" s="2054"/>
      <c r="G466" s="2054"/>
      <c r="H466" s="2054"/>
      <c r="I466" s="2054"/>
      <c r="J466" s="2054"/>
      <c r="K466" s="2055"/>
      <c r="L466" s="2056"/>
      <c r="M466" s="2054"/>
      <c r="N466" s="2054"/>
      <c r="O466" s="2054"/>
      <c r="P466" s="2095"/>
      <c r="Q466" s="2054"/>
      <c r="R466" s="2054"/>
      <c r="S466" s="2054"/>
      <c r="T466" s="2054"/>
      <c r="U466" s="2054"/>
      <c r="V466" s="2054"/>
      <c r="W466" s="2054"/>
      <c r="X466" s="2054"/>
      <c r="Y466" s="2054"/>
      <c r="Z466" s="2054"/>
      <c r="AA466" s="2054"/>
      <c r="AB466" s="2054"/>
      <c r="AC466" s="2054"/>
    </row>
    <row r="467" spans="1:29">
      <c r="A467" s="2054"/>
      <c r="B467" s="2054"/>
      <c r="C467" s="2054"/>
      <c r="D467" s="2054"/>
      <c r="E467" s="2054"/>
      <c r="F467" s="2054"/>
      <c r="G467" s="2054"/>
      <c r="H467" s="2054"/>
      <c r="I467" s="2054"/>
      <c r="J467" s="2054"/>
      <c r="K467" s="2055"/>
      <c r="L467" s="2056"/>
      <c r="M467" s="2054"/>
      <c r="N467" s="2054"/>
      <c r="O467" s="2054"/>
      <c r="P467" s="2095"/>
      <c r="Q467" s="2054"/>
      <c r="R467" s="2054"/>
      <c r="S467" s="2054"/>
      <c r="T467" s="2054"/>
      <c r="U467" s="2054"/>
      <c r="V467" s="2054"/>
      <c r="W467" s="2054"/>
      <c r="X467" s="2054"/>
      <c r="Y467" s="2054"/>
      <c r="Z467" s="2054"/>
      <c r="AA467" s="2054"/>
      <c r="AB467" s="2054"/>
      <c r="AC467" s="2054"/>
    </row>
    <row r="468" spans="1:29">
      <c r="A468" s="2054"/>
      <c r="B468" s="2054"/>
      <c r="C468" s="2054"/>
      <c r="D468" s="2054"/>
      <c r="E468" s="2054"/>
      <c r="F468" s="2054"/>
      <c r="G468" s="2054"/>
      <c r="H468" s="2054"/>
      <c r="I468" s="2054"/>
      <c r="J468" s="2054"/>
      <c r="K468" s="2055"/>
      <c r="L468" s="2056"/>
      <c r="M468" s="2054"/>
      <c r="N468" s="2054"/>
      <c r="O468" s="2054"/>
      <c r="P468" s="2095"/>
      <c r="Q468" s="2054"/>
      <c r="R468" s="2054"/>
      <c r="S468" s="2054"/>
      <c r="T468" s="2054"/>
      <c r="U468" s="2054"/>
      <c r="V468" s="2054"/>
      <c r="W468" s="2054"/>
      <c r="X468" s="2054"/>
      <c r="Y468" s="2054"/>
      <c r="Z468" s="2054"/>
      <c r="AA468" s="2054"/>
      <c r="AB468" s="2054"/>
      <c r="AC468" s="2054"/>
    </row>
    <row r="469" spans="1:29">
      <c r="A469" s="2054"/>
      <c r="B469" s="2054"/>
      <c r="C469" s="2054"/>
      <c r="D469" s="2054"/>
      <c r="E469" s="2054"/>
      <c r="F469" s="2054"/>
      <c r="G469" s="2054"/>
      <c r="H469" s="2054"/>
      <c r="I469" s="2054"/>
      <c r="J469" s="2054"/>
      <c r="K469" s="2055"/>
      <c r="L469" s="2056"/>
      <c r="M469" s="2054"/>
      <c r="N469" s="2054"/>
      <c r="O469" s="2054"/>
      <c r="P469" s="2095"/>
      <c r="Q469" s="2054"/>
      <c r="R469" s="2054"/>
      <c r="S469" s="2054"/>
      <c r="T469" s="2054"/>
      <c r="U469" s="2054"/>
      <c r="V469" s="2054"/>
      <c r="W469" s="2054"/>
      <c r="X469" s="2054"/>
      <c r="Y469" s="2054"/>
      <c r="Z469" s="2054"/>
      <c r="AA469" s="2054"/>
      <c r="AB469" s="2054"/>
      <c r="AC469" s="2054"/>
    </row>
    <row r="470" spans="1:29">
      <c r="A470" s="2054"/>
      <c r="B470" s="2054"/>
      <c r="C470" s="2054"/>
      <c r="D470" s="2054"/>
      <c r="E470" s="2054"/>
      <c r="F470" s="2054"/>
      <c r="G470" s="2054"/>
      <c r="H470" s="2054"/>
      <c r="I470" s="2054"/>
      <c r="J470" s="2054"/>
      <c r="K470" s="2055"/>
      <c r="L470" s="2056"/>
      <c r="M470" s="2054"/>
      <c r="N470" s="2054"/>
      <c r="O470" s="2054"/>
      <c r="P470" s="2095"/>
      <c r="Q470" s="2054"/>
      <c r="R470" s="2054"/>
      <c r="S470" s="2054"/>
      <c r="T470" s="2054"/>
      <c r="U470" s="2054"/>
      <c r="V470" s="2054"/>
      <c r="W470" s="2054"/>
      <c r="X470" s="2054"/>
      <c r="Y470" s="2054"/>
      <c r="Z470" s="2054"/>
      <c r="AA470" s="2054"/>
      <c r="AB470" s="2054"/>
      <c r="AC470" s="2054"/>
    </row>
    <row r="471" spans="1:29">
      <c r="A471" s="2054"/>
      <c r="B471" s="2054"/>
      <c r="C471" s="2054"/>
      <c r="D471" s="2054"/>
      <c r="E471" s="2054"/>
      <c r="F471" s="2054"/>
      <c r="G471" s="2054"/>
      <c r="H471" s="2054"/>
      <c r="I471" s="2054"/>
      <c r="J471" s="2054"/>
      <c r="K471" s="2055"/>
      <c r="L471" s="2056"/>
      <c r="M471" s="2054"/>
      <c r="N471" s="2054"/>
      <c r="O471" s="2054"/>
      <c r="P471" s="2095"/>
      <c r="Q471" s="2054"/>
      <c r="R471" s="2054"/>
      <c r="S471" s="2054"/>
      <c r="T471" s="2054"/>
      <c r="U471" s="2054"/>
      <c r="V471" s="2054"/>
      <c r="W471" s="2054"/>
      <c r="X471" s="2054"/>
      <c r="Y471" s="2054"/>
      <c r="Z471" s="2054"/>
      <c r="AA471" s="2054"/>
      <c r="AB471" s="2054"/>
      <c r="AC471" s="2054"/>
    </row>
    <row r="472" spans="1:29">
      <c r="A472" s="2054"/>
      <c r="B472" s="2054"/>
      <c r="C472" s="2054"/>
      <c r="D472" s="2054"/>
      <c r="E472" s="2054"/>
      <c r="F472" s="2054"/>
      <c r="G472" s="2054"/>
      <c r="H472" s="2054"/>
      <c r="I472" s="2054"/>
      <c r="J472" s="2054"/>
      <c r="K472" s="2055"/>
      <c r="L472" s="2056"/>
      <c r="M472" s="2054"/>
      <c r="N472" s="2054"/>
      <c r="O472" s="2054"/>
      <c r="P472" s="2095"/>
      <c r="Q472" s="2054"/>
      <c r="R472" s="2054"/>
      <c r="S472" s="2054"/>
      <c r="T472" s="2054"/>
      <c r="U472" s="2054"/>
      <c r="V472" s="2054"/>
      <c r="W472" s="2054"/>
      <c r="X472" s="2054"/>
      <c r="Y472" s="2054"/>
      <c r="Z472" s="2054"/>
      <c r="AA472" s="2054"/>
      <c r="AB472" s="2054"/>
      <c r="AC472" s="2054"/>
    </row>
    <row r="473" spans="1:29">
      <c r="A473" s="2054"/>
      <c r="B473" s="2054"/>
      <c r="C473" s="2054"/>
      <c r="D473" s="2054"/>
      <c r="E473" s="2054"/>
      <c r="F473" s="2054"/>
      <c r="G473" s="2054"/>
      <c r="H473" s="2054"/>
      <c r="I473" s="2054"/>
      <c r="J473" s="2054"/>
      <c r="K473" s="2055"/>
      <c r="L473" s="2056"/>
      <c r="M473" s="2054"/>
      <c r="N473" s="2054"/>
      <c r="O473" s="2054"/>
      <c r="P473" s="2095"/>
      <c r="Q473" s="2054"/>
      <c r="R473" s="2054"/>
      <c r="S473" s="2054"/>
      <c r="T473" s="2054"/>
      <c r="U473" s="2054"/>
      <c r="V473" s="2054"/>
      <c r="W473" s="2054"/>
      <c r="X473" s="2054"/>
      <c r="Y473" s="2054"/>
      <c r="Z473" s="2054"/>
      <c r="AA473" s="2054"/>
      <c r="AB473" s="2054"/>
      <c r="AC473" s="2054"/>
    </row>
    <row r="474" spans="1:29">
      <c r="A474" s="2054"/>
      <c r="B474" s="2054"/>
      <c r="C474" s="2054"/>
      <c r="D474" s="2054"/>
      <c r="E474" s="2054"/>
      <c r="F474" s="2054"/>
      <c r="G474" s="2054"/>
      <c r="H474" s="2054"/>
      <c r="I474" s="2054"/>
      <c r="J474" s="2054"/>
      <c r="K474" s="2055"/>
      <c r="L474" s="2056"/>
      <c r="M474" s="2054"/>
      <c r="N474" s="2054"/>
      <c r="O474" s="2054"/>
      <c r="P474" s="2095"/>
      <c r="Q474" s="2054"/>
      <c r="R474" s="2054"/>
      <c r="S474" s="2054"/>
      <c r="T474" s="2054"/>
      <c r="U474" s="2054"/>
      <c r="V474" s="2054"/>
      <c r="W474" s="2054"/>
      <c r="X474" s="2054"/>
      <c r="Y474" s="2054"/>
      <c r="Z474" s="2054"/>
      <c r="AA474" s="2054"/>
      <c r="AB474" s="2054"/>
      <c r="AC474" s="2054"/>
    </row>
    <row r="475" spans="1:29">
      <c r="A475" s="2054"/>
      <c r="B475" s="2054"/>
      <c r="C475" s="2054"/>
      <c r="D475" s="2054"/>
      <c r="E475" s="2054"/>
      <c r="F475" s="2054"/>
      <c r="G475" s="2054"/>
      <c r="H475" s="2054"/>
      <c r="I475" s="2054"/>
      <c r="J475" s="2054"/>
      <c r="K475" s="2055"/>
      <c r="L475" s="2056"/>
      <c r="M475" s="2054"/>
      <c r="N475" s="2054"/>
      <c r="O475" s="2054"/>
      <c r="P475" s="2095"/>
      <c r="Q475" s="2054"/>
      <c r="R475" s="2054"/>
      <c r="S475" s="2054"/>
      <c r="T475" s="2054"/>
      <c r="U475" s="2054"/>
      <c r="V475" s="2054"/>
      <c r="W475" s="2054"/>
      <c r="X475" s="2054"/>
      <c r="Y475" s="2054"/>
      <c r="Z475" s="2054"/>
      <c r="AA475" s="2054"/>
      <c r="AB475" s="2054"/>
      <c r="AC475" s="2054"/>
    </row>
    <row r="476" spans="1:29">
      <c r="A476" s="2054"/>
      <c r="B476" s="2054"/>
      <c r="C476" s="2054"/>
      <c r="D476" s="2054"/>
      <c r="E476" s="2054"/>
      <c r="F476" s="2054"/>
      <c r="G476" s="2054"/>
      <c r="H476" s="2054"/>
      <c r="I476" s="2054"/>
      <c r="J476" s="2054"/>
      <c r="K476" s="2055"/>
      <c r="L476" s="2056"/>
      <c r="M476" s="2054"/>
      <c r="N476" s="2054"/>
      <c r="O476" s="2054"/>
      <c r="P476" s="2095"/>
      <c r="Q476" s="2054"/>
      <c r="R476" s="2054"/>
      <c r="S476" s="2054"/>
      <c r="T476" s="2054"/>
      <c r="U476" s="2054"/>
      <c r="V476" s="2054"/>
      <c r="W476" s="2054"/>
      <c r="X476" s="2054"/>
      <c r="Y476" s="2054"/>
      <c r="Z476" s="2054"/>
      <c r="AA476" s="2054"/>
      <c r="AB476" s="2054"/>
      <c r="AC476" s="2054"/>
    </row>
    <row r="477" spans="1:29">
      <c r="A477" s="2054"/>
      <c r="B477" s="2054"/>
      <c r="C477" s="2054"/>
      <c r="D477" s="2054"/>
      <c r="E477" s="2054"/>
      <c r="F477" s="2054"/>
      <c r="G477" s="2054"/>
      <c r="H477" s="2054"/>
      <c r="I477" s="2054"/>
      <c r="J477" s="2054"/>
      <c r="K477" s="2055"/>
      <c r="L477" s="2056"/>
      <c r="M477" s="2054"/>
      <c r="N477" s="2054"/>
      <c r="O477" s="2054"/>
      <c r="P477" s="2095"/>
      <c r="Q477" s="2054"/>
      <c r="R477" s="2054"/>
      <c r="S477" s="2054"/>
      <c r="T477" s="2054"/>
      <c r="U477" s="2054"/>
      <c r="V477" s="2054"/>
      <c r="W477" s="2054"/>
      <c r="X477" s="2054"/>
      <c r="Y477" s="2054"/>
      <c r="Z477" s="2054"/>
      <c r="AA477" s="2054"/>
      <c r="AB477" s="2054"/>
      <c r="AC477" s="2054"/>
    </row>
    <row r="478" spans="1:29">
      <c r="A478" s="2054"/>
      <c r="B478" s="2054"/>
      <c r="C478" s="2054"/>
      <c r="D478" s="2054"/>
      <c r="E478" s="2054"/>
      <c r="F478" s="2054"/>
      <c r="G478" s="2054"/>
      <c r="H478" s="2054"/>
      <c r="I478" s="2054"/>
      <c r="J478" s="2054"/>
      <c r="K478" s="2055"/>
      <c r="L478" s="2056"/>
      <c r="M478" s="2054"/>
      <c r="N478" s="2054"/>
      <c r="O478" s="2054"/>
      <c r="P478" s="2095"/>
      <c r="Q478" s="2054"/>
      <c r="R478" s="2054"/>
      <c r="S478" s="2054"/>
      <c r="T478" s="2054"/>
      <c r="U478" s="2054"/>
      <c r="V478" s="2054"/>
      <c r="W478" s="2054"/>
      <c r="X478" s="2054"/>
      <c r="Y478" s="2054"/>
      <c r="Z478" s="2054"/>
      <c r="AA478" s="2054"/>
      <c r="AB478" s="2054"/>
      <c r="AC478" s="2054"/>
    </row>
    <row r="479" spans="1:29">
      <c r="A479" s="2054"/>
      <c r="B479" s="2054"/>
      <c r="C479" s="2054"/>
      <c r="D479" s="2054"/>
      <c r="E479" s="2054"/>
      <c r="F479" s="2054"/>
      <c r="G479" s="2054"/>
      <c r="H479" s="2054"/>
      <c r="I479" s="2054"/>
      <c r="J479" s="2054"/>
      <c r="K479" s="2055"/>
      <c r="L479" s="2056"/>
      <c r="M479" s="2054"/>
      <c r="N479" s="2054"/>
      <c r="O479" s="2054"/>
      <c r="P479" s="2095"/>
      <c r="Q479" s="2054"/>
      <c r="R479" s="2054"/>
      <c r="S479" s="2054"/>
      <c r="T479" s="2054"/>
      <c r="U479" s="2054"/>
      <c r="V479" s="2054"/>
      <c r="W479" s="2054"/>
      <c r="X479" s="2054"/>
      <c r="Y479" s="2054"/>
      <c r="Z479" s="2054"/>
      <c r="AA479" s="2054"/>
      <c r="AB479" s="2054"/>
      <c r="AC479" s="2054"/>
    </row>
    <row r="480" spans="1:29">
      <c r="A480" s="2054"/>
      <c r="B480" s="2054"/>
      <c r="C480" s="2054"/>
      <c r="D480" s="2054"/>
      <c r="E480" s="2054"/>
      <c r="F480" s="2054"/>
      <c r="G480" s="2054"/>
      <c r="H480" s="2054"/>
      <c r="I480" s="2054"/>
      <c r="J480" s="2054"/>
      <c r="K480" s="2055"/>
      <c r="L480" s="2056"/>
      <c r="M480" s="2054"/>
      <c r="N480" s="2054"/>
      <c r="O480" s="2054"/>
      <c r="P480" s="2095"/>
      <c r="Q480" s="2054"/>
      <c r="R480" s="2054"/>
      <c r="S480" s="2054"/>
      <c r="T480" s="2054"/>
      <c r="U480" s="2054"/>
      <c r="V480" s="2054"/>
      <c r="W480" s="2054"/>
      <c r="X480" s="2054"/>
      <c r="Y480" s="2054"/>
      <c r="Z480" s="2054"/>
      <c r="AA480" s="2054"/>
      <c r="AB480" s="2054"/>
      <c r="AC480" s="2054"/>
    </row>
    <row r="481" spans="1:29">
      <c r="A481" s="2054"/>
      <c r="B481" s="2054"/>
      <c r="C481" s="2054"/>
      <c r="D481" s="2054"/>
      <c r="E481" s="2054"/>
      <c r="F481" s="2054"/>
      <c r="G481" s="2054"/>
      <c r="H481" s="2054"/>
      <c r="I481" s="2054"/>
      <c r="J481" s="2054"/>
      <c r="K481" s="2055"/>
      <c r="L481" s="2056"/>
      <c r="M481" s="2054"/>
      <c r="N481" s="2054"/>
      <c r="O481" s="2054"/>
      <c r="P481" s="2095"/>
      <c r="Q481" s="2054"/>
      <c r="R481" s="2054"/>
      <c r="S481" s="2054"/>
      <c r="T481" s="2054"/>
      <c r="U481" s="2054"/>
      <c r="V481" s="2054"/>
      <c r="W481" s="2054"/>
      <c r="X481" s="2054"/>
      <c r="Y481" s="2054"/>
      <c r="Z481" s="2054"/>
      <c r="AA481" s="2054"/>
      <c r="AB481" s="2054"/>
      <c r="AC481" s="2054"/>
    </row>
    <row r="482" spans="1:29">
      <c r="A482" s="2054"/>
      <c r="B482" s="2054"/>
      <c r="C482" s="2054"/>
      <c r="D482" s="2054"/>
      <c r="E482" s="2054"/>
      <c r="F482" s="2054"/>
      <c r="G482" s="2054"/>
      <c r="H482" s="2054"/>
      <c r="I482" s="2054"/>
      <c r="J482" s="2054"/>
      <c r="K482" s="2055"/>
      <c r="L482" s="2056"/>
      <c r="M482" s="2054"/>
      <c r="N482" s="2054"/>
      <c r="O482" s="2054"/>
      <c r="P482" s="2095"/>
      <c r="Q482" s="2054"/>
      <c r="R482" s="2054"/>
      <c r="S482" s="2054"/>
      <c r="T482" s="2054"/>
      <c r="U482" s="2054"/>
      <c r="V482" s="2054"/>
      <c r="W482" s="2054"/>
      <c r="X482" s="2054"/>
      <c r="Y482" s="2054"/>
      <c r="Z482" s="2054"/>
      <c r="AA482" s="2054"/>
      <c r="AB482" s="2054"/>
      <c r="AC482" s="2054"/>
    </row>
    <row r="483" spans="1:29">
      <c r="A483" s="2054"/>
      <c r="B483" s="2054"/>
      <c r="C483" s="2054"/>
      <c r="D483" s="2054"/>
      <c r="E483" s="2054"/>
      <c r="F483" s="2054"/>
      <c r="G483" s="2054"/>
      <c r="H483" s="2054"/>
      <c r="I483" s="2054"/>
      <c r="J483" s="2054"/>
      <c r="K483" s="2055"/>
      <c r="L483" s="2056"/>
      <c r="M483" s="2054"/>
      <c r="N483" s="2054"/>
      <c r="O483" s="2054"/>
      <c r="P483" s="2095"/>
      <c r="Q483" s="2054"/>
      <c r="R483" s="2054"/>
      <c r="S483" s="2054"/>
      <c r="T483" s="2054"/>
      <c r="U483" s="2054"/>
      <c r="V483" s="2054"/>
      <c r="W483" s="2054"/>
      <c r="X483" s="2054"/>
      <c r="Y483" s="2054"/>
      <c r="Z483" s="2054"/>
      <c r="AA483" s="2054"/>
      <c r="AB483" s="2054"/>
      <c r="AC483" s="2054"/>
    </row>
    <row r="484" spans="1:29">
      <c r="A484" s="2054"/>
      <c r="B484" s="2054"/>
      <c r="C484" s="2054"/>
      <c r="D484" s="2054"/>
      <c r="E484" s="2054"/>
      <c r="F484" s="2054"/>
      <c r="G484" s="2054"/>
      <c r="H484" s="2054"/>
      <c r="I484" s="2054"/>
      <c r="J484" s="2054"/>
      <c r="K484" s="2055"/>
      <c r="L484" s="2056"/>
      <c r="M484" s="2054"/>
      <c r="N484" s="2054"/>
      <c r="O484" s="2054"/>
      <c r="P484" s="2095"/>
      <c r="Q484" s="2054"/>
      <c r="R484" s="2054"/>
      <c r="S484" s="2054"/>
      <c r="T484" s="2054"/>
      <c r="U484" s="2054"/>
      <c r="V484" s="2054"/>
      <c r="W484" s="2054"/>
      <c r="X484" s="2054"/>
      <c r="Y484" s="2054"/>
      <c r="Z484" s="2054"/>
      <c r="AA484" s="2054"/>
      <c r="AB484" s="2054"/>
      <c r="AC484" s="2054"/>
    </row>
    <row r="485" spans="1:29">
      <c r="A485" s="2054"/>
      <c r="B485" s="2054"/>
      <c r="C485" s="2054"/>
      <c r="D485" s="2054"/>
      <c r="E485" s="2054"/>
      <c r="F485" s="2054"/>
      <c r="G485" s="2054"/>
      <c r="H485" s="2054"/>
      <c r="I485" s="2054"/>
      <c r="J485" s="2054"/>
      <c r="K485" s="2055"/>
      <c r="L485" s="2056"/>
      <c r="M485" s="2054"/>
      <c r="N485" s="2054"/>
      <c r="O485" s="2054"/>
      <c r="P485" s="2095"/>
      <c r="Q485" s="2054"/>
      <c r="R485" s="2054"/>
      <c r="S485" s="2054"/>
      <c r="T485" s="2054"/>
      <c r="U485" s="2054"/>
      <c r="V485" s="2054"/>
      <c r="W485" s="2054"/>
      <c r="X485" s="2054"/>
      <c r="Y485" s="2054"/>
      <c r="Z485" s="2054"/>
      <c r="AA485" s="2054"/>
      <c r="AB485" s="2054"/>
      <c r="AC485" s="2054"/>
    </row>
    <row r="486" spans="1:29">
      <c r="A486" s="2054"/>
      <c r="B486" s="2054"/>
      <c r="C486" s="2054"/>
      <c r="D486" s="2054"/>
      <c r="E486" s="2054"/>
      <c r="F486" s="2054"/>
      <c r="G486" s="2054"/>
      <c r="H486" s="2054"/>
      <c r="I486" s="2054"/>
      <c r="J486" s="2054"/>
      <c r="K486" s="2055"/>
      <c r="L486" s="2056"/>
      <c r="M486" s="2054"/>
      <c r="N486" s="2054"/>
      <c r="O486" s="2054"/>
      <c r="P486" s="2095"/>
      <c r="Q486" s="2054"/>
      <c r="R486" s="2054"/>
      <c r="S486" s="2054"/>
      <c r="T486" s="2054"/>
      <c r="U486" s="2054"/>
      <c r="V486" s="2054"/>
      <c r="W486" s="2054"/>
      <c r="X486" s="2054"/>
      <c r="Y486" s="2054"/>
      <c r="Z486" s="2054"/>
      <c r="AA486" s="2054"/>
      <c r="AB486" s="2054"/>
      <c r="AC486" s="2054"/>
    </row>
    <row r="487" spans="1:29">
      <c r="A487" s="2054"/>
      <c r="B487" s="2054"/>
      <c r="C487" s="2054"/>
      <c r="D487" s="2054"/>
      <c r="E487" s="2054"/>
      <c r="F487" s="2054"/>
      <c r="G487" s="2054"/>
      <c r="H487" s="2054"/>
      <c r="I487" s="2054"/>
      <c r="J487" s="2054"/>
      <c r="K487" s="2055"/>
      <c r="L487" s="2056"/>
      <c r="M487" s="2054"/>
      <c r="N487" s="2054"/>
      <c r="O487" s="2054"/>
      <c r="P487" s="2095"/>
      <c r="Q487" s="2054"/>
      <c r="R487" s="2054"/>
      <c r="S487" s="2054"/>
      <c r="T487" s="2054"/>
      <c r="U487" s="2054"/>
      <c r="V487" s="2054"/>
      <c r="W487" s="2054"/>
      <c r="X487" s="2054"/>
      <c r="Y487" s="2054"/>
      <c r="Z487" s="2054"/>
      <c r="AA487" s="2054"/>
      <c r="AB487" s="2054"/>
      <c r="AC487" s="2054"/>
    </row>
    <row r="488" spans="1:29">
      <c r="A488" s="2054"/>
      <c r="B488" s="2054"/>
      <c r="C488" s="2054"/>
      <c r="D488" s="2054"/>
      <c r="E488" s="2054"/>
      <c r="F488" s="2054"/>
      <c r="G488" s="2054"/>
      <c r="H488" s="2054"/>
      <c r="I488" s="2054"/>
      <c r="J488" s="2054"/>
      <c r="K488" s="2055"/>
      <c r="L488" s="2056"/>
      <c r="M488" s="2054"/>
      <c r="N488" s="2054"/>
      <c r="O488" s="2054"/>
      <c r="P488" s="2095"/>
      <c r="Q488" s="2054"/>
      <c r="R488" s="2054"/>
      <c r="S488" s="2054"/>
      <c r="T488" s="2054"/>
      <c r="U488" s="2054"/>
      <c r="V488" s="2054"/>
      <c r="W488" s="2054"/>
      <c r="X488" s="2054"/>
      <c r="Y488" s="2054"/>
      <c r="Z488" s="2054"/>
      <c r="AA488" s="2054"/>
      <c r="AB488" s="2054"/>
      <c r="AC488" s="2054"/>
    </row>
    <row r="489" spans="1:29">
      <c r="A489" s="2054"/>
      <c r="B489" s="2054"/>
      <c r="C489" s="2054"/>
      <c r="D489" s="2054"/>
      <c r="E489" s="2054"/>
      <c r="F489" s="2054"/>
      <c r="G489" s="2054"/>
      <c r="H489" s="2054"/>
      <c r="I489" s="2054"/>
      <c r="J489" s="2054"/>
      <c r="K489" s="2055"/>
      <c r="L489" s="2056"/>
      <c r="M489" s="2054"/>
      <c r="N489" s="2054"/>
      <c r="O489" s="2054"/>
      <c r="P489" s="2095"/>
      <c r="Q489" s="2054"/>
      <c r="R489" s="2054"/>
      <c r="S489" s="2054"/>
      <c r="T489" s="2054"/>
      <c r="U489" s="2054"/>
      <c r="V489" s="2054"/>
      <c r="W489" s="2054"/>
      <c r="X489" s="2054"/>
      <c r="Y489" s="2054"/>
      <c r="Z489" s="2054"/>
      <c r="AA489" s="2054"/>
      <c r="AB489" s="2054"/>
      <c r="AC489" s="2054"/>
    </row>
    <row r="490" spans="1:29">
      <c r="A490" s="2054"/>
      <c r="B490" s="2054"/>
      <c r="C490" s="2054"/>
      <c r="D490" s="2054"/>
      <c r="E490" s="2054"/>
      <c r="F490" s="2054"/>
      <c r="G490" s="2054"/>
      <c r="H490" s="2054"/>
      <c r="I490" s="2054"/>
      <c r="J490" s="2054"/>
      <c r="K490" s="2055"/>
      <c r="L490" s="2056"/>
      <c r="M490" s="2054"/>
      <c r="N490" s="2054"/>
      <c r="O490" s="2054"/>
      <c r="P490" s="2095"/>
      <c r="Q490" s="2054"/>
      <c r="R490" s="2054"/>
      <c r="S490" s="2054"/>
      <c r="T490" s="2054"/>
      <c r="U490" s="2054"/>
      <c r="V490" s="2054"/>
      <c r="W490" s="2054"/>
      <c r="X490" s="2054"/>
      <c r="Y490" s="2054"/>
      <c r="Z490" s="2054"/>
      <c r="AA490" s="2054"/>
      <c r="AB490" s="2054"/>
      <c r="AC490" s="2054"/>
    </row>
    <row r="491" spans="1:29">
      <c r="A491" s="2054"/>
      <c r="B491" s="2054"/>
      <c r="C491" s="2054"/>
      <c r="D491" s="2054"/>
      <c r="E491" s="2054"/>
      <c r="F491" s="2054"/>
      <c r="G491" s="2054"/>
      <c r="H491" s="2054"/>
      <c r="I491" s="2054"/>
      <c r="J491" s="2054"/>
      <c r="K491" s="2055"/>
      <c r="L491" s="2056"/>
      <c r="M491" s="2054"/>
      <c r="N491" s="2054"/>
      <c r="O491" s="2054"/>
      <c r="P491" s="2095"/>
      <c r="Q491" s="2054"/>
      <c r="R491" s="2054"/>
      <c r="S491" s="2054"/>
      <c r="T491" s="2054"/>
      <c r="U491" s="2054"/>
      <c r="V491" s="2054"/>
      <c r="W491" s="2054"/>
      <c r="X491" s="2054"/>
      <c r="Y491" s="2054"/>
      <c r="Z491" s="2054"/>
      <c r="AA491" s="2054"/>
      <c r="AB491" s="2054"/>
      <c r="AC491" s="2054"/>
    </row>
    <row r="492" spans="1:29">
      <c r="A492" s="2054"/>
      <c r="B492" s="2054"/>
      <c r="C492" s="2054"/>
      <c r="D492" s="2054"/>
      <c r="E492" s="2054"/>
      <c r="F492" s="2054"/>
      <c r="G492" s="2054"/>
      <c r="H492" s="2054"/>
      <c r="I492" s="2054"/>
      <c r="J492" s="2054"/>
      <c r="K492" s="2055"/>
      <c r="L492" s="2056"/>
      <c r="M492" s="2054"/>
      <c r="N492" s="2054"/>
      <c r="O492" s="2054"/>
      <c r="P492" s="2095"/>
      <c r="Q492" s="2054"/>
      <c r="R492" s="2054"/>
      <c r="S492" s="2054"/>
      <c r="T492" s="2054"/>
      <c r="U492" s="2054"/>
      <c r="V492" s="2054"/>
      <c r="W492" s="2054"/>
      <c r="X492" s="2054"/>
      <c r="Y492" s="2054"/>
      <c r="Z492" s="2054"/>
      <c r="AA492" s="2054"/>
      <c r="AB492" s="2054"/>
      <c r="AC492" s="2054"/>
    </row>
    <row r="493" spans="1:29">
      <c r="A493" s="2054"/>
      <c r="B493" s="2054"/>
      <c r="C493" s="2054"/>
      <c r="D493" s="2054"/>
      <c r="E493" s="2054"/>
      <c r="F493" s="2054"/>
      <c r="G493" s="2054"/>
      <c r="H493" s="2054"/>
      <c r="I493" s="2054"/>
      <c r="J493" s="2054"/>
      <c r="K493" s="2055"/>
      <c r="L493" s="2056"/>
      <c r="M493" s="2054"/>
      <c r="N493" s="2054"/>
      <c r="O493" s="2054"/>
      <c r="P493" s="2095"/>
      <c r="Q493" s="2054"/>
      <c r="R493" s="2054"/>
      <c r="S493" s="2054"/>
      <c r="T493" s="2054"/>
      <c r="U493" s="2054"/>
      <c r="V493" s="2054"/>
      <c r="W493" s="2054"/>
      <c r="X493" s="2054"/>
      <c r="Y493" s="2054"/>
      <c r="Z493" s="2054"/>
      <c r="AA493" s="2054"/>
      <c r="AB493" s="2054"/>
      <c r="AC493" s="2054"/>
    </row>
    <row r="494" spans="1:29">
      <c r="A494" s="2054"/>
      <c r="B494" s="2054"/>
      <c r="C494" s="2054"/>
      <c r="D494" s="2054"/>
      <c r="E494" s="2054"/>
      <c r="F494" s="2054"/>
      <c r="G494" s="2054"/>
      <c r="H494" s="2054"/>
      <c r="I494" s="2054"/>
      <c r="J494" s="2054"/>
      <c r="K494" s="2055"/>
      <c r="L494" s="2056"/>
      <c r="M494" s="2054"/>
      <c r="N494" s="2054"/>
      <c r="O494" s="2054"/>
      <c r="P494" s="2095"/>
      <c r="Q494" s="2054"/>
      <c r="R494" s="2054"/>
      <c r="S494" s="2054"/>
      <c r="T494" s="2054"/>
      <c r="U494" s="2054"/>
      <c r="V494" s="2054"/>
      <c r="W494" s="2054"/>
      <c r="X494" s="2054"/>
      <c r="Y494" s="2054"/>
      <c r="Z494" s="2054"/>
      <c r="AA494" s="2054"/>
      <c r="AB494" s="2054"/>
      <c r="AC494" s="2054"/>
    </row>
    <row r="495" spans="1:29">
      <c r="A495" s="2054"/>
      <c r="B495" s="2054"/>
      <c r="C495" s="2054"/>
      <c r="D495" s="2054"/>
      <c r="E495" s="2054"/>
      <c r="F495" s="2054"/>
      <c r="G495" s="2054"/>
      <c r="H495" s="2054"/>
      <c r="I495" s="2054"/>
      <c r="J495" s="2054"/>
      <c r="K495" s="2055"/>
      <c r="L495" s="2056"/>
      <c r="M495" s="2054"/>
      <c r="N495" s="2054"/>
      <c r="O495" s="2054"/>
      <c r="P495" s="2095"/>
      <c r="Q495" s="2054"/>
      <c r="R495" s="2054"/>
      <c r="S495" s="2054"/>
      <c r="T495" s="2054"/>
      <c r="U495" s="2054"/>
      <c r="V495" s="2054"/>
      <c r="W495" s="2054"/>
      <c r="X495" s="2054"/>
      <c r="Y495" s="2054"/>
      <c r="Z495" s="2054"/>
      <c r="AA495" s="2054"/>
      <c r="AB495" s="2054"/>
      <c r="AC495" s="2054"/>
    </row>
    <row r="496" spans="1:29">
      <c r="A496" s="2054"/>
      <c r="B496" s="2054"/>
      <c r="C496" s="2054"/>
      <c r="D496" s="2054"/>
      <c r="E496" s="2054"/>
      <c r="F496" s="2054"/>
      <c r="G496" s="2054"/>
      <c r="H496" s="2054"/>
      <c r="I496" s="2054"/>
      <c r="J496" s="2054"/>
      <c r="K496" s="2055"/>
      <c r="L496" s="2056"/>
      <c r="M496" s="2054"/>
      <c r="N496" s="2054"/>
      <c r="O496" s="2054"/>
      <c r="P496" s="2095"/>
      <c r="Q496" s="2054"/>
      <c r="R496" s="2054"/>
      <c r="S496" s="2054"/>
      <c r="T496" s="2054"/>
      <c r="U496" s="2054"/>
      <c r="V496" s="2054"/>
      <c r="W496" s="2054"/>
      <c r="X496" s="2054"/>
      <c r="Y496" s="2054"/>
      <c r="Z496" s="2054"/>
      <c r="AA496" s="2054"/>
      <c r="AB496" s="2054"/>
      <c r="AC496" s="2054"/>
    </row>
    <row r="497" spans="1:29">
      <c r="A497" s="2054"/>
      <c r="B497" s="2054"/>
      <c r="C497" s="2054"/>
      <c r="D497" s="2054"/>
      <c r="E497" s="2054"/>
      <c r="F497" s="2054"/>
      <c r="G497" s="2054"/>
      <c r="H497" s="2054"/>
      <c r="I497" s="2054"/>
      <c r="J497" s="2054"/>
      <c r="K497" s="2055"/>
      <c r="L497" s="2056"/>
      <c r="M497" s="2054"/>
      <c r="N497" s="2054"/>
      <c r="O497" s="2054"/>
      <c r="P497" s="2095"/>
      <c r="Q497" s="2054"/>
      <c r="R497" s="2054"/>
      <c r="S497" s="2054"/>
      <c r="T497" s="2054"/>
      <c r="U497" s="2054"/>
      <c r="V497" s="2054"/>
      <c r="W497" s="2054"/>
      <c r="X497" s="2054"/>
      <c r="Y497" s="2054"/>
      <c r="Z497" s="2054"/>
      <c r="AA497" s="2054"/>
      <c r="AB497" s="2054"/>
      <c r="AC497" s="2054"/>
    </row>
    <row r="498" spans="1:29">
      <c r="A498" s="2054"/>
      <c r="B498" s="2054"/>
      <c r="C498" s="2054"/>
      <c r="D498" s="2054"/>
      <c r="E498" s="2054"/>
      <c r="F498" s="2054"/>
      <c r="G498" s="2054"/>
      <c r="H498" s="2054"/>
      <c r="I498" s="2054"/>
      <c r="J498" s="2054"/>
      <c r="K498" s="2055"/>
      <c r="L498" s="2056"/>
      <c r="M498" s="2054"/>
      <c r="N498" s="2054"/>
      <c r="O498" s="2054"/>
      <c r="P498" s="2095"/>
      <c r="Q498" s="2054"/>
      <c r="R498" s="2054"/>
      <c r="S498" s="2054"/>
      <c r="T498" s="2054"/>
      <c r="U498" s="2054"/>
      <c r="V498" s="2054"/>
      <c r="W498" s="2054"/>
      <c r="X498" s="2054"/>
      <c r="Y498" s="2054"/>
      <c r="Z498" s="2054"/>
      <c r="AA498" s="2054"/>
      <c r="AB498" s="2054"/>
      <c r="AC498" s="2054"/>
    </row>
    <row r="499" spans="1:29">
      <c r="A499" s="2054"/>
      <c r="B499" s="2054"/>
      <c r="C499" s="2054"/>
      <c r="D499" s="2054"/>
      <c r="E499" s="2054"/>
      <c r="F499" s="2054"/>
      <c r="G499" s="2054"/>
      <c r="H499" s="2054"/>
      <c r="I499" s="2054"/>
      <c r="J499" s="2054"/>
      <c r="K499" s="2055"/>
      <c r="L499" s="2056"/>
      <c r="M499" s="2054"/>
      <c r="N499" s="2054"/>
      <c r="O499" s="2054"/>
      <c r="P499" s="2095"/>
      <c r="Q499" s="2054"/>
      <c r="R499" s="2054"/>
      <c r="S499" s="2054"/>
      <c r="T499" s="2054"/>
      <c r="U499" s="2054"/>
      <c r="V499" s="2054"/>
      <c r="W499" s="2054"/>
      <c r="X499" s="2054"/>
      <c r="Y499" s="2054"/>
      <c r="Z499" s="2054"/>
      <c r="AA499" s="2054"/>
      <c r="AB499" s="2054"/>
      <c r="AC499" s="2054"/>
    </row>
    <row r="500" spans="1:29">
      <c r="A500" s="2054"/>
      <c r="B500" s="2054"/>
      <c r="C500" s="2054"/>
      <c r="D500" s="2054"/>
      <c r="E500" s="2054"/>
      <c r="F500" s="2054"/>
      <c r="G500" s="2054"/>
      <c r="H500" s="2054"/>
      <c r="I500" s="2054"/>
      <c r="J500" s="2054"/>
      <c r="K500" s="2055"/>
      <c r="L500" s="2056"/>
      <c r="M500" s="2054"/>
      <c r="N500" s="2054"/>
      <c r="O500" s="2054"/>
      <c r="P500" s="2095"/>
      <c r="Q500" s="2054"/>
      <c r="R500" s="2054"/>
      <c r="S500" s="2054"/>
      <c r="T500" s="2054"/>
      <c r="U500" s="2054"/>
      <c r="V500" s="2054"/>
      <c r="W500" s="2054"/>
      <c r="X500" s="2054"/>
      <c r="Y500" s="2054"/>
      <c r="Z500" s="2054"/>
      <c r="AA500" s="2054"/>
      <c r="AB500" s="2054"/>
      <c r="AC500" s="2054"/>
    </row>
    <row r="501" spans="1:29">
      <c r="A501" s="2054"/>
      <c r="B501" s="2054"/>
      <c r="C501" s="2054"/>
      <c r="D501" s="2054"/>
      <c r="E501" s="2054"/>
      <c r="F501" s="2054"/>
      <c r="G501" s="2054"/>
      <c r="H501" s="2054"/>
      <c r="I501" s="2054"/>
      <c r="J501" s="2054"/>
      <c r="K501" s="2055"/>
      <c r="L501" s="2056"/>
      <c r="M501" s="2054"/>
      <c r="N501" s="2054"/>
      <c r="O501" s="2054"/>
      <c r="P501" s="2095"/>
      <c r="Q501" s="2054"/>
      <c r="R501" s="2054"/>
      <c r="S501" s="2054"/>
      <c r="T501" s="2054"/>
      <c r="U501" s="2054"/>
      <c r="V501" s="2054"/>
      <c r="W501" s="2054"/>
      <c r="X501" s="2054"/>
      <c r="Y501" s="2054"/>
      <c r="Z501" s="2054"/>
      <c r="AA501" s="2054"/>
      <c r="AB501" s="2054"/>
      <c r="AC501" s="2054"/>
    </row>
    <row r="502" spans="1:29">
      <c r="A502" s="2054"/>
      <c r="B502" s="2054"/>
      <c r="C502" s="2054"/>
      <c r="D502" s="2054"/>
      <c r="E502" s="2054"/>
      <c r="F502" s="2054"/>
      <c r="G502" s="2054"/>
      <c r="H502" s="2054"/>
      <c r="I502" s="2054"/>
      <c r="J502" s="2054"/>
      <c r="K502" s="2055"/>
      <c r="L502" s="2056"/>
      <c r="M502" s="2054"/>
      <c r="N502" s="2054"/>
      <c r="O502" s="2054"/>
      <c r="P502" s="2095"/>
      <c r="Q502" s="2054"/>
      <c r="R502" s="2054"/>
      <c r="S502" s="2054"/>
      <c r="T502" s="2054"/>
      <c r="U502" s="2054"/>
      <c r="V502" s="2054"/>
      <c r="W502" s="2054"/>
      <c r="X502" s="2054"/>
      <c r="Y502" s="2054"/>
      <c r="Z502" s="2054"/>
      <c r="AA502" s="2054"/>
      <c r="AB502" s="2054"/>
      <c r="AC502" s="2054"/>
    </row>
    <row r="503" spans="1:29">
      <c r="A503" s="2054"/>
      <c r="B503" s="2054"/>
      <c r="C503" s="2054"/>
      <c r="D503" s="2054"/>
      <c r="E503" s="2054"/>
      <c r="F503" s="2054"/>
      <c r="G503" s="2054"/>
      <c r="H503" s="2054"/>
      <c r="I503" s="2054"/>
      <c r="J503" s="2054"/>
      <c r="K503" s="2055"/>
      <c r="L503" s="2056"/>
      <c r="M503" s="2054"/>
      <c r="N503" s="2054"/>
      <c r="O503" s="2054"/>
      <c r="P503" s="2095"/>
      <c r="Q503" s="2054"/>
      <c r="R503" s="2054"/>
      <c r="S503" s="2054"/>
      <c r="T503" s="2054"/>
      <c r="U503" s="2054"/>
      <c r="V503" s="2054"/>
      <c r="W503" s="2054"/>
      <c r="X503" s="2054"/>
      <c r="Y503" s="2054"/>
      <c r="Z503" s="2054"/>
      <c r="AA503" s="2054"/>
      <c r="AB503" s="2054"/>
      <c r="AC503" s="2054"/>
    </row>
    <row r="504" spans="1:29">
      <c r="A504" s="2054"/>
      <c r="B504" s="2054"/>
      <c r="C504" s="2054"/>
      <c r="D504" s="2054"/>
      <c r="E504" s="2054"/>
      <c r="F504" s="2054"/>
      <c r="G504" s="2054"/>
      <c r="H504" s="2054"/>
      <c r="I504" s="2054"/>
      <c r="J504" s="2054"/>
      <c r="K504" s="2055"/>
      <c r="L504" s="2056"/>
      <c r="M504" s="2054"/>
      <c r="N504" s="2054"/>
      <c r="O504" s="2054"/>
      <c r="P504" s="2095"/>
      <c r="Q504" s="2054"/>
      <c r="R504" s="2054"/>
      <c r="S504" s="2054"/>
      <c r="T504" s="2054"/>
      <c r="U504" s="2054"/>
      <c r="V504" s="2054"/>
      <c r="W504" s="2054"/>
      <c r="X504" s="2054"/>
      <c r="Y504" s="2054"/>
      <c r="Z504" s="2054"/>
      <c r="AA504" s="2054"/>
      <c r="AB504" s="2054"/>
      <c r="AC504" s="2054"/>
    </row>
    <row r="505" spans="1:29">
      <c r="A505" s="2054"/>
      <c r="B505" s="2054"/>
      <c r="C505" s="2054"/>
      <c r="D505" s="2054"/>
      <c r="E505" s="2054"/>
      <c r="F505" s="2054"/>
      <c r="G505" s="2054"/>
      <c r="H505" s="2054"/>
      <c r="I505" s="2054"/>
      <c r="J505" s="2054"/>
      <c r="K505" s="2055"/>
      <c r="L505" s="2056"/>
      <c r="M505" s="2054"/>
      <c r="N505" s="2054"/>
      <c r="O505" s="2054"/>
      <c r="P505" s="2095"/>
      <c r="Q505" s="2054"/>
      <c r="R505" s="2054"/>
      <c r="S505" s="2054"/>
      <c r="T505" s="2054"/>
      <c r="U505" s="2054"/>
      <c r="V505" s="2054"/>
      <c r="W505" s="2054"/>
      <c r="X505" s="2054"/>
      <c r="Y505" s="2054"/>
      <c r="Z505" s="2054"/>
      <c r="AA505" s="2054"/>
      <c r="AB505" s="2054"/>
      <c r="AC505" s="2054"/>
    </row>
    <row r="506" spans="1:29">
      <c r="A506" s="2054"/>
      <c r="B506" s="2054"/>
      <c r="C506" s="2054"/>
      <c r="D506" s="2054"/>
      <c r="E506" s="2054"/>
      <c r="F506" s="2054"/>
      <c r="G506" s="2054"/>
      <c r="H506" s="2054"/>
      <c r="I506" s="2054"/>
      <c r="J506" s="2054"/>
      <c r="K506" s="2055"/>
      <c r="L506" s="2056"/>
      <c r="M506" s="2054"/>
      <c r="N506" s="2054"/>
      <c r="O506" s="2054"/>
      <c r="P506" s="2095"/>
      <c r="Q506" s="2054"/>
      <c r="R506" s="2054"/>
      <c r="S506" s="2054"/>
      <c r="T506" s="2054"/>
      <c r="U506" s="2054"/>
      <c r="V506" s="2054"/>
      <c r="W506" s="2054"/>
      <c r="X506" s="2054"/>
      <c r="Y506" s="2054"/>
      <c r="Z506" s="2054"/>
      <c r="AA506" s="2054"/>
      <c r="AB506" s="2054"/>
      <c r="AC506" s="2054"/>
    </row>
    <row r="507" spans="1:29">
      <c r="A507" s="2054"/>
      <c r="B507" s="2054"/>
      <c r="C507" s="2054"/>
      <c r="D507" s="2054"/>
      <c r="E507" s="2054"/>
      <c r="F507" s="2054"/>
      <c r="G507" s="2054"/>
      <c r="H507" s="2054"/>
      <c r="I507" s="2054"/>
      <c r="J507" s="2054"/>
      <c r="K507" s="2055"/>
      <c r="L507" s="2056"/>
      <c r="M507" s="2054"/>
      <c r="N507" s="2054"/>
      <c r="O507" s="2054"/>
      <c r="P507" s="2095"/>
      <c r="Q507" s="2054"/>
      <c r="R507" s="2054"/>
      <c r="S507" s="2054"/>
      <c r="T507" s="2054"/>
      <c r="U507" s="2054"/>
      <c r="V507" s="2054"/>
      <c r="W507" s="2054"/>
      <c r="X507" s="2054"/>
      <c r="Y507" s="2054"/>
      <c r="Z507" s="2054"/>
      <c r="AA507" s="2054"/>
      <c r="AB507" s="2054"/>
      <c r="AC507" s="2054"/>
    </row>
    <row r="508" spans="1:29">
      <c r="A508" s="2054"/>
      <c r="B508" s="2054"/>
      <c r="C508" s="2054"/>
      <c r="D508" s="2054"/>
      <c r="E508" s="2054"/>
      <c r="F508" s="2054"/>
      <c r="G508" s="2054"/>
      <c r="H508" s="2054"/>
      <c r="I508" s="2054"/>
      <c r="J508" s="2054"/>
      <c r="K508" s="2055"/>
      <c r="L508" s="2056"/>
      <c r="M508" s="2054"/>
      <c r="N508" s="2054"/>
      <c r="O508" s="2054"/>
      <c r="P508" s="2095"/>
      <c r="Q508" s="2054"/>
      <c r="R508" s="2054"/>
      <c r="S508" s="2054"/>
      <c r="T508" s="2054"/>
      <c r="U508" s="2054"/>
      <c r="V508" s="2054"/>
      <c r="W508" s="2054"/>
      <c r="X508" s="2054"/>
      <c r="Y508" s="2054"/>
      <c r="Z508" s="2054"/>
      <c r="AA508" s="2054"/>
      <c r="AB508" s="2054"/>
      <c r="AC508" s="2054"/>
    </row>
    <row r="509" spans="1:29">
      <c r="A509" s="2054"/>
      <c r="B509" s="2054"/>
      <c r="C509" s="2054"/>
      <c r="D509" s="2054"/>
      <c r="E509" s="2054"/>
      <c r="F509" s="2054"/>
      <c r="G509" s="2054"/>
      <c r="H509" s="2054"/>
      <c r="I509" s="2054"/>
      <c r="J509" s="2054"/>
      <c r="K509" s="2055"/>
      <c r="L509" s="2056"/>
      <c r="M509" s="2054"/>
      <c r="N509" s="2054"/>
      <c r="O509" s="2054"/>
      <c r="P509" s="2095"/>
      <c r="Q509" s="2054"/>
      <c r="R509" s="2054"/>
      <c r="S509" s="2054"/>
      <c r="T509" s="2054"/>
      <c r="U509" s="2054"/>
      <c r="V509" s="2054"/>
      <c r="W509" s="2054"/>
      <c r="X509" s="2054"/>
      <c r="Y509" s="2054"/>
      <c r="Z509" s="2054"/>
      <c r="AA509" s="2054"/>
      <c r="AB509" s="2054"/>
      <c r="AC509" s="2054"/>
    </row>
    <row r="510" spans="1:29">
      <c r="A510" s="2054"/>
      <c r="B510" s="2054"/>
      <c r="C510" s="2054"/>
      <c r="D510" s="2054"/>
      <c r="E510" s="2054"/>
      <c r="F510" s="2054"/>
      <c r="G510" s="2054"/>
      <c r="H510" s="2054"/>
      <c r="I510" s="2054"/>
      <c r="J510" s="2054"/>
      <c r="K510" s="2055"/>
      <c r="L510" s="2056"/>
      <c r="M510" s="2054"/>
      <c r="N510" s="2054"/>
      <c r="O510" s="2054"/>
      <c r="P510" s="2095"/>
      <c r="Q510" s="2054"/>
      <c r="R510" s="2054"/>
      <c r="S510" s="2054"/>
      <c r="T510" s="2054"/>
      <c r="U510" s="2054"/>
      <c r="V510" s="2054"/>
      <c r="W510" s="2054"/>
      <c r="X510" s="2054"/>
      <c r="Y510" s="2054"/>
      <c r="Z510" s="2054"/>
      <c r="AA510" s="2054"/>
      <c r="AB510" s="2054"/>
      <c r="AC510" s="2054"/>
    </row>
    <row r="511" spans="1:29">
      <c r="A511" s="2054"/>
      <c r="B511" s="2054"/>
      <c r="C511" s="2054"/>
      <c r="D511" s="2054"/>
      <c r="E511" s="2054"/>
      <c r="F511" s="2054"/>
      <c r="G511" s="2054"/>
      <c r="H511" s="2054"/>
      <c r="I511" s="2054"/>
      <c r="J511" s="2054"/>
      <c r="K511" s="2055"/>
      <c r="L511" s="2056"/>
      <c r="M511" s="2054"/>
      <c r="N511" s="2054"/>
      <c r="O511" s="2054"/>
      <c r="P511" s="2095"/>
      <c r="Q511" s="2054"/>
      <c r="R511" s="2054"/>
      <c r="S511" s="2054"/>
      <c r="T511" s="2054"/>
      <c r="U511" s="2054"/>
      <c r="V511" s="2054"/>
      <c r="W511" s="2054"/>
      <c r="X511" s="2054"/>
      <c r="Y511" s="2054"/>
      <c r="Z511" s="2054"/>
      <c r="AA511" s="2054"/>
      <c r="AB511" s="2054"/>
      <c r="AC511" s="2054"/>
    </row>
    <row r="512" spans="1:29">
      <c r="A512" s="2054"/>
      <c r="B512" s="2054"/>
      <c r="C512" s="2054"/>
      <c r="D512" s="2054"/>
      <c r="E512" s="2054"/>
      <c r="F512" s="2054"/>
      <c r="G512" s="2054"/>
      <c r="H512" s="2054"/>
      <c r="I512" s="2054"/>
      <c r="J512" s="2054"/>
      <c r="K512" s="2055"/>
      <c r="L512" s="2056"/>
      <c r="M512" s="2054"/>
      <c r="N512" s="2054"/>
      <c r="O512" s="2054"/>
      <c r="P512" s="2095"/>
      <c r="Q512" s="2054"/>
      <c r="R512" s="2054"/>
      <c r="S512" s="2054"/>
      <c r="T512" s="2054"/>
      <c r="U512" s="2054"/>
      <c r="V512" s="2054"/>
      <c r="W512" s="2054"/>
      <c r="X512" s="2054"/>
      <c r="Y512" s="2054"/>
      <c r="Z512" s="2054"/>
      <c r="AA512" s="2054"/>
      <c r="AB512" s="2054"/>
      <c r="AC512" s="2054"/>
    </row>
    <row r="513" spans="1:29">
      <c r="A513" s="2054"/>
      <c r="B513" s="2054"/>
      <c r="C513" s="2054"/>
      <c r="D513" s="2054"/>
      <c r="E513" s="2054"/>
      <c r="F513" s="2054"/>
      <c r="G513" s="2054"/>
      <c r="H513" s="2054"/>
      <c r="I513" s="2054"/>
      <c r="J513" s="2054"/>
      <c r="K513" s="2055"/>
      <c r="L513" s="2056"/>
      <c r="M513" s="2054"/>
      <c r="N513" s="2054"/>
      <c r="O513" s="2054"/>
      <c r="P513" s="2095"/>
      <c r="Q513" s="2054"/>
      <c r="R513" s="2054"/>
      <c r="S513" s="2054"/>
      <c r="T513" s="2054"/>
      <c r="U513" s="2054"/>
      <c r="V513" s="2054"/>
      <c r="W513" s="2054"/>
      <c r="X513" s="2054"/>
      <c r="Y513" s="2054"/>
      <c r="Z513" s="2054"/>
      <c r="AA513" s="2054"/>
      <c r="AB513" s="2054"/>
      <c r="AC513" s="2054"/>
    </row>
    <row r="514" spans="1:29">
      <c r="A514" s="2054"/>
      <c r="B514" s="2054"/>
      <c r="C514" s="2054"/>
      <c r="D514" s="2054"/>
      <c r="E514" s="2054"/>
      <c r="F514" s="2054"/>
      <c r="G514" s="2054"/>
      <c r="H514" s="2054"/>
      <c r="I514" s="2054"/>
      <c r="J514" s="2054"/>
      <c r="K514" s="2055"/>
      <c r="L514" s="2056"/>
      <c r="M514" s="2054"/>
      <c r="N514" s="2054"/>
      <c r="O514" s="2054"/>
      <c r="P514" s="2095"/>
      <c r="Q514" s="2054"/>
      <c r="R514" s="2054"/>
      <c r="S514" s="2054"/>
      <c r="T514" s="2054"/>
      <c r="U514" s="2054"/>
      <c r="V514" s="2054"/>
      <c r="W514" s="2054"/>
      <c r="X514" s="2054"/>
      <c r="Y514" s="2054"/>
      <c r="Z514" s="2054"/>
      <c r="AA514" s="2054"/>
      <c r="AB514" s="2054"/>
      <c r="AC514" s="2054"/>
    </row>
    <row r="515" spans="1:29">
      <c r="A515" s="2054"/>
      <c r="B515" s="2054"/>
      <c r="C515" s="2054"/>
      <c r="D515" s="2054"/>
      <c r="E515" s="2054"/>
      <c r="F515" s="2054"/>
      <c r="G515" s="2054"/>
      <c r="H515" s="2054"/>
      <c r="I515" s="2054"/>
      <c r="J515" s="2054"/>
      <c r="K515" s="2055"/>
      <c r="L515" s="2056"/>
      <c r="M515" s="2054"/>
      <c r="N515" s="2054"/>
      <c r="O515" s="2054"/>
      <c r="P515" s="2095"/>
      <c r="Q515" s="2054"/>
      <c r="R515" s="2054"/>
      <c r="S515" s="2054"/>
      <c r="T515" s="2054"/>
      <c r="U515" s="2054"/>
      <c r="V515" s="2054"/>
      <c r="W515" s="2054"/>
      <c r="X515" s="2054"/>
      <c r="Y515" s="2054"/>
      <c r="Z515" s="2054"/>
      <c r="AA515" s="2054"/>
      <c r="AB515" s="2054"/>
      <c r="AC515" s="2054"/>
    </row>
    <row r="516" spans="1:29">
      <c r="A516" s="2054"/>
      <c r="B516" s="2054"/>
      <c r="C516" s="2054"/>
      <c r="D516" s="2054"/>
      <c r="E516" s="2054"/>
      <c r="F516" s="2054"/>
      <c r="G516" s="2054"/>
      <c r="H516" s="2054"/>
      <c r="I516" s="2054"/>
      <c r="J516" s="2054"/>
      <c r="K516" s="2055"/>
      <c r="L516" s="2056"/>
      <c r="M516" s="2054"/>
      <c r="N516" s="2054"/>
      <c r="O516" s="2054"/>
      <c r="P516" s="2095"/>
      <c r="Q516" s="2054"/>
      <c r="R516" s="2054"/>
      <c r="S516" s="2054"/>
      <c r="T516" s="2054"/>
      <c r="U516" s="2054"/>
      <c r="V516" s="2054"/>
      <c r="W516" s="2054"/>
      <c r="X516" s="2054"/>
      <c r="Y516" s="2054"/>
      <c r="Z516" s="2054"/>
      <c r="AA516" s="2054"/>
      <c r="AB516" s="2054"/>
      <c r="AC516" s="2054"/>
    </row>
    <row r="517" spans="1:29">
      <c r="A517" s="2054"/>
      <c r="B517" s="2054"/>
      <c r="C517" s="2054"/>
      <c r="D517" s="2054"/>
      <c r="E517" s="2054"/>
      <c r="F517" s="2054"/>
      <c r="G517" s="2054"/>
      <c r="H517" s="2054"/>
      <c r="I517" s="2054"/>
      <c r="J517" s="2054"/>
      <c r="K517" s="2055"/>
      <c r="L517" s="2056"/>
      <c r="M517" s="2054"/>
      <c r="N517" s="2054"/>
      <c r="O517" s="2054"/>
      <c r="P517" s="2095"/>
      <c r="Q517" s="2054"/>
      <c r="R517" s="2054"/>
      <c r="S517" s="2054"/>
      <c r="T517" s="2054"/>
      <c r="U517" s="2054"/>
      <c r="V517" s="2054"/>
      <c r="W517" s="2054"/>
      <c r="X517" s="2054"/>
      <c r="Y517" s="2054"/>
      <c r="Z517" s="2054"/>
      <c r="AA517" s="2054"/>
      <c r="AB517" s="2054"/>
      <c r="AC517" s="2054"/>
    </row>
    <row r="518" spans="1:29">
      <c r="A518" s="2054"/>
      <c r="B518" s="2054"/>
      <c r="C518" s="2054"/>
      <c r="D518" s="2054"/>
      <c r="E518" s="2054"/>
      <c r="F518" s="2054"/>
      <c r="G518" s="2054"/>
      <c r="H518" s="2054"/>
      <c r="I518" s="2054"/>
      <c r="J518" s="2054"/>
      <c r="K518" s="2055"/>
      <c r="L518" s="2056"/>
      <c r="M518" s="2054"/>
      <c r="N518" s="2054"/>
      <c r="O518" s="2054"/>
      <c r="P518" s="2095"/>
      <c r="Q518" s="2054"/>
      <c r="R518" s="2054"/>
      <c r="S518" s="2054"/>
      <c r="T518" s="2054"/>
      <c r="U518" s="2054"/>
      <c r="V518" s="2054"/>
      <c r="W518" s="2054"/>
      <c r="X518" s="2054"/>
      <c r="Y518" s="2054"/>
      <c r="Z518" s="2054"/>
      <c r="AA518" s="2054"/>
      <c r="AB518" s="2054"/>
      <c r="AC518" s="2054"/>
    </row>
    <row r="519" spans="1:29">
      <c r="A519" s="2054"/>
      <c r="B519" s="2054"/>
      <c r="C519" s="2054"/>
      <c r="D519" s="2054"/>
      <c r="E519" s="2054"/>
      <c r="F519" s="2054"/>
      <c r="G519" s="2054"/>
      <c r="H519" s="2054"/>
      <c r="I519" s="2054"/>
      <c r="J519" s="2054"/>
      <c r="K519" s="2055"/>
      <c r="L519" s="2056"/>
      <c r="M519" s="2054"/>
      <c r="N519" s="2054"/>
      <c r="O519" s="2054"/>
      <c r="P519" s="2095"/>
      <c r="Q519" s="2054"/>
      <c r="R519" s="2054"/>
      <c r="S519" s="2054"/>
      <c r="T519" s="2054"/>
      <c r="U519" s="2054"/>
      <c r="V519" s="2054"/>
      <c r="W519" s="2054"/>
      <c r="X519" s="2054"/>
      <c r="Y519" s="2054"/>
      <c r="Z519" s="2054"/>
      <c r="AA519" s="2054"/>
      <c r="AB519" s="2054"/>
      <c r="AC519" s="2054"/>
    </row>
    <row r="520" spans="1:29">
      <c r="A520" s="2054"/>
      <c r="B520" s="2054"/>
      <c r="C520" s="2054"/>
      <c r="D520" s="2054"/>
      <c r="E520" s="2054"/>
      <c r="F520" s="2054"/>
      <c r="G520" s="2054"/>
      <c r="H520" s="2054"/>
      <c r="I520" s="2054"/>
      <c r="J520" s="2054"/>
      <c r="K520" s="2055"/>
      <c r="L520" s="2056"/>
      <c r="M520" s="2054"/>
      <c r="N520" s="2054"/>
      <c r="O520" s="2054"/>
      <c r="P520" s="2095"/>
      <c r="Q520" s="2054"/>
      <c r="R520" s="2054"/>
      <c r="S520" s="2054"/>
      <c r="T520" s="2054"/>
      <c r="U520" s="2054"/>
      <c r="V520" s="2054"/>
      <c r="W520" s="2054"/>
      <c r="X520" s="2054"/>
      <c r="Y520" s="2054"/>
      <c r="Z520" s="2054"/>
      <c r="AA520" s="2054"/>
      <c r="AB520" s="2054"/>
      <c r="AC520" s="2054"/>
    </row>
    <row r="521" spans="1:29">
      <c r="A521" s="2054"/>
      <c r="B521" s="2054"/>
      <c r="C521" s="2054"/>
      <c r="D521" s="2054"/>
      <c r="E521" s="2054"/>
      <c r="F521" s="2054"/>
      <c r="G521" s="2054"/>
      <c r="H521" s="2054"/>
      <c r="I521" s="2054"/>
      <c r="J521" s="2054"/>
      <c r="K521" s="2055"/>
      <c r="L521" s="2056"/>
      <c r="M521" s="2054"/>
      <c r="N521" s="2054"/>
      <c r="O521" s="2054"/>
      <c r="P521" s="2095"/>
      <c r="Q521" s="2054"/>
      <c r="R521" s="2054"/>
      <c r="S521" s="2054"/>
      <c r="T521" s="2054"/>
      <c r="U521" s="2054"/>
      <c r="V521" s="2054"/>
      <c r="W521" s="2054"/>
      <c r="X521" s="2054"/>
      <c r="Y521" s="2054"/>
      <c r="Z521" s="2054"/>
      <c r="AA521" s="2054"/>
      <c r="AB521" s="2054"/>
      <c r="AC521" s="2054"/>
    </row>
    <row r="522" spans="1:29">
      <c r="A522" s="2054"/>
      <c r="B522" s="2054"/>
      <c r="C522" s="2054"/>
      <c r="D522" s="2054"/>
      <c r="E522" s="2054"/>
      <c r="F522" s="2054"/>
      <c r="G522" s="2054"/>
      <c r="H522" s="2054"/>
      <c r="I522" s="2054"/>
      <c r="J522" s="2054"/>
      <c r="K522" s="2055"/>
      <c r="L522" s="2056"/>
      <c r="M522" s="2054"/>
      <c r="N522" s="2054"/>
      <c r="O522" s="2054"/>
      <c r="P522" s="2095"/>
      <c r="Q522" s="2054"/>
      <c r="R522" s="2054"/>
      <c r="S522" s="2054"/>
      <c r="T522" s="2054"/>
      <c r="U522" s="2054"/>
      <c r="V522" s="2054"/>
      <c r="W522" s="2054"/>
      <c r="X522" s="2054"/>
      <c r="Y522" s="2054"/>
      <c r="Z522" s="2054"/>
      <c r="AA522" s="2054"/>
      <c r="AB522" s="2054"/>
      <c r="AC522" s="2054"/>
    </row>
    <row r="523" spans="1:29">
      <c r="A523" s="2054"/>
      <c r="B523" s="2054"/>
      <c r="C523" s="2054"/>
      <c r="D523" s="2054"/>
      <c r="E523" s="2054"/>
      <c r="F523" s="2054"/>
      <c r="G523" s="2054"/>
      <c r="H523" s="2054"/>
      <c r="I523" s="2054"/>
      <c r="J523" s="2054"/>
      <c r="K523" s="2055"/>
      <c r="L523" s="2056"/>
      <c r="M523" s="2054"/>
      <c r="N523" s="2054"/>
      <c r="O523" s="2054"/>
      <c r="P523" s="2095"/>
      <c r="Q523" s="2054"/>
      <c r="R523" s="2054"/>
      <c r="S523" s="2054"/>
      <c r="T523" s="2054"/>
      <c r="U523" s="2054"/>
      <c r="V523" s="2054"/>
      <c r="W523" s="2054"/>
      <c r="X523" s="2054"/>
      <c r="Y523" s="2054"/>
      <c r="Z523" s="2054"/>
      <c r="AA523" s="2054"/>
      <c r="AB523" s="2054"/>
      <c r="AC523" s="2054"/>
    </row>
    <row r="524" spans="1:29">
      <c r="A524" s="2054"/>
      <c r="B524" s="2054"/>
      <c r="C524" s="2054"/>
      <c r="D524" s="2054"/>
      <c r="E524" s="2054"/>
      <c r="F524" s="2054"/>
      <c r="G524" s="2054"/>
      <c r="H524" s="2054"/>
      <c r="I524" s="2054"/>
      <c r="J524" s="2054"/>
      <c r="K524" s="2055"/>
      <c r="L524" s="2056"/>
      <c r="M524" s="2054"/>
      <c r="N524" s="2054"/>
      <c r="O524" s="2054"/>
      <c r="P524" s="2095"/>
      <c r="Q524" s="2054"/>
      <c r="R524" s="2054"/>
      <c r="S524" s="2054"/>
      <c r="T524" s="2054"/>
      <c r="U524" s="2054"/>
      <c r="V524" s="2054"/>
      <c r="W524" s="2054"/>
      <c r="X524" s="2054"/>
      <c r="Y524" s="2054"/>
      <c r="Z524" s="2054"/>
      <c r="AA524" s="2054"/>
      <c r="AB524" s="2054"/>
      <c r="AC524" s="2054"/>
    </row>
    <row r="525" spans="1:29">
      <c r="A525" s="2054"/>
      <c r="B525" s="2054"/>
      <c r="C525" s="2054"/>
      <c r="D525" s="2054"/>
      <c r="E525" s="2054"/>
      <c r="F525" s="2054"/>
      <c r="G525" s="2054"/>
      <c r="H525" s="2054"/>
      <c r="I525" s="2054"/>
      <c r="J525" s="2054"/>
      <c r="K525" s="2055"/>
      <c r="L525" s="2056"/>
      <c r="M525" s="2054"/>
      <c r="N525" s="2054"/>
      <c r="O525" s="2054"/>
      <c r="P525" s="2095"/>
      <c r="Q525" s="2054"/>
      <c r="R525" s="2054"/>
      <c r="S525" s="2054"/>
      <c r="T525" s="2054"/>
      <c r="U525" s="2054"/>
      <c r="V525" s="2054"/>
      <c r="W525" s="2054"/>
      <c r="X525" s="2054"/>
      <c r="Y525" s="2054"/>
      <c r="Z525" s="2054"/>
      <c r="AA525" s="2054"/>
      <c r="AB525" s="2054"/>
      <c r="AC525" s="2054"/>
    </row>
    <row r="526" spans="1:29">
      <c r="A526" s="2054"/>
      <c r="B526" s="2054"/>
      <c r="C526" s="2054"/>
      <c r="D526" s="2054"/>
      <c r="E526" s="2054"/>
      <c r="F526" s="2054"/>
      <c r="G526" s="2054"/>
      <c r="H526" s="2054"/>
      <c r="I526" s="2054"/>
      <c r="J526" s="2054"/>
      <c r="K526" s="2055"/>
      <c r="L526" s="2056"/>
      <c r="M526" s="2054"/>
      <c r="N526" s="2054"/>
      <c r="O526" s="2054"/>
      <c r="P526" s="2095"/>
      <c r="Q526" s="2054"/>
      <c r="R526" s="2054"/>
      <c r="S526" s="2054"/>
      <c r="T526" s="2054"/>
      <c r="U526" s="2054"/>
      <c r="V526" s="2054"/>
      <c r="W526" s="2054"/>
      <c r="X526" s="2054"/>
      <c r="Y526" s="2054"/>
      <c r="Z526" s="2054"/>
      <c r="AA526" s="2054"/>
      <c r="AB526" s="2054"/>
      <c r="AC526" s="2054"/>
    </row>
    <row r="527" spans="1:29">
      <c r="A527" s="2054"/>
      <c r="B527" s="2054"/>
      <c r="C527" s="2054"/>
      <c r="D527" s="2054"/>
      <c r="E527" s="2054"/>
      <c r="F527" s="2054"/>
      <c r="G527" s="2054"/>
      <c r="H527" s="2054"/>
      <c r="I527" s="2054"/>
      <c r="J527" s="2054"/>
      <c r="K527" s="2055"/>
      <c r="L527" s="2056"/>
      <c r="M527" s="2054"/>
      <c r="N527" s="2054"/>
      <c r="O527" s="2054"/>
      <c r="P527" s="2095"/>
      <c r="Q527" s="2054"/>
      <c r="R527" s="2054"/>
      <c r="S527" s="2054"/>
      <c r="T527" s="2054"/>
      <c r="U527" s="2054"/>
      <c r="V527" s="2054"/>
      <c r="W527" s="2054"/>
      <c r="X527" s="2054"/>
      <c r="Y527" s="2054"/>
      <c r="Z527" s="2054"/>
      <c r="AA527" s="2054"/>
      <c r="AB527" s="2054"/>
      <c r="AC527" s="2054"/>
    </row>
    <row r="528" spans="1:29">
      <c r="A528" s="2054"/>
      <c r="B528" s="2054"/>
      <c r="C528" s="2054"/>
      <c r="D528" s="2054"/>
      <c r="E528" s="2054"/>
      <c r="F528" s="2054"/>
      <c r="G528" s="2054"/>
      <c r="H528" s="2054"/>
      <c r="I528" s="2054"/>
      <c r="J528" s="2054"/>
      <c r="K528" s="2055"/>
      <c r="L528" s="2056"/>
      <c r="M528" s="2054"/>
      <c r="N528" s="2054"/>
      <c r="O528" s="2054"/>
      <c r="P528" s="2095"/>
      <c r="Q528" s="2054"/>
      <c r="R528" s="2054"/>
      <c r="S528" s="2054"/>
      <c r="T528" s="2054"/>
      <c r="U528" s="2054"/>
      <c r="V528" s="2054"/>
      <c r="W528" s="2054"/>
      <c r="X528" s="2054"/>
      <c r="Y528" s="2054"/>
      <c r="Z528" s="2054"/>
      <c r="AA528" s="2054"/>
      <c r="AB528" s="2054"/>
      <c r="AC528" s="2054"/>
    </row>
    <row r="529" spans="1:29">
      <c r="A529" s="2054"/>
      <c r="B529" s="2054"/>
      <c r="C529" s="2054"/>
      <c r="D529" s="2054"/>
      <c r="E529" s="2054"/>
      <c r="F529" s="2054"/>
      <c r="G529" s="2054"/>
      <c r="H529" s="2054"/>
      <c r="I529" s="2054"/>
      <c r="J529" s="2054"/>
      <c r="K529" s="2055"/>
      <c r="L529" s="2056"/>
      <c r="M529" s="2054"/>
      <c r="N529" s="2054"/>
      <c r="O529" s="2054"/>
      <c r="P529" s="2095"/>
      <c r="Q529" s="2054"/>
      <c r="R529" s="2054"/>
      <c r="S529" s="2054"/>
      <c r="T529" s="2054"/>
      <c r="U529" s="2054"/>
      <c r="V529" s="2054"/>
      <c r="W529" s="2054"/>
      <c r="X529" s="2054"/>
      <c r="Y529" s="2054"/>
      <c r="Z529" s="2054"/>
      <c r="AA529" s="2054"/>
      <c r="AB529" s="2054"/>
      <c r="AC529" s="2054"/>
    </row>
    <row r="530" spans="1:29">
      <c r="A530" s="2054"/>
      <c r="B530" s="2054"/>
      <c r="C530" s="2054"/>
      <c r="D530" s="2054"/>
      <c r="E530" s="2054"/>
      <c r="F530" s="2054"/>
      <c r="G530" s="2054"/>
      <c r="H530" s="2054"/>
      <c r="I530" s="2054"/>
      <c r="J530" s="2054"/>
      <c r="K530" s="2055"/>
      <c r="L530" s="2056"/>
      <c r="M530" s="2054"/>
      <c r="N530" s="2054"/>
      <c r="O530" s="2054"/>
      <c r="P530" s="2095"/>
      <c r="Q530" s="2054"/>
      <c r="R530" s="2054"/>
      <c r="S530" s="2054"/>
      <c r="T530" s="2054"/>
      <c r="U530" s="2054"/>
      <c r="V530" s="2054"/>
      <c r="W530" s="2054"/>
      <c r="X530" s="2054"/>
      <c r="Y530" s="2054"/>
      <c r="Z530" s="2054"/>
      <c r="AA530" s="2054"/>
      <c r="AB530" s="2054"/>
      <c r="AC530" s="2054"/>
    </row>
    <row r="531" spans="1:29">
      <c r="A531" s="2054"/>
      <c r="B531" s="2054"/>
      <c r="C531" s="2054"/>
      <c r="D531" s="2054"/>
      <c r="E531" s="2054"/>
      <c r="F531" s="2054"/>
      <c r="G531" s="2054"/>
      <c r="H531" s="2054"/>
      <c r="I531" s="2054"/>
      <c r="J531" s="2054"/>
      <c r="K531" s="2055"/>
      <c r="L531" s="2056"/>
      <c r="M531" s="2054"/>
      <c r="N531" s="2054"/>
      <c r="O531" s="2054"/>
      <c r="P531" s="2095"/>
      <c r="Q531" s="2054"/>
      <c r="R531" s="2054"/>
      <c r="S531" s="2054"/>
      <c r="T531" s="2054"/>
      <c r="U531" s="2054"/>
      <c r="V531" s="2054"/>
      <c r="W531" s="2054"/>
      <c r="X531" s="2054"/>
      <c r="Y531" s="2054"/>
      <c r="Z531" s="2054"/>
      <c r="AA531" s="2054"/>
      <c r="AB531" s="2054"/>
      <c r="AC531" s="2054"/>
    </row>
    <row r="532" spans="1:29">
      <c r="A532" s="2054"/>
      <c r="B532" s="2054"/>
      <c r="C532" s="2054"/>
      <c r="D532" s="2054"/>
      <c r="E532" s="2054"/>
      <c r="F532" s="2054"/>
      <c r="G532" s="2054"/>
      <c r="H532" s="2054"/>
      <c r="I532" s="2054"/>
      <c r="J532" s="2054"/>
      <c r="K532" s="2055"/>
      <c r="L532" s="2056"/>
      <c r="M532" s="2054"/>
      <c r="N532" s="2054"/>
      <c r="O532" s="2054"/>
      <c r="P532" s="2095"/>
      <c r="Q532" s="2054"/>
      <c r="R532" s="2054"/>
      <c r="S532" s="2054"/>
      <c r="T532" s="2054"/>
      <c r="U532" s="2054"/>
      <c r="V532" s="2054"/>
      <c r="W532" s="2054"/>
      <c r="X532" s="2054"/>
      <c r="Y532" s="2054"/>
      <c r="Z532" s="2054"/>
      <c r="AA532" s="2054"/>
      <c r="AB532" s="2054"/>
      <c r="AC532" s="2054"/>
    </row>
    <row r="533" spans="1:29">
      <c r="A533" s="2054"/>
      <c r="B533" s="2054"/>
      <c r="C533" s="2054"/>
      <c r="D533" s="2054"/>
      <c r="E533" s="2054"/>
      <c r="F533" s="2054"/>
      <c r="G533" s="2054"/>
      <c r="H533" s="2054"/>
      <c r="I533" s="2054"/>
      <c r="J533" s="2054"/>
      <c r="K533" s="2055"/>
      <c r="L533" s="2056"/>
      <c r="M533" s="2054"/>
      <c r="N533" s="2054"/>
      <c r="O533" s="2054"/>
      <c r="P533" s="2095"/>
      <c r="Q533" s="2054"/>
      <c r="R533" s="2054"/>
      <c r="S533" s="2054"/>
      <c r="T533" s="2054"/>
      <c r="U533" s="2054"/>
      <c r="V533" s="2054"/>
      <c r="W533" s="2054"/>
      <c r="X533" s="2054"/>
      <c r="Y533" s="2054"/>
      <c r="Z533" s="2054"/>
      <c r="AA533" s="2054"/>
      <c r="AB533" s="2054"/>
      <c r="AC533" s="2054"/>
    </row>
    <row r="534" spans="1:29">
      <c r="A534" s="2054"/>
      <c r="B534" s="2054"/>
      <c r="C534" s="2054"/>
      <c r="D534" s="2054"/>
      <c r="E534" s="2054"/>
      <c r="F534" s="2054"/>
      <c r="G534" s="2054"/>
      <c r="H534" s="2054"/>
      <c r="I534" s="2054"/>
      <c r="J534" s="2054"/>
      <c r="K534" s="2055"/>
      <c r="L534" s="2056"/>
      <c r="M534" s="2054"/>
      <c r="N534" s="2054"/>
      <c r="O534" s="2054"/>
      <c r="P534" s="2095"/>
      <c r="Q534" s="2054"/>
      <c r="R534" s="2054"/>
      <c r="S534" s="2054"/>
      <c r="T534" s="2054"/>
      <c r="U534" s="2054"/>
      <c r="V534" s="2054"/>
      <c r="W534" s="2054"/>
      <c r="X534" s="2054"/>
      <c r="Y534" s="2054"/>
      <c r="Z534" s="2054"/>
      <c r="AA534" s="2054"/>
      <c r="AB534" s="2054"/>
      <c r="AC534" s="2054"/>
    </row>
    <row r="535" spans="1:29">
      <c r="A535" s="2054"/>
      <c r="B535" s="2054"/>
      <c r="C535" s="2054"/>
      <c r="D535" s="2054"/>
      <c r="E535" s="2054"/>
      <c r="F535" s="2054"/>
      <c r="G535" s="2054"/>
      <c r="H535" s="2054"/>
      <c r="I535" s="2054"/>
      <c r="J535" s="2054"/>
      <c r="K535" s="2055"/>
      <c r="L535" s="2056"/>
      <c r="M535" s="2054"/>
      <c r="N535" s="2054"/>
      <c r="O535" s="2054"/>
      <c r="P535" s="2095"/>
      <c r="Q535" s="2054"/>
      <c r="R535" s="2054"/>
      <c r="S535" s="2054"/>
      <c r="T535" s="2054"/>
      <c r="U535" s="2054"/>
      <c r="V535" s="2054"/>
      <c r="W535" s="2054"/>
      <c r="X535" s="2054"/>
      <c r="Y535" s="2054"/>
      <c r="Z535" s="2054"/>
      <c r="AA535" s="2054"/>
      <c r="AB535" s="2054"/>
      <c r="AC535" s="2054"/>
    </row>
    <row r="536" spans="1:29">
      <c r="A536" s="2054"/>
      <c r="B536" s="2054"/>
      <c r="C536" s="2054"/>
      <c r="D536" s="2054"/>
      <c r="E536" s="2054"/>
      <c r="F536" s="2054"/>
      <c r="G536" s="2054"/>
      <c r="H536" s="2054"/>
      <c r="I536" s="2054"/>
      <c r="J536" s="2054"/>
      <c r="K536" s="2055"/>
      <c r="L536" s="2056"/>
      <c r="M536" s="2054"/>
      <c r="N536" s="2054"/>
      <c r="O536" s="2054"/>
      <c r="P536" s="2095"/>
      <c r="Q536" s="2054"/>
      <c r="R536" s="2054"/>
      <c r="S536" s="2054"/>
      <c r="T536" s="2054"/>
      <c r="U536" s="2054"/>
      <c r="V536" s="2054"/>
      <c r="W536" s="2054"/>
      <c r="X536" s="2054"/>
      <c r="Y536" s="2054"/>
      <c r="Z536" s="2054"/>
      <c r="AA536" s="2054"/>
      <c r="AB536" s="2054"/>
      <c r="AC536" s="2054"/>
    </row>
    <row r="537" spans="1:29">
      <c r="A537" s="2054"/>
      <c r="B537" s="2054"/>
      <c r="C537" s="2054"/>
      <c r="D537" s="2054"/>
      <c r="E537" s="2054"/>
      <c r="F537" s="2054"/>
      <c r="G537" s="2054"/>
      <c r="H537" s="2054"/>
      <c r="I537" s="2054"/>
      <c r="J537" s="2054"/>
      <c r="K537" s="2055"/>
      <c r="L537" s="2056"/>
      <c r="M537" s="2054"/>
      <c r="N537" s="2054"/>
      <c r="O537" s="2054"/>
      <c r="P537" s="2095"/>
      <c r="Q537" s="2054"/>
      <c r="R537" s="2054"/>
      <c r="S537" s="2054"/>
      <c r="T537" s="2054"/>
      <c r="U537" s="2054"/>
      <c r="V537" s="2054"/>
      <c r="W537" s="2054"/>
      <c r="X537" s="2054"/>
      <c r="Y537" s="2054"/>
      <c r="Z537" s="2054"/>
      <c r="AA537" s="2054"/>
      <c r="AB537" s="2054"/>
      <c r="AC537" s="2054"/>
    </row>
    <row r="538" spans="1:29">
      <c r="A538" s="2054"/>
      <c r="B538" s="2054"/>
      <c r="C538" s="2054"/>
      <c r="D538" s="2054"/>
      <c r="E538" s="2054"/>
      <c r="F538" s="2054"/>
      <c r="G538" s="2054"/>
      <c r="H538" s="2054"/>
      <c r="I538" s="2054"/>
      <c r="J538" s="2054"/>
      <c r="K538" s="2055"/>
      <c r="L538" s="2056"/>
      <c r="M538" s="2054"/>
      <c r="N538" s="2054"/>
      <c r="O538" s="2054"/>
      <c r="P538" s="2095"/>
      <c r="Q538" s="2054"/>
      <c r="R538" s="2054"/>
      <c r="S538" s="2054"/>
      <c r="T538" s="2054"/>
      <c r="U538" s="2054"/>
      <c r="V538" s="2054"/>
      <c r="W538" s="2054"/>
      <c r="X538" s="2054"/>
      <c r="Y538" s="2054"/>
      <c r="Z538" s="2054"/>
      <c r="AA538" s="2054"/>
      <c r="AB538" s="2054"/>
      <c r="AC538" s="2054"/>
    </row>
    <row r="539" spans="1:29">
      <c r="A539" s="2054"/>
      <c r="B539" s="2054"/>
      <c r="C539" s="2054"/>
      <c r="D539" s="2054"/>
      <c r="E539" s="2054"/>
      <c r="F539" s="2054"/>
      <c r="G539" s="2054"/>
      <c r="H539" s="2054"/>
      <c r="I539" s="2054"/>
      <c r="J539" s="2054"/>
      <c r="K539" s="2055"/>
      <c r="L539" s="2056"/>
      <c r="M539" s="2054"/>
      <c r="N539" s="2054"/>
      <c r="O539" s="2054"/>
      <c r="P539" s="2095"/>
      <c r="Q539" s="2054"/>
      <c r="R539" s="2054"/>
      <c r="S539" s="2054"/>
      <c r="T539" s="2054"/>
      <c r="U539" s="2054"/>
      <c r="V539" s="2054"/>
      <c r="W539" s="2054"/>
      <c r="X539" s="2054"/>
      <c r="Y539" s="2054"/>
      <c r="Z539" s="2054"/>
      <c r="AA539" s="2054"/>
      <c r="AB539" s="2054"/>
      <c r="AC539" s="2054"/>
    </row>
    <row r="540" spans="1:29">
      <c r="A540" s="2054"/>
      <c r="B540" s="2054"/>
      <c r="C540" s="2054"/>
      <c r="D540" s="2054"/>
      <c r="E540" s="2054"/>
      <c r="F540" s="2054"/>
      <c r="G540" s="2054"/>
      <c r="H540" s="2054"/>
      <c r="I540" s="2054"/>
      <c r="J540" s="2054"/>
      <c r="K540" s="2055"/>
      <c r="L540" s="2056"/>
      <c r="M540" s="2054"/>
      <c r="N540" s="2054"/>
      <c r="O540" s="2054"/>
      <c r="P540" s="2095"/>
      <c r="Q540" s="2054"/>
      <c r="R540" s="2054"/>
      <c r="S540" s="2054"/>
      <c r="T540" s="2054"/>
      <c r="U540" s="2054"/>
      <c r="V540" s="2054"/>
      <c r="W540" s="2054"/>
      <c r="X540" s="2054"/>
      <c r="Y540" s="2054"/>
      <c r="Z540" s="2054"/>
      <c r="AA540" s="2054"/>
      <c r="AB540" s="2054"/>
      <c r="AC540" s="2054"/>
    </row>
    <row r="541" spans="1:29">
      <c r="A541" s="2054"/>
      <c r="B541" s="2054"/>
      <c r="C541" s="2054"/>
      <c r="D541" s="2054"/>
      <c r="E541" s="2054"/>
      <c r="F541" s="2054"/>
      <c r="G541" s="2054"/>
      <c r="H541" s="2054"/>
      <c r="I541" s="2054"/>
      <c r="J541" s="2054"/>
      <c r="K541" s="2055"/>
      <c r="L541" s="2056"/>
      <c r="M541" s="2054"/>
      <c r="N541" s="2054"/>
      <c r="O541" s="2054"/>
      <c r="P541" s="2095"/>
      <c r="Q541" s="2054"/>
      <c r="R541" s="2054"/>
      <c r="S541" s="2054"/>
      <c r="T541" s="2054"/>
      <c r="U541" s="2054"/>
      <c r="V541" s="2054"/>
      <c r="W541" s="2054"/>
      <c r="X541" s="2054"/>
      <c r="Y541" s="2054"/>
      <c r="Z541" s="2054"/>
      <c r="AA541" s="2054"/>
      <c r="AB541" s="2054"/>
      <c r="AC541" s="2054"/>
    </row>
    <row r="542" spans="1:29">
      <c r="A542" s="2054"/>
      <c r="B542" s="2054"/>
      <c r="C542" s="2054"/>
      <c r="D542" s="2054"/>
      <c r="E542" s="2054"/>
      <c r="F542" s="2054"/>
      <c r="G542" s="2054"/>
      <c r="H542" s="2054"/>
      <c r="I542" s="2054"/>
      <c r="J542" s="2054"/>
      <c r="K542" s="2055"/>
      <c r="L542" s="2056"/>
      <c r="M542" s="2054"/>
      <c r="N542" s="2054"/>
      <c r="O542" s="2054"/>
      <c r="P542" s="2095"/>
      <c r="Q542" s="2054"/>
      <c r="R542" s="2054"/>
      <c r="S542" s="2054"/>
      <c r="T542" s="2054"/>
      <c r="U542" s="2054"/>
      <c r="V542" s="2054"/>
      <c r="W542" s="2054"/>
      <c r="X542" s="2054"/>
      <c r="Y542" s="2054"/>
      <c r="Z542" s="2054"/>
      <c r="AA542" s="2054"/>
      <c r="AB542" s="2054"/>
      <c r="AC542" s="2054"/>
    </row>
    <row r="543" spans="1:29">
      <c r="A543" s="2054"/>
      <c r="B543" s="2054"/>
      <c r="C543" s="2054"/>
      <c r="D543" s="2054"/>
      <c r="E543" s="2054"/>
      <c r="F543" s="2054"/>
      <c r="G543" s="2054"/>
      <c r="H543" s="2054"/>
      <c r="I543" s="2054"/>
      <c r="J543" s="2054"/>
      <c r="K543" s="2055"/>
      <c r="L543" s="2056"/>
      <c r="M543" s="2054"/>
      <c r="N543" s="2054"/>
      <c r="O543" s="2054"/>
      <c r="P543" s="2095"/>
      <c r="Q543" s="2054"/>
      <c r="R543" s="2054"/>
      <c r="S543" s="2054"/>
      <c r="T543" s="2054"/>
      <c r="U543" s="2054"/>
      <c r="V543" s="2054"/>
      <c r="W543" s="2054"/>
      <c r="X543" s="2054"/>
      <c r="Y543" s="2054"/>
      <c r="Z543" s="2054"/>
      <c r="AA543" s="2054"/>
      <c r="AB543" s="2054"/>
      <c r="AC543" s="2054"/>
    </row>
    <row r="544" spans="1:29">
      <c r="A544" s="2054"/>
      <c r="B544" s="2054"/>
      <c r="C544" s="2054"/>
      <c r="D544" s="2054"/>
      <c r="E544" s="2054"/>
      <c r="F544" s="2054"/>
      <c r="G544" s="2054"/>
      <c r="H544" s="2054"/>
      <c r="I544" s="2054"/>
      <c r="J544" s="2054"/>
      <c r="K544" s="2055"/>
      <c r="L544" s="2056"/>
      <c r="M544" s="2054"/>
      <c r="N544" s="2054"/>
      <c r="O544" s="2054"/>
      <c r="P544" s="2095"/>
      <c r="Q544" s="2054"/>
      <c r="R544" s="2054"/>
      <c r="S544" s="2054"/>
      <c r="T544" s="2054"/>
      <c r="U544" s="2054"/>
      <c r="V544" s="2054"/>
      <c r="W544" s="2054"/>
      <c r="X544" s="2054"/>
      <c r="Y544" s="2054"/>
      <c r="Z544" s="2054"/>
      <c r="AA544" s="2054"/>
      <c r="AB544" s="2054"/>
      <c r="AC544" s="2054"/>
    </row>
    <row r="545" spans="1:29">
      <c r="A545" s="2054"/>
      <c r="B545" s="2054"/>
      <c r="C545" s="2054"/>
      <c r="D545" s="2054"/>
      <c r="E545" s="2054"/>
      <c r="F545" s="2054"/>
      <c r="G545" s="2054"/>
      <c r="H545" s="2054"/>
      <c r="I545" s="2054"/>
      <c r="J545" s="2054"/>
      <c r="K545" s="2055"/>
      <c r="L545" s="2056"/>
      <c r="M545" s="2054"/>
      <c r="N545" s="2054"/>
      <c r="O545" s="2054"/>
      <c r="P545" s="2095"/>
      <c r="Q545" s="2054"/>
      <c r="R545" s="2054"/>
      <c r="S545" s="2054"/>
      <c r="T545" s="2054"/>
      <c r="U545" s="2054"/>
      <c r="V545" s="2054"/>
      <c r="W545" s="2054"/>
      <c r="X545" s="2054"/>
      <c r="Y545" s="2054"/>
      <c r="Z545" s="2054"/>
      <c r="AA545" s="2054"/>
      <c r="AB545" s="2054"/>
      <c r="AC545" s="2054"/>
    </row>
    <row r="546" spans="1:29">
      <c r="A546" s="2054"/>
      <c r="B546" s="2054"/>
      <c r="C546" s="2054"/>
      <c r="D546" s="2054"/>
      <c r="E546" s="2054"/>
      <c r="F546" s="2054"/>
      <c r="G546" s="2054"/>
      <c r="H546" s="2054"/>
      <c r="I546" s="2054"/>
      <c r="J546" s="2054"/>
      <c r="K546" s="2055"/>
      <c r="L546" s="2056"/>
      <c r="M546" s="2054"/>
      <c r="N546" s="2054"/>
      <c r="O546" s="2054"/>
      <c r="P546" s="2095"/>
      <c r="Q546" s="2054"/>
      <c r="R546" s="2054"/>
      <c r="S546" s="2054"/>
      <c r="T546" s="2054"/>
      <c r="U546" s="2054"/>
      <c r="V546" s="2054"/>
      <c r="W546" s="2054"/>
      <c r="X546" s="2054"/>
      <c r="Y546" s="2054"/>
      <c r="Z546" s="2054"/>
      <c r="AA546" s="2054"/>
      <c r="AB546" s="2054"/>
      <c r="AC546" s="2054"/>
    </row>
    <row r="547" spans="1:29">
      <c r="A547" s="2054"/>
      <c r="B547" s="2054"/>
      <c r="C547" s="2054"/>
      <c r="D547" s="2054"/>
      <c r="E547" s="2054"/>
      <c r="F547" s="2054"/>
      <c r="G547" s="2054"/>
      <c r="H547" s="2054"/>
      <c r="I547" s="2054"/>
      <c r="J547" s="2054"/>
      <c r="K547" s="2055"/>
      <c r="L547" s="2056"/>
      <c r="M547" s="2054"/>
      <c r="N547" s="2054"/>
      <c r="O547" s="2054"/>
      <c r="P547" s="2095"/>
      <c r="Q547" s="2054"/>
      <c r="R547" s="2054"/>
      <c r="S547" s="2054"/>
      <c r="T547" s="2054"/>
      <c r="U547" s="2054"/>
      <c r="V547" s="2054"/>
      <c r="W547" s="2054"/>
      <c r="X547" s="2054"/>
      <c r="Y547" s="2054"/>
      <c r="Z547" s="2054"/>
      <c r="AA547" s="2054"/>
      <c r="AB547" s="2054"/>
      <c r="AC547" s="2054"/>
    </row>
    <row r="548" spans="1:29">
      <c r="A548" s="2054"/>
      <c r="B548" s="2054"/>
      <c r="C548" s="2054"/>
      <c r="D548" s="2054"/>
      <c r="E548" s="2054"/>
      <c r="F548" s="2054"/>
      <c r="G548" s="2054"/>
      <c r="H548" s="2054"/>
      <c r="I548" s="2054"/>
      <c r="J548" s="2054"/>
      <c r="K548" s="2055"/>
      <c r="L548" s="2056"/>
      <c r="M548" s="2054"/>
      <c r="N548" s="2054"/>
      <c r="O548" s="2054"/>
      <c r="P548" s="2095"/>
      <c r="Q548" s="2054"/>
      <c r="R548" s="2054"/>
      <c r="S548" s="2054"/>
      <c r="T548" s="2054"/>
      <c r="U548" s="2054"/>
      <c r="V548" s="2054"/>
      <c r="W548" s="2054"/>
      <c r="X548" s="2054"/>
      <c r="Y548" s="2054"/>
      <c r="Z548" s="2054"/>
      <c r="AA548" s="2054"/>
      <c r="AB548" s="2054"/>
      <c r="AC548" s="2054"/>
    </row>
    <row r="549" spans="1:29">
      <c r="A549" s="2054"/>
      <c r="B549" s="2054"/>
      <c r="C549" s="2054"/>
      <c r="D549" s="2054"/>
      <c r="E549" s="2054"/>
      <c r="F549" s="2054"/>
      <c r="G549" s="2054"/>
      <c r="H549" s="2054"/>
      <c r="I549" s="2054"/>
      <c r="J549" s="2054"/>
      <c r="K549" s="2055"/>
      <c r="L549" s="2056"/>
      <c r="M549" s="2054"/>
      <c r="N549" s="2054"/>
      <c r="O549" s="2054"/>
      <c r="P549" s="2095"/>
      <c r="Q549" s="2054"/>
      <c r="R549" s="2054"/>
      <c r="S549" s="2054"/>
      <c r="T549" s="2054"/>
      <c r="U549" s="2054"/>
      <c r="V549" s="2054"/>
      <c r="W549" s="2054"/>
      <c r="X549" s="2054"/>
      <c r="Y549" s="2054"/>
      <c r="Z549" s="2054"/>
      <c r="AA549" s="2054"/>
      <c r="AB549" s="2054"/>
      <c r="AC549" s="2054"/>
    </row>
    <row r="550" spans="1:29">
      <c r="A550" s="2054"/>
      <c r="B550" s="2054"/>
      <c r="C550" s="2054"/>
      <c r="D550" s="2054"/>
      <c r="E550" s="2054"/>
      <c r="F550" s="2054"/>
      <c r="G550" s="2054"/>
      <c r="H550" s="2054"/>
      <c r="I550" s="2054"/>
      <c r="J550" s="2054"/>
      <c r="K550" s="2055"/>
      <c r="L550" s="2056"/>
      <c r="M550" s="2054"/>
      <c r="N550" s="2054"/>
      <c r="O550" s="2054"/>
      <c r="P550" s="2095"/>
      <c r="Q550" s="2054"/>
      <c r="R550" s="2054"/>
      <c r="S550" s="2054"/>
      <c r="T550" s="2054"/>
      <c r="U550" s="2054"/>
      <c r="V550" s="2054"/>
      <c r="W550" s="2054"/>
      <c r="X550" s="2054"/>
      <c r="Y550" s="2054"/>
      <c r="Z550" s="2054"/>
      <c r="AA550" s="2054"/>
      <c r="AB550" s="2054"/>
      <c r="AC550" s="2054"/>
    </row>
    <row r="551" spans="1:29">
      <c r="A551" s="2054"/>
      <c r="B551" s="2054"/>
      <c r="C551" s="2054"/>
      <c r="D551" s="2054"/>
      <c r="E551" s="2054"/>
      <c r="F551" s="2054"/>
      <c r="G551" s="2054"/>
      <c r="H551" s="2054"/>
      <c r="I551" s="2054"/>
      <c r="J551" s="2054"/>
      <c r="K551" s="2055"/>
      <c r="L551" s="2056"/>
      <c r="M551" s="2054"/>
      <c r="N551" s="2054"/>
      <c r="O551" s="2054"/>
      <c r="P551" s="2095"/>
      <c r="Q551" s="2054"/>
      <c r="R551" s="2054"/>
      <c r="S551" s="2054"/>
      <c r="T551" s="2054"/>
      <c r="U551" s="2054"/>
      <c r="V551" s="2054"/>
      <c r="W551" s="2054"/>
      <c r="X551" s="2054"/>
      <c r="Y551" s="2054"/>
      <c r="Z551" s="2054"/>
      <c r="AA551" s="2054"/>
      <c r="AB551" s="2054"/>
      <c r="AC551" s="2054"/>
    </row>
    <row r="552" spans="1:29">
      <c r="A552" s="2054"/>
      <c r="B552" s="2054"/>
      <c r="C552" s="2054"/>
      <c r="D552" s="2054"/>
      <c r="E552" s="2054"/>
      <c r="F552" s="2054"/>
      <c r="G552" s="2054"/>
      <c r="H552" s="2054"/>
      <c r="I552" s="2054"/>
      <c r="J552" s="2054"/>
      <c r="K552" s="2055"/>
      <c r="L552" s="2056"/>
      <c r="M552" s="2054"/>
      <c r="N552" s="2054"/>
      <c r="O552" s="2054"/>
      <c r="P552" s="2095"/>
      <c r="Q552" s="2054"/>
      <c r="R552" s="2054"/>
      <c r="S552" s="2054"/>
      <c r="T552" s="2054"/>
      <c r="U552" s="2054"/>
      <c r="V552" s="2054"/>
      <c r="W552" s="2054"/>
      <c r="X552" s="2054"/>
      <c r="Y552" s="2054"/>
      <c r="Z552" s="2054"/>
      <c r="AA552" s="2054"/>
      <c r="AB552" s="2054"/>
      <c r="AC552" s="2054"/>
    </row>
    <row r="553" spans="1:29">
      <c r="A553" s="2054"/>
      <c r="B553" s="2054"/>
      <c r="C553" s="2054"/>
      <c r="D553" s="2054"/>
      <c r="E553" s="2054"/>
      <c r="F553" s="2054"/>
      <c r="G553" s="2054"/>
      <c r="H553" s="2054"/>
      <c r="I553" s="2054"/>
      <c r="J553" s="2054"/>
      <c r="K553" s="2055"/>
      <c r="L553" s="2056"/>
      <c r="M553" s="2054"/>
      <c r="N553" s="2054"/>
      <c r="O553" s="2054"/>
      <c r="P553" s="2095"/>
      <c r="Q553" s="2054"/>
      <c r="R553" s="2054"/>
      <c r="S553" s="2054"/>
      <c r="T553" s="2054"/>
      <c r="U553" s="2054"/>
      <c r="V553" s="2054"/>
      <c r="W553" s="2054"/>
      <c r="X553" s="2054"/>
      <c r="Y553" s="2054"/>
      <c r="Z553" s="2054"/>
      <c r="AA553" s="2054"/>
      <c r="AB553" s="2054"/>
      <c r="AC553" s="2054"/>
    </row>
    <row r="554" spans="1:29">
      <c r="A554" s="2054"/>
      <c r="B554" s="2054"/>
      <c r="C554" s="2054"/>
      <c r="D554" s="2054"/>
      <c r="E554" s="2054"/>
      <c r="F554" s="2054"/>
      <c r="G554" s="2054"/>
      <c r="H554" s="2054"/>
      <c r="I554" s="2054"/>
      <c r="J554" s="2054"/>
      <c r="K554" s="2055"/>
      <c r="L554" s="2056"/>
      <c r="M554" s="2054"/>
      <c r="N554" s="2054"/>
      <c r="O554" s="2054"/>
      <c r="P554" s="2095"/>
      <c r="Q554" s="2054"/>
      <c r="R554" s="2054"/>
      <c r="S554" s="2054"/>
      <c r="T554" s="2054"/>
      <c r="U554" s="2054"/>
      <c r="V554" s="2054"/>
      <c r="W554" s="2054"/>
      <c r="X554" s="2054"/>
      <c r="Y554" s="2054"/>
      <c r="Z554" s="2054"/>
      <c r="AA554" s="2054"/>
      <c r="AB554" s="2054"/>
      <c r="AC554" s="2054"/>
    </row>
    <row r="555" spans="1:29">
      <c r="A555" s="2054"/>
      <c r="B555" s="2054"/>
      <c r="C555" s="2054"/>
      <c r="D555" s="2054"/>
      <c r="E555" s="2054"/>
      <c r="F555" s="2054"/>
      <c r="G555" s="2054"/>
      <c r="H555" s="2054"/>
      <c r="I555" s="2054"/>
      <c r="J555" s="2054"/>
      <c r="K555" s="2055"/>
      <c r="L555" s="2056"/>
      <c r="M555" s="2054"/>
      <c r="N555" s="2054"/>
      <c r="O555" s="2054"/>
      <c r="P555" s="2095"/>
      <c r="Q555" s="2054"/>
      <c r="R555" s="2054"/>
      <c r="S555" s="2054"/>
      <c r="T555" s="2054"/>
      <c r="U555" s="2054"/>
      <c r="V555" s="2054"/>
      <c r="W555" s="2054"/>
      <c r="X555" s="2054"/>
      <c r="Y555" s="2054"/>
      <c r="Z555" s="2054"/>
      <c r="AA555" s="2054"/>
      <c r="AB555" s="2054"/>
      <c r="AC555" s="2054"/>
    </row>
    <row r="556" spans="1:29">
      <c r="A556" s="2054"/>
      <c r="B556" s="2054"/>
      <c r="C556" s="2054"/>
      <c r="D556" s="2054"/>
      <c r="E556" s="2054"/>
      <c r="F556" s="2054"/>
      <c r="G556" s="2054"/>
      <c r="H556" s="2054"/>
      <c r="I556" s="2054"/>
      <c r="J556" s="2054"/>
      <c r="K556" s="2055"/>
      <c r="L556" s="2056"/>
      <c r="M556" s="2054"/>
      <c r="N556" s="2054"/>
      <c r="O556" s="2054"/>
      <c r="P556" s="2095"/>
      <c r="Q556" s="2054"/>
      <c r="R556" s="2054"/>
      <c r="S556" s="2054"/>
      <c r="T556" s="2054"/>
      <c r="U556" s="2054"/>
      <c r="V556" s="2054"/>
      <c r="W556" s="2054"/>
      <c r="X556" s="2054"/>
      <c r="Y556" s="2054"/>
      <c r="Z556" s="2054"/>
      <c r="AA556" s="2054"/>
      <c r="AB556" s="2054"/>
      <c r="AC556" s="2054"/>
    </row>
    <row r="557" spans="1:29">
      <c r="A557" s="2054"/>
      <c r="B557" s="2054"/>
      <c r="C557" s="2054"/>
      <c r="D557" s="2054"/>
      <c r="E557" s="2054"/>
      <c r="F557" s="2054"/>
      <c r="G557" s="2054"/>
      <c r="H557" s="2054"/>
      <c r="I557" s="2054"/>
      <c r="J557" s="2054"/>
      <c r="K557" s="2055"/>
      <c r="L557" s="2056"/>
      <c r="M557" s="2054"/>
      <c r="N557" s="2054"/>
      <c r="O557" s="2054"/>
      <c r="P557" s="2095"/>
      <c r="Q557" s="2054"/>
      <c r="R557" s="2054"/>
      <c r="S557" s="2054"/>
      <c r="T557" s="2054"/>
      <c r="U557" s="2054"/>
      <c r="V557" s="2054"/>
      <c r="W557" s="2054"/>
      <c r="X557" s="2054"/>
      <c r="Y557" s="2054"/>
      <c r="Z557" s="2054"/>
      <c r="AA557" s="2054"/>
      <c r="AB557" s="2054"/>
      <c r="AC557" s="2054"/>
    </row>
    <row r="558" spans="1:29">
      <c r="A558" s="2054"/>
      <c r="B558" s="2054"/>
      <c r="C558" s="2054"/>
      <c r="D558" s="2054"/>
      <c r="E558" s="2054"/>
      <c r="F558" s="2054"/>
      <c r="G558" s="2054"/>
      <c r="H558" s="2054"/>
      <c r="I558" s="2054"/>
      <c r="J558" s="2054"/>
      <c r="K558" s="2055"/>
      <c r="L558" s="2056"/>
      <c r="M558" s="2054"/>
      <c r="N558" s="2054"/>
      <c r="O558" s="2054"/>
      <c r="P558" s="2095"/>
      <c r="Q558" s="2054"/>
      <c r="R558" s="2054"/>
      <c r="S558" s="2054"/>
      <c r="T558" s="2054"/>
      <c r="U558" s="2054"/>
      <c r="V558" s="2054"/>
      <c r="W558" s="2054"/>
      <c r="X558" s="2054"/>
      <c r="Y558" s="2054"/>
      <c r="Z558" s="2054"/>
      <c r="AA558" s="2054"/>
      <c r="AB558" s="2054"/>
      <c r="AC558" s="2054"/>
    </row>
    <row r="559" spans="1:29">
      <c r="A559" s="2054"/>
      <c r="B559" s="2054"/>
      <c r="C559" s="2054"/>
      <c r="D559" s="2054"/>
      <c r="E559" s="2054"/>
      <c r="F559" s="2054"/>
      <c r="G559" s="2054"/>
      <c r="H559" s="2054"/>
      <c r="I559" s="2054"/>
      <c r="J559" s="2054"/>
      <c r="K559" s="2055"/>
      <c r="L559" s="2056"/>
      <c r="M559" s="2054"/>
      <c r="N559" s="2054"/>
      <c r="O559" s="2054"/>
      <c r="P559" s="2095"/>
      <c r="Q559" s="2054"/>
      <c r="R559" s="2054"/>
      <c r="S559" s="2054"/>
      <c r="T559" s="2054"/>
      <c r="U559" s="2054"/>
      <c r="V559" s="2054"/>
      <c r="W559" s="2054"/>
      <c r="X559" s="2054"/>
      <c r="Y559" s="2054"/>
      <c r="Z559" s="2054"/>
      <c r="AA559" s="2054"/>
      <c r="AB559" s="2054"/>
      <c r="AC559" s="2054"/>
    </row>
    <row r="560" spans="1:29">
      <c r="A560" s="2054"/>
      <c r="B560" s="2054"/>
      <c r="C560" s="2054"/>
      <c r="D560" s="2054"/>
      <c r="E560" s="2054"/>
      <c r="F560" s="2054"/>
      <c r="G560" s="2054"/>
      <c r="H560" s="2054"/>
      <c r="I560" s="2054"/>
      <c r="J560" s="2054"/>
      <c r="K560" s="2055"/>
      <c r="L560" s="2056"/>
      <c r="M560" s="2054"/>
      <c r="N560" s="2054"/>
      <c r="O560" s="2054"/>
      <c r="P560" s="2095"/>
      <c r="Q560" s="2054"/>
      <c r="R560" s="2054"/>
      <c r="S560" s="2054"/>
      <c r="T560" s="2054"/>
      <c r="U560" s="2054"/>
      <c r="V560" s="2054"/>
      <c r="W560" s="2054"/>
      <c r="X560" s="2054"/>
      <c r="Y560" s="2054"/>
      <c r="Z560" s="2054"/>
      <c r="AA560" s="2054"/>
      <c r="AB560" s="2054"/>
      <c r="AC560" s="2054"/>
    </row>
    <row r="561" spans="1:29">
      <c r="A561" s="2054"/>
      <c r="B561" s="2054"/>
      <c r="C561" s="2054"/>
      <c r="D561" s="2054"/>
      <c r="E561" s="2054"/>
      <c r="F561" s="2054"/>
      <c r="G561" s="2054"/>
      <c r="H561" s="2054"/>
      <c r="I561" s="2054"/>
      <c r="J561" s="2054"/>
      <c r="K561" s="2055"/>
      <c r="L561" s="2056"/>
      <c r="M561" s="2054"/>
      <c r="N561" s="2054"/>
      <c r="O561" s="2054"/>
      <c r="P561" s="2095"/>
      <c r="Q561" s="2054"/>
      <c r="R561" s="2054"/>
      <c r="S561" s="2054"/>
      <c r="T561" s="2054"/>
      <c r="U561" s="2054"/>
      <c r="V561" s="2054"/>
      <c r="W561" s="2054"/>
      <c r="X561" s="2054"/>
      <c r="Y561" s="2054"/>
      <c r="Z561" s="2054"/>
      <c r="AA561" s="2054"/>
      <c r="AB561" s="2054"/>
      <c r="AC561" s="2054"/>
    </row>
    <row r="562" spans="1:29">
      <c r="A562" s="2054"/>
      <c r="B562" s="2054"/>
      <c r="C562" s="2054"/>
      <c r="D562" s="2054"/>
      <c r="E562" s="2054"/>
      <c r="F562" s="2054"/>
      <c r="G562" s="2054"/>
      <c r="H562" s="2054"/>
      <c r="I562" s="2054"/>
      <c r="J562" s="2054"/>
      <c r="K562" s="2055"/>
      <c r="L562" s="2056"/>
      <c r="M562" s="2054"/>
      <c r="N562" s="2054"/>
      <c r="O562" s="2054"/>
      <c r="P562" s="2095"/>
      <c r="Q562" s="2054"/>
      <c r="R562" s="2054"/>
      <c r="S562" s="2054"/>
      <c r="T562" s="2054"/>
      <c r="U562" s="2054"/>
      <c r="V562" s="2054"/>
      <c r="W562" s="2054"/>
      <c r="X562" s="2054"/>
      <c r="Y562" s="2054"/>
      <c r="Z562" s="2054"/>
      <c r="AA562" s="2054"/>
      <c r="AB562" s="2054"/>
      <c r="AC562" s="2054"/>
    </row>
    <row r="563" spans="1:29">
      <c r="A563" s="2054"/>
      <c r="B563" s="2054"/>
      <c r="C563" s="2054"/>
      <c r="D563" s="2054"/>
      <c r="E563" s="2054"/>
      <c r="F563" s="2054"/>
      <c r="G563" s="2054"/>
      <c r="H563" s="2054"/>
      <c r="I563" s="2054"/>
      <c r="J563" s="2054"/>
      <c r="K563" s="2055"/>
      <c r="L563" s="2056"/>
      <c r="M563" s="2054"/>
      <c r="N563" s="2054"/>
      <c r="O563" s="2054"/>
      <c r="P563" s="2095"/>
      <c r="Q563" s="2054"/>
      <c r="R563" s="2054"/>
      <c r="S563" s="2054"/>
      <c r="T563" s="2054"/>
      <c r="U563" s="2054"/>
      <c r="V563" s="2054"/>
      <c r="W563" s="2054"/>
      <c r="X563" s="2054"/>
      <c r="Y563" s="2054"/>
      <c r="Z563" s="2054"/>
      <c r="AA563" s="2054"/>
      <c r="AB563" s="2054"/>
      <c r="AC563" s="2054"/>
    </row>
    <row r="564" spans="1:29">
      <c r="A564" s="2054"/>
      <c r="B564" s="2054"/>
      <c r="C564" s="2054"/>
      <c r="D564" s="2054"/>
      <c r="E564" s="2054"/>
      <c r="F564" s="2054"/>
      <c r="G564" s="2054"/>
      <c r="H564" s="2054"/>
      <c r="I564" s="2054"/>
      <c r="J564" s="2054"/>
      <c r="K564" s="2055"/>
      <c r="L564" s="2056"/>
      <c r="M564" s="2054"/>
      <c r="N564" s="2054"/>
      <c r="O564" s="2054"/>
      <c r="P564" s="2095"/>
      <c r="Q564" s="2054"/>
      <c r="R564" s="2054"/>
      <c r="S564" s="2054"/>
      <c r="T564" s="2054"/>
      <c r="U564" s="2054"/>
      <c r="V564" s="2054"/>
      <c r="W564" s="2054"/>
      <c r="X564" s="2054"/>
      <c r="Y564" s="2054"/>
      <c r="Z564" s="2054"/>
      <c r="AA564" s="2054"/>
      <c r="AB564" s="2054"/>
      <c r="AC564" s="2054"/>
    </row>
    <row r="565" spans="1:29">
      <c r="A565" s="2054"/>
      <c r="B565" s="2054"/>
      <c r="C565" s="2054"/>
      <c r="D565" s="2054"/>
      <c r="E565" s="2054"/>
      <c r="F565" s="2054"/>
      <c r="G565" s="2054"/>
      <c r="H565" s="2054"/>
      <c r="I565" s="2054"/>
      <c r="J565" s="2054"/>
      <c r="K565" s="2055"/>
      <c r="L565" s="2056"/>
      <c r="M565" s="2054"/>
      <c r="N565" s="2054"/>
      <c r="O565" s="2054"/>
      <c r="P565" s="2095"/>
      <c r="Q565" s="2054"/>
      <c r="R565" s="2054"/>
      <c r="S565" s="2054"/>
      <c r="T565" s="2054"/>
      <c r="U565" s="2054"/>
      <c r="V565" s="2054"/>
      <c r="W565" s="2054"/>
      <c r="X565" s="2054"/>
      <c r="Y565" s="2054"/>
      <c r="Z565" s="2054"/>
      <c r="AA565" s="2054"/>
      <c r="AB565" s="2054"/>
      <c r="AC565" s="2054"/>
    </row>
    <row r="566" spans="1:29">
      <c r="A566" s="2054"/>
      <c r="B566" s="2054"/>
      <c r="C566" s="2054"/>
      <c r="D566" s="2054"/>
      <c r="E566" s="2054"/>
      <c r="F566" s="2054"/>
      <c r="G566" s="2054"/>
      <c r="H566" s="2054"/>
      <c r="I566" s="2054"/>
      <c r="J566" s="2054"/>
      <c r="K566" s="2055"/>
      <c r="L566" s="2056"/>
      <c r="M566" s="2054"/>
      <c r="N566" s="2054"/>
      <c r="O566" s="2054"/>
      <c r="P566" s="2095"/>
      <c r="Q566" s="2054"/>
      <c r="R566" s="2054"/>
      <c r="S566" s="2054"/>
      <c r="T566" s="2054"/>
      <c r="U566" s="2054"/>
      <c r="V566" s="2054"/>
      <c r="W566" s="2054"/>
      <c r="X566" s="2054"/>
      <c r="Y566" s="2054"/>
      <c r="Z566" s="2054"/>
      <c r="AA566" s="2054"/>
      <c r="AB566" s="2054"/>
      <c r="AC566" s="2054"/>
    </row>
    <row r="567" spans="1:29">
      <c r="A567" s="2054"/>
      <c r="B567" s="2054"/>
      <c r="C567" s="2054"/>
      <c r="D567" s="2054"/>
      <c r="E567" s="2054"/>
      <c r="F567" s="2054"/>
      <c r="G567" s="2054"/>
      <c r="H567" s="2054"/>
      <c r="I567" s="2054"/>
      <c r="J567" s="2054"/>
      <c r="K567" s="2055"/>
      <c r="L567" s="2056"/>
      <c r="M567" s="2054"/>
      <c r="N567" s="2054"/>
      <c r="O567" s="2054"/>
      <c r="P567" s="2095"/>
      <c r="Q567" s="2054"/>
      <c r="R567" s="2054"/>
      <c r="S567" s="2054"/>
      <c r="T567" s="2054"/>
      <c r="U567" s="2054"/>
      <c r="V567" s="2054"/>
      <c r="W567" s="2054"/>
      <c r="X567" s="2054"/>
      <c r="Y567" s="2054"/>
      <c r="Z567" s="2054"/>
      <c r="AA567" s="2054"/>
      <c r="AB567" s="2054"/>
      <c r="AC567" s="2054"/>
    </row>
    <row r="568" spans="1:29">
      <c r="A568" s="2054"/>
      <c r="B568" s="2054"/>
      <c r="C568" s="2054"/>
      <c r="D568" s="2054"/>
      <c r="E568" s="2054"/>
      <c r="F568" s="2054"/>
      <c r="G568" s="2054"/>
      <c r="H568" s="2054"/>
      <c r="I568" s="2054"/>
      <c r="J568" s="2054"/>
      <c r="K568" s="2055"/>
      <c r="L568" s="2056"/>
      <c r="M568" s="2054"/>
      <c r="N568" s="2054"/>
      <c r="O568" s="2054"/>
      <c r="P568" s="2095"/>
      <c r="Q568" s="2054"/>
      <c r="R568" s="2054"/>
      <c r="S568" s="2054"/>
      <c r="T568" s="2054"/>
      <c r="U568" s="2054"/>
      <c r="V568" s="2054"/>
      <c r="W568" s="2054"/>
      <c r="X568" s="2054"/>
      <c r="Y568" s="2054"/>
      <c r="Z568" s="2054"/>
      <c r="AA568" s="2054"/>
      <c r="AB568" s="2054"/>
      <c r="AC568" s="2054"/>
    </row>
    <row r="569" spans="1:29">
      <c r="A569" s="2054"/>
      <c r="B569" s="2054"/>
      <c r="C569" s="2054"/>
      <c r="D569" s="2054"/>
      <c r="E569" s="2054"/>
      <c r="F569" s="2054"/>
      <c r="G569" s="2054"/>
      <c r="H569" s="2054"/>
      <c r="I569" s="2054"/>
      <c r="J569" s="2054"/>
      <c r="K569" s="2055"/>
      <c r="L569" s="2056"/>
      <c r="M569" s="2054"/>
      <c r="N569" s="2054"/>
      <c r="O569" s="2054"/>
      <c r="P569" s="2095"/>
      <c r="Q569" s="2054"/>
      <c r="R569" s="2054"/>
      <c r="S569" s="2054"/>
      <c r="T569" s="2054"/>
      <c r="U569" s="2054"/>
      <c r="V569" s="2054"/>
      <c r="W569" s="2054"/>
      <c r="X569" s="2054"/>
      <c r="Y569" s="2054"/>
      <c r="Z569" s="2054"/>
      <c r="AA569" s="2054"/>
      <c r="AB569" s="2054"/>
      <c r="AC569" s="2054"/>
    </row>
    <row r="570" spans="1:29">
      <c r="A570" s="2054"/>
      <c r="B570" s="2054"/>
      <c r="C570" s="2054"/>
      <c r="D570" s="2054"/>
      <c r="E570" s="2054"/>
      <c r="F570" s="2054"/>
      <c r="G570" s="2054"/>
      <c r="H570" s="2054"/>
      <c r="I570" s="2054"/>
      <c r="J570" s="2054"/>
      <c r="K570" s="2055"/>
      <c r="L570" s="2056"/>
      <c r="M570" s="2054"/>
      <c r="N570" s="2054"/>
      <c r="O570" s="2054"/>
      <c r="P570" s="2095"/>
      <c r="Q570" s="2054"/>
      <c r="R570" s="2054"/>
      <c r="S570" s="2054"/>
      <c r="T570" s="2054"/>
      <c r="U570" s="2054"/>
      <c r="V570" s="2054"/>
      <c r="W570" s="2054"/>
      <c r="X570" s="2054"/>
      <c r="Y570" s="2054"/>
      <c r="Z570" s="2054"/>
      <c r="AA570" s="2054"/>
      <c r="AB570" s="2054"/>
      <c r="AC570" s="2054"/>
    </row>
    <row r="571" spans="1:29">
      <c r="A571" s="2054"/>
      <c r="B571" s="2054"/>
      <c r="C571" s="2054"/>
      <c r="D571" s="2054"/>
      <c r="E571" s="2054"/>
      <c r="F571" s="2054"/>
      <c r="G571" s="2054"/>
      <c r="H571" s="2054"/>
      <c r="I571" s="2054"/>
      <c r="J571" s="2054"/>
      <c r="K571" s="2055"/>
      <c r="L571" s="2056"/>
      <c r="M571" s="2054"/>
      <c r="N571" s="2054"/>
      <c r="O571" s="2054"/>
      <c r="P571" s="2095"/>
      <c r="Q571" s="2054"/>
      <c r="R571" s="2054"/>
      <c r="S571" s="2054"/>
      <c r="T571" s="2054"/>
      <c r="U571" s="2054"/>
      <c r="V571" s="2054"/>
      <c r="W571" s="2054"/>
      <c r="X571" s="2054"/>
      <c r="Y571" s="2054"/>
      <c r="Z571" s="2054"/>
      <c r="AA571" s="2054"/>
      <c r="AB571" s="2054"/>
      <c r="AC571" s="2054"/>
    </row>
    <row r="572" spans="1:29">
      <c r="A572" s="2054"/>
      <c r="B572" s="2054"/>
      <c r="C572" s="2054"/>
      <c r="D572" s="2054"/>
      <c r="E572" s="2054"/>
      <c r="F572" s="2054"/>
      <c r="G572" s="2054"/>
      <c r="H572" s="2054"/>
      <c r="I572" s="2054"/>
      <c r="J572" s="2054"/>
      <c r="K572" s="2055"/>
      <c r="L572" s="2056"/>
      <c r="M572" s="2054"/>
      <c r="N572" s="2054"/>
      <c r="O572" s="2054"/>
      <c r="P572" s="2095"/>
      <c r="Q572" s="2054"/>
      <c r="R572" s="2054"/>
      <c r="S572" s="2054"/>
      <c r="T572" s="2054"/>
      <c r="U572" s="2054"/>
      <c r="V572" s="2054"/>
      <c r="W572" s="2054"/>
      <c r="X572" s="2054"/>
      <c r="Y572" s="2054"/>
      <c r="Z572" s="2054"/>
      <c r="AA572" s="2054"/>
      <c r="AB572" s="2054"/>
      <c r="AC572" s="2054"/>
    </row>
    <row r="573" spans="1:29">
      <c r="A573" s="2054"/>
      <c r="B573" s="2054"/>
      <c r="C573" s="2054"/>
      <c r="D573" s="2054"/>
      <c r="E573" s="2054"/>
      <c r="F573" s="2054"/>
      <c r="G573" s="2054"/>
      <c r="H573" s="2054"/>
      <c r="I573" s="2054"/>
      <c r="J573" s="2054"/>
      <c r="K573" s="2055"/>
      <c r="L573" s="2056"/>
      <c r="M573" s="2054"/>
      <c r="N573" s="2054"/>
      <c r="O573" s="2054"/>
      <c r="P573" s="2095"/>
      <c r="Q573" s="2054"/>
      <c r="R573" s="2054"/>
      <c r="S573" s="2054"/>
      <c r="T573" s="2054"/>
      <c r="U573" s="2054"/>
      <c r="V573" s="2054"/>
      <c r="W573" s="2054"/>
      <c r="X573" s="2054"/>
      <c r="Y573" s="2054"/>
      <c r="Z573" s="2054"/>
      <c r="AA573" s="2054"/>
      <c r="AB573" s="2054"/>
      <c r="AC573" s="2054"/>
    </row>
    <row r="574" spans="1:29">
      <c r="A574" s="2054"/>
      <c r="B574" s="2054"/>
      <c r="C574" s="2054"/>
      <c r="D574" s="2054"/>
      <c r="E574" s="2054"/>
      <c r="F574" s="2054"/>
      <c r="G574" s="2054"/>
      <c r="H574" s="2054"/>
      <c r="I574" s="2054"/>
      <c r="J574" s="2054"/>
      <c r="K574" s="2055"/>
      <c r="L574" s="2056"/>
      <c r="M574" s="2054"/>
      <c r="N574" s="2054"/>
      <c r="O574" s="2054"/>
      <c r="P574" s="2095"/>
      <c r="Q574" s="2054"/>
      <c r="R574" s="2054"/>
      <c r="S574" s="2054"/>
      <c r="T574" s="2054"/>
      <c r="U574" s="2054"/>
      <c r="V574" s="2054"/>
      <c r="W574" s="2054"/>
      <c r="X574" s="2054"/>
      <c r="Y574" s="2054"/>
      <c r="Z574" s="2054"/>
      <c r="AA574" s="2054"/>
      <c r="AB574" s="2054"/>
      <c r="AC574" s="2054"/>
    </row>
    <row r="575" spans="1:29">
      <c r="A575" s="2054"/>
      <c r="B575" s="2054"/>
      <c r="C575" s="2054"/>
      <c r="D575" s="2054"/>
      <c r="E575" s="2054"/>
      <c r="F575" s="2054"/>
      <c r="G575" s="2054"/>
      <c r="H575" s="2054"/>
      <c r="I575" s="2054"/>
      <c r="J575" s="2054"/>
      <c r="K575" s="2055"/>
      <c r="L575" s="2056"/>
      <c r="M575" s="2054"/>
      <c r="N575" s="2054"/>
      <c r="O575" s="2054"/>
      <c r="P575" s="2095"/>
      <c r="Q575" s="2054"/>
      <c r="R575" s="2054"/>
      <c r="S575" s="2054"/>
      <c r="T575" s="2054"/>
      <c r="U575" s="2054"/>
      <c r="V575" s="2054"/>
      <c r="W575" s="2054"/>
      <c r="X575" s="2054"/>
      <c r="Y575" s="2054"/>
      <c r="Z575" s="2054"/>
      <c r="AA575" s="2054"/>
      <c r="AB575" s="2054"/>
      <c r="AC575" s="2054"/>
    </row>
    <row r="576" spans="1:29">
      <c r="A576" s="2054"/>
      <c r="B576" s="2054"/>
      <c r="C576" s="2054"/>
      <c r="D576" s="2054"/>
      <c r="E576" s="2054"/>
      <c r="F576" s="2054"/>
      <c r="G576" s="2054"/>
      <c r="H576" s="2054"/>
      <c r="I576" s="2054"/>
      <c r="J576" s="2054"/>
      <c r="K576" s="2055"/>
      <c r="L576" s="2056"/>
      <c r="M576" s="2054"/>
      <c r="N576" s="2054"/>
      <c r="O576" s="2054"/>
      <c r="P576" s="2095"/>
      <c r="Q576" s="2054"/>
      <c r="R576" s="2054"/>
      <c r="S576" s="2054"/>
      <c r="T576" s="2054"/>
      <c r="U576" s="2054"/>
      <c r="V576" s="2054"/>
      <c r="W576" s="2054"/>
      <c r="X576" s="2054"/>
      <c r="Y576" s="2054"/>
      <c r="Z576" s="2054"/>
      <c r="AA576" s="2054"/>
      <c r="AB576" s="2054"/>
      <c r="AC576" s="2054"/>
    </row>
    <row r="577" spans="1:29">
      <c r="A577" s="2054"/>
      <c r="B577" s="2054"/>
      <c r="C577" s="2054"/>
      <c r="D577" s="2054"/>
      <c r="E577" s="2054"/>
      <c r="F577" s="2054"/>
      <c r="G577" s="2054"/>
      <c r="H577" s="2054"/>
      <c r="I577" s="2054"/>
      <c r="J577" s="2054"/>
      <c r="K577" s="2055"/>
      <c r="L577" s="2056"/>
      <c r="M577" s="2054"/>
      <c r="N577" s="2054"/>
      <c r="O577" s="2054"/>
      <c r="P577" s="2095"/>
      <c r="Q577" s="2054"/>
      <c r="R577" s="2054"/>
      <c r="S577" s="2054"/>
      <c r="T577" s="2054"/>
      <c r="U577" s="2054"/>
      <c r="V577" s="2054"/>
      <c r="W577" s="2054"/>
      <c r="X577" s="2054"/>
      <c r="Y577" s="2054"/>
      <c r="Z577" s="2054"/>
      <c r="AA577" s="2054"/>
      <c r="AB577" s="2054"/>
      <c r="AC577" s="2054"/>
    </row>
    <row r="578" spans="1:29">
      <c r="A578" s="2054"/>
      <c r="B578" s="2054"/>
      <c r="C578" s="2054"/>
      <c r="D578" s="2054"/>
      <c r="E578" s="2054"/>
      <c r="F578" s="2054"/>
      <c r="G578" s="2054"/>
      <c r="H578" s="2054"/>
      <c r="I578" s="2054"/>
      <c r="J578" s="2054"/>
      <c r="K578" s="2055"/>
      <c r="L578" s="2056"/>
      <c r="M578" s="2054"/>
      <c r="N578" s="2054"/>
      <c r="O578" s="2054"/>
      <c r="P578" s="2095"/>
      <c r="Q578" s="2054"/>
      <c r="R578" s="2054"/>
      <c r="S578" s="2054"/>
      <c r="T578" s="2054"/>
      <c r="U578" s="2054"/>
      <c r="V578" s="2054"/>
      <c r="W578" s="2054"/>
      <c r="X578" s="2054"/>
      <c r="Y578" s="2054"/>
      <c r="Z578" s="2054"/>
      <c r="AA578" s="2054"/>
      <c r="AB578" s="2054"/>
      <c r="AC578" s="2054"/>
    </row>
    <row r="579" spans="1:29">
      <c r="A579" s="2054"/>
      <c r="B579" s="2054"/>
      <c r="C579" s="2054"/>
      <c r="D579" s="2054"/>
      <c r="E579" s="2054"/>
      <c r="F579" s="2054"/>
      <c r="G579" s="2054"/>
      <c r="H579" s="2054"/>
      <c r="I579" s="2054"/>
      <c r="J579" s="2054"/>
      <c r="K579" s="2055"/>
      <c r="L579" s="2056"/>
      <c r="M579" s="2054"/>
      <c r="N579" s="2054"/>
      <c r="O579" s="2054"/>
      <c r="P579" s="2095"/>
      <c r="Q579" s="2054"/>
      <c r="R579" s="2054"/>
      <c r="S579" s="2054"/>
      <c r="T579" s="2054"/>
      <c r="U579" s="2054"/>
      <c r="V579" s="2054"/>
      <c r="W579" s="2054"/>
      <c r="X579" s="2054"/>
      <c r="Y579" s="2054"/>
      <c r="Z579" s="2054"/>
      <c r="AA579" s="2054"/>
      <c r="AB579" s="2054"/>
      <c r="AC579" s="2054"/>
    </row>
    <row r="580" spans="1:29">
      <c r="A580" s="2054"/>
      <c r="B580" s="2054"/>
      <c r="C580" s="2054"/>
      <c r="D580" s="2054"/>
      <c r="E580" s="2054"/>
      <c r="F580" s="2054"/>
      <c r="G580" s="2054"/>
      <c r="H580" s="2054"/>
      <c r="I580" s="2054"/>
      <c r="J580" s="2054"/>
      <c r="K580" s="2055"/>
      <c r="L580" s="2056"/>
      <c r="M580" s="2054"/>
      <c r="N580" s="2054"/>
      <c r="O580" s="2054"/>
      <c r="P580" s="2095"/>
      <c r="Q580" s="2054"/>
      <c r="R580" s="2054"/>
      <c r="S580" s="2054"/>
      <c r="T580" s="2054"/>
      <c r="U580" s="2054"/>
      <c r="V580" s="2054"/>
      <c r="W580" s="2054"/>
      <c r="X580" s="2054"/>
      <c r="Y580" s="2054"/>
      <c r="Z580" s="2054"/>
      <c r="AA580" s="2054"/>
      <c r="AB580" s="2054"/>
      <c r="AC580" s="2054"/>
    </row>
    <row r="581" spans="1:29">
      <c r="A581" s="2054"/>
      <c r="B581" s="2054"/>
      <c r="C581" s="2054"/>
      <c r="D581" s="2054"/>
      <c r="E581" s="2054"/>
      <c r="F581" s="2054"/>
      <c r="G581" s="2054"/>
      <c r="H581" s="2054"/>
      <c r="I581" s="2054"/>
      <c r="J581" s="2054"/>
      <c r="K581" s="2055"/>
      <c r="L581" s="2056"/>
      <c r="M581" s="2054"/>
      <c r="N581" s="2054"/>
      <c r="O581" s="2054"/>
      <c r="P581" s="2095"/>
      <c r="Q581" s="2054"/>
      <c r="R581" s="2054"/>
      <c r="S581" s="2054"/>
      <c r="T581" s="2054"/>
      <c r="U581" s="2054"/>
      <c r="V581" s="2054"/>
      <c r="W581" s="2054"/>
      <c r="X581" s="2054"/>
      <c r="Y581" s="2054"/>
      <c r="Z581" s="2054"/>
      <c r="AA581" s="2054"/>
      <c r="AB581" s="2054"/>
      <c r="AC581" s="2054"/>
    </row>
    <row r="582" spans="1:29">
      <c r="A582" s="2054"/>
      <c r="B582" s="2054"/>
      <c r="C582" s="2054"/>
      <c r="D582" s="2054"/>
      <c r="E582" s="2054"/>
      <c r="F582" s="2054"/>
      <c r="G582" s="2054"/>
      <c r="H582" s="2054"/>
      <c r="I582" s="2054"/>
      <c r="J582" s="2054"/>
      <c r="K582" s="2055"/>
      <c r="L582" s="2056"/>
      <c r="M582" s="2054"/>
      <c r="N582" s="2054"/>
      <c r="O582" s="2054"/>
      <c r="P582" s="2095"/>
      <c r="Q582" s="2054"/>
      <c r="R582" s="2054"/>
      <c r="S582" s="2054"/>
      <c r="T582" s="2054"/>
      <c r="U582" s="2054"/>
      <c r="V582" s="2054"/>
      <c r="W582" s="2054"/>
      <c r="X582" s="2054"/>
      <c r="Y582" s="2054"/>
      <c r="Z582" s="2054"/>
      <c r="AA582" s="2054"/>
      <c r="AB582" s="2054"/>
      <c r="AC582" s="2054"/>
    </row>
    <row r="583" spans="1:29">
      <c r="A583" s="2054"/>
      <c r="B583" s="2054"/>
      <c r="C583" s="2054"/>
      <c r="D583" s="2054"/>
      <c r="E583" s="2054"/>
      <c r="F583" s="2054"/>
      <c r="G583" s="2054"/>
      <c r="H583" s="2054"/>
      <c r="I583" s="2054"/>
      <c r="J583" s="2054"/>
      <c r="K583" s="2055"/>
      <c r="L583" s="2056"/>
      <c r="M583" s="2054"/>
      <c r="N583" s="2054"/>
      <c r="O583" s="2054"/>
      <c r="P583" s="2095"/>
      <c r="Q583" s="2054"/>
      <c r="R583" s="2054"/>
      <c r="S583" s="2054"/>
      <c r="T583" s="2054"/>
      <c r="U583" s="2054"/>
      <c r="V583" s="2054"/>
      <c r="W583" s="2054"/>
      <c r="X583" s="2054"/>
      <c r="Y583" s="2054"/>
      <c r="Z583" s="2054"/>
      <c r="AA583" s="2054"/>
      <c r="AB583" s="2054"/>
      <c r="AC583" s="2054"/>
    </row>
    <row r="584" spans="1:29">
      <c r="A584" s="2054"/>
      <c r="B584" s="2054"/>
      <c r="C584" s="2054"/>
      <c r="D584" s="2054"/>
      <c r="E584" s="2054"/>
      <c r="F584" s="2054"/>
      <c r="G584" s="2054"/>
      <c r="H584" s="2054"/>
      <c r="I584" s="2054"/>
      <c r="J584" s="2054"/>
      <c r="K584" s="2055"/>
      <c r="L584" s="2056"/>
      <c r="M584" s="2054"/>
      <c r="N584" s="2054"/>
      <c r="O584" s="2054"/>
      <c r="P584" s="2095"/>
      <c r="Q584" s="2054"/>
      <c r="R584" s="2054"/>
      <c r="S584" s="2054"/>
      <c r="T584" s="2054"/>
      <c r="U584" s="2054"/>
      <c r="V584" s="2054"/>
      <c r="W584" s="2054"/>
      <c r="X584" s="2054"/>
      <c r="Y584" s="2054"/>
      <c r="Z584" s="2054"/>
      <c r="AA584" s="2054"/>
      <c r="AB584" s="2054"/>
      <c r="AC584" s="2054"/>
    </row>
    <row r="585" spans="1:29">
      <c r="A585" s="2054"/>
      <c r="B585" s="2054"/>
      <c r="C585" s="2054"/>
      <c r="D585" s="2054"/>
      <c r="E585" s="2054"/>
      <c r="F585" s="2054"/>
      <c r="G585" s="2054"/>
      <c r="H585" s="2054"/>
      <c r="I585" s="2054"/>
      <c r="J585" s="2054"/>
      <c r="K585" s="2055"/>
      <c r="L585" s="2056"/>
      <c r="M585" s="2054"/>
      <c r="N585" s="2054"/>
      <c r="O585" s="2054"/>
      <c r="P585" s="2095"/>
      <c r="Q585" s="2054"/>
      <c r="R585" s="2054"/>
      <c r="S585" s="2054"/>
      <c r="T585" s="2054"/>
      <c r="U585" s="2054"/>
      <c r="V585" s="2054"/>
      <c r="W585" s="2054"/>
      <c r="X585" s="2054"/>
      <c r="Y585" s="2054"/>
      <c r="Z585" s="2054"/>
      <c r="AA585" s="2054"/>
      <c r="AB585" s="2054"/>
      <c r="AC585" s="2054"/>
    </row>
    <row r="586" spans="1:29">
      <c r="A586" s="2054"/>
      <c r="B586" s="2054"/>
      <c r="C586" s="2054"/>
      <c r="D586" s="2054"/>
      <c r="E586" s="2054"/>
      <c r="F586" s="2054"/>
      <c r="G586" s="2054"/>
      <c r="H586" s="2054"/>
      <c r="I586" s="2054"/>
      <c r="J586" s="2054"/>
      <c r="K586" s="2055"/>
      <c r="L586" s="2056"/>
      <c r="M586" s="2054"/>
      <c r="N586" s="2054"/>
      <c r="O586" s="2054"/>
      <c r="P586" s="2095"/>
      <c r="Q586" s="2054"/>
      <c r="R586" s="2054"/>
      <c r="S586" s="2054"/>
      <c r="T586" s="2054"/>
      <c r="U586" s="2054"/>
      <c r="V586" s="2054"/>
      <c r="W586" s="2054"/>
      <c r="X586" s="2054"/>
      <c r="Y586" s="2054"/>
      <c r="Z586" s="2054"/>
      <c r="AA586" s="2054"/>
      <c r="AB586" s="2054"/>
      <c r="AC586" s="2054"/>
    </row>
    <row r="587" spans="1:29">
      <c r="A587" s="2054"/>
      <c r="B587" s="2054"/>
      <c r="C587" s="2054"/>
      <c r="D587" s="2054"/>
      <c r="E587" s="2054"/>
      <c r="F587" s="2054"/>
      <c r="G587" s="2054"/>
      <c r="H587" s="2054"/>
      <c r="I587" s="2054"/>
      <c r="J587" s="2054"/>
      <c r="K587" s="2055"/>
      <c r="L587" s="2056"/>
      <c r="M587" s="2054"/>
      <c r="N587" s="2054"/>
      <c r="O587" s="2054"/>
      <c r="P587" s="2095"/>
      <c r="Q587" s="2054"/>
      <c r="R587" s="2054"/>
      <c r="S587" s="2054"/>
      <c r="T587" s="2054"/>
      <c r="U587" s="2054"/>
      <c r="V587" s="2054"/>
      <c r="W587" s="2054"/>
      <c r="X587" s="2054"/>
      <c r="Y587" s="2054"/>
      <c r="Z587" s="2054"/>
      <c r="AA587" s="2054"/>
      <c r="AB587" s="2054"/>
      <c r="AC587" s="2054"/>
    </row>
    <row r="588" spans="1:29">
      <c r="A588" s="2054"/>
      <c r="B588" s="2054"/>
      <c r="C588" s="2054"/>
      <c r="D588" s="2054"/>
      <c r="E588" s="2054"/>
      <c r="F588" s="2054"/>
      <c r="G588" s="2054"/>
      <c r="H588" s="2054"/>
      <c r="I588" s="2054"/>
      <c r="J588" s="2054"/>
      <c r="K588" s="2055"/>
      <c r="L588" s="2056"/>
      <c r="M588" s="2054"/>
      <c r="N588" s="2054"/>
      <c r="O588" s="2054"/>
      <c r="P588" s="2095"/>
      <c r="Q588" s="2054"/>
      <c r="R588" s="2054"/>
      <c r="S588" s="2054"/>
      <c r="T588" s="2054"/>
      <c r="U588" s="2054"/>
      <c r="V588" s="2054"/>
      <c r="W588" s="2054"/>
      <c r="X588" s="2054"/>
      <c r="Y588" s="2054"/>
      <c r="Z588" s="2054"/>
      <c r="AA588" s="2054"/>
      <c r="AB588" s="2054"/>
      <c r="AC588" s="2054"/>
    </row>
    <row r="589" spans="1:29">
      <c r="A589" s="2054"/>
      <c r="B589" s="2054"/>
      <c r="C589" s="2054"/>
      <c r="D589" s="2054"/>
      <c r="E589" s="2054"/>
      <c r="F589" s="2054"/>
      <c r="G589" s="2054"/>
      <c r="H589" s="2054"/>
      <c r="I589" s="2054"/>
      <c r="J589" s="2054"/>
      <c r="K589" s="2055"/>
      <c r="L589" s="2056"/>
      <c r="M589" s="2054"/>
      <c r="N589" s="2054"/>
      <c r="O589" s="2054"/>
      <c r="P589" s="2095"/>
      <c r="Q589" s="2054"/>
      <c r="R589" s="2054"/>
      <c r="S589" s="2054"/>
      <c r="T589" s="2054"/>
      <c r="U589" s="2054"/>
      <c r="V589" s="2054"/>
      <c r="W589" s="2054"/>
      <c r="X589" s="2054"/>
      <c r="Y589" s="2054"/>
      <c r="Z589" s="2054"/>
      <c r="AA589" s="2054"/>
      <c r="AB589" s="2054"/>
      <c r="AC589" s="2054"/>
    </row>
    <row r="590" spans="1:29">
      <c r="A590" s="2054"/>
      <c r="B590" s="2054"/>
      <c r="C590" s="2054"/>
      <c r="D590" s="2054"/>
      <c r="E590" s="2054"/>
      <c r="F590" s="2054"/>
      <c r="G590" s="2054"/>
      <c r="H590" s="2054"/>
      <c r="I590" s="2054"/>
      <c r="J590" s="2054"/>
      <c r="K590" s="2055"/>
      <c r="L590" s="2056"/>
      <c r="M590" s="2054"/>
      <c r="N590" s="2054"/>
      <c r="O590" s="2054"/>
      <c r="P590" s="2095"/>
      <c r="Q590" s="2054"/>
      <c r="R590" s="2054"/>
      <c r="S590" s="2054"/>
      <c r="T590" s="2054"/>
      <c r="U590" s="2054"/>
      <c r="V590" s="2054"/>
      <c r="W590" s="2054"/>
      <c r="X590" s="2054"/>
      <c r="Y590" s="2054"/>
      <c r="Z590" s="2054"/>
      <c r="AA590" s="2054"/>
      <c r="AB590" s="2054"/>
      <c r="AC590" s="2054"/>
    </row>
    <row r="591" spans="1:29">
      <c r="A591" s="2054"/>
      <c r="B591" s="2054"/>
      <c r="C591" s="2054"/>
      <c r="D591" s="2054"/>
      <c r="E591" s="2054"/>
      <c r="F591" s="2054"/>
      <c r="G591" s="2054"/>
      <c r="H591" s="2054"/>
      <c r="I591" s="2054"/>
      <c r="J591" s="2054"/>
      <c r="K591" s="2055"/>
      <c r="L591" s="2056"/>
      <c r="M591" s="2054"/>
      <c r="N591" s="2054"/>
      <c r="O591" s="2054"/>
      <c r="P591" s="2095"/>
      <c r="Q591" s="2054"/>
      <c r="R591" s="2054"/>
      <c r="S591" s="2054"/>
      <c r="T591" s="2054"/>
      <c r="U591" s="2054"/>
      <c r="V591" s="2054"/>
      <c r="W591" s="2054"/>
      <c r="X591" s="2054"/>
      <c r="Y591" s="2054"/>
      <c r="Z591" s="2054"/>
      <c r="AA591" s="2054"/>
      <c r="AB591" s="2054"/>
      <c r="AC591" s="2054"/>
    </row>
    <row r="592" spans="1:29">
      <c r="A592" s="2054"/>
      <c r="B592" s="2054"/>
      <c r="C592" s="2054"/>
      <c r="D592" s="2054"/>
      <c r="E592" s="2054"/>
      <c r="F592" s="2054"/>
      <c r="G592" s="2054"/>
      <c r="H592" s="2054"/>
      <c r="I592" s="2054"/>
      <c r="J592" s="2054"/>
      <c r="K592" s="2055"/>
      <c r="L592" s="2056"/>
      <c r="M592" s="2054"/>
      <c r="N592" s="2054"/>
      <c r="O592" s="2054"/>
      <c r="P592" s="2095"/>
      <c r="Q592" s="2054"/>
      <c r="R592" s="2054"/>
      <c r="S592" s="2054"/>
      <c r="T592" s="2054"/>
      <c r="U592" s="2054"/>
      <c r="V592" s="2054"/>
      <c r="W592" s="2054"/>
      <c r="X592" s="2054"/>
      <c r="Y592" s="2054"/>
      <c r="Z592" s="2054"/>
      <c r="AA592" s="2054"/>
      <c r="AB592" s="2054"/>
      <c r="AC592" s="2054"/>
    </row>
    <row r="593" spans="1:29">
      <c r="A593" s="2054"/>
      <c r="B593" s="2054"/>
      <c r="C593" s="2054"/>
      <c r="D593" s="2054"/>
      <c r="E593" s="2054"/>
      <c r="F593" s="2054"/>
      <c r="G593" s="2054"/>
      <c r="H593" s="2054"/>
      <c r="I593" s="2054"/>
      <c r="J593" s="2054"/>
      <c r="K593" s="2055"/>
      <c r="L593" s="2056"/>
      <c r="M593" s="2054"/>
      <c r="N593" s="2054"/>
      <c r="O593" s="2054"/>
      <c r="P593" s="2095"/>
      <c r="Q593" s="2054"/>
      <c r="R593" s="2054"/>
      <c r="S593" s="2054"/>
      <c r="T593" s="2054"/>
      <c r="U593" s="2054"/>
      <c r="V593" s="2054"/>
      <c r="W593" s="2054"/>
      <c r="X593" s="2054"/>
      <c r="Y593" s="2054"/>
      <c r="Z593" s="2054"/>
      <c r="AA593" s="2054"/>
      <c r="AB593" s="2054"/>
      <c r="AC593" s="2054"/>
    </row>
    <row r="594" spans="1:29">
      <c r="A594" s="2054"/>
      <c r="B594" s="2054"/>
      <c r="C594" s="2054"/>
      <c r="D594" s="2054"/>
      <c r="E594" s="2054"/>
      <c r="F594" s="2054"/>
      <c r="G594" s="2054"/>
      <c r="H594" s="2054"/>
      <c r="I594" s="2054"/>
      <c r="J594" s="2054"/>
      <c r="K594" s="2055"/>
      <c r="L594" s="2056"/>
      <c r="M594" s="2054"/>
      <c r="N594" s="2054"/>
      <c r="O594" s="2054"/>
      <c r="P594" s="2095"/>
      <c r="Q594" s="2054"/>
      <c r="R594" s="2054"/>
      <c r="S594" s="2054"/>
      <c r="T594" s="2054"/>
      <c r="U594" s="2054"/>
      <c r="V594" s="2054"/>
      <c r="W594" s="2054"/>
      <c r="X594" s="2054"/>
      <c r="Y594" s="2054"/>
      <c r="Z594" s="2054"/>
      <c r="AA594" s="2054"/>
      <c r="AB594" s="2054"/>
      <c r="AC594" s="2054"/>
    </row>
    <row r="595" spans="1:29">
      <c r="A595" s="2054"/>
      <c r="B595" s="2054"/>
      <c r="C595" s="2054"/>
      <c r="D595" s="2054"/>
      <c r="E595" s="2054"/>
      <c r="F595" s="2054"/>
      <c r="G595" s="2054"/>
      <c r="H595" s="2054"/>
      <c r="I595" s="2054"/>
      <c r="J595" s="2054"/>
      <c r="K595" s="2055"/>
      <c r="L595" s="2056"/>
      <c r="M595" s="2054"/>
      <c r="N595" s="2054"/>
      <c r="O595" s="2054"/>
      <c r="P595" s="2095"/>
      <c r="Q595" s="2054"/>
      <c r="R595" s="2054"/>
      <c r="S595" s="2054"/>
      <c r="T595" s="2054"/>
      <c r="U595" s="2054"/>
      <c r="V595" s="2054"/>
      <c r="W595" s="2054"/>
      <c r="X595" s="2054"/>
      <c r="Y595" s="2054"/>
      <c r="Z595" s="2054"/>
      <c r="AA595" s="2054"/>
      <c r="AB595" s="2054"/>
      <c r="AC595" s="2054"/>
    </row>
    <row r="596" spans="1:29">
      <c r="A596" s="2054"/>
      <c r="B596" s="2054"/>
      <c r="C596" s="2054"/>
      <c r="D596" s="2054"/>
      <c r="E596" s="2054"/>
      <c r="F596" s="2054"/>
      <c r="G596" s="2054"/>
      <c r="H596" s="2054"/>
      <c r="I596" s="2054"/>
      <c r="J596" s="2054"/>
      <c r="K596" s="2055"/>
      <c r="L596" s="2056"/>
      <c r="M596" s="2054"/>
      <c r="N596" s="2054"/>
      <c r="O596" s="2054"/>
      <c r="P596" s="2095"/>
      <c r="Q596" s="2054"/>
      <c r="R596" s="2054"/>
      <c r="S596" s="2054"/>
      <c r="T596" s="2054"/>
      <c r="U596" s="2054"/>
      <c r="V596" s="2054"/>
      <c r="W596" s="2054"/>
      <c r="X596" s="2054"/>
      <c r="Y596" s="2054"/>
      <c r="Z596" s="2054"/>
      <c r="AA596" s="2054"/>
      <c r="AB596" s="2054"/>
      <c r="AC596" s="2054"/>
    </row>
    <row r="597" spans="1:29">
      <c r="A597" s="2054"/>
      <c r="B597" s="2054"/>
      <c r="C597" s="2054"/>
      <c r="D597" s="2054"/>
      <c r="E597" s="2054"/>
      <c r="F597" s="2054"/>
      <c r="G597" s="2054"/>
      <c r="H597" s="2054"/>
      <c r="I597" s="2054"/>
      <c r="J597" s="2054"/>
      <c r="K597" s="2055"/>
      <c r="L597" s="2056"/>
      <c r="M597" s="2054"/>
      <c r="N597" s="2054"/>
      <c r="O597" s="2054"/>
      <c r="P597" s="2095"/>
      <c r="Q597" s="2054"/>
      <c r="R597" s="2054"/>
      <c r="S597" s="2054"/>
      <c r="T597" s="2054"/>
      <c r="U597" s="2054"/>
      <c r="V597" s="2054"/>
      <c r="W597" s="2054"/>
      <c r="X597" s="2054"/>
      <c r="Y597" s="2054"/>
      <c r="Z597" s="2054"/>
      <c r="AA597" s="2054"/>
      <c r="AB597" s="2054"/>
      <c r="AC597" s="2054"/>
    </row>
    <row r="598" spans="1:29">
      <c r="A598" s="2054"/>
      <c r="B598" s="2054"/>
      <c r="C598" s="2054"/>
      <c r="D598" s="2054"/>
      <c r="E598" s="2054"/>
      <c r="F598" s="2054"/>
      <c r="G598" s="2054"/>
      <c r="H598" s="2054"/>
      <c r="I598" s="2054"/>
      <c r="J598" s="2054"/>
      <c r="K598" s="2055"/>
      <c r="L598" s="2056"/>
      <c r="M598" s="2054"/>
      <c r="N598" s="2054"/>
      <c r="O598" s="2054"/>
      <c r="P598" s="2095"/>
      <c r="Q598" s="2054"/>
      <c r="R598" s="2054"/>
      <c r="S598" s="2054"/>
      <c r="T598" s="2054"/>
      <c r="U598" s="2054"/>
      <c r="V598" s="2054"/>
      <c r="W598" s="2054"/>
      <c r="X598" s="2054"/>
      <c r="Y598" s="2054"/>
      <c r="Z598" s="2054"/>
      <c r="AA598" s="2054"/>
      <c r="AB598" s="2054"/>
      <c r="AC598" s="2054"/>
    </row>
    <row r="599" spans="1:29">
      <c r="A599" s="2054"/>
      <c r="B599" s="2054"/>
      <c r="C599" s="2054"/>
      <c r="D599" s="2054"/>
      <c r="E599" s="2054"/>
      <c r="F599" s="2054"/>
      <c r="G599" s="2054"/>
      <c r="H599" s="2054"/>
      <c r="I599" s="2054"/>
      <c r="J599" s="2054"/>
      <c r="K599" s="2055"/>
      <c r="L599" s="2056"/>
      <c r="M599" s="2054"/>
      <c r="N599" s="2054"/>
      <c r="O599" s="2054"/>
      <c r="P599" s="2095"/>
      <c r="Q599" s="2054"/>
      <c r="R599" s="2054"/>
      <c r="S599" s="2054"/>
      <c r="T599" s="2054"/>
      <c r="U599" s="2054"/>
      <c r="V599" s="2054"/>
      <c r="W599" s="2054"/>
      <c r="X599" s="2054"/>
      <c r="Y599" s="2054"/>
      <c r="Z599" s="2054"/>
      <c r="AA599" s="2054"/>
      <c r="AB599" s="2054"/>
      <c r="AC599" s="2054"/>
    </row>
    <row r="600" spans="1:29">
      <c r="A600" s="2054"/>
      <c r="B600" s="2054"/>
      <c r="C600" s="2054"/>
      <c r="D600" s="2054"/>
      <c r="E600" s="2054"/>
      <c r="F600" s="2054"/>
      <c r="G600" s="2054"/>
      <c r="H600" s="2054"/>
      <c r="I600" s="2054"/>
      <c r="J600" s="2054"/>
      <c r="K600" s="2055"/>
      <c r="L600" s="2056"/>
      <c r="M600" s="2054"/>
      <c r="N600" s="2054"/>
      <c r="O600" s="2054"/>
      <c r="P600" s="2095"/>
      <c r="Q600" s="2054"/>
      <c r="R600" s="2054"/>
      <c r="S600" s="2054"/>
      <c r="T600" s="2054"/>
      <c r="U600" s="2054"/>
      <c r="V600" s="2054"/>
      <c r="W600" s="2054"/>
      <c r="X600" s="2054"/>
      <c r="Y600" s="2054"/>
      <c r="Z600" s="2054"/>
      <c r="AA600" s="2054"/>
      <c r="AB600" s="2054"/>
      <c r="AC600" s="2054"/>
    </row>
    <row r="601" spans="1:29">
      <c r="A601" s="2054"/>
      <c r="B601" s="2054"/>
      <c r="C601" s="2054"/>
      <c r="D601" s="2054"/>
      <c r="E601" s="2054"/>
      <c r="F601" s="2054"/>
      <c r="G601" s="2054"/>
      <c r="H601" s="2054"/>
      <c r="I601" s="2054"/>
      <c r="J601" s="2054"/>
      <c r="K601" s="2055"/>
      <c r="L601" s="2056"/>
      <c r="M601" s="2054"/>
      <c r="N601" s="2054"/>
      <c r="O601" s="2054"/>
      <c r="P601" s="2095"/>
      <c r="Q601" s="2054"/>
      <c r="R601" s="2054"/>
      <c r="S601" s="2054"/>
      <c r="T601" s="2054"/>
      <c r="U601" s="2054"/>
      <c r="V601" s="2054"/>
      <c r="W601" s="2054"/>
      <c r="X601" s="2054"/>
      <c r="Y601" s="2054"/>
      <c r="Z601" s="2054"/>
      <c r="AA601" s="2054"/>
      <c r="AB601" s="2054"/>
      <c r="AC601" s="2054"/>
    </row>
    <row r="602" spans="1:29">
      <c r="A602" s="2054"/>
      <c r="B602" s="2054"/>
      <c r="C602" s="2054"/>
      <c r="D602" s="2054"/>
      <c r="E602" s="2054"/>
      <c r="F602" s="2054"/>
      <c r="G602" s="2054"/>
      <c r="H602" s="2054"/>
      <c r="I602" s="2054"/>
      <c r="J602" s="2054"/>
      <c r="K602" s="2055"/>
      <c r="L602" s="2056"/>
      <c r="M602" s="2054"/>
      <c r="N602" s="2054"/>
      <c r="O602" s="2054"/>
      <c r="P602" s="2095"/>
      <c r="Q602" s="2054"/>
      <c r="R602" s="2054"/>
      <c r="S602" s="2054"/>
      <c r="T602" s="2054"/>
      <c r="U602" s="2054"/>
      <c r="V602" s="2054"/>
      <c r="W602" s="2054"/>
      <c r="X602" s="2054"/>
      <c r="Y602" s="2054"/>
      <c r="Z602" s="2054"/>
      <c r="AA602" s="2054"/>
      <c r="AB602" s="2054"/>
      <c r="AC602" s="2054"/>
    </row>
    <row r="603" spans="1:29">
      <c r="A603" s="2054"/>
      <c r="B603" s="2054"/>
      <c r="C603" s="2054"/>
      <c r="D603" s="2054"/>
      <c r="E603" s="2054"/>
      <c r="F603" s="2054"/>
      <c r="G603" s="2054"/>
      <c r="H603" s="2054"/>
      <c r="I603" s="2054"/>
      <c r="J603" s="2054"/>
      <c r="K603" s="2055"/>
      <c r="L603" s="2056"/>
      <c r="M603" s="2054"/>
      <c r="N603" s="2054"/>
      <c r="O603" s="2054"/>
      <c r="P603" s="2095"/>
      <c r="Q603" s="2054"/>
      <c r="R603" s="2054"/>
      <c r="S603" s="2054"/>
      <c r="T603" s="2054"/>
      <c r="U603" s="2054"/>
      <c r="V603" s="2054"/>
      <c r="W603" s="2054"/>
      <c r="X603" s="2054"/>
      <c r="Y603" s="2054"/>
      <c r="Z603" s="2054"/>
      <c r="AA603" s="2054"/>
      <c r="AB603" s="2054"/>
      <c r="AC603" s="2054"/>
    </row>
    <row r="604" spans="1:29">
      <c r="A604" s="2054"/>
      <c r="B604" s="2054"/>
      <c r="C604" s="2054"/>
      <c r="D604" s="2054"/>
      <c r="E604" s="2054"/>
      <c r="F604" s="2054"/>
      <c r="G604" s="2054"/>
      <c r="H604" s="2054"/>
      <c r="I604" s="2054"/>
      <c r="J604" s="2054"/>
      <c r="K604" s="2055"/>
      <c r="L604" s="2056"/>
      <c r="M604" s="2054"/>
      <c r="N604" s="2054"/>
      <c r="O604" s="2054"/>
      <c r="P604" s="2095"/>
      <c r="Q604" s="2054"/>
      <c r="R604" s="2054"/>
      <c r="S604" s="2054"/>
      <c r="T604" s="2054"/>
      <c r="U604" s="2054"/>
      <c r="V604" s="2054"/>
      <c r="W604" s="2054"/>
      <c r="X604" s="2054"/>
      <c r="Y604" s="2054"/>
      <c r="Z604" s="2054"/>
      <c r="AA604" s="2054"/>
      <c r="AB604" s="2054"/>
      <c r="AC604" s="2054"/>
    </row>
    <row r="605" spans="1:29">
      <c r="A605" s="2054"/>
      <c r="B605" s="2054"/>
      <c r="C605" s="2054"/>
      <c r="D605" s="2054"/>
      <c r="E605" s="2054"/>
      <c r="F605" s="2054"/>
      <c r="G605" s="2054"/>
      <c r="H605" s="2054"/>
      <c r="I605" s="2054"/>
      <c r="J605" s="2054"/>
      <c r="K605" s="2055"/>
      <c r="L605" s="2056"/>
      <c r="M605" s="2054"/>
      <c r="N605" s="2054"/>
      <c r="O605" s="2054"/>
      <c r="P605" s="2095"/>
      <c r="Q605" s="2054"/>
      <c r="R605" s="2054"/>
      <c r="S605" s="2054"/>
      <c r="T605" s="2054"/>
      <c r="U605" s="2054"/>
      <c r="V605" s="2054"/>
      <c r="W605" s="2054"/>
      <c r="X605" s="2054"/>
      <c r="Y605" s="2054"/>
      <c r="Z605" s="2054"/>
      <c r="AA605" s="2054"/>
      <c r="AB605" s="2054"/>
      <c r="AC605" s="2054"/>
    </row>
    <row r="606" spans="1:29">
      <c r="A606" s="2054"/>
      <c r="B606" s="2054"/>
      <c r="C606" s="2054"/>
      <c r="D606" s="2054"/>
      <c r="E606" s="2054"/>
      <c r="F606" s="2054"/>
      <c r="G606" s="2054"/>
      <c r="H606" s="2054"/>
      <c r="I606" s="2054"/>
      <c r="J606" s="2054"/>
      <c r="K606" s="2055"/>
      <c r="L606" s="2056"/>
      <c r="M606" s="2054"/>
      <c r="N606" s="2054"/>
      <c r="O606" s="2054"/>
      <c r="P606" s="2095"/>
      <c r="Q606" s="2054"/>
      <c r="R606" s="2054"/>
      <c r="S606" s="2054"/>
      <c r="T606" s="2054"/>
      <c r="U606" s="2054"/>
      <c r="V606" s="2054"/>
      <c r="W606" s="2054"/>
      <c r="X606" s="2054"/>
      <c r="Y606" s="2054"/>
      <c r="Z606" s="2054"/>
      <c r="AA606" s="2054"/>
      <c r="AB606" s="2054"/>
      <c r="AC606" s="2054"/>
    </row>
    <row r="607" spans="1:29">
      <c r="A607" s="2054"/>
      <c r="B607" s="2054"/>
      <c r="C607" s="2054"/>
      <c r="D607" s="2054"/>
      <c r="E607" s="2054"/>
      <c r="F607" s="2054"/>
      <c r="G607" s="2054"/>
      <c r="H607" s="2054"/>
      <c r="I607" s="2054"/>
      <c r="J607" s="2054"/>
      <c r="K607" s="2055"/>
      <c r="L607" s="2056"/>
      <c r="M607" s="2054"/>
      <c r="N607" s="2054"/>
      <c r="O607" s="2054"/>
      <c r="P607" s="2095"/>
      <c r="Q607" s="2054"/>
      <c r="R607" s="2054"/>
      <c r="S607" s="2054"/>
      <c r="T607" s="2054"/>
      <c r="U607" s="2054"/>
      <c r="V607" s="2054"/>
      <c r="W607" s="2054"/>
      <c r="X607" s="2054"/>
      <c r="Y607" s="2054"/>
      <c r="Z607" s="2054"/>
      <c r="AA607" s="2054"/>
      <c r="AB607" s="2054"/>
      <c r="AC607" s="2054"/>
    </row>
    <row r="608" spans="1:29">
      <c r="A608" s="2054"/>
      <c r="B608" s="2054"/>
      <c r="C608" s="2054"/>
      <c r="D608" s="2054"/>
      <c r="E608" s="2054"/>
      <c r="F608" s="2054"/>
      <c r="G608" s="2054"/>
      <c r="H608" s="2054"/>
      <c r="I608" s="2054"/>
      <c r="J608" s="2054"/>
      <c r="K608" s="2055"/>
      <c r="L608" s="2056"/>
      <c r="M608" s="2054"/>
      <c r="N608" s="2054"/>
      <c r="O608" s="2054"/>
      <c r="P608" s="2095"/>
      <c r="Q608" s="2054"/>
      <c r="R608" s="2054"/>
      <c r="S608" s="2054"/>
      <c r="T608" s="2054"/>
      <c r="U608" s="2054"/>
      <c r="V608" s="2054"/>
      <c r="W608" s="2054"/>
      <c r="X608" s="2054"/>
      <c r="Y608" s="2054"/>
      <c r="Z608" s="2054"/>
      <c r="AA608" s="2054"/>
      <c r="AB608" s="2054"/>
      <c r="AC608" s="2054"/>
    </row>
    <row r="609" spans="1:29">
      <c r="A609" s="2054"/>
      <c r="B609" s="2054"/>
      <c r="C609" s="2054"/>
      <c r="D609" s="2054"/>
      <c r="E609" s="2054"/>
      <c r="F609" s="2054"/>
      <c r="G609" s="2054"/>
      <c r="H609" s="2054"/>
      <c r="I609" s="2054"/>
      <c r="J609" s="2054"/>
      <c r="K609" s="2055"/>
      <c r="L609" s="2056"/>
      <c r="M609" s="2054"/>
      <c r="N609" s="2054"/>
      <c r="O609" s="2054"/>
      <c r="P609" s="2095"/>
      <c r="Q609" s="2054"/>
      <c r="R609" s="2054"/>
      <c r="S609" s="2054"/>
      <c r="T609" s="2054"/>
      <c r="U609" s="2054"/>
      <c r="V609" s="2054"/>
      <c r="W609" s="2054"/>
      <c r="X609" s="2054"/>
      <c r="Y609" s="2054"/>
      <c r="Z609" s="2054"/>
      <c r="AA609" s="2054"/>
      <c r="AB609" s="2054"/>
      <c r="AC609" s="2054"/>
    </row>
    <row r="610" spans="1:29">
      <c r="A610" s="2054"/>
      <c r="B610" s="2054"/>
      <c r="C610" s="2054"/>
      <c r="D610" s="2054"/>
      <c r="E610" s="2054"/>
      <c r="F610" s="2054"/>
      <c r="G610" s="2054"/>
      <c r="H610" s="2054"/>
      <c r="I610" s="2054"/>
      <c r="J610" s="2054"/>
      <c r="K610" s="2055"/>
      <c r="L610" s="2056"/>
      <c r="M610" s="2054"/>
      <c r="N610" s="2054"/>
      <c r="O610" s="2054"/>
      <c r="P610" s="2095"/>
      <c r="Q610" s="2054"/>
      <c r="R610" s="2054"/>
      <c r="S610" s="2054"/>
      <c r="T610" s="2054"/>
      <c r="U610" s="2054"/>
      <c r="V610" s="2054"/>
      <c r="W610" s="2054"/>
      <c r="X610" s="2054"/>
      <c r="Y610" s="2054"/>
      <c r="Z610" s="2054"/>
      <c r="AA610" s="2054"/>
      <c r="AB610" s="2054"/>
      <c r="AC610" s="2054"/>
    </row>
    <row r="611" spans="1:29">
      <c r="A611" s="2054"/>
      <c r="B611" s="2054"/>
      <c r="C611" s="2054"/>
      <c r="D611" s="2054"/>
      <c r="E611" s="2054"/>
      <c r="F611" s="2054"/>
      <c r="G611" s="2054"/>
      <c r="H611" s="2054"/>
      <c r="I611" s="2054"/>
      <c r="J611" s="2054"/>
      <c r="K611" s="2055"/>
      <c r="L611" s="2056"/>
      <c r="M611" s="2054"/>
      <c r="N611" s="2054"/>
      <c r="O611" s="2054"/>
      <c r="P611" s="2095"/>
      <c r="Q611" s="2054"/>
      <c r="R611" s="2054"/>
      <c r="S611" s="2054"/>
      <c r="T611" s="2054"/>
      <c r="U611" s="2054"/>
      <c r="V611" s="2054"/>
      <c r="W611" s="2054"/>
      <c r="X611" s="2054"/>
      <c r="Y611" s="2054"/>
      <c r="Z611" s="2054"/>
      <c r="AA611" s="2054"/>
      <c r="AB611" s="2054"/>
      <c r="AC611" s="2054"/>
    </row>
    <row r="612" spans="1:29">
      <c r="A612" s="2054"/>
      <c r="B612" s="2054"/>
      <c r="C612" s="2054"/>
      <c r="D612" s="2054"/>
      <c r="E612" s="2054"/>
      <c r="F612" s="2054"/>
      <c r="G612" s="2054"/>
      <c r="H612" s="2054"/>
      <c r="I612" s="2054"/>
      <c r="J612" s="2054"/>
      <c r="K612" s="2055"/>
      <c r="L612" s="2056"/>
      <c r="M612" s="2054"/>
      <c r="N612" s="2054"/>
      <c r="O612" s="2054"/>
      <c r="P612" s="2095"/>
      <c r="Q612" s="2054"/>
      <c r="R612" s="2054"/>
      <c r="S612" s="2054"/>
      <c r="T612" s="2054"/>
      <c r="U612" s="2054"/>
      <c r="V612" s="2054"/>
      <c r="W612" s="2054"/>
      <c r="X612" s="2054"/>
      <c r="Y612" s="2054"/>
      <c r="Z612" s="2054"/>
      <c r="AA612" s="2054"/>
      <c r="AB612" s="2054"/>
      <c r="AC612" s="2054"/>
    </row>
    <row r="613" spans="1:29">
      <c r="A613" s="2054"/>
      <c r="B613" s="2054"/>
      <c r="C613" s="2054"/>
      <c r="D613" s="2054"/>
      <c r="E613" s="2054"/>
      <c r="F613" s="2054"/>
      <c r="G613" s="2054"/>
      <c r="H613" s="2054"/>
      <c r="I613" s="2054"/>
      <c r="J613" s="2054"/>
      <c r="K613" s="2055"/>
      <c r="L613" s="2056"/>
      <c r="M613" s="2054"/>
      <c r="N613" s="2054"/>
      <c r="O613" s="2054"/>
      <c r="P613" s="2095"/>
      <c r="Q613" s="2054"/>
      <c r="R613" s="2054"/>
      <c r="S613" s="2054"/>
      <c r="T613" s="2054"/>
      <c r="U613" s="2054"/>
      <c r="V613" s="2054"/>
      <c r="W613" s="2054"/>
      <c r="X613" s="2054"/>
      <c r="Y613" s="2054"/>
      <c r="Z613" s="2054"/>
      <c r="AA613" s="2054"/>
      <c r="AB613" s="2054"/>
      <c r="AC613" s="2054"/>
    </row>
    <row r="614" spans="1:29">
      <c r="A614" s="2054"/>
      <c r="B614" s="2054"/>
      <c r="C614" s="2054"/>
      <c r="D614" s="2054"/>
      <c r="E614" s="2054"/>
      <c r="F614" s="2054"/>
      <c r="G614" s="2054"/>
      <c r="H614" s="2054"/>
      <c r="I614" s="2054"/>
      <c r="J614" s="2054"/>
      <c r="K614" s="2055"/>
      <c r="L614" s="2056"/>
      <c r="M614" s="2054"/>
      <c r="N614" s="2054"/>
      <c r="O614" s="2054"/>
      <c r="P614" s="2095"/>
      <c r="Q614" s="2054"/>
      <c r="R614" s="2054"/>
      <c r="S614" s="2054"/>
      <c r="T614" s="2054"/>
      <c r="U614" s="2054"/>
      <c r="V614" s="2054"/>
      <c r="W614" s="2054"/>
      <c r="X614" s="2054"/>
      <c r="Y614" s="2054"/>
      <c r="Z614" s="2054"/>
      <c r="AA614" s="2054"/>
      <c r="AB614" s="2054"/>
      <c r="AC614" s="2054"/>
    </row>
    <row r="615" spans="1:29">
      <c r="A615" s="2054"/>
      <c r="B615" s="2054"/>
      <c r="C615" s="2054"/>
      <c r="D615" s="2054"/>
      <c r="E615" s="2054"/>
      <c r="F615" s="2054"/>
      <c r="G615" s="2054"/>
      <c r="H615" s="2054"/>
      <c r="I615" s="2054"/>
      <c r="J615" s="2054"/>
      <c r="K615" s="2055"/>
      <c r="L615" s="2056"/>
      <c r="M615" s="2054"/>
      <c r="N615" s="2054"/>
      <c r="O615" s="2054"/>
      <c r="P615" s="2095"/>
      <c r="Q615" s="2054"/>
      <c r="R615" s="2054"/>
      <c r="S615" s="2054"/>
      <c r="T615" s="2054"/>
      <c r="U615" s="2054"/>
      <c r="V615" s="2054"/>
      <c r="W615" s="2054"/>
      <c r="X615" s="2054"/>
      <c r="Y615" s="2054"/>
      <c r="Z615" s="2054"/>
      <c r="AA615" s="2054"/>
      <c r="AB615" s="2054"/>
      <c r="AC615" s="2054"/>
    </row>
    <row r="616" spans="1:29">
      <c r="A616" s="2054"/>
      <c r="B616" s="2054"/>
      <c r="C616" s="2054"/>
      <c r="D616" s="2054"/>
      <c r="E616" s="2054"/>
      <c r="F616" s="2054"/>
      <c r="G616" s="2054"/>
      <c r="H616" s="2054"/>
      <c r="I616" s="2054"/>
      <c r="J616" s="2054"/>
      <c r="K616" s="2055"/>
      <c r="L616" s="2056"/>
      <c r="M616" s="2054"/>
      <c r="N616" s="2054"/>
      <c r="O616" s="2054"/>
      <c r="P616" s="2095"/>
      <c r="Q616" s="2054"/>
      <c r="R616" s="2054"/>
      <c r="S616" s="2054"/>
      <c r="T616" s="2054"/>
      <c r="U616" s="2054"/>
      <c r="V616" s="2054"/>
      <c r="W616" s="2054"/>
      <c r="X616" s="2054"/>
      <c r="Y616" s="2054"/>
      <c r="Z616" s="2054"/>
      <c r="AA616" s="2054"/>
      <c r="AB616" s="2054"/>
      <c r="AC616" s="2054"/>
    </row>
    <row r="617" spans="1:29">
      <c r="A617" s="2054"/>
      <c r="B617" s="2054"/>
      <c r="C617" s="2054"/>
      <c r="D617" s="2054"/>
      <c r="E617" s="2054"/>
      <c r="F617" s="2054"/>
      <c r="G617" s="2054"/>
      <c r="H617" s="2054"/>
      <c r="I617" s="2054"/>
      <c r="J617" s="2054"/>
      <c r="K617" s="2055"/>
      <c r="L617" s="2056"/>
      <c r="M617" s="2054"/>
      <c r="N617" s="2054"/>
      <c r="O617" s="2054"/>
      <c r="P617" s="2095"/>
      <c r="Q617" s="2054"/>
      <c r="R617" s="2054"/>
      <c r="S617" s="2054"/>
      <c r="T617" s="2054"/>
      <c r="U617" s="2054"/>
      <c r="V617" s="2054"/>
      <c r="W617" s="2054"/>
      <c r="X617" s="2054"/>
      <c r="Y617" s="2054"/>
      <c r="Z617" s="2054"/>
      <c r="AA617" s="2054"/>
      <c r="AB617" s="2054"/>
      <c r="AC617" s="2054"/>
    </row>
    <row r="618" spans="1:29">
      <c r="A618" s="2054"/>
      <c r="B618" s="2054"/>
      <c r="C618" s="2054"/>
      <c r="D618" s="2054"/>
      <c r="E618" s="2054"/>
      <c r="F618" s="2054"/>
      <c r="G618" s="2054"/>
      <c r="H618" s="2054"/>
      <c r="I618" s="2054"/>
      <c r="J618" s="2054"/>
      <c r="K618" s="2055"/>
      <c r="L618" s="2056"/>
      <c r="M618" s="2054"/>
      <c r="N618" s="2054"/>
      <c r="O618" s="2054"/>
      <c r="P618" s="2095"/>
      <c r="Q618" s="2054"/>
      <c r="R618" s="2054"/>
      <c r="S618" s="2054"/>
      <c r="T618" s="2054"/>
      <c r="U618" s="2054"/>
      <c r="V618" s="2054"/>
      <c r="W618" s="2054"/>
      <c r="X618" s="2054"/>
      <c r="Y618" s="2054"/>
      <c r="Z618" s="2054"/>
      <c r="AA618" s="2054"/>
      <c r="AB618" s="2054"/>
      <c r="AC618" s="2054"/>
    </row>
    <row r="619" spans="1:29">
      <c r="A619" s="2054"/>
      <c r="B619" s="2054"/>
      <c r="C619" s="2054"/>
      <c r="D619" s="2054"/>
      <c r="E619" s="2054"/>
      <c r="F619" s="2054"/>
      <c r="G619" s="2054"/>
      <c r="H619" s="2054"/>
      <c r="I619" s="2054"/>
      <c r="J619" s="2054"/>
      <c r="K619" s="2055"/>
      <c r="L619" s="2056"/>
      <c r="M619" s="2054"/>
      <c r="N619" s="2054"/>
      <c r="O619" s="2054"/>
      <c r="P619" s="2095"/>
      <c r="Q619" s="2054"/>
      <c r="R619" s="2054"/>
      <c r="S619" s="2054"/>
      <c r="T619" s="2054"/>
      <c r="U619" s="2054"/>
      <c r="V619" s="2054"/>
      <c r="W619" s="2054"/>
      <c r="X619" s="2054"/>
      <c r="Y619" s="2054"/>
      <c r="Z619" s="2054"/>
      <c r="AA619" s="2054"/>
      <c r="AB619" s="2054"/>
      <c r="AC619" s="2054"/>
    </row>
    <row r="620" spans="1:29">
      <c r="A620" s="2054"/>
      <c r="B620" s="2054"/>
      <c r="C620" s="2054"/>
      <c r="D620" s="2054"/>
      <c r="E620" s="2054"/>
      <c r="F620" s="2054"/>
      <c r="G620" s="2054"/>
      <c r="H620" s="2054"/>
      <c r="I620" s="2054"/>
      <c r="J620" s="2054"/>
      <c r="K620" s="2055"/>
      <c r="L620" s="2056"/>
      <c r="M620" s="2054"/>
      <c r="N620" s="2054"/>
      <c r="O620" s="2054"/>
      <c r="P620" s="2095"/>
      <c r="Q620" s="2054"/>
      <c r="R620" s="2054"/>
      <c r="S620" s="2054"/>
      <c r="T620" s="2054"/>
      <c r="U620" s="2054"/>
      <c r="V620" s="2054"/>
      <c r="W620" s="2054"/>
      <c r="X620" s="2054"/>
      <c r="Y620" s="2054"/>
      <c r="Z620" s="2054"/>
      <c r="AA620" s="2054"/>
      <c r="AB620" s="2054"/>
      <c r="AC620" s="2054"/>
    </row>
    <row r="621" spans="1:29">
      <c r="A621" s="2054"/>
      <c r="B621" s="2054"/>
      <c r="C621" s="2054"/>
      <c r="D621" s="2054"/>
      <c r="E621" s="2054"/>
      <c r="F621" s="2054"/>
      <c r="G621" s="2054"/>
      <c r="H621" s="2054"/>
      <c r="I621" s="2054"/>
      <c r="J621" s="2054"/>
      <c r="K621" s="2055"/>
      <c r="L621" s="2056"/>
      <c r="M621" s="2054"/>
      <c r="N621" s="2054"/>
      <c r="O621" s="2054"/>
      <c r="P621" s="2095"/>
      <c r="Q621" s="2054"/>
      <c r="R621" s="2054"/>
      <c r="S621" s="2054"/>
      <c r="T621" s="2054"/>
      <c r="U621" s="2054"/>
      <c r="V621" s="2054"/>
      <c r="W621" s="2054"/>
      <c r="X621" s="2054"/>
      <c r="Y621" s="2054"/>
      <c r="Z621" s="2054"/>
      <c r="AA621" s="2054"/>
      <c r="AB621" s="2054"/>
      <c r="AC621" s="2054"/>
    </row>
    <row r="622" spans="1:29">
      <c r="A622" s="2054"/>
      <c r="B622" s="2054"/>
      <c r="C622" s="2054"/>
      <c r="D622" s="2054"/>
      <c r="E622" s="2054"/>
      <c r="F622" s="2054"/>
      <c r="G622" s="2054"/>
      <c r="H622" s="2054"/>
      <c r="I622" s="2054"/>
      <c r="J622" s="2054"/>
      <c r="K622" s="2055"/>
      <c r="L622" s="2056"/>
      <c r="M622" s="2054"/>
      <c r="N622" s="2054"/>
      <c r="O622" s="2054"/>
      <c r="P622" s="2095"/>
      <c r="Q622" s="2054"/>
      <c r="R622" s="2054"/>
      <c r="S622" s="2054"/>
      <c r="T622" s="2054"/>
      <c r="U622" s="2054"/>
      <c r="V622" s="2054"/>
      <c r="W622" s="2054"/>
      <c r="X622" s="2054"/>
      <c r="Y622" s="2054"/>
      <c r="Z622" s="2054"/>
      <c r="AA622" s="2054"/>
      <c r="AB622" s="2054"/>
      <c r="AC622" s="2054"/>
    </row>
    <row r="623" spans="1:29">
      <c r="A623" s="2054"/>
      <c r="B623" s="2054"/>
      <c r="C623" s="2054"/>
      <c r="D623" s="2054"/>
      <c r="E623" s="2054"/>
      <c r="F623" s="2054"/>
      <c r="G623" s="2054"/>
      <c r="H623" s="2054"/>
      <c r="I623" s="2054"/>
      <c r="J623" s="2054"/>
      <c r="K623" s="2055"/>
      <c r="L623" s="2056"/>
      <c r="M623" s="2054"/>
      <c r="N623" s="2054"/>
      <c r="O623" s="2054"/>
      <c r="P623" s="2095"/>
      <c r="Q623" s="2054"/>
      <c r="R623" s="2054"/>
      <c r="S623" s="2054"/>
      <c r="T623" s="2054"/>
      <c r="U623" s="2054"/>
      <c r="V623" s="2054"/>
      <c r="W623" s="2054"/>
      <c r="X623" s="2054"/>
      <c r="Y623" s="2054"/>
      <c r="Z623" s="2054"/>
      <c r="AA623" s="2054"/>
      <c r="AB623" s="2054"/>
      <c r="AC623" s="2054"/>
    </row>
    <row r="624" spans="1:29">
      <c r="A624" s="2054"/>
      <c r="B624" s="2054"/>
      <c r="C624" s="2054"/>
      <c r="D624" s="2054"/>
      <c r="E624" s="2054"/>
      <c r="F624" s="2054"/>
      <c r="G624" s="2054"/>
      <c r="H624" s="2054"/>
      <c r="I624" s="2054"/>
      <c r="J624" s="2054"/>
      <c r="K624" s="2055"/>
      <c r="L624" s="2056"/>
      <c r="M624" s="2054"/>
      <c r="N624" s="2054"/>
      <c r="O624" s="2054"/>
      <c r="P624" s="2095"/>
      <c r="Q624" s="2054"/>
      <c r="R624" s="2054"/>
      <c r="S624" s="2054"/>
      <c r="T624" s="2054"/>
      <c r="U624" s="2054"/>
      <c r="V624" s="2054"/>
      <c r="W624" s="2054"/>
      <c r="X624" s="2054"/>
      <c r="Y624" s="2054"/>
      <c r="Z624" s="2054"/>
      <c r="AA624" s="2054"/>
      <c r="AB624" s="2054"/>
      <c r="AC624" s="2054"/>
    </row>
    <row r="625" spans="1:29">
      <c r="A625" s="2054"/>
      <c r="B625" s="2054"/>
      <c r="C625" s="2054"/>
      <c r="D625" s="2054"/>
      <c r="E625" s="2054"/>
      <c r="F625" s="2054"/>
      <c r="G625" s="2054"/>
      <c r="H625" s="2054"/>
      <c r="I625" s="2054"/>
      <c r="J625" s="2054"/>
      <c r="K625" s="2055"/>
      <c r="L625" s="2056"/>
      <c r="M625" s="2054"/>
      <c r="N625" s="2054"/>
      <c r="O625" s="2054"/>
      <c r="P625" s="2095"/>
      <c r="Q625" s="2054"/>
      <c r="R625" s="2054"/>
      <c r="S625" s="2054"/>
      <c r="T625" s="2054"/>
      <c r="U625" s="2054"/>
      <c r="V625" s="2054"/>
      <c r="W625" s="2054"/>
      <c r="X625" s="2054"/>
      <c r="Y625" s="2054"/>
      <c r="Z625" s="2054"/>
      <c r="AA625" s="2054"/>
      <c r="AB625" s="2054"/>
      <c r="AC625" s="2054"/>
    </row>
    <row r="626" spans="1:29">
      <c r="A626" s="2054"/>
      <c r="B626" s="2054"/>
      <c r="C626" s="2054"/>
      <c r="D626" s="2054"/>
      <c r="E626" s="2054"/>
      <c r="F626" s="2054"/>
      <c r="G626" s="2054"/>
      <c r="H626" s="2054"/>
      <c r="I626" s="2054"/>
      <c r="J626" s="2054"/>
      <c r="K626" s="2055"/>
      <c r="L626" s="2056"/>
      <c r="M626" s="2054"/>
      <c r="N626" s="2054"/>
      <c r="O626" s="2054"/>
      <c r="P626" s="2095"/>
      <c r="Q626" s="2054"/>
      <c r="R626" s="2054"/>
      <c r="S626" s="2054"/>
      <c r="T626" s="2054"/>
      <c r="U626" s="2054"/>
      <c r="V626" s="2054"/>
      <c r="W626" s="2054"/>
      <c r="X626" s="2054"/>
      <c r="Y626" s="2054"/>
      <c r="Z626" s="2054"/>
      <c r="AA626" s="2054"/>
      <c r="AB626" s="2054"/>
      <c r="AC626" s="2054"/>
    </row>
    <row r="627" spans="1:29">
      <c r="A627" s="2054"/>
      <c r="B627" s="2054"/>
      <c r="C627" s="2054"/>
      <c r="D627" s="2054"/>
      <c r="E627" s="2054"/>
      <c r="F627" s="2054"/>
      <c r="G627" s="2054"/>
      <c r="H627" s="2054"/>
      <c r="I627" s="2054"/>
      <c r="J627" s="2054"/>
      <c r="K627" s="2055"/>
      <c r="L627" s="2056"/>
      <c r="M627" s="2054"/>
      <c r="N627" s="2054"/>
      <c r="O627" s="2054"/>
      <c r="P627" s="2095"/>
      <c r="Q627" s="2054"/>
      <c r="R627" s="2054"/>
      <c r="S627" s="2054"/>
      <c r="T627" s="2054"/>
      <c r="U627" s="2054"/>
      <c r="V627" s="2054"/>
      <c r="W627" s="2054"/>
      <c r="X627" s="2054"/>
      <c r="Y627" s="2054"/>
      <c r="Z627" s="2054"/>
      <c r="AA627" s="2054"/>
      <c r="AB627" s="2054"/>
      <c r="AC627" s="2054"/>
    </row>
    <row r="628" spans="1:29">
      <c r="A628" s="2054"/>
      <c r="B628" s="2054"/>
      <c r="C628" s="2054"/>
      <c r="D628" s="2054"/>
      <c r="E628" s="2054"/>
      <c r="F628" s="2054"/>
      <c r="G628" s="2054"/>
      <c r="H628" s="2054"/>
      <c r="I628" s="2054"/>
      <c r="J628" s="2054"/>
      <c r="K628" s="2055"/>
      <c r="L628" s="2056"/>
      <c r="M628" s="2054"/>
      <c r="N628" s="2054"/>
      <c r="O628" s="2054"/>
      <c r="P628" s="2095"/>
      <c r="Q628" s="2054"/>
      <c r="R628" s="2054"/>
      <c r="S628" s="2054"/>
      <c r="T628" s="2054"/>
      <c r="U628" s="2054"/>
      <c r="V628" s="2054"/>
      <c r="W628" s="2054"/>
      <c r="X628" s="2054"/>
      <c r="Y628" s="2054"/>
      <c r="Z628" s="2054"/>
      <c r="AA628" s="2054"/>
      <c r="AB628" s="2054"/>
      <c r="AC628" s="2054"/>
    </row>
    <row r="629" spans="1:29">
      <c r="A629" s="2054"/>
      <c r="B629" s="2054"/>
      <c r="C629" s="2054"/>
      <c r="D629" s="2054"/>
      <c r="E629" s="2054"/>
      <c r="F629" s="2054"/>
      <c r="G629" s="2054"/>
      <c r="H629" s="2054"/>
      <c r="I629" s="2054"/>
      <c r="J629" s="2054"/>
      <c r="K629" s="2055"/>
      <c r="L629" s="2056"/>
      <c r="M629" s="2054"/>
      <c r="N629" s="2054"/>
      <c r="O629" s="2054"/>
      <c r="P629" s="2095"/>
      <c r="Q629" s="2054"/>
      <c r="R629" s="2054"/>
      <c r="S629" s="2054"/>
      <c r="T629" s="2054"/>
      <c r="U629" s="2054"/>
      <c r="V629" s="2054"/>
      <c r="W629" s="2054"/>
      <c r="X629" s="2054"/>
      <c r="Y629" s="2054"/>
      <c r="Z629" s="2054"/>
      <c r="AA629" s="2054"/>
      <c r="AB629" s="2054"/>
      <c r="AC629" s="2054"/>
    </row>
    <row r="630" spans="1:29">
      <c r="A630" s="2054"/>
      <c r="B630" s="2054"/>
      <c r="C630" s="2054"/>
      <c r="D630" s="2054"/>
      <c r="E630" s="2054"/>
      <c r="F630" s="2054"/>
      <c r="G630" s="2054"/>
      <c r="H630" s="2054"/>
      <c r="I630" s="2054"/>
      <c r="J630" s="2054"/>
      <c r="K630" s="2055"/>
      <c r="L630" s="2056"/>
      <c r="M630" s="2054"/>
      <c r="N630" s="2054"/>
      <c r="O630" s="2054"/>
      <c r="P630" s="2095"/>
      <c r="Q630" s="2054"/>
      <c r="R630" s="2054"/>
      <c r="S630" s="2054"/>
      <c r="T630" s="2054"/>
      <c r="U630" s="2054"/>
      <c r="V630" s="2054"/>
      <c r="W630" s="2054"/>
      <c r="X630" s="2054"/>
      <c r="Y630" s="2054"/>
      <c r="Z630" s="2054"/>
      <c r="AA630" s="2054"/>
      <c r="AB630" s="2054"/>
      <c r="AC630" s="2054"/>
    </row>
    <row r="631" spans="1:29">
      <c r="A631" s="2054"/>
      <c r="B631" s="2054"/>
      <c r="C631" s="2054"/>
      <c r="D631" s="2054"/>
      <c r="E631" s="2054"/>
      <c r="F631" s="2054"/>
      <c r="G631" s="2054"/>
      <c r="H631" s="2054"/>
      <c r="I631" s="2054"/>
      <c r="J631" s="2054"/>
      <c r="K631" s="2055"/>
      <c r="L631" s="2056"/>
      <c r="M631" s="2054"/>
      <c r="N631" s="2054"/>
      <c r="O631" s="2054"/>
      <c r="P631" s="2095"/>
      <c r="Q631" s="2054"/>
      <c r="R631" s="2054"/>
      <c r="S631" s="2054"/>
      <c r="T631" s="2054"/>
      <c r="U631" s="2054"/>
      <c r="V631" s="2054"/>
      <c r="W631" s="2054"/>
      <c r="X631" s="2054"/>
      <c r="Y631" s="2054"/>
      <c r="Z631" s="2054"/>
      <c r="AA631" s="2054"/>
      <c r="AB631" s="2054"/>
      <c r="AC631" s="2054"/>
    </row>
    <row r="632" spans="1:29">
      <c r="A632" s="2054"/>
      <c r="B632" s="2054"/>
      <c r="C632" s="2054"/>
      <c r="D632" s="2054"/>
      <c r="E632" s="2054"/>
      <c r="F632" s="2054"/>
      <c r="G632" s="2054"/>
      <c r="H632" s="2054"/>
      <c r="I632" s="2054"/>
      <c r="J632" s="2054"/>
      <c r="K632" s="2055"/>
      <c r="L632" s="2056"/>
      <c r="M632" s="2054"/>
      <c r="N632" s="2054"/>
      <c r="O632" s="2054"/>
      <c r="P632" s="2095"/>
      <c r="Q632" s="2054"/>
      <c r="R632" s="2054"/>
      <c r="S632" s="2054"/>
      <c r="T632" s="2054"/>
      <c r="U632" s="2054"/>
      <c r="V632" s="2054"/>
      <c r="W632" s="2054"/>
      <c r="X632" s="2054"/>
      <c r="Y632" s="2054"/>
      <c r="Z632" s="2054"/>
      <c r="AA632" s="2054"/>
      <c r="AB632" s="2054"/>
      <c r="AC632" s="2054"/>
    </row>
    <row r="633" spans="1:29">
      <c r="A633" s="2054"/>
      <c r="B633" s="2054"/>
      <c r="C633" s="2054"/>
      <c r="D633" s="2054"/>
      <c r="E633" s="2054"/>
      <c r="F633" s="2054"/>
      <c r="G633" s="2054"/>
      <c r="H633" s="2054"/>
      <c r="I633" s="2054"/>
      <c r="J633" s="2054"/>
      <c r="K633" s="2055"/>
      <c r="L633" s="2056"/>
      <c r="M633" s="2054"/>
      <c r="N633" s="2054"/>
      <c r="O633" s="2054"/>
      <c r="P633" s="2095"/>
      <c r="Q633" s="2054"/>
      <c r="R633" s="2054"/>
      <c r="S633" s="2054"/>
      <c r="T633" s="2054"/>
      <c r="U633" s="2054"/>
      <c r="V633" s="2054"/>
      <c r="W633" s="2054"/>
      <c r="X633" s="2054"/>
      <c r="Y633" s="2054"/>
      <c r="Z633" s="2054"/>
      <c r="AA633" s="2054"/>
      <c r="AB633" s="2054"/>
      <c r="AC633" s="2054"/>
    </row>
    <row r="634" spans="1:29">
      <c r="A634" s="2054"/>
      <c r="B634" s="2054"/>
      <c r="C634" s="2054"/>
      <c r="D634" s="2054"/>
      <c r="E634" s="2054"/>
      <c r="F634" s="2054"/>
      <c r="G634" s="2054"/>
      <c r="H634" s="2054"/>
      <c r="I634" s="2054"/>
      <c r="J634" s="2054"/>
      <c r="K634" s="2055"/>
      <c r="L634" s="2056"/>
      <c r="M634" s="2054"/>
      <c r="N634" s="2054"/>
      <c r="O634" s="2054"/>
      <c r="P634" s="2095"/>
      <c r="Q634" s="2054"/>
      <c r="R634" s="2054"/>
      <c r="S634" s="2054"/>
      <c r="T634" s="2054"/>
      <c r="U634" s="2054"/>
      <c r="V634" s="2054"/>
      <c r="W634" s="2054"/>
      <c r="X634" s="2054"/>
      <c r="Y634" s="2054"/>
      <c r="Z634" s="2054"/>
      <c r="AA634" s="2054"/>
      <c r="AB634" s="2054"/>
      <c r="AC634" s="2054"/>
    </row>
    <row r="635" spans="1:29">
      <c r="A635" s="2054"/>
      <c r="B635" s="2054"/>
      <c r="C635" s="2054"/>
      <c r="D635" s="2054"/>
      <c r="E635" s="2054"/>
      <c r="F635" s="2054"/>
      <c r="G635" s="2054"/>
      <c r="H635" s="2054"/>
      <c r="I635" s="2054"/>
      <c r="J635" s="2054"/>
      <c r="K635" s="2055"/>
      <c r="L635" s="2056"/>
      <c r="M635" s="2054"/>
      <c r="N635" s="2054"/>
      <c r="O635" s="2054"/>
      <c r="P635" s="2095"/>
      <c r="Q635" s="2054"/>
      <c r="R635" s="2054"/>
      <c r="S635" s="2054"/>
      <c r="T635" s="2054"/>
      <c r="U635" s="2054"/>
      <c r="V635" s="2054"/>
      <c r="W635" s="2054"/>
      <c r="X635" s="2054"/>
      <c r="Y635" s="2054"/>
      <c r="Z635" s="2054"/>
      <c r="AA635" s="2054"/>
      <c r="AB635" s="2054"/>
      <c r="AC635" s="2054"/>
    </row>
    <row r="636" spans="1:29">
      <c r="A636" s="2054"/>
      <c r="B636" s="2054"/>
      <c r="C636" s="2054"/>
      <c r="D636" s="2054"/>
      <c r="E636" s="2054"/>
      <c r="F636" s="2054"/>
      <c r="G636" s="2054"/>
      <c r="H636" s="2054"/>
      <c r="I636" s="2054"/>
      <c r="J636" s="2054"/>
      <c r="K636" s="2055"/>
      <c r="L636" s="2056"/>
      <c r="M636" s="2054"/>
      <c r="N636" s="2054"/>
      <c r="O636" s="2054"/>
      <c r="P636" s="2095"/>
      <c r="Q636" s="2054"/>
      <c r="R636" s="2054"/>
      <c r="S636" s="2054"/>
      <c r="T636" s="2054"/>
      <c r="U636" s="2054"/>
      <c r="V636" s="2054"/>
      <c r="W636" s="2054"/>
      <c r="X636" s="2054"/>
      <c r="Y636" s="2054"/>
      <c r="Z636" s="2054"/>
      <c r="AA636" s="2054"/>
      <c r="AB636" s="2054"/>
      <c r="AC636" s="2054"/>
    </row>
    <row r="637" spans="1:29">
      <c r="A637" s="2054"/>
      <c r="B637" s="2054"/>
      <c r="C637" s="2054"/>
      <c r="D637" s="2054"/>
      <c r="E637" s="2054"/>
      <c r="F637" s="2054"/>
      <c r="G637" s="2054"/>
      <c r="H637" s="2054"/>
      <c r="I637" s="2054"/>
      <c r="J637" s="2054"/>
      <c r="K637" s="2055"/>
      <c r="L637" s="2056"/>
      <c r="M637" s="2054"/>
      <c r="N637" s="2054"/>
      <c r="O637" s="2054"/>
      <c r="P637" s="2095"/>
      <c r="Q637" s="2054"/>
      <c r="R637" s="2054"/>
      <c r="S637" s="2054"/>
      <c r="T637" s="2054"/>
      <c r="U637" s="2054"/>
      <c r="V637" s="2054"/>
      <c r="W637" s="2054"/>
      <c r="X637" s="2054"/>
      <c r="Y637" s="2054"/>
      <c r="Z637" s="2054"/>
      <c r="AA637" s="2054"/>
      <c r="AB637" s="2054"/>
      <c r="AC637" s="2054"/>
    </row>
    <row r="638" spans="1:29">
      <c r="A638" s="2054"/>
      <c r="B638" s="2054"/>
      <c r="C638" s="2054"/>
      <c r="D638" s="2054"/>
      <c r="E638" s="2054"/>
      <c r="F638" s="2054"/>
      <c r="G638" s="2054"/>
      <c r="H638" s="2054"/>
      <c r="I638" s="2054"/>
      <c r="J638" s="2054"/>
      <c r="K638" s="2055"/>
      <c r="L638" s="2056"/>
      <c r="M638" s="2054"/>
      <c r="N638" s="2054"/>
      <c r="O638" s="2054"/>
      <c r="P638" s="2095"/>
      <c r="Q638" s="2054"/>
      <c r="R638" s="2054"/>
      <c r="S638" s="2054"/>
      <c r="T638" s="2054"/>
      <c r="U638" s="2054"/>
      <c r="V638" s="2054"/>
      <c r="W638" s="2054"/>
      <c r="X638" s="2054"/>
      <c r="Y638" s="2054"/>
      <c r="Z638" s="2054"/>
      <c r="AA638" s="2054"/>
      <c r="AB638" s="2054"/>
      <c r="AC638" s="2054"/>
    </row>
    <row r="639" spans="1:29">
      <c r="A639" s="2054"/>
      <c r="B639" s="2054"/>
      <c r="C639" s="2054"/>
      <c r="D639" s="2054"/>
      <c r="E639" s="2054"/>
      <c r="F639" s="2054"/>
      <c r="G639" s="2054"/>
      <c r="H639" s="2054"/>
      <c r="I639" s="2054"/>
      <c r="J639" s="2054"/>
      <c r="K639" s="2055"/>
      <c r="L639" s="2056"/>
      <c r="M639" s="2054"/>
      <c r="N639" s="2054"/>
      <c r="O639" s="2054"/>
      <c r="P639" s="2095"/>
      <c r="Q639" s="2054"/>
      <c r="R639" s="2054"/>
      <c r="S639" s="2054"/>
      <c r="T639" s="2054"/>
      <c r="U639" s="2054"/>
      <c r="V639" s="2054"/>
      <c r="W639" s="2054"/>
      <c r="X639" s="2054"/>
      <c r="Y639" s="2054"/>
      <c r="Z639" s="2054"/>
      <c r="AA639" s="2054"/>
      <c r="AB639" s="2054"/>
      <c r="AC639" s="2054"/>
    </row>
    <row r="640" spans="1:29">
      <c r="A640" s="2054"/>
      <c r="B640" s="2054"/>
      <c r="C640" s="2054"/>
      <c r="D640" s="2054"/>
      <c r="E640" s="2054"/>
      <c r="F640" s="2054"/>
      <c r="G640" s="2054"/>
      <c r="H640" s="2054"/>
      <c r="I640" s="2054"/>
      <c r="J640" s="2054"/>
      <c r="K640" s="2055"/>
      <c r="L640" s="2056"/>
      <c r="M640" s="2054"/>
      <c r="N640" s="2054"/>
      <c r="O640" s="2054"/>
      <c r="P640" s="2095"/>
      <c r="Q640" s="2054"/>
      <c r="R640" s="2054"/>
      <c r="S640" s="2054"/>
      <c r="T640" s="2054"/>
      <c r="U640" s="2054"/>
      <c r="V640" s="2054"/>
      <c r="W640" s="2054"/>
      <c r="X640" s="2054"/>
      <c r="Y640" s="2054"/>
      <c r="Z640" s="2054"/>
      <c r="AA640" s="2054"/>
      <c r="AB640" s="2054"/>
      <c r="AC640" s="2054"/>
    </row>
    <row r="641" spans="1:29">
      <c r="A641" s="2054"/>
      <c r="B641" s="2054"/>
      <c r="C641" s="2054"/>
      <c r="D641" s="2054"/>
      <c r="E641" s="2054"/>
      <c r="F641" s="2054"/>
      <c r="G641" s="2054"/>
      <c r="H641" s="2054"/>
      <c r="I641" s="2054"/>
      <c r="J641" s="2054"/>
      <c r="K641" s="2055"/>
      <c r="L641" s="2056"/>
      <c r="M641" s="2054"/>
      <c r="N641" s="2054"/>
      <c r="O641" s="2054"/>
      <c r="P641" s="2095"/>
      <c r="Q641" s="2054"/>
      <c r="R641" s="2054"/>
      <c r="S641" s="2054"/>
      <c r="T641" s="2054"/>
      <c r="U641" s="2054"/>
      <c r="V641" s="2054"/>
      <c r="W641" s="2054"/>
      <c r="X641" s="2054"/>
      <c r="Y641" s="2054"/>
      <c r="Z641" s="2054"/>
      <c r="AA641" s="2054"/>
      <c r="AB641" s="2054"/>
      <c r="AC641" s="2054"/>
    </row>
    <row r="642" spans="1:29">
      <c r="A642" s="2054"/>
      <c r="B642" s="2054"/>
      <c r="C642" s="2054"/>
      <c r="D642" s="2054"/>
      <c r="E642" s="2054"/>
      <c r="F642" s="2054"/>
      <c r="G642" s="2054"/>
      <c r="H642" s="2054"/>
      <c r="I642" s="2054"/>
      <c r="J642" s="2054"/>
      <c r="K642" s="2055"/>
      <c r="L642" s="2056"/>
      <c r="M642" s="2054"/>
      <c r="N642" s="2054"/>
      <c r="O642" s="2054"/>
      <c r="P642" s="2095"/>
      <c r="Q642" s="2054"/>
      <c r="R642" s="2054"/>
      <c r="S642" s="2054"/>
      <c r="T642" s="2054"/>
      <c r="U642" s="2054"/>
      <c r="V642" s="2054"/>
      <c r="W642" s="2054"/>
      <c r="X642" s="2054"/>
      <c r="Y642" s="2054"/>
      <c r="Z642" s="2054"/>
      <c r="AA642" s="2054"/>
      <c r="AB642" s="2054"/>
      <c r="AC642" s="2054"/>
    </row>
    <row r="643" spans="1:29">
      <c r="A643" s="2054"/>
      <c r="B643" s="2054"/>
      <c r="C643" s="2054"/>
      <c r="D643" s="2054"/>
      <c r="E643" s="2054"/>
      <c r="F643" s="2054"/>
      <c r="G643" s="2054"/>
      <c r="H643" s="2054"/>
      <c r="I643" s="2054"/>
      <c r="J643" s="2054"/>
      <c r="K643" s="2055"/>
      <c r="L643" s="2056"/>
      <c r="M643" s="2054"/>
      <c r="N643" s="2054"/>
      <c r="O643" s="2054"/>
      <c r="P643" s="2095"/>
      <c r="Q643" s="2054"/>
      <c r="R643" s="2054"/>
      <c r="S643" s="2054"/>
      <c r="T643" s="2054"/>
      <c r="U643" s="2054"/>
      <c r="V643" s="2054"/>
      <c r="W643" s="2054"/>
      <c r="X643" s="2054"/>
      <c r="Y643" s="2054"/>
      <c r="Z643" s="2054"/>
      <c r="AA643" s="2054"/>
      <c r="AB643" s="2054"/>
      <c r="AC643" s="2054"/>
    </row>
    <row r="644" spans="1:29">
      <c r="A644" s="2054"/>
      <c r="B644" s="2054"/>
      <c r="C644" s="2054"/>
      <c r="D644" s="2054"/>
      <c r="E644" s="2054"/>
      <c r="F644" s="2054"/>
      <c r="G644" s="2054"/>
      <c r="H644" s="2054"/>
      <c r="I644" s="2054"/>
      <c r="J644" s="2054"/>
      <c r="K644" s="2055"/>
      <c r="L644" s="2056"/>
      <c r="M644" s="2054"/>
      <c r="N644" s="2054"/>
      <c r="O644" s="2054"/>
      <c r="P644" s="2095"/>
      <c r="Q644" s="2054"/>
      <c r="R644" s="2054"/>
      <c r="S644" s="2054"/>
      <c r="T644" s="2054"/>
      <c r="U644" s="2054"/>
      <c r="V644" s="2054"/>
      <c r="W644" s="2054"/>
      <c r="X644" s="2054"/>
      <c r="Y644" s="2054"/>
      <c r="Z644" s="2054"/>
      <c r="AA644" s="2054"/>
      <c r="AB644" s="2054"/>
      <c r="AC644" s="2054"/>
    </row>
    <row r="645" spans="1:29">
      <c r="A645" s="2054"/>
      <c r="B645" s="2054"/>
      <c r="C645" s="2054"/>
      <c r="D645" s="2054"/>
      <c r="E645" s="2054"/>
      <c r="F645" s="2054"/>
      <c r="G645" s="2054"/>
      <c r="H645" s="2054"/>
      <c r="I645" s="2054"/>
      <c r="J645" s="2054"/>
      <c r="K645" s="2055"/>
      <c r="L645" s="2056"/>
      <c r="M645" s="2054"/>
      <c r="N645" s="2054"/>
      <c r="O645" s="2054"/>
      <c r="P645" s="2095"/>
      <c r="Q645" s="2054"/>
      <c r="R645" s="2054"/>
      <c r="S645" s="2054"/>
      <c r="T645" s="2054"/>
      <c r="U645" s="2054"/>
      <c r="V645" s="2054"/>
      <c r="W645" s="2054"/>
      <c r="X645" s="2054"/>
      <c r="Y645" s="2054"/>
      <c r="Z645" s="2054"/>
      <c r="AA645" s="2054"/>
      <c r="AB645" s="2054"/>
      <c r="AC645" s="2054"/>
    </row>
    <row r="646" spans="1:29">
      <c r="A646" s="2054"/>
      <c r="B646" s="2054"/>
      <c r="C646" s="2054"/>
      <c r="D646" s="2054"/>
      <c r="E646" s="2054"/>
      <c r="F646" s="2054"/>
      <c r="G646" s="2054"/>
      <c r="H646" s="2054"/>
      <c r="I646" s="2054"/>
      <c r="J646" s="2054"/>
      <c r="K646" s="2055"/>
      <c r="L646" s="2056"/>
      <c r="M646" s="2054"/>
      <c r="N646" s="2054"/>
      <c r="O646" s="2054"/>
      <c r="P646" s="2095"/>
      <c r="Q646" s="2054"/>
      <c r="R646" s="2054"/>
      <c r="S646" s="2054"/>
      <c r="T646" s="2054"/>
      <c r="U646" s="2054"/>
      <c r="V646" s="2054"/>
      <c r="W646" s="2054"/>
      <c r="X646" s="2054"/>
      <c r="Y646" s="2054"/>
      <c r="Z646" s="2054"/>
      <c r="AA646" s="2054"/>
      <c r="AB646" s="2054"/>
      <c r="AC646" s="2054"/>
    </row>
    <row r="647" spans="1:29">
      <c r="A647" s="2054"/>
      <c r="B647" s="2054"/>
      <c r="C647" s="2054"/>
      <c r="D647" s="2054"/>
      <c r="E647" s="2054"/>
      <c r="F647" s="2054"/>
      <c r="G647" s="2054"/>
      <c r="H647" s="2054"/>
      <c r="I647" s="2054"/>
      <c r="J647" s="2054"/>
      <c r="K647" s="2055"/>
      <c r="L647" s="2056"/>
      <c r="M647" s="2054"/>
      <c r="N647" s="2054"/>
      <c r="O647" s="2054"/>
      <c r="P647" s="2095"/>
      <c r="Q647" s="2054"/>
      <c r="R647" s="2054"/>
      <c r="S647" s="2054"/>
      <c r="T647" s="2054"/>
      <c r="U647" s="2054"/>
      <c r="V647" s="2054"/>
      <c r="W647" s="2054"/>
      <c r="X647" s="2054"/>
      <c r="Y647" s="2054"/>
      <c r="Z647" s="2054"/>
      <c r="AA647" s="2054"/>
      <c r="AB647" s="2054"/>
      <c r="AC647" s="2054"/>
    </row>
    <row r="648" spans="1:29">
      <c r="A648" s="2054"/>
      <c r="B648" s="2054"/>
      <c r="C648" s="2054"/>
      <c r="D648" s="2054"/>
      <c r="E648" s="2054"/>
      <c r="F648" s="2054"/>
      <c r="G648" s="2054"/>
      <c r="H648" s="2054"/>
      <c r="I648" s="2054"/>
      <c r="J648" s="2054"/>
      <c r="K648" s="2055"/>
      <c r="L648" s="2056"/>
      <c r="M648" s="2054"/>
      <c r="N648" s="2054"/>
      <c r="O648" s="2054"/>
      <c r="P648" s="2095"/>
      <c r="Q648" s="2054"/>
      <c r="R648" s="2054"/>
      <c r="S648" s="2054"/>
      <c r="T648" s="2054"/>
      <c r="U648" s="2054"/>
      <c r="V648" s="2054"/>
      <c r="W648" s="2054"/>
      <c r="X648" s="2054"/>
      <c r="Y648" s="2054"/>
      <c r="Z648" s="2054"/>
      <c r="AA648" s="2054"/>
      <c r="AB648" s="2054"/>
      <c r="AC648" s="2054"/>
    </row>
    <row r="649" spans="1:29">
      <c r="A649" s="2054"/>
      <c r="B649" s="2054"/>
      <c r="C649" s="2054"/>
      <c r="D649" s="2054"/>
      <c r="E649" s="2054"/>
      <c r="F649" s="2054"/>
      <c r="G649" s="2054"/>
      <c r="H649" s="2054"/>
      <c r="I649" s="2054"/>
      <c r="J649" s="2054"/>
      <c r="K649" s="2055"/>
      <c r="L649" s="2056"/>
      <c r="M649" s="2054"/>
      <c r="N649" s="2054"/>
      <c r="O649" s="2054"/>
      <c r="P649" s="2095"/>
      <c r="Q649" s="2054"/>
      <c r="R649" s="2054"/>
      <c r="S649" s="2054"/>
      <c r="T649" s="2054"/>
      <c r="U649" s="2054"/>
      <c r="V649" s="2054"/>
      <c r="W649" s="2054"/>
      <c r="X649" s="2054"/>
      <c r="Y649" s="2054"/>
      <c r="Z649" s="2054"/>
      <c r="AA649" s="2054"/>
      <c r="AB649" s="2054"/>
      <c r="AC649" s="2054"/>
    </row>
    <row r="650" spans="1:29">
      <c r="A650" s="2054"/>
      <c r="B650" s="2054"/>
      <c r="C650" s="2054"/>
      <c r="D650" s="2054"/>
      <c r="E650" s="2054"/>
      <c r="F650" s="2054"/>
      <c r="G650" s="2054"/>
      <c r="H650" s="2054"/>
      <c r="I650" s="2054"/>
      <c r="J650" s="2054"/>
      <c r="K650" s="2055"/>
      <c r="L650" s="2056"/>
      <c r="M650" s="2054"/>
      <c r="N650" s="2054"/>
      <c r="O650" s="2054"/>
      <c r="P650" s="2095"/>
      <c r="Q650" s="2054"/>
      <c r="R650" s="2054"/>
      <c r="S650" s="2054"/>
      <c r="T650" s="2054"/>
      <c r="U650" s="2054"/>
      <c r="V650" s="2054"/>
      <c r="W650" s="2054"/>
      <c r="X650" s="2054"/>
      <c r="Y650" s="2054"/>
      <c r="Z650" s="2054"/>
      <c r="AA650" s="2054"/>
      <c r="AB650" s="2054"/>
      <c r="AC650" s="2054"/>
    </row>
    <row r="651" spans="1:29">
      <c r="A651" s="2054"/>
      <c r="B651" s="2054"/>
      <c r="C651" s="2054"/>
      <c r="D651" s="2054"/>
      <c r="E651" s="2054"/>
      <c r="F651" s="2054"/>
      <c r="G651" s="2054"/>
      <c r="H651" s="2054"/>
      <c r="I651" s="2054"/>
      <c r="J651" s="2054"/>
      <c r="K651" s="2055"/>
      <c r="L651" s="2056"/>
      <c r="M651" s="2054"/>
      <c r="N651" s="2054"/>
      <c r="O651" s="2054"/>
      <c r="P651" s="2095"/>
      <c r="Q651" s="2054"/>
      <c r="R651" s="2054"/>
      <c r="S651" s="2054"/>
      <c r="T651" s="2054"/>
      <c r="U651" s="2054"/>
      <c r="V651" s="2054"/>
      <c r="W651" s="2054"/>
      <c r="X651" s="2054"/>
      <c r="Y651" s="2054"/>
      <c r="Z651" s="2054"/>
      <c r="AA651" s="2054"/>
      <c r="AB651" s="2054"/>
      <c r="AC651" s="2054"/>
    </row>
    <row r="652" spans="1:29">
      <c r="A652" s="2054"/>
      <c r="B652" s="2054"/>
      <c r="C652" s="2054"/>
      <c r="D652" s="2054"/>
      <c r="E652" s="2054"/>
      <c r="F652" s="2054"/>
      <c r="G652" s="2054"/>
      <c r="H652" s="2054"/>
      <c r="I652" s="2054"/>
      <c r="J652" s="2054"/>
      <c r="K652" s="2055"/>
      <c r="L652" s="2056"/>
      <c r="M652" s="2054"/>
      <c r="N652" s="2054"/>
      <c r="O652" s="2054"/>
      <c r="P652" s="2095"/>
      <c r="Q652" s="2054"/>
      <c r="R652" s="2054"/>
      <c r="S652" s="2054"/>
      <c r="T652" s="2054"/>
      <c r="U652" s="2054"/>
      <c r="V652" s="2054"/>
      <c r="W652" s="2054"/>
      <c r="X652" s="2054"/>
      <c r="Y652" s="2054"/>
      <c r="Z652" s="2054"/>
      <c r="AA652" s="2054"/>
      <c r="AB652" s="2054"/>
      <c r="AC652" s="2054"/>
    </row>
    <row r="653" spans="1:29">
      <c r="A653" s="2054"/>
      <c r="B653" s="2054"/>
      <c r="C653" s="2054"/>
      <c r="D653" s="2054"/>
      <c r="E653" s="2054"/>
      <c r="F653" s="2054"/>
      <c r="G653" s="2054"/>
      <c r="H653" s="2054"/>
      <c r="I653" s="2054"/>
      <c r="J653" s="2054"/>
      <c r="K653" s="2055"/>
      <c r="L653" s="2056"/>
      <c r="M653" s="2054"/>
      <c r="N653" s="2054"/>
      <c r="O653" s="2054"/>
      <c r="P653" s="2095"/>
      <c r="Q653" s="2054"/>
      <c r="R653" s="2054"/>
      <c r="S653" s="2054"/>
      <c r="T653" s="2054"/>
      <c r="U653" s="2054"/>
      <c r="V653" s="2054"/>
      <c r="W653" s="2054"/>
      <c r="X653" s="2054"/>
      <c r="Y653" s="2054"/>
      <c r="Z653" s="2054"/>
      <c r="AA653" s="2054"/>
      <c r="AB653" s="2054"/>
      <c r="AC653" s="2054"/>
    </row>
    <row r="654" spans="1:29">
      <c r="A654" s="2054"/>
      <c r="B654" s="2054"/>
      <c r="C654" s="2054"/>
      <c r="D654" s="2054"/>
      <c r="E654" s="2054"/>
      <c r="F654" s="2054"/>
      <c r="G654" s="2054"/>
      <c r="H654" s="2054"/>
      <c r="I654" s="2054"/>
      <c r="J654" s="2054"/>
      <c r="K654" s="2055"/>
      <c r="L654" s="2056"/>
      <c r="M654" s="2054"/>
      <c r="N654" s="2054"/>
      <c r="O654" s="2054"/>
      <c r="P654" s="2095"/>
      <c r="Q654" s="2054"/>
      <c r="R654" s="2054"/>
      <c r="S654" s="2054"/>
      <c r="T654" s="2054"/>
      <c r="U654" s="2054"/>
      <c r="V654" s="2054"/>
      <c r="W654" s="2054"/>
      <c r="X654" s="2054"/>
      <c r="Y654" s="2054"/>
      <c r="Z654" s="2054"/>
      <c r="AA654" s="2054"/>
      <c r="AB654" s="2054"/>
      <c r="AC654" s="2054"/>
    </row>
    <row r="655" spans="1:29">
      <c r="A655" s="2054"/>
      <c r="B655" s="2054"/>
      <c r="C655" s="2054"/>
      <c r="D655" s="2054"/>
      <c r="E655" s="2054"/>
      <c r="F655" s="2054"/>
      <c r="G655" s="2054"/>
      <c r="H655" s="2054"/>
      <c r="I655" s="2054"/>
      <c r="J655" s="2054"/>
      <c r="K655" s="2055"/>
      <c r="L655" s="2056"/>
      <c r="M655" s="2054"/>
      <c r="N655" s="2054"/>
      <c r="O655" s="2054"/>
      <c r="P655" s="2095"/>
      <c r="Q655" s="2054"/>
      <c r="R655" s="2054"/>
      <c r="S655" s="2054"/>
      <c r="T655" s="2054"/>
      <c r="U655" s="2054"/>
      <c r="V655" s="2054"/>
      <c r="W655" s="2054"/>
      <c r="X655" s="2054"/>
      <c r="Y655" s="2054"/>
      <c r="Z655" s="2054"/>
      <c r="AA655" s="2054"/>
      <c r="AB655" s="2054"/>
      <c r="AC655" s="2054"/>
    </row>
    <row r="656" spans="1:29">
      <c r="A656" s="2054"/>
      <c r="B656" s="2054"/>
      <c r="C656" s="2054"/>
      <c r="D656" s="2054"/>
      <c r="E656" s="2054"/>
      <c r="F656" s="2054"/>
      <c r="G656" s="2054"/>
      <c r="H656" s="2054"/>
      <c r="I656" s="2054"/>
      <c r="J656" s="2054"/>
      <c r="K656" s="2055"/>
      <c r="L656" s="2056"/>
      <c r="M656" s="2054"/>
      <c r="N656" s="2054"/>
      <c r="O656" s="2054"/>
      <c r="P656" s="2095"/>
      <c r="Q656" s="2054"/>
      <c r="R656" s="2054"/>
      <c r="S656" s="2054"/>
      <c r="T656" s="2054"/>
      <c r="U656" s="2054"/>
      <c r="V656" s="2054"/>
      <c r="W656" s="2054"/>
      <c r="X656" s="2054"/>
      <c r="Y656" s="2054"/>
      <c r="Z656" s="2054"/>
      <c r="AA656" s="2054"/>
      <c r="AB656" s="2054"/>
      <c r="AC656" s="2054"/>
    </row>
    <row r="657" spans="1:29">
      <c r="A657" s="2054"/>
      <c r="B657" s="2054"/>
      <c r="C657" s="2054"/>
      <c r="D657" s="2054"/>
      <c r="E657" s="2054"/>
      <c r="F657" s="2054"/>
      <c r="G657" s="2054"/>
      <c r="H657" s="2054"/>
      <c r="I657" s="2054"/>
      <c r="J657" s="2054"/>
      <c r="K657" s="2055"/>
      <c r="L657" s="2056"/>
      <c r="M657" s="2054"/>
      <c r="N657" s="2054"/>
      <c r="O657" s="2054"/>
      <c r="P657" s="2095"/>
      <c r="Q657" s="2054"/>
      <c r="R657" s="2054"/>
      <c r="S657" s="2054"/>
      <c r="T657" s="2054"/>
      <c r="U657" s="2054"/>
      <c r="V657" s="2054"/>
      <c r="W657" s="2054"/>
      <c r="X657" s="2054"/>
      <c r="Y657" s="2054"/>
      <c r="Z657" s="2054"/>
      <c r="AA657" s="2054"/>
      <c r="AB657" s="2054"/>
      <c r="AC657" s="2054"/>
    </row>
    <row r="658" spans="1:29">
      <c r="A658" s="2054"/>
      <c r="B658" s="2054"/>
      <c r="C658" s="2054"/>
      <c r="D658" s="2054"/>
      <c r="E658" s="2054"/>
      <c r="F658" s="2054"/>
      <c r="G658" s="2054"/>
      <c r="H658" s="2054"/>
      <c r="I658" s="2054"/>
      <c r="J658" s="2054"/>
      <c r="K658" s="2055"/>
      <c r="L658" s="2056"/>
      <c r="M658" s="2054"/>
      <c r="N658" s="2054"/>
      <c r="O658" s="2054"/>
      <c r="P658" s="2095"/>
      <c r="Q658" s="2054"/>
      <c r="R658" s="2054"/>
      <c r="S658" s="2054"/>
      <c r="T658" s="2054"/>
      <c r="U658" s="2054"/>
      <c r="V658" s="2054"/>
      <c r="W658" s="2054"/>
      <c r="X658" s="2054"/>
      <c r="Y658" s="2054"/>
      <c r="Z658" s="2054"/>
      <c r="AA658" s="2054"/>
      <c r="AB658" s="2054"/>
      <c r="AC658" s="2054"/>
    </row>
    <row r="659" spans="1:29">
      <c r="A659" s="2054"/>
      <c r="B659" s="2054"/>
      <c r="C659" s="2054"/>
      <c r="D659" s="2054"/>
      <c r="E659" s="2054"/>
      <c r="F659" s="2054"/>
      <c r="G659" s="2054"/>
      <c r="H659" s="2054"/>
      <c r="I659" s="2054"/>
      <c r="J659" s="2054"/>
      <c r="K659" s="2055"/>
      <c r="L659" s="2056"/>
      <c r="M659" s="2054"/>
      <c r="N659" s="2054"/>
      <c r="O659" s="2054"/>
      <c r="P659" s="2095"/>
      <c r="Q659" s="2054"/>
      <c r="R659" s="2054"/>
      <c r="S659" s="2054"/>
      <c r="T659" s="2054"/>
      <c r="U659" s="2054"/>
      <c r="V659" s="2054"/>
      <c r="W659" s="2054"/>
      <c r="X659" s="2054"/>
      <c r="Y659" s="2054"/>
      <c r="Z659" s="2054"/>
      <c r="AA659" s="2054"/>
      <c r="AB659" s="2054"/>
      <c r="AC659" s="2054"/>
    </row>
    <row r="660" spans="1:29">
      <c r="A660" s="2054"/>
      <c r="B660" s="2054"/>
      <c r="C660" s="2054"/>
      <c r="D660" s="2054"/>
      <c r="E660" s="2054"/>
      <c r="F660" s="2054"/>
      <c r="G660" s="2054"/>
      <c r="H660" s="2054"/>
      <c r="I660" s="2054"/>
      <c r="J660" s="2054"/>
      <c r="K660" s="2055"/>
      <c r="L660" s="2056"/>
      <c r="M660" s="2054"/>
      <c r="N660" s="2054"/>
      <c r="O660" s="2054"/>
      <c r="P660" s="2095"/>
      <c r="Q660" s="2054"/>
      <c r="R660" s="2054"/>
      <c r="S660" s="2054"/>
      <c r="T660" s="2054"/>
      <c r="U660" s="2054"/>
      <c r="V660" s="2054"/>
      <c r="W660" s="2054"/>
      <c r="X660" s="2054"/>
      <c r="Y660" s="2054"/>
      <c r="Z660" s="2054"/>
      <c r="AA660" s="2054"/>
      <c r="AB660" s="2054"/>
      <c r="AC660" s="2054"/>
    </row>
    <row r="661" spans="1:29">
      <c r="A661" s="2054"/>
      <c r="B661" s="2054"/>
      <c r="C661" s="2054"/>
      <c r="D661" s="2054"/>
      <c r="E661" s="2054"/>
      <c r="F661" s="2054"/>
      <c r="G661" s="2054"/>
      <c r="H661" s="2054"/>
      <c r="I661" s="2054"/>
      <c r="J661" s="2054"/>
      <c r="K661" s="2055"/>
      <c r="L661" s="2056"/>
      <c r="M661" s="2054"/>
      <c r="N661" s="2054"/>
      <c r="O661" s="2054"/>
      <c r="P661" s="2095"/>
      <c r="Q661" s="2054"/>
      <c r="R661" s="2054"/>
      <c r="S661" s="2054"/>
      <c r="T661" s="2054"/>
      <c r="U661" s="2054"/>
      <c r="V661" s="2054"/>
      <c r="W661" s="2054"/>
      <c r="X661" s="2054"/>
      <c r="Y661" s="2054"/>
      <c r="Z661" s="2054"/>
      <c r="AA661" s="2054"/>
      <c r="AB661" s="2054"/>
      <c r="AC661" s="2054"/>
    </row>
    <row r="662" spans="1:29">
      <c r="A662" s="2054"/>
      <c r="B662" s="2054"/>
      <c r="C662" s="2054"/>
      <c r="D662" s="2054"/>
      <c r="E662" s="2054"/>
      <c r="F662" s="2054"/>
      <c r="G662" s="2054"/>
      <c r="H662" s="2054"/>
      <c r="I662" s="2054"/>
      <c r="J662" s="2054"/>
      <c r="K662" s="2055"/>
      <c r="L662" s="2056"/>
      <c r="M662" s="2054"/>
      <c r="N662" s="2054"/>
      <c r="O662" s="2054"/>
      <c r="P662" s="2095"/>
      <c r="Q662" s="2054"/>
      <c r="R662" s="2054"/>
      <c r="S662" s="2054"/>
      <c r="T662" s="2054"/>
      <c r="U662" s="2054"/>
      <c r="V662" s="2054"/>
      <c r="W662" s="2054"/>
      <c r="X662" s="2054"/>
      <c r="Y662" s="2054"/>
      <c r="Z662" s="2054"/>
      <c r="AA662" s="2054"/>
      <c r="AB662" s="2054"/>
      <c r="AC662" s="2054"/>
    </row>
    <row r="663" spans="1:29">
      <c r="A663" s="2054"/>
      <c r="B663" s="2054"/>
      <c r="C663" s="2054"/>
      <c r="D663" s="2054"/>
      <c r="E663" s="2054"/>
      <c r="F663" s="2054"/>
      <c r="G663" s="2054"/>
      <c r="H663" s="2054"/>
      <c r="I663" s="2054"/>
      <c r="J663" s="2054"/>
      <c r="K663" s="2055"/>
      <c r="L663" s="2056"/>
      <c r="M663" s="2054"/>
      <c r="N663" s="2054"/>
      <c r="O663" s="2054"/>
      <c r="P663" s="2095"/>
      <c r="Q663" s="2054"/>
      <c r="R663" s="2054"/>
      <c r="S663" s="2054"/>
      <c r="T663" s="2054"/>
      <c r="U663" s="2054"/>
      <c r="V663" s="2054"/>
      <c r="W663" s="2054"/>
      <c r="X663" s="2054"/>
      <c r="Y663" s="2054"/>
      <c r="Z663" s="2054"/>
      <c r="AA663" s="2054"/>
      <c r="AB663" s="2054"/>
      <c r="AC663" s="2054"/>
    </row>
    <row r="664" spans="1:29">
      <c r="A664" s="2054"/>
      <c r="B664" s="2054"/>
      <c r="C664" s="2054"/>
      <c r="D664" s="2054"/>
      <c r="E664" s="2054"/>
      <c r="F664" s="2054"/>
      <c r="G664" s="2054"/>
      <c r="H664" s="2054"/>
      <c r="I664" s="2054"/>
      <c r="J664" s="2054"/>
      <c r="K664" s="2055"/>
      <c r="L664" s="2056"/>
      <c r="M664" s="2054"/>
      <c r="N664" s="2054"/>
      <c r="O664" s="2054"/>
      <c r="P664" s="2095"/>
      <c r="Q664" s="2054"/>
      <c r="R664" s="2054"/>
      <c r="S664" s="2054"/>
      <c r="T664" s="2054"/>
      <c r="U664" s="2054"/>
      <c r="V664" s="2054"/>
      <c r="W664" s="2054"/>
      <c r="X664" s="2054"/>
      <c r="Y664" s="2054"/>
      <c r="Z664" s="2054"/>
      <c r="AA664" s="2054"/>
      <c r="AB664" s="2054"/>
      <c r="AC664" s="2054"/>
    </row>
    <row r="665" spans="1:29">
      <c r="A665" s="2054"/>
      <c r="B665" s="2054"/>
      <c r="C665" s="2054"/>
      <c r="D665" s="2054"/>
      <c r="E665" s="2054"/>
      <c r="F665" s="2054"/>
      <c r="G665" s="2054"/>
      <c r="H665" s="2054"/>
      <c r="I665" s="2054"/>
      <c r="J665" s="2054"/>
      <c r="K665" s="2055"/>
      <c r="L665" s="2056"/>
      <c r="M665" s="2054"/>
      <c r="N665" s="2054"/>
      <c r="O665" s="2054"/>
      <c r="P665" s="2095"/>
      <c r="Q665" s="2054"/>
      <c r="R665" s="2054"/>
      <c r="S665" s="2054"/>
      <c r="T665" s="2054"/>
      <c r="U665" s="2054"/>
      <c r="V665" s="2054"/>
      <c r="W665" s="2054"/>
      <c r="X665" s="2054"/>
      <c r="Y665" s="2054"/>
      <c r="Z665" s="2054"/>
      <c r="AA665" s="2054"/>
      <c r="AB665" s="2054"/>
      <c r="AC665" s="2054"/>
    </row>
    <row r="666" spans="1:29">
      <c r="A666" s="2054"/>
      <c r="B666" s="2054"/>
      <c r="C666" s="2054"/>
      <c r="D666" s="2054"/>
      <c r="E666" s="2054"/>
      <c r="F666" s="2054"/>
      <c r="G666" s="2054"/>
      <c r="H666" s="2054"/>
      <c r="I666" s="2054"/>
      <c r="J666" s="2054"/>
      <c r="K666" s="2055"/>
      <c r="L666" s="2056"/>
      <c r="M666" s="2054"/>
      <c r="N666" s="2054"/>
      <c r="O666" s="2054"/>
      <c r="P666" s="2095"/>
      <c r="Q666" s="2054"/>
      <c r="R666" s="2054"/>
      <c r="S666" s="2054"/>
      <c r="T666" s="2054"/>
      <c r="U666" s="2054"/>
      <c r="V666" s="2054"/>
      <c r="W666" s="2054"/>
      <c r="X666" s="2054"/>
      <c r="Y666" s="2054"/>
      <c r="Z666" s="2054"/>
      <c r="AA666" s="2054"/>
      <c r="AB666" s="2054"/>
      <c r="AC666" s="2054"/>
    </row>
    <row r="667" spans="1:29">
      <c r="A667" s="2054"/>
      <c r="B667" s="2054"/>
      <c r="C667" s="2054"/>
      <c r="D667" s="2054"/>
      <c r="E667" s="2054"/>
      <c r="F667" s="2054"/>
      <c r="G667" s="2054"/>
      <c r="H667" s="2054"/>
      <c r="I667" s="2054"/>
      <c r="J667" s="2054"/>
      <c r="K667" s="2055"/>
      <c r="L667" s="2056"/>
      <c r="M667" s="2054"/>
      <c r="N667" s="2054"/>
      <c r="O667" s="2054"/>
      <c r="P667" s="2095"/>
      <c r="Q667" s="2054"/>
      <c r="R667" s="2054"/>
      <c r="S667" s="2054"/>
      <c r="T667" s="2054"/>
      <c r="U667" s="2054"/>
      <c r="V667" s="2054"/>
      <c r="W667" s="2054"/>
      <c r="X667" s="2054"/>
      <c r="Y667" s="2054"/>
      <c r="Z667" s="2054"/>
      <c r="AA667" s="2054"/>
      <c r="AB667" s="2054"/>
      <c r="AC667" s="2054"/>
    </row>
    <row r="668" spans="1:29">
      <c r="A668" s="2054"/>
      <c r="B668" s="2054"/>
      <c r="C668" s="2054"/>
      <c r="D668" s="2054"/>
      <c r="E668" s="2054"/>
      <c r="F668" s="2054"/>
      <c r="G668" s="2054"/>
      <c r="H668" s="2054"/>
      <c r="I668" s="2054"/>
      <c r="J668" s="2054"/>
      <c r="K668" s="2055"/>
      <c r="L668" s="2056"/>
      <c r="M668" s="2054"/>
      <c r="N668" s="2054"/>
      <c r="O668" s="2054"/>
      <c r="P668" s="2095"/>
      <c r="Q668" s="2054"/>
      <c r="R668" s="2054"/>
      <c r="S668" s="2054"/>
      <c r="T668" s="2054"/>
      <c r="U668" s="2054"/>
      <c r="V668" s="2054"/>
      <c r="W668" s="2054"/>
      <c r="X668" s="2054"/>
      <c r="Y668" s="2054"/>
      <c r="Z668" s="2054"/>
      <c r="AA668" s="2054"/>
      <c r="AB668" s="2054"/>
      <c r="AC668" s="2054"/>
    </row>
    <row r="669" spans="1:29">
      <c r="A669" s="2054"/>
      <c r="B669" s="2054"/>
      <c r="C669" s="2054"/>
      <c r="D669" s="2054"/>
      <c r="E669" s="2054"/>
      <c r="F669" s="2054"/>
      <c r="G669" s="2054"/>
      <c r="H669" s="2054"/>
      <c r="I669" s="2054"/>
      <c r="J669" s="2054"/>
      <c r="K669" s="2055"/>
      <c r="L669" s="2056"/>
      <c r="M669" s="2054"/>
      <c r="N669" s="2054"/>
      <c r="O669" s="2054"/>
      <c r="P669" s="2095"/>
      <c r="Q669" s="2054"/>
      <c r="R669" s="2054"/>
      <c r="S669" s="2054"/>
      <c r="T669" s="2054"/>
      <c r="U669" s="2054"/>
      <c r="V669" s="2054"/>
      <c r="W669" s="2054"/>
      <c r="X669" s="2054"/>
      <c r="Y669" s="2054"/>
      <c r="Z669" s="2054"/>
      <c r="AA669" s="2054"/>
      <c r="AB669" s="2054"/>
      <c r="AC669" s="2054"/>
    </row>
    <row r="670" spans="1:29">
      <c r="A670" s="2054"/>
      <c r="B670" s="2054"/>
      <c r="C670" s="2054"/>
      <c r="D670" s="2054"/>
      <c r="E670" s="2054"/>
      <c r="F670" s="2054"/>
      <c r="G670" s="2054"/>
      <c r="H670" s="2054"/>
      <c r="I670" s="2054"/>
      <c r="J670" s="2054"/>
      <c r="K670" s="2055"/>
      <c r="L670" s="2056"/>
      <c r="M670" s="2054"/>
      <c r="N670" s="2054"/>
      <c r="O670" s="2054"/>
      <c r="P670" s="2095"/>
      <c r="Q670" s="2054"/>
      <c r="R670" s="2054"/>
      <c r="S670" s="2054"/>
      <c r="T670" s="2054"/>
      <c r="U670" s="2054"/>
      <c r="V670" s="2054"/>
      <c r="W670" s="2054"/>
      <c r="X670" s="2054"/>
      <c r="Y670" s="2054"/>
      <c r="Z670" s="2054"/>
      <c r="AA670" s="2054"/>
      <c r="AB670" s="2054"/>
      <c r="AC670" s="2054"/>
    </row>
    <row r="671" spans="1:29">
      <c r="A671" s="2054"/>
      <c r="B671" s="2054"/>
      <c r="C671" s="2054"/>
      <c r="D671" s="2054"/>
      <c r="E671" s="2054"/>
      <c r="F671" s="2054"/>
      <c r="G671" s="2054"/>
      <c r="H671" s="2054"/>
      <c r="I671" s="2054"/>
      <c r="J671" s="2054"/>
      <c r="K671" s="2055"/>
      <c r="L671" s="2056"/>
      <c r="M671" s="2054"/>
      <c r="N671" s="2054"/>
      <c r="O671" s="2054"/>
      <c r="P671" s="2095"/>
      <c r="Q671" s="2054"/>
      <c r="R671" s="2054"/>
      <c r="S671" s="2054"/>
      <c r="T671" s="2054"/>
      <c r="U671" s="2054"/>
      <c r="V671" s="2054"/>
      <c r="W671" s="2054"/>
      <c r="X671" s="2054"/>
      <c r="Y671" s="2054"/>
      <c r="Z671" s="2054"/>
      <c r="AA671" s="2054"/>
      <c r="AB671" s="2054"/>
      <c r="AC671" s="2054"/>
    </row>
    <row r="672" spans="1:29">
      <c r="A672" s="2054"/>
      <c r="B672" s="2054"/>
      <c r="C672" s="2054"/>
      <c r="D672" s="2054"/>
      <c r="E672" s="2054"/>
      <c r="F672" s="2054"/>
      <c r="G672" s="2054"/>
      <c r="H672" s="2054"/>
      <c r="I672" s="2054"/>
      <c r="J672" s="2054"/>
      <c r="K672" s="2055"/>
      <c r="L672" s="2056"/>
      <c r="M672" s="2054"/>
      <c r="N672" s="2054"/>
      <c r="O672" s="2054"/>
      <c r="P672" s="2095"/>
      <c r="Q672" s="2054"/>
      <c r="R672" s="2054"/>
      <c r="S672" s="2054"/>
      <c r="T672" s="2054"/>
      <c r="U672" s="2054"/>
      <c r="V672" s="2054"/>
      <c r="W672" s="2054"/>
      <c r="X672" s="2054"/>
      <c r="Y672" s="2054"/>
      <c r="Z672" s="2054"/>
      <c r="AA672" s="2054"/>
      <c r="AB672" s="2054"/>
      <c r="AC672" s="2054"/>
    </row>
    <row r="673" spans="1:29">
      <c r="A673" s="2054"/>
      <c r="B673" s="2054"/>
      <c r="C673" s="2054"/>
      <c r="D673" s="2054"/>
      <c r="E673" s="2054"/>
      <c r="F673" s="2054"/>
      <c r="G673" s="2054"/>
      <c r="H673" s="2054"/>
      <c r="I673" s="2054"/>
      <c r="J673" s="2054"/>
      <c r="K673" s="2055"/>
      <c r="L673" s="2056"/>
      <c r="M673" s="2054"/>
      <c r="N673" s="2054"/>
      <c r="O673" s="2054"/>
      <c r="P673" s="2095"/>
      <c r="Q673" s="2054"/>
      <c r="R673" s="2054"/>
      <c r="S673" s="2054"/>
      <c r="T673" s="2054"/>
      <c r="U673" s="2054"/>
      <c r="V673" s="2054"/>
      <c r="W673" s="2054"/>
      <c r="X673" s="2054"/>
      <c r="Y673" s="2054"/>
      <c r="Z673" s="2054"/>
      <c r="AA673" s="2054"/>
      <c r="AB673" s="2054"/>
      <c r="AC673" s="2054"/>
    </row>
    <row r="674" spans="1:29">
      <c r="A674" s="2054"/>
      <c r="B674" s="2054"/>
      <c r="C674" s="2054"/>
      <c r="D674" s="2054"/>
      <c r="E674" s="2054"/>
      <c r="F674" s="2054"/>
      <c r="G674" s="2054"/>
      <c r="H674" s="2054"/>
      <c r="I674" s="2054"/>
      <c r="J674" s="2054"/>
      <c r="K674" s="2055"/>
      <c r="L674" s="2056"/>
      <c r="M674" s="2054"/>
      <c r="N674" s="2054"/>
      <c r="O674" s="2054"/>
      <c r="P674" s="2095"/>
      <c r="Q674" s="2054"/>
      <c r="R674" s="2054"/>
      <c r="S674" s="2054"/>
      <c r="T674" s="2054"/>
      <c r="U674" s="2054"/>
      <c r="V674" s="2054"/>
      <c r="W674" s="2054"/>
      <c r="X674" s="2054"/>
      <c r="Y674" s="2054"/>
      <c r="Z674" s="2054"/>
      <c r="AA674" s="2054"/>
      <c r="AB674" s="2054"/>
      <c r="AC674" s="2054"/>
    </row>
    <row r="675" spans="1:29">
      <c r="A675" s="2054"/>
      <c r="B675" s="2054"/>
      <c r="C675" s="2054"/>
      <c r="D675" s="2054"/>
      <c r="E675" s="2054"/>
      <c r="F675" s="2054"/>
      <c r="G675" s="2054"/>
      <c r="H675" s="2054"/>
      <c r="I675" s="2054"/>
      <c r="J675" s="2054"/>
      <c r="K675" s="2055"/>
      <c r="L675" s="2056"/>
      <c r="M675" s="2054"/>
      <c r="N675" s="2054"/>
      <c r="O675" s="2054"/>
      <c r="P675" s="2095"/>
      <c r="Q675" s="2054"/>
      <c r="R675" s="2054"/>
      <c r="S675" s="2054"/>
      <c r="T675" s="2054"/>
      <c r="U675" s="2054"/>
      <c r="V675" s="2054"/>
      <c r="W675" s="2054"/>
      <c r="X675" s="2054"/>
      <c r="Y675" s="2054"/>
      <c r="Z675" s="2054"/>
      <c r="AA675" s="2054"/>
      <c r="AB675" s="2054"/>
      <c r="AC675" s="2054"/>
    </row>
    <row r="676" spans="1:29">
      <c r="A676" s="2054"/>
      <c r="B676" s="2054"/>
      <c r="C676" s="2054"/>
      <c r="D676" s="2054"/>
      <c r="E676" s="2054"/>
      <c r="F676" s="2054"/>
      <c r="G676" s="2054"/>
      <c r="H676" s="2054"/>
      <c r="I676" s="2054"/>
      <c r="J676" s="2054"/>
      <c r="K676" s="2055"/>
      <c r="L676" s="2056"/>
      <c r="M676" s="2054"/>
      <c r="N676" s="2054"/>
      <c r="O676" s="2054"/>
      <c r="P676" s="2095"/>
      <c r="Q676" s="2054"/>
      <c r="R676" s="2054"/>
      <c r="S676" s="2054"/>
      <c r="T676" s="2054"/>
      <c r="U676" s="2054"/>
      <c r="V676" s="2054"/>
      <c r="W676" s="2054"/>
      <c r="X676" s="2054"/>
      <c r="Y676" s="2054"/>
      <c r="Z676" s="2054"/>
      <c r="AA676" s="2054"/>
      <c r="AB676" s="2054"/>
      <c r="AC676" s="2054"/>
    </row>
    <row r="677" spans="1:29">
      <c r="A677" s="2054"/>
      <c r="B677" s="2054"/>
      <c r="C677" s="2054"/>
      <c r="D677" s="2054"/>
      <c r="E677" s="2054"/>
      <c r="F677" s="2054"/>
      <c r="G677" s="2054"/>
      <c r="H677" s="2054"/>
      <c r="I677" s="2054"/>
      <c r="J677" s="2054"/>
      <c r="K677" s="2055"/>
      <c r="L677" s="2056"/>
      <c r="M677" s="2054"/>
      <c r="N677" s="2054"/>
      <c r="O677" s="2054"/>
      <c r="P677" s="2095"/>
      <c r="Q677" s="2054"/>
      <c r="R677" s="2054"/>
      <c r="S677" s="2054"/>
      <c r="T677" s="2054"/>
      <c r="U677" s="2054"/>
      <c r="V677" s="2054"/>
      <c r="W677" s="2054"/>
      <c r="X677" s="2054"/>
      <c r="Y677" s="2054"/>
      <c r="Z677" s="2054"/>
      <c r="AA677" s="2054"/>
      <c r="AB677" s="2054"/>
      <c r="AC677" s="2054"/>
    </row>
    <row r="678" spans="1:29">
      <c r="A678" s="2054"/>
      <c r="B678" s="2054"/>
      <c r="C678" s="2054"/>
      <c r="D678" s="2054"/>
      <c r="E678" s="2054"/>
      <c r="F678" s="2054"/>
      <c r="G678" s="2054"/>
      <c r="H678" s="2054"/>
      <c r="I678" s="2054"/>
      <c r="J678" s="2054"/>
      <c r="K678" s="2055"/>
      <c r="L678" s="2056"/>
      <c r="M678" s="2054"/>
      <c r="N678" s="2054"/>
      <c r="O678" s="2054"/>
      <c r="P678" s="2095"/>
      <c r="Q678" s="2054"/>
      <c r="R678" s="2054"/>
      <c r="S678" s="2054"/>
      <c r="T678" s="2054"/>
      <c r="U678" s="2054"/>
      <c r="V678" s="2054"/>
      <c r="W678" s="2054"/>
      <c r="X678" s="2054"/>
      <c r="Y678" s="2054"/>
      <c r="Z678" s="2054"/>
      <c r="AA678" s="2054"/>
      <c r="AB678" s="2054"/>
      <c r="AC678" s="2054"/>
    </row>
    <row r="679" spans="1:29">
      <c r="A679" s="2054"/>
      <c r="B679" s="2054"/>
      <c r="C679" s="2054"/>
      <c r="D679" s="2054"/>
      <c r="E679" s="2054"/>
      <c r="F679" s="2054"/>
      <c r="G679" s="2054"/>
      <c r="H679" s="2054"/>
      <c r="I679" s="2054"/>
      <c r="J679" s="2054"/>
      <c r="K679" s="2055"/>
      <c r="L679" s="2056"/>
      <c r="M679" s="2054"/>
      <c r="N679" s="2054"/>
      <c r="O679" s="2054"/>
      <c r="P679" s="2095"/>
      <c r="Q679" s="2054"/>
      <c r="R679" s="2054"/>
      <c r="S679" s="2054"/>
      <c r="T679" s="2054"/>
      <c r="U679" s="2054"/>
      <c r="V679" s="2054"/>
      <c r="W679" s="2054"/>
      <c r="X679" s="2054"/>
      <c r="Y679" s="2054"/>
      <c r="Z679" s="2054"/>
      <c r="AA679" s="2054"/>
      <c r="AB679" s="2054"/>
      <c r="AC679" s="2054"/>
    </row>
    <row r="680" spans="1:29">
      <c r="A680" s="2054"/>
      <c r="B680" s="2054"/>
      <c r="C680" s="2054"/>
      <c r="D680" s="2054"/>
      <c r="E680" s="2054"/>
      <c r="F680" s="2054"/>
      <c r="G680" s="2054"/>
      <c r="H680" s="2054"/>
      <c r="I680" s="2054"/>
      <c r="J680" s="2054"/>
      <c r="K680" s="2055"/>
      <c r="L680" s="2056"/>
      <c r="M680" s="2054"/>
      <c r="N680" s="2054"/>
      <c r="O680" s="2054"/>
      <c r="P680" s="2095"/>
      <c r="Q680" s="2054"/>
      <c r="R680" s="2054"/>
      <c r="S680" s="2054"/>
      <c r="T680" s="2054"/>
      <c r="U680" s="2054"/>
      <c r="V680" s="2054"/>
      <c r="W680" s="2054"/>
      <c r="X680" s="2054"/>
      <c r="Y680" s="2054"/>
      <c r="Z680" s="2054"/>
      <c r="AA680" s="2054"/>
      <c r="AB680" s="2054"/>
      <c r="AC680" s="2054"/>
    </row>
    <row r="681" spans="1:29">
      <c r="A681" s="2054"/>
      <c r="B681" s="2054"/>
      <c r="C681" s="2054"/>
      <c r="D681" s="2054"/>
      <c r="E681" s="2054"/>
      <c r="F681" s="2054"/>
      <c r="G681" s="2054"/>
      <c r="H681" s="2054"/>
      <c r="I681" s="2054"/>
      <c r="J681" s="2054"/>
      <c r="K681" s="2055"/>
      <c r="L681" s="2056"/>
      <c r="M681" s="2054"/>
      <c r="N681" s="2054"/>
      <c r="O681" s="2054"/>
      <c r="P681" s="2095"/>
      <c r="Q681" s="2054"/>
      <c r="R681" s="2054"/>
      <c r="S681" s="2054"/>
      <c r="T681" s="2054"/>
      <c r="U681" s="2054"/>
      <c r="V681" s="2054"/>
      <c r="W681" s="2054"/>
      <c r="X681" s="2054"/>
      <c r="Y681" s="2054"/>
      <c r="Z681" s="2054"/>
      <c r="AA681" s="2054"/>
      <c r="AB681" s="2054"/>
      <c r="AC681" s="2054"/>
    </row>
    <row r="682" spans="1:29">
      <c r="A682" s="2054"/>
      <c r="B682" s="2054"/>
      <c r="C682" s="2054"/>
      <c r="D682" s="2054"/>
      <c r="E682" s="2054"/>
      <c r="F682" s="2054"/>
      <c r="G682" s="2054"/>
      <c r="H682" s="2054"/>
      <c r="I682" s="2054"/>
      <c r="J682" s="2054"/>
      <c r="K682" s="2055"/>
      <c r="L682" s="2056"/>
      <c r="M682" s="2054"/>
      <c r="N682" s="2054"/>
      <c r="O682" s="2054"/>
      <c r="P682" s="2095"/>
      <c r="Q682" s="2054"/>
      <c r="R682" s="2054"/>
      <c r="S682" s="2054"/>
      <c r="T682" s="2054"/>
      <c r="U682" s="2054"/>
      <c r="V682" s="2054"/>
      <c r="W682" s="2054"/>
      <c r="X682" s="2054"/>
      <c r="Y682" s="2054"/>
      <c r="Z682" s="2054"/>
      <c r="AA682" s="2054"/>
      <c r="AB682" s="2054"/>
      <c r="AC682" s="2054"/>
    </row>
    <row r="683" spans="1:29">
      <c r="A683" s="2054"/>
      <c r="B683" s="2054"/>
      <c r="C683" s="2054"/>
      <c r="D683" s="2054"/>
      <c r="E683" s="2054"/>
      <c r="F683" s="2054"/>
      <c r="G683" s="2054"/>
      <c r="H683" s="2054"/>
      <c r="I683" s="2054"/>
      <c r="J683" s="2054"/>
      <c r="K683" s="2055"/>
      <c r="L683" s="2056"/>
      <c r="M683" s="2054"/>
      <c r="N683" s="2054"/>
      <c r="O683" s="2054"/>
      <c r="P683" s="2095"/>
      <c r="Q683" s="2054"/>
      <c r="R683" s="2054"/>
      <c r="S683" s="2054"/>
      <c r="T683" s="2054"/>
      <c r="U683" s="2054"/>
      <c r="V683" s="2054"/>
      <c r="W683" s="2054"/>
      <c r="X683" s="2054"/>
      <c r="Y683" s="2054"/>
      <c r="Z683" s="2054"/>
      <c r="AA683" s="2054"/>
      <c r="AB683" s="2054"/>
      <c r="AC683" s="2054"/>
    </row>
    <row r="684" spans="1:29">
      <c r="A684" s="2054"/>
      <c r="B684" s="2054"/>
      <c r="C684" s="2054"/>
      <c r="D684" s="2054"/>
      <c r="E684" s="2054"/>
      <c r="F684" s="2054"/>
      <c r="G684" s="2054"/>
      <c r="H684" s="2054"/>
      <c r="I684" s="2054"/>
      <c r="J684" s="2054"/>
      <c r="K684" s="2055"/>
      <c r="L684" s="2056"/>
      <c r="M684" s="2054"/>
      <c r="N684" s="2054"/>
      <c r="O684" s="2054"/>
      <c r="P684" s="2095"/>
      <c r="Q684" s="2054"/>
      <c r="R684" s="2054"/>
      <c r="S684" s="2054"/>
      <c r="T684" s="2054"/>
      <c r="U684" s="2054"/>
      <c r="V684" s="2054"/>
      <c r="W684" s="2054"/>
      <c r="X684" s="2054"/>
      <c r="Y684" s="2054"/>
      <c r="Z684" s="2054"/>
      <c r="AA684" s="2054"/>
      <c r="AB684" s="2054"/>
      <c r="AC684" s="2054"/>
    </row>
    <row r="685" spans="1:29">
      <c r="A685" s="2054"/>
      <c r="B685" s="2054"/>
      <c r="C685" s="2054"/>
      <c r="D685" s="2054"/>
      <c r="E685" s="2054"/>
      <c r="F685" s="2054"/>
      <c r="G685" s="2054"/>
      <c r="H685" s="2054"/>
      <c r="I685" s="2054"/>
      <c r="J685" s="2054"/>
      <c r="K685" s="2055"/>
      <c r="L685" s="2056"/>
      <c r="M685" s="2054"/>
      <c r="N685" s="2054"/>
      <c r="O685" s="2054"/>
      <c r="P685" s="2095"/>
      <c r="Q685" s="2054"/>
      <c r="R685" s="2054"/>
      <c r="S685" s="2054"/>
      <c r="T685" s="2054"/>
      <c r="U685" s="2054"/>
      <c r="V685" s="2054"/>
      <c r="W685" s="2054"/>
      <c r="X685" s="2054"/>
      <c r="Y685" s="2054"/>
      <c r="Z685" s="2054"/>
      <c r="AA685" s="2054"/>
      <c r="AB685" s="2054"/>
      <c r="AC685" s="2054"/>
    </row>
    <row r="686" spans="1:29">
      <c r="A686" s="2054"/>
      <c r="B686" s="2054"/>
      <c r="C686" s="2054"/>
      <c r="D686" s="2054"/>
      <c r="E686" s="2054"/>
      <c r="F686" s="2054"/>
      <c r="G686" s="2054"/>
      <c r="H686" s="2054"/>
      <c r="I686" s="2054"/>
      <c r="J686" s="2054"/>
      <c r="K686" s="2055"/>
      <c r="L686" s="2056"/>
      <c r="M686" s="2054"/>
      <c r="N686" s="2054"/>
      <c r="O686" s="2054"/>
      <c r="P686" s="2095"/>
      <c r="Q686" s="2054"/>
      <c r="R686" s="2054"/>
      <c r="S686" s="2054"/>
      <c r="T686" s="2054"/>
      <c r="U686" s="2054"/>
      <c r="V686" s="2054"/>
      <c r="W686" s="2054"/>
      <c r="X686" s="2054"/>
      <c r="Y686" s="2054"/>
      <c r="Z686" s="2054"/>
      <c r="AA686" s="2054"/>
      <c r="AB686" s="2054"/>
      <c r="AC686" s="2054"/>
    </row>
    <row r="687" spans="1:29">
      <c r="A687" s="2054"/>
      <c r="B687" s="2054"/>
      <c r="C687" s="2054"/>
      <c r="D687" s="2054"/>
      <c r="E687" s="2054"/>
      <c r="F687" s="2054"/>
      <c r="G687" s="2054"/>
      <c r="H687" s="2054"/>
      <c r="I687" s="2054"/>
      <c r="J687" s="2054"/>
      <c r="K687" s="2055"/>
      <c r="L687" s="2056"/>
      <c r="M687" s="2054"/>
      <c r="N687" s="2054"/>
      <c r="O687" s="2054"/>
      <c r="P687" s="2095"/>
      <c r="Q687" s="2054"/>
      <c r="R687" s="2054"/>
      <c r="S687" s="2054"/>
      <c r="T687" s="2054"/>
      <c r="U687" s="2054"/>
      <c r="V687" s="2054"/>
      <c r="W687" s="2054"/>
      <c r="X687" s="2054"/>
      <c r="Y687" s="2054"/>
      <c r="Z687" s="2054"/>
      <c r="AA687" s="2054"/>
      <c r="AB687" s="2054"/>
      <c r="AC687" s="2054"/>
    </row>
    <row r="688" spans="1:29">
      <c r="A688" s="2054"/>
      <c r="B688" s="2054"/>
      <c r="C688" s="2054"/>
      <c r="D688" s="2054"/>
      <c r="E688" s="2054"/>
      <c r="F688" s="2054"/>
      <c r="G688" s="2054"/>
      <c r="H688" s="2054"/>
      <c r="I688" s="2054"/>
      <c r="J688" s="2054"/>
      <c r="K688" s="2055"/>
      <c r="L688" s="2056"/>
      <c r="M688" s="2054"/>
      <c r="N688" s="2054"/>
      <c r="O688" s="2054"/>
      <c r="P688" s="2095"/>
      <c r="Q688" s="2054"/>
      <c r="R688" s="2054"/>
      <c r="S688" s="2054"/>
      <c r="T688" s="2054"/>
      <c r="U688" s="2054"/>
      <c r="V688" s="2054"/>
      <c r="W688" s="2054"/>
      <c r="X688" s="2054"/>
      <c r="Y688" s="2054"/>
      <c r="Z688" s="2054"/>
      <c r="AA688" s="2054"/>
      <c r="AB688" s="2054"/>
      <c r="AC688" s="2054"/>
    </row>
    <row r="689" spans="1:29">
      <c r="A689" s="2054"/>
      <c r="B689" s="2054"/>
      <c r="C689" s="2054"/>
      <c r="D689" s="2054"/>
      <c r="E689" s="2054"/>
      <c r="F689" s="2054"/>
      <c r="G689" s="2054"/>
      <c r="H689" s="2054"/>
      <c r="I689" s="2054"/>
      <c r="J689" s="2054"/>
      <c r="K689" s="2055"/>
      <c r="L689" s="2056"/>
      <c r="M689" s="2054"/>
      <c r="N689" s="2054"/>
      <c r="O689" s="2054"/>
      <c r="P689" s="2095"/>
      <c r="Q689" s="2054"/>
      <c r="R689" s="2054"/>
      <c r="S689" s="2054"/>
      <c r="T689" s="2054"/>
      <c r="U689" s="2054"/>
      <c r="V689" s="2054"/>
      <c r="W689" s="2054"/>
      <c r="X689" s="2054"/>
      <c r="Y689" s="2054"/>
      <c r="Z689" s="2054"/>
      <c r="AA689" s="2054"/>
      <c r="AB689" s="2054"/>
      <c r="AC689" s="2054"/>
    </row>
    <row r="690" spans="1:29">
      <c r="A690" s="2054"/>
      <c r="B690" s="2054"/>
      <c r="C690" s="2054"/>
      <c r="D690" s="2054"/>
      <c r="E690" s="2054"/>
      <c r="F690" s="2054"/>
      <c r="G690" s="2054"/>
      <c r="H690" s="2054"/>
      <c r="I690" s="2054"/>
      <c r="J690" s="2054"/>
      <c r="K690" s="2055"/>
      <c r="L690" s="2056"/>
      <c r="M690" s="2054"/>
      <c r="N690" s="2054"/>
      <c r="O690" s="2054"/>
      <c r="P690" s="2095"/>
      <c r="Q690" s="2054"/>
      <c r="R690" s="2054"/>
      <c r="S690" s="2054"/>
      <c r="T690" s="2054"/>
      <c r="U690" s="2054"/>
      <c r="V690" s="2054"/>
      <c r="W690" s="2054"/>
      <c r="X690" s="2054"/>
      <c r="Y690" s="2054"/>
      <c r="Z690" s="2054"/>
      <c r="AA690" s="2054"/>
      <c r="AB690" s="2054"/>
      <c r="AC690" s="2054"/>
    </row>
    <row r="691" spans="1:29">
      <c r="A691" s="2054"/>
      <c r="B691" s="2054"/>
      <c r="C691" s="2054"/>
      <c r="D691" s="2054"/>
      <c r="E691" s="2054"/>
      <c r="F691" s="2054"/>
      <c r="G691" s="2054"/>
      <c r="H691" s="2054"/>
      <c r="I691" s="2054"/>
      <c r="J691" s="2054"/>
      <c r="K691" s="2055"/>
      <c r="L691" s="2056"/>
      <c r="M691" s="2054"/>
      <c r="N691" s="2054"/>
      <c r="O691" s="2054"/>
      <c r="P691" s="2095"/>
      <c r="Q691" s="2054"/>
      <c r="R691" s="2054"/>
      <c r="S691" s="2054"/>
      <c r="T691" s="2054"/>
      <c r="U691" s="2054"/>
      <c r="V691" s="2054"/>
      <c r="W691" s="2054"/>
      <c r="X691" s="2054"/>
      <c r="Y691" s="2054"/>
      <c r="Z691" s="2054"/>
      <c r="AA691" s="2054"/>
      <c r="AB691" s="2054"/>
      <c r="AC691" s="2054"/>
    </row>
    <row r="692" spans="1:29">
      <c r="A692" s="2054"/>
      <c r="B692" s="2054"/>
      <c r="C692" s="2054"/>
      <c r="D692" s="2054"/>
      <c r="E692" s="2054"/>
      <c r="F692" s="2054"/>
      <c r="G692" s="2054"/>
      <c r="H692" s="2054"/>
      <c r="I692" s="2054"/>
      <c r="J692" s="2054"/>
      <c r="K692" s="2055"/>
      <c r="L692" s="2056"/>
      <c r="M692" s="2054"/>
      <c r="N692" s="2054"/>
      <c r="O692" s="2054"/>
      <c r="P692" s="2095"/>
      <c r="Q692" s="2054"/>
      <c r="R692" s="2054"/>
      <c r="S692" s="2054"/>
      <c r="T692" s="2054"/>
      <c r="U692" s="2054"/>
      <c r="V692" s="2054"/>
      <c r="W692" s="2054"/>
      <c r="X692" s="2054"/>
      <c r="Y692" s="2054"/>
      <c r="Z692" s="2054"/>
      <c r="AA692" s="2054"/>
      <c r="AB692" s="2054"/>
      <c r="AC692" s="2054"/>
    </row>
    <row r="693" spans="1:29">
      <c r="A693" s="2054"/>
      <c r="B693" s="2054"/>
      <c r="C693" s="2054"/>
      <c r="D693" s="2054"/>
      <c r="E693" s="2054"/>
      <c r="F693" s="2054"/>
      <c r="G693" s="2054"/>
      <c r="H693" s="2054"/>
      <c r="I693" s="2054"/>
      <c r="J693" s="2054"/>
      <c r="K693" s="2055"/>
      <c r="L693" s="2056"/>
      <c r="M693" s="2054"/>
      <c r="N693" s="2054"/>
      <c r="O693" s="2054"/>
      <c r="P693" s="2095"/>
      <c r="Q693" s="2054"/>
      <c r="R693" s="2054"/>
      <c r="S693" s="2054"/>
      <c r="T693" s="2054"/>
      <c r="U693" s="2054"/>
      <c r="V693" s="2054"/>
      <c r="W693" s="2054"/>
      <c r="X693" s="2054"/>
      <c r="Y693" s="2054"/>
      <c r="Z693" s="2054"/>
      <c r="AA693" s="2054"/>
      <c r="AB693" s="2054"/>
      <c r="AC693" s="2054"/>
    </row>
    <row r="694" spans="1:29">
      <c r="A694" s="2054"/>
      <c r="B694" s="2054"/>
      <c r="C694" s="2054"/>
      <c r="D694" s="2054"/>
      <c r="E694" s="2054"/>
      <c r="F694" s="2054"/>
      <c r="G694" s="2054"/>
      <c r="H694" s="2054"/>
      <c r="I694" s="2054"/>
      <c r="J694" s="2054"/>
      <c r="K694" s="2055"/>
      <c r="L694" s="2056"/>
      <c r="M694" s="2054"/>
      <c r="N694" s="2054"/>
      <c r="O694" s="2054"/>
      <c r="P694" s="2095"/>
      <c r="Q694" s="2054"/>
      <c r="R694" s="2054"/>
      <c r="S694" s="2054"/>
      <c r="T694" s="2054"/>
      <c r="U694" s="2054"/>
      <c r="V694" s="2054"/>
      <c r="W694" s="2054"/>
      <c r="X694" s="2054"/>
      <c r="Y694" s="2054"/>
      <c r="Z694" s="2054"/>
      <c r="AA694" s="2054"/>
      <c r="AB694" s="2054"/>
      <c r="AC694" s="2054"/>
    </row>
    <row r="695" spans="1:29">
      <c r="A695" s="2054"/>
      <c r="B695" s="2054"/>
      <c r="C695" s="2054"/>
      <c r="D695" s="2054"/>
      <c r="E695" s="2054"/>
      <c r="F695" s="2054"/>
      <c r="G695" s="2054"/>
      <c r="H695" s="2054"/>
      <c r="I695" s="2054"/>
      <c r="J695" s="2054"/>
      <c r="K695" s="2055"/>
      <c r="L695" s="2056"/>
      <c r="M695" s="2054"/>
      <c r="N695" s="2054"/>
      <c r="O695" s="2054"/>
      <c r="P695" s="2095"/>
      <c r="Q695" s="2054"/>
      <c r="R695" s="2054"/>
      <c r="S695" s="2054"/>
      <c r="T695" s="2054"/>
      <c r="U695" s="2054"/>
      <c r="V695" s="2054"/>
      <c r="W695" s="2054"/>
      <c r="X695" s="2054"/>
      <c r="Y695" s="2054"/>
      <c r="Z695" s="2054"/>
      <c r="AA695" s="2054"/>
      <c r="AB695" s="2054"/>
      <c r="AC695" s="2054"/>
    </row>
    <row r="696" spans="1:29">
      <c r="A696" s="2054"/>
      <c r="B696" s="2054"/>
      <c r="C696" s="2054"/>
      <c r="D696" s="2054"/>
      <c r="E696" s="2054"/>
      <c r="F696" s="2054"/>
      <c r="G696" s="2054"/>
      <c r="H696" s="2054"/>
      <c r="I696" s="2054"/>
      <c r="J696" s="2054"/>
      <c r="K696" s="2055"/>
      <c r="L696" s="2056"/>
      <c r="M696" s="2054"/>
      <c r="N696" s="2054"/>
      <c r="O696" s="2054"/>
      <c r="P696" s="2095"/>
      <c r="Q696" s="2054"/>
      <c r="R696" s="2054"/>
      <c r="S696" s="2054"/>
      <c r="T696" s="2054"/>
      <c r="U696" s="2054"/>
      <c r="V696" s="2054"/>
      <c r="W696" s="2054"/>
      <c r="X696" s="2054"/>
      <c r="Y696" s="2054"/>
      <c r="Z696" s="2054"/>
      <c r="AA696" s="2054"/>
      <c r="AB696" s="2054"/>
      <c r="AC696" s="2054"/>
    </row>
    <row r="697" spans="1:29">
      <c r="A697" s="2054"/>
      <c r="B697" s="2054"/>
      <c r="C697" s="2054"/>
      <c r="D697" s="2054"/>
      <c r="E697" s="2054"/>
      <c r="F697" s="2054"/>
      <c r="G697" s="2054"/>
      <c r="H697" s="2054"/>
      <c r="I697" s="2054"/>
      <c r="J697" s="2054"/>
      <c r="K697" s="2055"/>
      <c r="L697" s="2056"/>
      <c r="M697" s="2054"/>
      <c r="N697" s="2054"/>
      <c r="O697" s="2054"/>
      <c r="P697" s="2095"/>
      <c r="Q697" s="2054"/>
      <c r="R697" s="2054"/>
      <c r="S697" s="2054"/>
      <c r="T697" s="2054"/>
      <c r="U697" s="2054"/>
      <c r="V697" s="2054"/>
      <c r="W697" s="2054"/>
      <c r="X697" s="2054"/>
      <c r="Y697" s="2054"/>
      <c r="Z697" s="2054"/>
      <c r="AA697" s="2054"/>
      <c r="AB697" s="2054"/>
      <c r="AC697" s="2054"/>
    </row>
    <row r="698" spans="1:29">
      <c r="A698" s="2054"/>
      <c r="B698" s="2054"/>
      <c r="C698" s="2054"/>
      <c r="D698" s="2054"/>
      <c r="E698" s="2054"/>
      <c r="F698" s="2054"/>
      <c r="G698" s="2054"/>
      <c r="H698" s="2054"/>
      <c r="I698" s="2054"/>
      <c r="J698" s="2054"/>
      <c r="K698" s="2055"/>
      <c r="L698" s="2056"/>
      <c r="M698" s="2054"/>
      <c r="N698" s="2054"/>
      <c r="O698" s="2054"/>
      <c r="P698" s="2095"/>
      <c r="Q698" s="2054"/>
      <c r="R698" s="2054"/>
      <c r="S698" s="2054"/>
      <c r="T698" s="2054"/>
      <c r="U698" s="2054"/>
      <c r="V698" s="2054"/>
      <c r="W698" s="2054"/>
      <c r="X698" s="2054"/>
      <c r="Y698" s="2054"/>
      <c r="Z698" s="2054"/>
      <c r="AA698" s="2054"/>
      <c r="AB698" s="2054"/>
      <c r="AC698" s="2054"/>
    </row>
    <row r="699" spans="1:29">
      <c r="A699" s="2054"/>
      <c r="B699" s="2054"/>
      <c r="C699" s="2054"/>
      <c r="D699" s="2054"/>
      <c r="E699" s="2054"/>
      <c r="F699" s="2054"/>
      <c r="G699" s="2054"/>
      <c r="H699" s="2054"/>
      <c r="I699" s="2054"/>
      <c r="J699" s="2054"/>
      <c r="K699" s="2055"/>
      <c r="L699" s="2056"/>
      <c r="M699" s="2054"/>
      <c r="N699" s="2054"/>
      <c r="O699" s="2054"/>
      <c r="P699" s="2095"/>
      <c r="Q699" s="2054"/>
      <c r="R699" s="2054"/>
      <c r="S699" s="2054"/>
      <c r="T699" s="2054"/>
      <c r="U699" s="2054"/>
      <c r="V699" s="2054"/>
      <c r="W699" s="2054"/>
      <c r="X699" s="2054"/>
      <c r="Y699" s="2054"/>
      <c r="Z699" s="2054"/>
      <c r="AA699" s="2054"/>
      <c r="AB699" s="2054"/>
      <c r="AC699" s="2054"/>
    </row>
    <row r="700" spans="1:29">
      <c r="A700" s="2054"/>
      <c r="B700" s="2054"/>
      <c r="C700" s="2054"/>
      <c r="D700" s="2054"/>
      <c r="E700" s="2054"/>
      <c r="F700" s="2054"/>
      <c r="G700" s="2054"/>
      <c r="H700" s="2054"/>
      <c r="I700" s="2054"/>
      <c r="J700" s="2054"/>
      <c r="K700" s="2055"/>
      <c r="L700" s="2056"/>
      <c r="M700" s="2054"/>
      <c r="N700" s="2054"/>
      <c r="O700" s="2054"/>
      <c r="P700" s="2095"/>
      <c r="Q700" s="2054"/>
      <c r="R700" s="2054"/>
      <c r="S700" s="2054"/>
      <c r="T700" s="2054"/>
      <c r="U700" s="2054"/>
      <c r="V700" s="2054"/>
      <c r="W700" s="2054"/>
      <c r="X700" s="2054"/>
      <c r="Y700" s="2054"/>
      <c r="Z700" s="2054"/>
      <c r="AA700" s="2054"/>
      <c r="AB700" s="2054"/>
      <c r="AC700" s="2054"/>
    </row>
    <row r="701" spans="1:29">
      <c r="A701" s="2054"/>
      <c r="B701" s="2054"/>
      <c r="C701" s="2054"/>
      <c r="D701" s="2054"/>
      <c r="E701" s="2054"/>
      <c r="F701" s="2054"/>
      <c r="G701" s="2054"/>
      <c r="H701" s="2054"/>
      <c r="I701" s="2054"/>
      <c r="J701" s="2054"/>
      <c r="K701" s="2055"/>
      <c r="L701" s="2056"/>
      <c r="M701" s="2054"/>
      <c r="N701" s="2054"/>
      <c r="O701" s="2054"/>
      <c r="P701" s="2095"/>
      <c r="Q701" s="2054"/>
      <c r="R701" s="2054"/>
      <c r="S701" s="2054"/>
      <c r="T701" s="2054"/>
      <c r="U701" s="2054"/>
      <c r="V701" s="2054"/>
      <c r="W701" s="2054"/>
      <c r="X701" s="2054"/>
      <c r="Y701" s="2054"/>
      <c r="Z701" s="2054"/>
      <c r="AA701" s="2054"/>
      <c r="AB701" s="2054"/>
      <c r="AC701" s="2054"/>
    </row>
    <row r="702" spans="1:29">
      <c r="A702" s="2054"/>
      <c r="B702" s="2054"/>
      <c r="C702" s="2054"/>
      <c r="D702" s="2054"/>
      <c r="E702" s="2054"/>
      <c r="F702" s="2054"/>
      <c r="G702" s="2054"/>
      <c r="H702" s="2054"/>
      <c r="I702" s="2054"/>
      <c r="J702" s="2054"/>
      <c r="K702" s="2055"/>
      <c r="L702" s="2056"/>
      <c r="M702" s="2054"/>
      <c r="N702" s="2054"/>
      <c r="O702" s="2054"/>
      <c r="P702" s="2095"/>
      <c r="Q702" s="2054"/>
      <c r="R702" s="2054"/>
      <c r="S702" s="2054"/>
      <c r="T702" s="2054"/>
      <c r="U702" s="2054"/>
      <c r="V702" s="2054"/>
      <c r="W702" s="2054"/>
      <c r="X702" s="2054"/>
      <c r="Y702" s="2054"/>
      <c r="Z702" s="2054"/>
      <c r="AA702" s="2054"/>
      <c r="AB702" s="2054"/>
      <c r="AC702" s="2054"/>
    </row>
    <row r="703" spans="1:29">
      <c r="A703" s="2054"/>
      <c r="B703" s="2054"/>
      <c r="C703" s="2054"/>
      <c r="D703" s="2054"/>
      <c r="E703" s="2054"/>
      <c r="F703" s="2054"/>
      <c r="G703" s="2054"/>
      <c r="H703" s="2054"/>
      <c r="I703" s="2054"/>
      <c r="J703" s="2054"/>
      <c r="K703" s="2055"/>
      <c r="L703" s="2056"/>
      <c r="M703" s="2054"/>
      <c r="N703" s="2054"/>
      <c r="O703" s="2054"/>
      <c r="P703" s="2095"/>
      <c r="Q703" s="2054"/>
      <c r="R703" s="2054"/>
      <c r="S703" s="2054"/>
      <c r="T703" s="2054"/>
      <c r="U703" s="2054"/>
      <c r="V703" s="2054"/>
      <c r="W703" s="2054"/>
      <c r="X703" s="2054"/>
      <c r="Y703" s="2054"/>
      <c r="Z703" s="2054"/>
      <c r="AA703" s="2054"/>
      <c r="AB703" s="2054"/>
      <c r="AC703" s="2054"/>
    </row>
    <row r="704" spans="1:29">
      <c r="A704" s="2054"/>
      <c r="B704" s="2054"/>
      <c r="C704" s="2054"/>
      <c r="D704" s="2054"/>
      <c r="E704" s="2054"/>
      <c r="F704" s="2054"/>
      <c r="G704" s="2054"/>
      <c r="H704" s="2054"/>
      <c r="I704" s="2054"/>
      <c r="J704" s="2054"/>
      <c r="K704" s="2055"/>
      <c r="L704" s="2056"/>
      <c r="M704" s="2054"/>
      <c r="N704" s="2054"/>
      <c r="O704" s="2054"/>
      <c r="P704" s="2095"/>
      <c r="Q704" s="2054"/>
      <c r="R704" s="2054"/>
      <c r="S704" s="2054"/>
      <c r="T704" s="2054"/>
      <c r="U704" s="2054"/>
      <c r="V704" s="2054"/>
      <c r="W704" s="2054"/>
      <c r="X704" s="2054"/>
      <c r="Y704" s="2054"/>
      <c r="Z704" s="2054"/>
      <c r="AA704" s="2054"/>
      <c r="AB704" s="2054"/>
      <c r="AC704" s="2054"/>
    </row>
    <row r="705" spans="1:29">
      <c r="A705" s="2054"/>
      <c r="B705" s="2054"/>
      <c r="C705" s="2054"/>
      <c r="D705" s="2054"/>
      <c r="E705" s="2054"/>
      <c r="F705" s="2054"/>
      <c r="G705" s="2054"/>
      <c r="H705" s="2054"/>
      <c r="I705" s="2054"/>
      <c r="J705" s="2054"/>
      <c r="K705" s="2055"/>
      <c r="L705" s="2056"/>
      <c r="M705" s="2054"/>
      <c r="N705" s="2054"/>
      <c r="O705" s="2054"/>
      <c r="P705" s="2095"/>
      <c r="Q705" s="2054"/>
      <c r="R705" s="2054"/>
      <c r="S705" s="2054"/>
      <c r="T705" s="2054"/>
      <c r="U705" s="2054"/>
      <c r="V705" s="2054"/>
      <c r="W705" s="2054"/>
      <c r="X705" s="2054"/>
      <c r="Y705" s="2054"/>
      <c r="Z705" s="2054"/>
      <c r="AA705" s="2054"/>
      <c r="AB705" s="2054"/>
      <c r="AC705" s="2054"/>
    </row>
    <row r="706" spans="1:29">
      <c r="A706" s="2054"/>
      <c r="B706" s="2054"/>
      <c r="C706" s="2054"/>
      <c r="D706" s="2054"/>
      <c r="E706" s="2054"/>
      <c r="F706" s="2054"/>
      <c r="G706" s="2054"/>
      <c r="H706" s="2054"/>
      <c r="I706" s="2054"/>
      <c r="J706" s="2054"/>
      <c r="K706" s="2055"/>
      <c r="L706" s="2056"/>
      <c r="M706" s="2054"/>
      <c r="N706" s="2054"/>
      <c r="O706" s="2054"/>
      <c r="P706" s="2095"/>
      <c r="Q706" s="2054"/>
      <c r="R706" s="2054"/>
      <c r="S706" s="2054"/>
      <c r="T706" s="2054"/>
      <c r="U706" s="2054"/>
      <c r="V706" s="2054"/>
      <c r="W706" s="2054"/>
      <c r="X706" s="2054"/>
      <c r="Y706" s="2054"/>
      <c r="Z706" s="2054"/>
      <c r="AA706" s="2054"/>
      <c r="AB706" s="2054"/>
      <c r="AC706" s="2054"/>
    </row>
    <row r="707" spans="1:29">
      <c r="A707" s="2054"/>
      <c r="B707" s="2054"/>
      <c r="C707" s="2054"/>
      <c r="D707" s="2054"/>
      <c r="E707" s="2054"/>
      <c r="F707" s="2054"/>
      <c r="G707" s="2054"/>
      <c r="H707" s="2054"/>
      <c r="I707" s="2054"/>
      <c r="J707" s="2054"/>
      <c r="K707" s="2055"/>
      <c r="L707" s="2056"/>
      <c r="M707" s="2054"/>
      <c r="N707" s="2054"/>
      <c r="O707" s="2054"/>
      <c r="P707" s="2095"/>
      <c r="Q707" s="2054"/>
      <c r="R707" s="2054"/>
      <c r="S707" s="2054"/>
      <c r="T707" s="2054"/>
      <c r="U707" s="2054"/>
      <c r="V707" s="2054"/>
      <c r="W707" s="2054"/>
      <c r="X707" s="2054"/>
      <c r="Y707" s="2054"/>
      <c r="Z707" s="2054"/>
      <c r="AA707" s="2054"/>
      <c r="AB707" s="2054"/>
      <c r="AC707" s="2054"/>
    </row>
    <row r="708" spans="1:29">
      <c r="A708" s="2054"/>
      <c r="B708" s="2054"/>
      <c r="C708" s="2054"/>
      <c r="D708" s="2054"/>
      <c r="E708" s="2054"/>
      <c r="F708" s="2054"/>
      <c r="G708" s="2054"/>
      <c r="H708" s="2054"/>
      <c r="I708" s="2054"/>
      <c r="J708" s="2054"/>
      <c r="K708" s="2055"/>
      <c r="L708" s="2056"/>
      <c r="M708" s="2054"/>
      <c r="N708" s="2054"/>
      <c r="O708" s="2054"/>
      <c r="P708" s="2095"/>
      <c r="Q708" s="2054"/>
      <c r="R708" s="2054"/>
      <c r="S708" s="2054"/>
      <c r="T708" s="2054"/>
      <c r="U708" s="2054"/>
      <c r="V708" s="2054"/>
      <c r="W708" s="2054"/>
      <c r="X708" s="2054"/>
      <c r="Y708" s="2054"/>
      <c r="Z708" s="2054"/>
      <c r="AA708" s="2054"/>
      <c r="AB708" s="2054"/>
      <c r="AC708" s="2054"/>
    </row>
    <row r="709" spans="1:29">
      <c r="A709" s="2054"/>
      <c r="B709" s="2054"/>
      <c r="C709" s="2054"/>
      <c r="D709" s="2054"/>
      <c r="E709" s="2054"/>
      <c r="F709" s="2054"/>
      <c r="G709" s="2054"/>
      <c r="H709" s="2054"/>
      <c r="I709" s="2054"/>
      <c r="J709" s="2054"/>
      <c r="K709" s="2055"/>
      <c r="L709" s="2056"/>
      <c r="M709" s="2054"/>
      <c r="N709" s="2054"/>
      <c r="O709" s="2054"/>
      <c r="P709" s="2095"/>
      <c r="Q709" s="2054"/>
      <c r="R709" s="2054"/>
      <c r="S709" s="2054"/>
      <c r="T709" s="2054"/>
      <c r="U709" s="2054"/>
      <c r="V709" s="2054"/>
      <c r="W709" s="2054"/>
      <c r="X709" s="2054"/>
      <c r="Y709" s="2054"/>
      <c r="Z709" s="2054"/>
      <c r="AA709" s="2054"/>
      <c r="AB709" s="2054"/>
      <c r="AC709" s="2054"/>
    </row>
    <row r="710" spans="1:29">
      <c r="A710" s="2054"/>
      <c r="B710" s="2054"/>
      <c r="C710" s="2054"/>
      <c r="D710" s="2054"/>
      <c r="E710" s="2054"/>
      <c r="F710" s="2054"/>
      <c r="G710" s="2054"/>
      <c r="H710" s="2054"/>
      <c r="I710" s="2054"/>
      <c r="J710" s="2054"/>
      <c r="K710" s="2055"/>
      <c r="L710" s="2056"/>
      <c r="M710" s="2054"/>
      <c r="N710" s="2054"/>
      <c r="O710" s="2054"/>
      <c r="P710" s="2095"/>
      <c r="Q710" s="2054"/>
      <c r="R710" s="2054"/>
      <c r="S710" s="2054"/>
      <c r="T710" s="2054"/>
      <c r="U710" s="2054"/>
      <c r="V710" s="2054"/>
      <c r="W710" s="2054"/>
      <c r="X710" s="2054"/>
      <c r="Y710" s="2054"/>
      <c r="Z710" s="2054"/>
      <c r="AA710" s="2054"/>
      <c r="AB710" s="2054"/>
      <c r="AC710" s="2054"/>
    </row>
    <row r="711" spans="1:29">
      <c r="A711" s="2054"/>
      <c r="B711" s="2054"/>
      <c r="C711" s="2054"/>
      <c r="D711" s="2054"/>
      <c r="E711" s="2054"/>
      <c r="F711" s="2054"/>
      <c r="G711" s="2054"/>
      <c r="H711" s="2054"/>
      <c r="I711" s="2054"/>
      <c r="J711" s="2054"/>
      <c r="K711" s="2055"/>
      <c r="L711" s="2056"/>
      <c r="M711" s="2054"/>
      <c r="N711" s="2054"/>
      <c r="O711" s="2054"/>
      <c r="P711" s="2095"/>
      <c r="Q711" s="2054"/>
      <c r="R711" s="2054"/>
      <c r="S711" s="2054"/>
      <c r="T711" s="2054"/>
      <c r="U711" s="2054"/>
      <c r="V711" s="2054"/>
      <c r="W711" s="2054"/>
      <c r="X711" s="2054"/>
      <c r="Y711" s="2054"/>
      <c r="Z711" s="2054"/>
      <c r="AA711" s="2054"/>
      <c r="AB711" s="2054"/>
      <c r="AC711" s="2054"/>
    </row>
    <row r="712" spans="1:29">
      <c r="A712" s="2054"/>
      <c r="B712" s="2054"/>
      <c r="C712" s="2054"/>
      <c r="D712" s="2054"/>
      <c r="E712" s="2054"/>
      <c r="F712" s="2054"/>
      <c r="G712" s="2054"/>
      <c r="H712" s="2054"/>
      <c r="I712" s="2054"/>
      <c r="J712" s="2054"/>
      <c r="K712" s="2055"/>
      <c r="L712" s="2056"/>
      <c r="M712" s="2054"/>
      <c r="N712" s="2054"/>
      <c r="O712" s="2054"/>
      <c r="P712" s="2095"/>
      <c r="Q712" s="2054"/>
      <c r="R712" s="2054"/>
      <c r="S712" s="2054"/>
      <c r="T712" s="2054"/>
      <c r="U712" s="2054"/>
      <c r="V712" s="2054"/>
      <c r="W712" s="2054"/>
      <c r="X712" s="2054"/>
      <c r="Y712" s="2054"/>
      <c r="Z712" s="2054"/>
      <c r="AA712" s="2054"/>
      <c r="AB712" s="2054"/>
      <c r="AC712" s="2054"/>
    </row>
    <row r="713" spans="1:29">
      <c r="A713" s="2054"/>
      <c r="B713" s="2054"/>
      <c r="C713" s="2054"/>
      <c r="D713" s="2054"/>
      <c r="E713" s="2054"/>
      <c r="F713" s="2054"/>
      <c r="G713" s="2054"/>
      <c r="H713" s="2054"/>
      <c r="I713" s="2054"/>
      <c r="J713" s="2054"/>
      <c r="K713" s="2055"/>
      <c r="L713" s="2056"/>
      <c r="M713" s="2054"/>
      <c r="N713" s="2054"/>
      <c r="O713" s="2054"/>
      <c r="P713" s="2095"/>
      <c r="Q713" s="2054"/>
      <c r="R713" s="2054"/>
      <c r="S713" s="2054"/>
      <c r="T713" s="2054"/>
      <c r="U713" s="2054"/>
      <c r="V713" s="2054"/>
      <c r="W713" s="2054"/>
      <c r="X713" s="2054"/>
      <c r="Y713" s="2054"/>
      <c r="Z713" s="2054"/>
      <c r="AA713" s="2054"/>
      <c r="AB713" s="2054"/>
      <c r="AC713" s="2054"/>
    </row>
    <row r="714" spans="1:29">
      <c r="A714" s="2054"/>
      <c r="B714" s="2054"/>
      <c r="C714" s="2054"/>
      <c r="D714" s="2054"/>
      <c r="E714" s="2054"/>
      <c r="F714" s="2054"/>
      <c r="G714" s="2054"/>
      <c r="H714" s="2054"/>
      <c r="I714" s="2054"/>
      <c r="J714" s="2054"/>
      <c r="K714" s="2055"/>
      <c r="L714" s="2056"/>
      <c r="M714" s="2054"/>
      <c r="N714" s="2054"/>
      <c r="O714" s="2054"/>
      <c r="P714" s="2095"/>
      <c r="Q714" s="2054"/>
      <c r="R714" s="2054"/>
      <c r="S714" s="2054"/>
      <c r="T714" s="2054"/>
      <c r="U714" s="2054"/>
      <c r="V714" s="2054"/>
      <c r="W714" s="2054"/>
      <c r="X714" s="2054"/>
      <c r="Y714" s="2054"/>
      <c r="Z714" s="2054"/>
      <c r="AA714" s="2054"/>
      <c r="AB714" s="2054"/>
      <c r="AC714" s="2054"/>
    </row>
    <row r="715" spans="1:29">
      <c r="A715" s="2054"/>
      <c r="B715" s="2054"/>
      <c r="C715" s="2054"/>
      <c r="D715" s="2054"/>
      <c r="E715" s="2054"/>
      <c r="F715" s="2054"/>
      <c r="G715" s="2054"/>
      <c r="H715" s="2054"/>
      <c r="I715" s="2054"/>
      <c r="J715" s="2054"/>
      <c r="K715" s="2055"/>
      <c r="L715" s="2056"/>
      <c r="M715" s="2054"/>
      <c r="N715" s="2054"/>
      <c r="O715" s="2054"/>
      <c r="P715" s="2095"/>
      <c r="Q715" s="2054"/>
      <c r="R715" s="2054"/>
      <c r="S715" s="2054"/>
      <c r="T715" s="2054"/>
      <c r="U715" s="2054"/>
      <c r="V715" s="2054"/>
      <c r="W715" s="2054"/>
      <c r="X715" s="2054"/>
      <c r="Y715" s="2054"/>
      <c r="Z715" s="2054"/>
      <c r="AA715" s="2054"/>
      <c r="AB715" s="2054"/>
      <c r="AC715" s="2054"/>
    </row>
    <row r="716" spans="1:29">
      <c r="A716" s="2054"/>
      <c r="B716" s="2054"/>
      <c r="C716" s="2054"/>
      <c r="D716" s="2054"/>
      <c r="E716" s="2054"/>
      <c r="F716" s="2054"/>
      <c r="G716" s="2054"/>
      <c r="H716" s="2054"/>
      <c r="I716" s="2054"/>
      <c r="J716" s="2054"/>
      <c r="K716" s="2055"/>
      <c r="L716" s="2056"/>
      <c r="M716" s="2054"/>
      <c r="N716" s="2054"/>
      <c r="O716" s="2054"/>
      <c r="P716" s="2095"/>
      <c r="Q716" s="2054"/>
      <c r="R716" s="2054"/>
      <c r="S716" s="2054"/>
      <c r="T716" s="2054"/>
      <c r="U716" s="2054"/>
      <c r="V716" s="2054"/>
      <c r="W716" s="2054"/>
      <c r="X716" s="2054"/>
      <c r="Y716" s="2054"/>
      <c r="Z716" s="2054"/>
      <c r="AA716" s="2054"/>
      <c r="AB716" s="2054"/>
      <c r="AC716" s="2054"/>
    </row>
    <row r="717" spans="1:29">
      <c r="A717" s="2054"/>
      <c r="B717" s="2054"/>
      <c r="C717" s="2054"/>
      <c r="D717" s="2054"/>
      <c r="E717" s="2054"/>
      <c r="F717" s="2054"/>
      <c r="G717" s="2054"/>
      <c r="H717" s="2054"/>
      <c r="I717" s="2054"/>
      <c r="J717" s="2054"/>
      <c r="K717" s="2055"/>
      <c r="L717" s="2056"/>
      <c r="M717" s="2054"/>
      <c r="N717" s="2054"/>
      <c r="O717" s="2054"/>
      <c r="P717" s="2095"/>
      <c r="Q717" s="2054"/>
      <c r="R717" s="2054"/>
      <c r="S717" s="2054"/>
      <c r="T717" s="2054"/>
      <c r="U717" s="2054"/>
      <c r="V717" s="2054"/>
      <c r="W717" s="2054"/>
      <c r="X717" s="2054"/>
      <c r="Y717" s="2054"/>
      <c r="Z717" s="2054"/>
      <c r="AA717" s="2054"/>
      <c r="AB717" s="2054"/>
      <c r="AC717" s="2054"/>
    </row>
    <row r="718" spans="1:29">
      <c r="A718" s="2054"/>
      <c r="B718" s="2054"/>
      <c r="C718" s="2054"/>
      <c r="D718" s="2054"/>
      <c r="E718" s="2054"/>
      <c r="F718" s="2054"/>
      <c r="G718" s="2054"/>
      <c r="H718" s="2054"/>
      <c r="I718" s="2054"/>
      <c r="J718" s="2054"/>
      <c r="K718" s="2055"/>
      <c r="L718" s="2056"/>
      <c r="M718" s="2054"/>
      <c r="N718" s="2054"/>
      <c r="O718" s="2054"/>
      <c r="P718" s="2095"/>
      <c r="Q718" s="2054"/>
      <c r="R718" s="2054"/>
      <c r="S718" s="2054"/>
      <c r="T718" s="2054"/>
      <c r="U718" s="2054"/>
      <c r="V718" s="2054"/>
      <c r="W718" s="2054"/>
      <c r="X718" s="2054"/>
      <c r="Y718" s="2054"/>
      <c r="Z718" s="2054"/>
      <c r="AA718" s="2054"/>
      <c r="AB718" s="2054"/>
      <c r="AC718" s="2054"/>
    </row>
    <row r="719" spans="1:29">
      <c r="A719" s="2054"/>
      <c r="B719" s="2054"/>
      <c r="C719" s="2054"/>
      <c r="D719" s="2054"/>
      <c r="E719" s="2054"/>
      <c r="F719" s="2054"/>
      <c r="G719" s="2054"/>
      <c r="H719" s="2054"/>
      <c r="I719" s="2054"/>
      <c r="J719" s="2054"/>
      <c r="K719" s="2055"/>
      <c r="L719" s="2056"/>
      <c r="M719" s="2054"/>
      <c r="N719" s="2054"/>
      <c r="O719" s="2054"/>
      <c r="P719" s="2095"/>
      <c r="Q719" s="2054"/>
      <c r="R719" s="2054"/>
      <c r="S719" s="2054"/>
      <c r="T719" s="2054"/>
      <c r="U719" s="2054"/>
      <c r="V719" s="2054"/>
      <c r="W719" s="2054"/>
      <c r="X719" s="2054"/>
      <c r="Y719" s="2054"/>
      <c r="Z719" s="2054"/>
      <c r="AA719" s="2054"/>
      <c r="AB719" s="2054"/>
      <c r="AC719" s="2054"/>
    </row>
    <row r="720" spans="1:29">
      <c r="A720" s="2054"/>
      <c r="B720" s="2054"/>
      <c r="C720" s="2054"/>
      <c r="D720" s="2054"/>
      <c r="E720" s="2054"/>
      <c r="F720" s="2054"/>
      <c r="G720" s="2054"/>
      <c r="H720" s="2054"/>
      <c r="I720" s="2054"/>
      <c r="J720" s="2054"/>
      <c r="K720" s="2055"/>
      <c r="L720" s="2056"/>
      <c r="M720" s="2054"/>
      <c r="N720" s="2054"/>
      <c r="O720" s="2054"/>
      <c r="P720" s="2095"/>
      <c r="Q720" s="2054"/>
      <c r="R720" s="2054"/>
      <c r="S720" s="2054"/>
      <c r="T720" s="2054"/>
      <c r="U720" s="2054"/>
      <c r="V720" s="2054"/>
      <c r="W720" s="2054"/>
      <c r="X720" s="2054"/>
      <c r="Y720" s="2054"/>
      <c r="Z720" s="2054"/>
      <c r="AA720" s="2054"/>
      <c r="AB720" s="2054"/>
      <c r="AC720" s="2054"/>
    </row>
    <row r="721" spans="1:29">
      <c r="A721" s="2054"/>
      <c r="B721" s="2054"/>
      <c r="C721" s="2054"/>
      <c r="D721" s="2054"/>
      <c r="E721" s="2054"/>
      <c r="F721" s="2054"/>
      <c r="G721" s="2054"/>
      <c r="H721" s="2054"/>
      <c r="I721" s="2054"/>
      <c r="J721" s="2054"/>
      <c r="K721" s="2055"/>
      <c r="L721" s="2056"/>
      <c r="M721" s="2054"/>
      <c r="N721" s="2054"/>
      <c r="O721" s="2054"/>
      <c r="P721" s="2095"/>
      <c r="Q721" s="2054"/>
      <c r="R721" s="2054"/>
      <c r="S721" s="2054"/>
      <c r="T721" s="2054"/>
      <c r="U721" s="2054"/>
      <c r="V721" s="2054"/>
      <c r="W721" s="2054"/>
      <c r="X721" s="2054"/>
      <c r="Y721" s="2054"/>
      <c r="Z721" s="2054"/>
      <c r="AA721" s="2054"/>
      <c r="AB721" s="2054"/>
      <c r="AC721" s="2054"/>
    </row>
    <row r="722" spans="1:29">
      <c r="A722" s="2054"/>
      <c r="B722" s="2054"/>
      <c r="C722" s="2054"/>
      <c r="D722" s="2054"/>
      <c r="E722" s="2054"/>
      <c r="F722" s="2054"/>
      <c r="G722" s="2054"/>
      <c r="H722" s="2054"/>
      <c r="I722" s="2054"/>
      <c r="J722" s="2054"/>
      <c r="K722" s="2055"/>
      <c r="L722" s="2056"/>
      <c r="M722" s="2054"/>
      <c r="N722" s="2054"/>
      <c r="O722" s="2054"/>
      <c r="P722" s="2095"/>
      <c r="Q722" s="2054"/>
      <c r="R722" s="2054"/>
      <c r="S722" s="2054"/>
      <c r="T722" s="2054"/>
      <c r="U722" s="2054"/>
      <c r="V722" s="2054"/>
      <c r="W722" s="2054"/>
      <c r="X722" s="2054"/>
      <c r="Y722" s="2054"/>
      <c r="Z722" s="2054"/>
      <c r="AA722" s="2054"/>
      <c r="AB722" s="2054"/>
      <c r="AC722" s="2054"/>
    </row>
    <row r="723" spans="1:29">
      <c r="A723" s="2054"/>
      <c r="B723" s="2054"/>
      <c r="C723" s="2054"/>
      <c r="D723" s="2054"/>
      <c r="E723" s="2054"/>
      <c r="F723" s="2054"/>
      <c r="G723" s="2054"/>
      <c r="H723" s="2054"/>
      <c r="I723" s="2054"/>
      <c r="J723" s="2054"/>
      <c r="K723" s="2055"/>
      <c r="L723" s="2056"/>
      <c r="M723" s="2054"/>
      <c r="N723" s="2054"/>
      <c r="O723" s="2054"/>
      <c r="P723" s="2095"/>
      <c r="Q723" s="2054"/>
      <c r="R723" s="2054"/>
      <c r="S723" s="2054"/>
      <c r="T723" s="2054"/>
      <c r="U723" s="2054"/>
      <c r="V723" s="2054"/>
      <c r="W723" s="2054"/>
      <c r="X723" s="2054"/>
      <c r="Y723" s="2054"/>
      <c r="Z723" s="2054"/>
      <c r="AA723" s="2054"/>
      <c r="AB723" s="2054"/>
      <c r="AC723" s="2054"/>
    </row>
    <row r="724" spans="1:29">
      <c r="A724" s="2054"/>
      <c r="B724" s="2054"/>
      <c r="C724" s="2054"/>
      <c r="D724" s="2054"/>
      <c r="E724" s="2054"/>
      <c r="F724" s="2054"/>
      <c r="G724" s="2054"/>
      <c r="H724" s="2054"/>
      <c r="I724" s="2054"/>
      <c r="J724" s="2054"/>
      <c r="K724" s="2055"/>
      <c r="L724" s="2056"/>
      <c r="M724" s="2054"/>
      <c r="N724" s="2054"/>
      <c r="O724" s="2054"/>
      <c r="P724" s="2095"/>
      <c r="Q724" s="2054"/>
      <c r="R724" s="2054"/>
      <c r="S724" s="2054"/>
      <c r="T724" s="2054"/>
      <c r="U724" s="2054"/>
      <c r="V724" s="2054"/>
      <c r="W724" s="2054"/>
      <c r="X724" s="2054"/>
      <c r="Y724" s="2054"/>
      <c r="Z724" s="2054"/>
      <c r="AA724" s="2054"/>
      <c r="AB724" s="2054"/>
      <c r="AC724" s="2054"/>
    </row>
    <row r="725" spans="1:29">
      <c r="A725" s="2054"/>
      <c r="B725" s="2054"/>
      <c r="C725" s="2054"/>
      <c r="D725" s="2054"/>
      <c r="E725" s="2054"/>
      <c r="F725" s="2054"/>
      <c r="G725" s="2054"/>
      <c r="H725" s="2054"/>
      <c r="I725" s="2054"/>
      <c r="J725" s="2054"/>
      <c r="K725" s="2055"/>
      <c r="L725" s="2056"/>
      <c r="M725" s="2054"/>
      <c r="N725" s="2054"/>
      <c r="O725" s="2054"/>
      <c r="P725" s="2095"/>
      <c r="Q725" s="2054"/>
      <c r="R725" s="2054"/>
      <c r="S725" s="2054"/>
      <c r="T725" s="2054"/>
      <c r="U725" s="2054"/>
      <c r="V725" s="2054"/>
      <c r="W725" s="2054"/>
      <c r="X725" s="2054"/>
      <c r="Y725" s="2054"/>
      <c r="Z725" s="2054"/>
      <c r="AA725" s="2054"/>
      <c r="AB725" s="2054"/>
      <c r="AC725" s="2054"/>
    </row>
    <row r="726" spans="1:29">
      <c r="A726" s="2054"/>
      <c r="B726" s="2054"/>
      <c r="C726" s="2054"/>
      <c r="D726" s="2054"/>
      <c r="E726" s="2054"/>
      <c r="F726" s="2054"/>
      <c r="G726" s="2054"/>
      <c r="H726" s="2054"/>
      <c r="I726" s="2054"/>
      <c r="J726" s="2054"/>
      <c r="K726" s="2055"/>
      <c r="L726" s="2056"/>
      <c r="M726" s="2054"/>
      <c r="N726" s="2054"/>
      <c r="O726" s="2054"/>
      <c r="P726" s="2095"/>
      <c r="Q726" s="2054"/>
      <c r="R726" s="2054"/>
      <c r="S726" s="2054"/>
      <c r="T726" s="2054"/>
      <c r="U726" s="2054"/>
      <c r="V726" s="2054"/>
      <c r="W726" s="2054"/>
      <c r="X726" s="2054"/>
      <c r="Y726" s="2054"/>
      <c r="Z726" s="2054"/>
      <c r="AA726" s="2054"/>
      <c r="AB726" s="2054"/>
      <c r="AC726" s="2054"/>
    </row>
    <row r="727" spans="1:29">
      <c r="A727" s="2054"/>
      <c r="B727" s="2054"/>
      <c r="C727" s="2054"/>
      <c r="D727" s="2054"/>
      <c r="E727" s="2054"/>
      <c r="F727" s="2054"/>
      <c r="G727" s="2054"/>
      <c r="H727" s="2054"/>
      <c r="I727" s="2054"/>
      <c r="J727" s="2054"/>
      <c r="K727" s="2055"/>
      <c r="L727" s="2056"/>
      <c r="M727" s="2054"/>
      <c r="N727" s="2054"/>
      <c r="O727" s="2054"/>
      <c r="P727" s="2095"/>
      <c r="Q727" s="2054"/>
      <c r="R727" s="2054"/>
      <c r="S727" s="2054"/>
      <c r="T727" s="2054"/>
      <c r="U727" s="2054"/>
      <c r="V727" s="2054"/>
      <c r="W727" s="2054"/>
      <c r="X727" s="2054"/>
      <c r="Y727" s="2054"/>
      <c r="Z727" s="2054"/>
      <c r="AA727" s="2054"/>
      <c r="AB727" s="2054"/>
      <c r="AC727" s="2054"/>
    </row>
    <row r="728" spans="1:29">
      <c r="A728" s="2054"/>
      <c r="B728" s="2054"/>
      <c r="C728" s="2054"/>
      <c r="D728" s="2054"/>
      <c r="E728" s="2054"/>
      <c r="F728" s="2054"/>
      <c r="G728" s="2054"/>
      <c r="H728" s="2054"/>
      <c r="I728" s="2054"/>
      <c r="J728" s="2054"/>
      <c r="K728" s="2055"/>
      <c r="L728" s="2056"/>
      <c r="M728" s="2054"/>
      <c r="N728" s="2054"/>
      <c r="O728" s="2054"/>
      <c r="P728" s="2095"/>
      <c r="Q728" s="2054"/>
      <c r="R728" s="2054"/>
      <c r="S728" s="2054"/>
      <c r="T728" s="2054"/>
      <c r="U728" s="2054"/>
      <c r="V728" s="2054"/>
      <c r="W728" s="2054"/>
      <c r="X728" s="2054"/>
      <c r="Y728" s="2054"/>
      <c r="Z728" s="2054"/>
      <c r="AA728" s="2054"/>
      <c r="AB728" s="2054"/>
      <c r="AC728" s="2054"/>
    </row>
    <row r="729" spans="1:29">
      <c r="A729" s="2054"/>
      <c r="B729" s="2054"/>
      <c r="C729" s="2054"/>
      <c r="D729" s="2054"/>
      <c r="E729" s="2054"/>
      <c r="F729" s="2054"/>
      <c r="G729" s="2054"/>
      <c r="H729" s="2054"/>
      <c r="I729" s="2054"/>
      <c r="J729" s="2054"/>
      <c r="K729" s="2055"/>
      <c r="L729" s="2056"/>
      <c r="M729" s="2054"/>
      <c r="N729" s="2054"/>
      <c r="O729" s="2054"/>
      <c r="P729" s="2095"/>
      <c r="Q729" s="2054"/>
      <c r="R729" s="2054"/>
      <c r="S729" s="2054"/>
      <c r="T729" s="2054"/>
      <c r="U729" s="2054"/>
      <c r="V729" s="2054"/>
      <c r="W729" s="2054"/>
      <c r="X729" s="2054"/>
      <c r="Y729" s="2054"/>
      <c r="Z729" s="2054"/>
      <c r="AA729" s="2054"/>
      <c r="AB729" s="2054"/>
      <c r="AC729" s="2054"/>
    </row>
    <row r="730" spans="1:29">
      <c r="A730" s="2054"/>
      <c r="B730" s="2054"/>
      <c r="C730" s="2054"/>
      <c r="D730" s="2054"/>
      <c r="E730" s="2054"/>
      <c r="F730" s="2054"/>
      <c r="G730" s="2054"/>
      <c r="H730" s="2054"/>
      <c r="I730" s="2054"/>
      <c r="J730" s="2054"/>
      <c r="K730" s="2055"/>
      <c r="L730" s="2056"/>
      <c r="M730" s="2054"/>
      <c r="N730" s="2054"/>
      <c r="O730" s="2054"/>
      <c r="P730" s="2095"/>
      <c r="Q730" s="2054"/>
      <c r="R730" s="2054"/>
      <c r="S730" s="2054"/>
      <c r="T730" s="2054"/>
      <c r="U730" s="2054"/>
      <c r="V730" s="2054"/>
      <c r="W730" s="2054"/>
      <c r="X730" s="2054"/>
      <c r="Y730" s="2054"/>
      <c r="Z730" s="2054"/>
      <c r="AA730" s="2054"/>
      <c r="AB730" s="2054"/>
      <c r="AC730" s="2054"/>
    </row>
    <row r="731" spans="1:29">
      <c r="A731" s="2054"/>
      <c r="B731" s="2054"/>
      <c r="C731" s="2054"/>
      <c r="D731" s="2054"/>
      <c r="E731" s="2054"/>
      <c r="F731" s="2054"/>
      <c r="G731" s="2054"/>
      <c r="H731" s="2054"/>
      <c r="I731" s="2054"/>
      <c r="J731" s="2054"/>
      <c r="K731" s="2055"/>
      <c r="L731" s="2056"/>
      <c r="M731" s="2054"/>
      <c r="N731" s="2054"/>
      <c r="O731" s="2054"/>
      <c r="P731" s="2095"/>
      <c r="Q731" s="2054"/>
      <c r="R731" s="2054"/>
      <c r="S731" s="2054"/>
      <c r="T731" s="2054"/>
      <c r="U731" s="2054"/>
      <c r="V731" s="2054"/>
      <c r="W731" s="2054"/>
      <c r="X731" s="2054"/>
      <c r="Y731" s="2054"/>
      <c r="Z731" s="2054"/>
      <c r="AA731" s="2054"/>
      <c r="AB731" s="2054"/>
      <c r="AC731" s="2054"/>
    </row>
    <row r="732" spans="1:29">
      <c r="A732" s="2054"/>
      <c r="B732" s="2054"/>
      <c r="C732" s="2054"/>
      <c r="D732" s="2054"/>
      <c r="E732" s="2054"/>
      <c r="F732" s="2054"/>
      <c r="G732" s="2054"/>
      <c r="H732" s="2054"/>
      <c r="I732" s="2054"/>
      <c r="J732" s="2054"/>
      <c r="K732" s="2055"/>
      <c r="L732" s="2056"/>
      <c r="M732" s="2054"/>
      <c r="N732" s="2054"/>
      <c r="O732" s="2054"/>
      <c r="P732" s="2095"/>
      <c r="Q732" s="2054"/>
      <c r="R732" s="2054"/>
      <c r="S732" s="2054"/>
      <c r="T732" s="2054"/>
      <c r="U732" s="2054"/>
      <c r="V732" s="2054"/>
      <c r="W732" s="2054"/>
      <c r="X732" s="2054"/>
      <c r="Y732" s="2054"/>
      <c r="Z732" s="2054"/>
      <c r="AA732" s="2054"/>
      <c r="AB732" s="2054"/>
      <c r="AC732" s="2054"/>
    </row>
    <row r="733" spans="1:29">
      <c r="A733" s="2054"/>
      <c r="B733" s="2054"/>
      <c r="C733" s="2054"/>
      <c r="D733" s="2054"/>
      <c r="E733" s="2054"/>
      <c r="F733" s="2054"/>
      <c r="G733" s="2054"/>
      <c r="H733" s="2054"/>
      <c r="I733" s="2054"/>
      <c r="J733" s="2054"/>
      <c r="K733" s="2055"/>
      <c r="L733" s="2056"/>
      <c r="M733" s="2054"/>
      <c r="N733" s="2054"/>
      <c r="O733" s="2054"/>
      <c r="P733" s="2095"/>
      <c r="Q733" s="2054"/>
      <c r="R733" s="2054"/>
      <c r="S733" s="2054"/>
      <c r="T733" s="2054"/>
      <c r="U733" s="2054"/>
      <c r="V733" s="2054"/>
      <c r="W733" s="2054"/>
      <c r="X733" s="2054"/>
      <c r="Y733" s="2054"/>
      <c r="Z733" s="2054"/>
      <c r="AA733" s="2054"/>
      <c r="AB733" s="2054"/>
      <c r="AC733" s="2054"/>
    </row>
    <row r="734" spans="1:29">
      <c r="A734" s="2054"/>
      <c r="B734" s="2054"/>
      <c r="C734" s="2054"/>
      <c r="D734" s="2054"/>
      <c r="E734" s="2054"/>
      <c r="F734" s="2054"/>
      <c r="G734" s="2054"/>
      <c r="H734" s="2054"/>
      <c r="I734" s="2054"/>
      <c r="J734" s="2054"/>
      <c r="K734" s="2055"/>
      <c r="L734" s="2056"/>
      <c r="M734" s="2054"/>
      <c r="N734" s="2054"/>
      <c r="O734" s="2054"/>
      <c r="P734" s="2095"/>
      <c r="Q734" s="2054"/>
      <c r="R734" s="2054"/>
      <c r="S734" s="2054"/>
      <c r="T734" s="2054"/>
      <c r="U734" s="2054"/>
      <c r="V734" s="2054"/>
      <c r="W734" s="2054"/>
      <c r="X734" s="2054"/>
      <c r="Y734" s="2054"/>
      <c r="Z734" s="2054"/>
      <c r="AA734" s="2054"/>
      <c r="AB734" s="2054"/>
      <c r="AC734" s="2054"/>
    </row>
    <row r="735" spans="1:29">
      <c r="A735" s="2054"/>
      <c r="B735" s="2054"/>
      <c r="C735" s="2054"/>
      <c r="D735" s="2054"/>
      <c r="E735" s="2054"/>
      <c r="F735" s="2054"/>
      <c r="G735" s="2054"/>
      <c r="H735" s="2054"/>
      <c r="I735" s="2054"/>
      <c r="J735" s="2054"/>
      <c r="K735" s="2055"/>
      <c r="L735" s="2056"/>
      <c r="M735" s="2054"/>
      <c r="N735" s="2054"/>
      <c r="O735" s="2054"/>
      <c r="P735" s="2095"/>
      <c r="Q735" s="2054"/>
      <c r="R735" s="2054"/>
      <c r="S735" s="2054"/>
      <c r="T735" s="2054"/>
      <c r="U735" s="2054"/>
      <c r="V735" s="2054"/>
      <c r="W735" s="2054"/>
      <c r="X735" s="2054"/>
      <c r="Y735" s="2054"/>
      <c r="Z735" s="2054"/>
      <c r="AA735" s="2054"/>
      <c r="AB735" s="2054"/>
      <c r="AC735" s="2054"/>
    </row>
    <row r="736" spans="1:29">
      <c r="A736" s="2054"/>
      <c r="B736" s="2054"/>
      <c r="C736" s="2054"/>
      <c r="D736" s="2054"/>
      <c r="E736" s="2054"/>
      <c r="F736" s="2054"/>
      <c r="G736" s="2054"/>
      <c r="H736" s="2054"/>
      <c r="I736" s="2054"/>
      <c r="J736" s="2054"/>
      <c r="K736" s="2055"/>
      <c r="L736" s="2056"/>
      <c r="M736" s="2054"/>
      <c r="N736" s="2054"/>
      <c r="O736" s="2054"/>
      <c r="P736" s="2095"/>
      <c r="Q736" s="2054"/>
      <c r="R736" s="2054"/>
      <c r="S736" s="2054"/>
      <c r="T736" s="2054"/>
      <c r="U736" s="2054"/>
      <c r="V736" s="2054"/>
      <c r="W736" s="2054"/>
      <c r="X736" s="2054"/>
      <c r="Y736" s="2054"/>
      <c r="Z736" s="2054"/>
      <c r="AA736" s="2054"/>
      <c r="AB736" s="2054"/>
      <c r="AC736" s="2054"/>
    </row>
    <row r="737" spans="1:29">
      <c r="A737" s="2054"/>
      <c r="B737" s="2054"/>
      <c r="C737" s="2054"/>
      <c r="D737" s="2054"/>
      <c r="E737" s="2054"/>
      <c r="F737" s="2054"/>
      <c r="G737" s="2054"/>
      <c r="H737" s="2054"/>
      <c r="I737" s="2054"/>
      <c r="J737" s="2054"/>
      <c r="K737" s="2055"/>
      <c r="L737" s="2056"/>
      <c r="M737" s="2054"/>
      <c r="N737" s="2054"/>
      <c r="O737" s="2054"/>
      <c r="P737" s="2095"/>
      <c r="Q737" s="2054"/>
      <c r="R737" s="2054"/>
      <c r="S737" s="2054"/>
      <c r="T737" s="2054"/>
      <c r="U737" s="2054"/>
      <c r="V737" s="2054"/>
      <c r="W737" s="2054"/>
      <c r="X737" s="2054"/>
      <c r="Y737" s="2054"/>
      <c r="Z737" s="2054"/>
      <c r="AA737" s="2054"/>
      <c r="AB737" s="2054"/>
      <c r="AC737" s="2054"/>
    </row>
    <row r="738" spans="1:29">
      <c r="A738" s="2054"/>
      <c r="B738" s="2054"/>
      <c r="C738" s="2054"/>
      <c r="D738" s="2054"/>
      <c r="E738" s="2054"/>
      <c r="F738" s="2054"/>
      <c r="G738" s="2054"/>
      <c r="H738" s="2054"/>
      <c r="I738" s="2054"/>
      <c r="J738" s="2054"/>
      <c r="K738" s="2055"/>
      <c r="L738" s="2056"/>
      <c r="M738" s="2054"/>
      <c r="N738" s="2054"/>
      <c r="O738" s="2054"/>
      <c r="P738" s="2095"/>
      <c r="Q738" s="2054"/>
      <c r="R738" s="2054"/>
      <c r="S738" s="2054"/>
      <c r="T738" s="2054"/>
      <c r="U738" s="2054"/>
      <c r="V738" s="2054"/>
      <c r="W738" s="2054"/>
      <c r="X738" s="2054"/>
      <c r="Y738" s="2054"/>
      <c r="Z738" s="2054"/>
      <c r="AA738" s="2054"/>
      <c r="AB738" s="2054"/>
      <c r="AC738" s="2054"/>
    </row>
    <row r="739" spans="1:29">
      <c r="A739" s="2054"/>
      <c r="B739" s="2054"/>
      <c r="C739" s="2054"/>
      <c r="D739" s="2054"/>
      <c r="E739" s="2054"/>
      <c r="F739" s="2054"/>
      <c r="G739" s="2054"/>
      <c r="H739" s="2054"/>
      <c r="I739" s="2054"/>
      <c r="J739" s="2054"/>
      <c r="K739" s="2055"/>
      <c r="L739" s="2056"/>
      <c r="M739" s="2054"/>
      <c r="N739" s="2054"/>
      <c r="O739" s="2054"/>
      <c r="P739" s="2095"/>
      <c r="Q739" s="2054"/>
      <c r="R739" s="2054"/>
      <c r="S739" s="2054"/>
      <c r="T739" s="2054"/>
      <c r="U739" s="2054"/>
      <c r="V739" s="2054"/>
      <c r="W739" s="2054"/>
      <c r="X739" s="2054"/>
      <c r="Y739" s="2054"/>
      <c r="Z739" s="2054"/>
      <c r="AA739" s="2054"/>
      <c r="AB739" s="2054"/>
      <c r="AC739" s="2054"/>
    </row>
    <row r="740" spans="1:29">
      <c r="A740" s="2054"/>
      <c r="B740" s="2054"/>
      <c r="C740" s="2054"/>
      <c r="D740" s="2054"/>
      <c r="E740" s="2054"/>
      <c r="F740" s="2054"/>
      <c r="G740" s="2054"/>
      <c r="H740" s="2054"/>
      <c r="I740" s="2054"/>
      <c r="J740" s="2054"/>
      <c r="K740" s="2055"/>
      <c r="L740" s="2056"/>
      <c r="M740" s="2054"/>
      <c r="N740" s="2054"/>
      <c r="O740" s="2054"/>
      <c r="P740" s="2095"/>
      <c r="Q740" s="2054"/>
      <c r="R740" s="2054"/>
      <c r="S740" s="2054"/>
      <c r="T740" s="2054"/>
      <c r="U740" s="2054"/>
      <c r="V740" s="2054"/>
      <c r="W740" s="2054"/>
      <c r="X740" s="2054"/>
      <c r="Y740" s="2054"/>
      <c r="Z740" s="2054"/>
      <c r="AA740" s="2054"/>
      <c r="AB740" s="2054"/>
      <c r="AC740" s="2054"/>
    </row>
    <row r="741" spans="1:29">
      <c r="A741" s="2054"/>
      <c r="B741" s="2054"/>
      <c r="C741" s="2054"/>
      <c r="D741" s="2054"/>
      <c r="E741" s="2054"/>
      <c r="F741" s="2054"/>
      <c r="G741" s="2054"/>
      <c r="H741" s="2054"/>
      <c r="I741" s="2054"/>
      <c r="J741" s="2054"/>
      <c r="K741" s="2055"/>
      <c r="L741" s="2056"/>
      <c r="M741" s="2054"/>
      <c r="N741" s="2054"/>
      <c r="O741" s="2054"/>
      <c r="P741" s="2095"/>
      <c r="Q741" s="2054"/>
      <c r="R741" s="2054"/>
      <c r="S741" s="2054"/>
      <c r="T741" s="2054"/>
      <c r="U741" s="2054"/>
      <c r="V741" s="2054"/>
      <c r="W741" s="2054"/>
      <c r="X741" s="2054"/>
      <c r="Y741" s="2054"/>
      <c r="Z741" s="2054"/>
      <c r="AA741" s="2054"/>
      <c r="AB741" s="2054"/>
      <c r="AC741" s="2054"/>
    </row>
    <row r="742" spans="1:29">
      <c r="A742" s="2054"/>
      <c r="B742" s="2054"/>
      <c r="C742" s="2054"/>
      <c r="D742" s="2054"/>
      <c r="E742" s="2054"/>
      <c r="F742" s="2054"/>
      <c r="G742" s="2054"/>
      <c r="H742" s="2054"/>
      <c r="I742" s="2054"/>
      <c r="J742" s="2054"/>
      <c r="K742" s="2055"/>
      <c r="L742" s="2056"/>
      <c r="M742" s="2054"/>
      <c r="N742" s="2054"/>
      <c r="O742" s="2054"/>
      <c r="P742" s="2095"/>
      <c r="Q742" s="2054"/>
      <c r="R742" s="2054"/>
      <c r="S742" s="2054"/>
      <c r="T742" s="2054"/>
      <c r="U742" s="2054"/>
      <c r="V742" s="2054"/>
      <c r="W742" s="2054"/>
      <c r="X742" s="2054"/>
      <c r="Y742" s="2054"/>
      <c r="Z742" s="2054"/>
      <c r="AA742" s="2054"/>
      <c r="AB742" s="2054"/>
      <c r="AC742" s="2054"/>
    </row>
    <row r="743" spans="1:29">
      <c r="A743" s="2054"/>
      <c r="B743" s="2054"/>
      <c r="C743" s="2054"/>
      <c r="D743" s="2054"/>
      <c r="E743" s="2054"/>
      <c r="F743" s="2054"/>
      <c r="G743" s="2054"/>
      <c r="H743" s="2054"/>
      <c r="I743" s="2054"/>
      <c r="J743" s="2054"/>
      <c r="K743" s="2055"/>
      <c r="L743" s="2056"/>
      <c r="M743" s="2054"/>
      <c r="N743" s="2054"/>
      <c r="O743" s="2054"/>
      <c r="P743" s="2095"/>
      <c r="Q743" s="2054"/>
      <c r="R743" s="2054"/>
      <c r="S743" s="2054"/>
      <c r="T743" s="2054"/>
      <c r="U743" s="2054"/>
      <c r="V743" s="2054"/>
      <c r="W743" s="2054"/>
      <c r="X743" s="2054"/>
      <c r="Y743" s="2054"/>
      <c r="Z743" s="2054"/>
      <c r="AA743" s="2054"/>
      <c r="AB743" s="2054"/>
      <c r="AC743" s="2054"/>
    </row>
    <row r="744" spans="1:29">
      <c r="A744" s="2054"/>
      <c r="B744" s="2054"/>
      <c r="C744" s="2054"/>
      <c r="D744" s="2054"/>
      <c r="E744" s="2054"/>
      <c r="F744" s="2054"/>
      <c r="G744" s="2054"/>
      <c r="H744" s="2054"/>
      <c r="I744" s="2054"/>
      <c r="J744" s="2054"/>
      <c r="K744" s="2055"/>
      <c r="L744" s="2056"/>
      <c r="M744" s="2054"/>
      <c r="N744" s="2054"/>
      <c r="O744" s="2054"/>
      <c r="P744" s="2095"/>
      <c r="Q744" s="2054"/>
      <c r="R744" s="2054"/>
      <c r="S744" s="2054"/>
      <c r="T744" s="2054"/>
      <c r="U744" s="2054"/>
      <c r="V744" s="2054"/>
      <c r="W744" s="2054"/>
      <c r="X744" s="2054"/>
      <c r="Y744" s="2054"/>
      <c r="Z744" s="2054"/>
      <c r="AA744" s="2054"/>
      <c r="AB744" s="2054"/>
      <c r="AC744" s="2054"/>
    </row>
    <row r="745" spans="1:29">
      <c r="A745" s="2054"/>
      <c r="B745" s="2054"/>
      <c r="C745" s="2054"/>
      <c r="D745" s="2054"/>
      <c r="E745" s="2054"/>
      <c r="F745" s="2054"/>
      <c r="G745" s="2054"/>
      <c r="H745" s="2054"/>
      <c r="I745" s="2054"/>
      <c r="J745" s="2054"/>
      <c r="K745" s="2055"/>
      <c r="L745" s="2056"/>
      <c r="M745" s="2054"/>
      <c r="N745" s="2054"/>
      <c r="O745" s="2054"/>
      <c r="P745" s="2095"/>
      <c r="Q745" s="2054"/>
      <c r="R745" s="2054"/>
      <c r="S745" s="2054"/>
      <c r="T745" s="2054"/>
      <c r="U745" s="2054"/>
      <c r="V745" s="2054"/>
      <c r="W745" s="2054"/>
      <c r="X745" s="2054"/>
      <c r="Y745" s="2054"/>
      <c r="Z745" s="2054"/>
      <c r="AA745" s="2054"/>
      <c r="AB745" s="2054"/>
      <c r="AC745" s="2054"/>
    </row>
    <row r="746" spans="1:29">
      <c r="A746" s="2054"/>
      <c r="B746" s="2054"/>
      <c r="C746" s="2054"/>
      <c r="D746" s="2054"/>
      <c r="E746" s="2054"/>
      <c r="F746" s="2054"/>
      <c r="G746" s="2054"/>
      <c r="H746" s="2054"/>
      <c r="I746" s="2054"/>
      <c r="J746" s="2054"/>
      <c r="K746" s="2055"/>
      <c r="L746" s="2056"/>
      <c r="M746" s="2054"/>
      <c r="N746" s="2054"/>
      <c r="O746" s="2054"/>
      <c r="P746" s="2095"/>
      <c r="Q746" s="2054"/>
      <c r="R746" s="2054"/>
      <c r="S746" s="2054"/>
      <c r="T746" s="2054"/>
      <c r="U746" s="2054"/>
      <c r="V746" s="2054"/>
      <c r="W746" s="2054"/>
      <c r="X746" s="2054"/>
      <c r="Y746" s="2054"/>
      <c r="Z746" s="2054"/>
      <c r="AA746" s="2054"/>
      <c r="AB746" s="2054"/>
      <c r="AC746" s="2054"/>
    </row>
    <row r="747" spans="1:29">
      <c r="A747" s="2054"/>
      <c r="B747" s="2054"/>
      <c r="C747" s="2054"/>
      <c r="D747" s="2054"/>
      <c r="E747" s="2054"/>
      <c r="F747" s="2054"/>
      <c r="G747" s="2054"/>
      <c r="H747" s="2054"/>
      <c r="I747" s="2054"/>
      <c r="J747" s="2054"/>
      <c r="K747" s="2055"/>
      <c r="L747" s="2056"/>
      <c r="M747" s="2054"/>
      <c r="N747" s="2054"/>
      <c r="O747" s="2054"/>
      <c r="P747" s="2095"/>
      <c r="Q747" s="2054"/>
      <c r="R747" s="2054"/>
      <c r="S747" s="2054"/>
      <c r="T747" s="2054"/>
      <c r="U747" s="2054"/>
      <c r="V747" s="2054"/>
      <c r="W747" s="2054"/>
      <c r="X747" s="2054"/>
      <c r="Y747" s="2054"/>
      <c r="Z747" s="2054"/>
      <c r="AA747" s="2054"/>
      <c r="AB747" s="2054"/>
      <c r="AC747" s="2054"/>
    </row>
    <row r="748" spans="1:29">
      <c r="A748" s="2054"/>
      <c r="B748" s="2054"/>
      <c r="C748" s="2054"/>
      <c r="D748" s="2054"/>
      <c r="E748" s="2054"/>
      <c r="F748" s="2054"/>
      <c r="G748" s="2054"/>
      <c r="H748" s="2054"/>
      <c r="I748" s="2054"/>
      <c r="J748" s="2054"/>
      <c r="K748" s="2055"/>
      <c r="L748" s="2056"/>
      <c r="M748" s="2054"/>
      <c r="N748" s="2054"/>
      <c r="O748" s="2054"/>
      <c r="P748" s="2095"/>
      <c r="Q748" s="2054"/>
      <c r="R748" s="2054"/>
      <c r="S748" s="2054"/>
      <c r="T748" s="2054"/>
      <c r="U748" s="2054"/>
      <c r="V748" s="2054"/>
      <c r="W748" s="2054"/>
      <c r="X748" s="2054"/>
      <c r="Y748" s="2054"/>
      <c r="Z748" s="2054"/>
      <c r="AA748" s="2054"/>
      <c r="AB748" s="2054"/>
      <c r="AC748" s="2054"/>
    </row>
    <row r="749" spans="1:29">
      <c r="A749" s="2054"/>
      <c r="B749" s="2054"/>
      <c r="C749" s="2054"/>
      <c r="D749" s="2054"/>
      <c r="E749" s="2054"/>
      <c r="F749" s="2054"/>
      <c r="G749" s="2054"/>
      <c r="H749" s="2054"/>
      <c r="I749" s="2054"/>
      <c r="J749" s="2054"/>
      <c r="K749" s="2055"/>
      <c r="L749" s="2056"/>
      <c r="M749" s="2054"/>
      <c r="N749" s="2054"/>
      <c r="O749" s="2054"/>
      <c r="P749" s="2095"/>
      <c r="Q749" s="2054"/>
      <c r="R749" s="2054"/>
      <c r="S749" s="2054"/>
      <c r="T749" s="2054"/>
      <c r="U749" s="2054"/>
      <c r="V749" s="2054"/>
      <c r="W749" s="2054"/>
      <c r="X749" s="2054"/>
      <c r="Y749" s="2054"/>
      <c r="Z749" s="2054"/>
      <c r="AA749" s="2054"/>
      <c r="AB749" s="2054"/>
      <c r="AC749" s="2054"/>
    </row>
    <row r="750" spans="1:29">
      <c r="A750" s="2054"/>
      <c r="B750" s="2054"/>
      <c r="C750" s="2054"/>
      <c r="D750" s="2054"/>
      <c r="E750" s="2054"/>
      <c r="F750" s="2054"/>
      <c r="G750" s="2054"/>
      <c r="H750" s="2054"/>
      <c r="I750" s="2054"/>
      <c r="J750" s="2054"/>
      <c r="K750" s="2055"/>
      <c r="L750" s="2056"/>
      <c r="M750" s="2054"/>
      <c r="N750" s="2054"/>
      <c r="O750" s="2054"/>
      <c r="P750" s="2095"/>
      <c r="Q750" s="2054"/>
      <c r="R750" s="2054"/>
      <c r="S750" s="2054"/>
      <c r="T750" s="2054"/>
      <c r="U750" s="2054"/>
      <c r="V750" s="2054"/>
      <c r="W750" s="2054"/>
      <c r="X750" s="2054"/>
      <c r="Y750" s="2054"/>
      <c r="Z750" s="2054"/>
      <c r="AA750" s="2054"/>
      <c r="AB750" s="2054"/>
      <c r="AC750" s="2054"/>
    </row>
    <row r="751" spans="1:29">
      <c r="A751" s="2054"/>
      <c r="B751" s="2054"/>
      <c r="C751" s="2054"/>
      <c r="D751" s="2054"/>
      <c r="E751" s="2054"/>
      <c r="F751" s="2054"/>
      <c r="G751" s="2054"/>
      <c r="H751" s="2054"/>
      <c r="I751" s="2054"/>
      <c r="J751" s="2054"/>
      <c r="K751" s="2055"/>
      <c r="L751" s="2056"/>
      <c r="M751" s="2054"/>
      <c r="N751" s="2054"/>
      <c r="O751" s="2054"/>
      <c r="P751" s="2095"/>
      <c r="Q751" s="2054"/>
      <c r="R751" s="2054"/>
      <c r="S751" s="2054"/>
      <c r="T751" s="2054"/>
      <c r="U751" s="2054"/>
      <c r="V751" s="2054"/>
      <c r="W751" s="2054"/>
      <c r="X751" s="2054"/>
      <c r="Y751" s="2054"/>
      <c r="Z751" s="2054"/>
      <c r="AA751" s="2054"/>
      <c r="AB751" s="2054"/>
      <c r="AC751" s="2054"/>
    </row>
    <row r="752" spans="1:29">
      <c r="A752" s="2054"/>
      <c r="B752" s="2054"/>
      <c r="C752" s="2054"/>
      <c r="D752" s="2054"/>
      <c r="E752" s="2054"/>
      <c r="F752" s="2054"/>
      <c r="G752" s="2054"/>
      <c r="H752" s="2054"/>
      <c r="I752" s="2054"/>
      <c r="J752" s="2054"/>
      <c r="K752" s="2055"/>
      <c r="L752" s="2056"/>
      <c r="M752" s="2054"/>
      <c r="N752" s="2054"/>
      <c r="O752" s="2054"/>
      <c r="P752" s="2095"/>
      <c r="Q752" s="2054"/>
      <c r="R752" s="2054"/>
      <c r="S752" s="2054"/>
      <c r="T752" s="2054"/>
      <c r="U752" s="2054"/>
      <c r="V752" s="2054"/>
      <c r="W752" s="2054"/>
      <c r="X752" s="2054"/>
      <c r="Y752" s="2054"/>
      <c r="Z752" s="2054"/>
      <c r="AA752" s="2054"/>
      <c r="AB752" s="2054"/>
      <c r="AC752" s="2054"/>
    </row>
    <row r="753" spans="1:29">
      <c r="A753" s="2054"/>
      <c r="B753" s="2054"/>
      <c r="C753" s="2054"/>
      <c r="D753" s="2054"/>
      <c r="E753" s="2054"/>
      <c r="F753" s="2054"/>
      <c r="G753" s="2054"/>
      <c r="H753" s="2054"/>
      <c r="I753" s="2054"/>
      <c r="J753" s="2054"/>
      <c r="K753" s="2055"/>
      <c r="L753" s="2056"/>
      <c r="M753" s="2054"/>
      <c r="N753" s="2054"/>
      <c r="O753" s="2054"/>
      <c r="P753" s="2095"/>
      <c r="Q753" s="2054"/>
      <c r="R753" s="2054"/>
      <c r="S753" s="2054"/>
      <c r="T753" s="2054"/>
      <c r="U753" s="2054"/>
      <c r="V753" s="2054"/>
      <c r="W753" s="2054"/>
      <c r="X753" s="2054"/>
      <c r="Y753" s="2054"/>
      <c r="Z753" s="2054"/>
      <c r="AA753" s="2054"/>
      <c r="AB753" s="2054"/>
      <c r="AC753" s="2054"/>
    </row>
    <row r="754" spans="1:29">
      <c r="A754" s="2054"/>
      <c r="B754" s="2054"/>
      <c r="C754" s="2054"/>
      <c r="D754" s="2054"/>
      <c r="E754" s="2054"/>
      <c r="F754" s="2054"/>
      <c r="G754" s="2054"/>
      <c r="H754" s="2054"/>
      <c r="I754" s="2054"/>
      <c r="J754" s="2054"/>
      <c r="K754" s="2055"/>
      <c r="L754" s="2056"/>
      <c r="M754" s="2054"/>
      <c r="N754" s="2054"/>
      <c r="O754" s="2054"/>
      <c r="P754" s="2095"/>
      <c r="Q754" s="2054"/>
      <c r="R754" s="2054"/>
      <c r="S754" s="2054"/>
      <c r="T754" s="2054"/>
      <c r="U754" s="2054"/>
      <c r="V754" s="2054"/>
      <c r="W754" s="2054"/>
      <c r="X754" s="2054"/>
      <c r="Y754" s="2054"/>
      <c r="Z754" s="2054"/>
      <c r="AA754" s="2054"/>
      <c r="AB754" s="2054"/>
      <c r="AC754" s="2054"/>
    </row>
    <row r="755" spans="1:29">
      <c r="A755" s="2054"/>
      <c r="B755" s="2054"/>
      <c r="C755" s="2054"/>
      <c r="D755" s="2054"/>
      <c r="E755" s="2054"/>
      <c r="F755" s="2054"/>
      <c r="G755" s="2054"/>
      <c r="H755" s="2054"/>
      <c r="I755" s="2054"/>
      <c r="J755" s="2054"/>
      <c r="K755" s="2055"/>
      <c r="L755" s="2056"/>
      <c r="M755" s="2054"/>
      <c r="N755" s="2054"/>
      <c r="O755" s="2054"/>
      <c r="P755" s="2095"/>
      <c r="Q755" s="2054"/>
      <c r="R755" s="2054"/>
      <c r="S755" s="2054"/>
      <c r="T755" s="2054"/>
      <c r="U755" s="2054"/>
      <c r="V755" s="2054"/>
      <c r="W755" s="2054"/>
      <c r="X755" s="2054"/>
      <c r="Y755" s="2054"/>
      <c r="Z755" s="2054"/>
      <c r="AA755" s="2054"/>
      <c r="AB755" s="2054"/>
      <c r="AC755" s="2054"/>
    </row>
    <row r="756" spans="1:29">
      <c r="A756" s="2054"/>
      <c r="B756" s="2054"/>
      <c r="C756" s="2054"/>
      <c r="D756" s="2054"/>
      <c r="E756" s="2054"/>
      <c r="F756" s="2054"/>
      <c r="G756" s="2054"/>
      <c r="H756" s="2054"/>
      <c r="I756" s="2054"/>
      <c r="J756" s="2054"/>
      <c r="K756" s="2055"/>
      <c r="L756" s="2056"/>
      <c r="M756" s="2054"/>
      <c r="N756" s="2054"/>
      <c r="O756" s="2054"/>
      <c r="P756" s="2095"/>
      <c r="Q756" s="2054"/>
      <c r="R756" s="2054"/>
      <c r="S756" s="2054"/>
      <c r="T756" s="2054"/>
      <c r="U756" s="2054"/>
      <c r="V756" s="2054"/>
      <c r="W756" s="2054"/>
      <c r="X756" s="2054"/>
      <c r="Y756" s="2054"/>
      <c r="Z756" s="2054"/>
      <c r="AA756" s="2054"/>
      <c r="AB756" s="2054"/>
      <c r="AC756" s="2054"/>
    </row>
    <row r="757" spans="1:29">
      <c r="A757" s="2054"/>
      <c r="B757" s="2054"/>
      <c r="C757" s="2054"/>
      <c r="D757" s="2054"/>
      <c r="E757" s="2054"/>
      <c r="F757" s="2054"/>
      <c r="G757" s="2054"/>
      <c r="H757" s="2054"/>
      <c r="I757" s="2054"/>
      <c r="J757" s="2054"/>
      <c r="K757" s="2055"/>
      <c r="L757" s="2056"/>
      <c r="M757" s="2054"/>
      <c r="N757" s="2054"/>
      <c r="O757" s="2054"/>
      <c r="P757" s="2095"/>
      <c r="Q757" s="2054"/>
      <c r="R757" s="2054"/>
      <c r="S757" s="2054"/>
      <c r="T757" s="2054"/>
      <c r="U757" s="2054"/>
      <c r="V757" s="2054"/>
      <c r="W757" s="2054"/>
      <c r="X757" s="2054"/>
      <c r="Y757" s="2054"/>
      <c r="Z757" s="2054"/>
      <c r="AA757" s="2054"/>
      <c r="AB757" s="2054"/>
      <c r="AC757" s="2054"/>
    </row>
    <row r="758" spans="1:29">
      <c r="A758" s="2054"/>
      <c r="B758" s="2054"/>
      <c r="C758" s="2054"/>
      <c r="D758" s="2054"/>
      <c r="E758" s="2054"/>
      <c r="F758" s="2054"/>
      <c r="G758" s="2054"/>
      <c r="H758" s="2054"/>
      <c r="I758" s="2054"/>
      <c r="J758" s="2054"/>
      <c r="K758" s="2055"/>
      <c r="L758" s="2056"/>
      <c r="M758" s="2054"/>
      <c r="N758" s="2054"/>
      <c r="O758" s="2054"/>
      <c r="P758" s="2095"/>
      <c r="Q758" s="2054"/>
      <c r="R758" s="2054"/>
      <c r="S758" s="2054"/>
      <c r="T758" s="2054"/>
      <c r="U758" s="2054"/>
      <c r="V758" s="2054"/>
      <c r="W758" s="2054"/>
      <c r="X758" s="2054"/>
      <c r="Y758" s="2054"/>
      <c r="Z758" s="2054"/>
      <c r="AA758" s="2054"/>
      <c r="AB758" s="2054"/>
      <c r="AC758" s="2054"/>
    </row>
    <row r="759" spans="1:29">
      <c r="A759" s="2054"/>
      <c r="B759" s="2054"/>
      <c r="C759" s="2054"/>
      <c r="D759" s="2054"/>
      <c r="E759" s="2054"/>
      <c r="F759" s="2054"/>
      <c r="G759" s="2054"/>
      <c r="H759" s="2054"/>
      <c r="I759" s="2054"/>
      <c r="J759" s="2054"/>
      <c r="K759" s="2055"/>
      <c r="L759" s="2056"/>
      <c r="M759" s="2054"/>
      <c r="N759" s="2054"/>
      <c r="O759" s="2054"/>
      <c r="P759" s="2095"/>
      <c r="Q759" s="2054"/>
      <c r="R759" s="2054"/>
      <c r="S759" s="2054"/>
      <c r="T759" s="2054"/>
      <c r="U759" s="2054"/>
      <c r="V759" s="2054"/>
      <c r="W759" s="2054"/>
      <c r="X759" s="2054"/>
      <c r="Y759" s="2054"/>
      <c r="Z759" s="2054"/>
      <c r="AA759" s="2054"/>
      <c r="AB759" s="2054"/>
      <c r="AC759" s="2054"/>
    </row>
    <row r="760" spans="1:29">
      <c r="A760" s="2054"/>
      <c r="B760" s="2054"/>
      <c r="C760" s="2054"/>
      <c r="D760" s="2054"/>
      <c r="E760" s="2054"/>
      <c r="F760" s="2054"/>
      <c r="G760" s="2054"/>
      <c r="H760" s="2054"/>
      <c r="I760" s="2054"/>
      <c r="J760" s="2054"/>
      <c r="K760" s="2055"/>
      <c r="L760" s="2056"/>
      <c r="M760" s="2054"/>
      <c r="N760" s="2054"/>
      <c r="O760" s="2054"/>
      <c r="P760" s="2095"/>
      <c r="Q760" s="2054"/>
      <c r="R760" s="2054"/>
      <c r="S760" s="2054"/>
      <c r="T760" s="2054"/>
      <c r="U760" s="2054"/>
      <c r="V760" s="2054"/>
      <c r="W760" s="2054"/>
      <c r="X760" s="2054"/>
      <c r="Y760" s="2054"/>
      <c r="Z760" s="2054"/>
      <c r="AA760" s="2054"/>
      <c r="AB760" s="2054"/>
      <c r="AC760" s="2054"/>
    </row>
    <row r="761" spans="1:29">
      <c r="A761" s="2054"/>
      <c r="B761" s="2054"/>
      <c r="C761" s="2054"/>
      <c r="D761" s="2054"/>
      <c r="E761" s="2054"/>
      <c r="F761" s="2054"/>
      <c r="G761" s="2054"/>
      <c r="H761" s="2054"/>
      <c r="I761" s="2054"/>
      <c r="J761" s="2054"/>
      <c r="K761" s="2055"/>
      <c r="L761" s="2056"/>
      <c r="M761" s="2054"/>
      <c r="N761" s="2054"/>
      <c r="O761" s="2054"/>
      <c r="P761" s="2095"/>
      <c r="Q761" s="2054"/>
      <c r="R761" s="2054"/>
      <c r="S761" s="2054"/>
      <c r="T761" s="2054"/>
      <c r="U761" s="2054"/>
      <c r="V761" s="2054"/>
      <c r="W761" s="2054"/>
      <c r="X761" s="2054"/>
      <c r="Y761" s="2054"/>
      <c r="Z761" s="2054"/>
      <c r="AA761" s="2054"/>
      <c r="AB761" s="2054"/>
      <c r="AC761" s="2054"/>
    </row>
    <row r="762" spans="1:29">
      <c r="A762" s="2054"/>
      <c r="B762" s="2054"/>
      <c r="C762" s="2054"/>
      <c r="D762" s="2054"/>
      <c r="E762" s="2054"/>
      <c r="F762" s="2054"/>
      <c r="G762" s="2054"/>
      <c r="H762" s="2054"/>
      <c r="I762" s="2054"/>
      <c r="J762" s="2054"/>
      <c r="K762" s="2055"/>
      <c r="L762" s="2056"/>
      <c r="M762" s="2054"/>
      <c r="N762" s="2054"/>
      <c r="O762" s="2054"/>
      <c r="P762" s="2095"/>
      <c r="Q762" s="2054"/>
      <c r="R762" s="2054"/>
      <c r="S762" s="2054"/>
      <c r="T762" s="2054"/>
      <c r="U762" s="2054"/>
      <c r="V762" s="2054"/>
      <c r="W762" s="2054"/>
      <c r="X762" s="2054"/>
      <c r="Y762" s="2054"/>
      <c r="Z762" s="2054"/>
      <c r="AA762" s="2054"/>
      <c r="AB762" s="2054"/>
      <c r="AC762" s="2054"/>
    </row>
    <row r="763" spans="1:29">
      <c r="A763" s="2054"/>
      <c r="B763" s="2054"/>
      <c r="C763" s="2054"/>
      <c r="D763" s="2054"/>
      <c r="E763" s="2054"/>
      <c r="F763" s="2054"/>
      <c r="G763" s="2054"/>
      <c r="H763" s="2054"/>
      <c r="I763" s="2054"/>
      <c r="J763" s="2054"/>
      <c r="K763" s="2055"/>
      <c r="L763" s="2056"/>
      <c r="M763" s="2054"/>
      <c r="N763" s="2054"/>
      <c r="O763" s="2054"/>
      <c r="P763" s="2095"/>
      <c r="Q763" s="2054"/>
      <c r="R763" s="2054"/>
      <c r="S763" s="2054"/>
      <c r="T763" s="2054"/>
      <c r="U763" s="2054"/>
      <c r="V763" s="2054"/>
      <c r="W763" s="2054"/>
      <c r="X763" s="2054"/>
      <c r="Y763" s="2054"/>
      <c r="Z763" s="2054"/>
      <c r="AA763" s="2054"/>
      <c r="AB763" s="2054"/>
      <c r="AC763" s="2054"/>
    </row>
    <row r="764" spans="1:29">
      <c r="A764" s="2054"/>
      <c r="B764" s="2054"/>
      <c r="C764" s="2054"/>
      <c r="D764" s="2054"/>
      <c r="E764" s="2054"/>
      <c r="F764" s="2054"/>
      <c r="G764" s="2054"/>
      <c r="H764" s="2054"/>
      <c r="I764" s="2054"/>
      <c r="J764" s="2054"/>
      <c r="K764" s="2055"/>
      <c r="L764" s="2056"/>
      <c r="M764" s="2054"/>
      <c r="N764" s="2054"/>
      <c r="O764" s="2054"/>
      <c r="P764" s="2095"/>
      <c r="Q764" s="2054"/>
      <c r="R764" s="2054"/>
      <c r="S764" s="2054"/>
      <c r="T764" s="2054"/>
      <c r="U764" s="2054"/>
      <c r="V764" s="2054"/>
      <c r="W764" s="2054"/>
      <c r="X764" s="2054"/>
      <c r="Y764" s="2054"/>
      <c r="Z764" s="2054"/>
      <c r="AA764" s="2054"/>
      <c r="AB764" s="2054"/>
      <c r="AC764" s="2054"/>
    </row>
    <row r="765" spans="1:29">
      <c r="A765" s="2054"/>
      <c r="B765" s="2054"/>
      <c r="C765" s="2054"/>
      <c r="D765" s="2054"/>
      <c r="E765" s="2054"/>
      <c r="F765" s="2054"/>
      <c r="G765" s="2054"/>
      <c r="H765" s="2054"/>
      <c r="I765" s="2054"/>
      <c r="J765" s="2054"/>
      <c r="K765" s="2055"/>
      <c r="L765" s="2056"/>
      <c r="M765" s="2054"/>
      <c r="N765" s="2054"/>
      <c r="O765" s="2054"/>
      <c r="P765" s="2095"/>
      <c r="Q765" s="2054"/>
      <c r="R765" s="2054"/>
      <c r="S765" s="2054"/>
      <c r="T765" s="2054"/>
      <c r="U765" s="2054"/>
      <c r="V765" s="2054"/>
      <c r="W765" s="2054"/>
      <c r="X765" s="2054"/>
      <c r="Y765" s="2054"/>
      <c r="Z765" s="2054"/>
      <c r="AA765" s="2054"/>
      <c r="AB765" s="2054"/>
      <c r="AC765" s="2054"/>
    </row>
    <row r="766" spans="1:29">
      <c r="A766" s="2054"/>
      <c r="B766" s="2054"/>
      <c r="C766" s="2054"/>
      <c r="D766" s="2054"/>
      <c r="E766" s="2054"/>
      <c r="F766" s="2054"/>
      <c r="G766" s="2054"/>
      <c r="H766" s="2054"/>
      <c r="I766" s="2054"/>
      <c r="J766" s="2054"/>
      <c r="K766" s="2055"/>
      <c r="L766" s="2056"/>
      <c r="M766" s="2054"/>
      <c r="N766" s="2054"/>
      <c r="O766" s="2054"/>
      <c r="P766" s="2095"/>
      <c r="Q766" s="2054"/>
      <c r="R766" s="2054"/>
      <c r="S766" s="2054"/>
      <c r="T766" s="2054"/>
      <c r="U766" s="2054"/>
      <c r="V766" s="2054"/>
      <c r="W766" s="2054"/>
      <c r="X766" s="2054"/>
      <c r="Y766" s="2054"/>
      <c r="Z766" s="2054"/>
      <c r="AA766" s="2054"/>
      <c r="AB766" s="2054"/>
      <c r="AC766" s="2054"/>
    </row>
    <row r="767" spans="1:29">
      <c r="A767" s="2054"/>
      <c r="B767" s="2054"/>
      <c r="C767" s="2054"/>
      <c r="D767" s="2054"/>
      <c r="E767" s="2054"/>
      <c r="F767" s="2054"/>
      <c r="G767" s="2054"/>
      <c r="H767" s="2054"/>
      <c r="I767" s="2054"/>
      <c r="J767" s="2054"/>
      <c r="K767" s="2055"/>
      <c r="L767" s="2056"/>
      <c r="M767" s="2054"/>
      <c r="N767" s="2054"/>
      <c r="O767" s="2054"/>
      <c r="P767" s="2095"/>
      <c r="Q767" s="2054"/>
      <c r="R767" s="2054"/>
      <c r="S767" s="2054"/>
      <c r="T767" s="2054"/>
      <c r="U767" s="2054"/>
      <c r="V767" s="2054"/>
      <c r="W767" s="2054"/>
      <c r="X767" s="2054"/>
      <c r="Y767" s="2054"/>
      <c r="Z767" s="2054"/>
      <c r="AA767" s="2054"/>
      <c r="AB767" s="2054"/>
      <c r="AC767" s="2054"/>
    </row>
    <row r="768" spans="1:29">
      <c r="A768" s="2054"/>
      <c r="B768" s="2054"/>
      <c r="C768" s="2054"/>
      <c r="D768" s="2054"/>
      <c r="E768" s="2054"/>
      <c r="F768" s="2054"/>
      <c r="G768" s="2054"/>
      <c r="H768" s="2054"/>
      <c r="I768" s="2054"/>
      <c r="J768" s="2054"/>
      <c r="K768" s="2055"/>
      <c r="L768" s="2056"/>
      <c r="M768" s="2054"/>
      <c r="N768" s="2054"/>
      <c r="O768" s="2054"/>
      <c r="P768" s="2095"/>
      <c r="Q768" s="2054"/>
      <c r="R768" s="2054"/>
      <c r="S768" s="2054"/>
      <c r="T768" s="2054"/>
      <c r="U768" s="2054"/>
      <c r="V768" s="2054"/>
      <c r="W768" s="2054"/>
      <c r="X768" s="2054"/>
      <c r="Y768" s="2054"/>
      <c r="Z768" s="2054"/>
      <c r="AA768" s="2054"/>
      <c r="AB768" s="2054"/>
      <c r="AC768" s="2054"/>
    </row>
    <row r="769" spans="1:29">
      <c r="A769" s="2054"/>
      <c r="B769" s="2054"/>
      <c r="C769" s="2054"/>
      <c r="D769" s="2054"/>
      <c r="E769" s="2054"/>
      <c r="F769" s="2054"/>
      <c r="G769" s="2054"/>
      <c r="H769" s="2054"/>
      <c r="I769" s="2054"/>
      <c r="J769" s="2054"/>
      <c r="K769" s="2055"/>
      <c r="L769" s="2056"/>
      <c r="M769" s="2054"/>
      <c r="N769" s="2054"/>
      <c r="O769" s="2054"/>
      <c r="P769" s="2095"/>
      <c r="Q769" s="2054"/>
      <c r="R769" s="2054"/>
      <c r="S769" s="2054"/>
      <c r="T769" s="2054"/>
      <c r="U769" s="2054"/>
      <c r="V769" s="2054"/>
      <c r="W769" s="2054"/>
      <c r="X769" s="2054"/>
      <c r="Y769" s="2054"/>
      <c r="Z769" s="2054"/>
      <c r="AA769" s="2054"/>
      <c r="AB769" s="2054"/>
      <c r="AC769" s="2054"/>
    </row>
    <row r="770" spans="1:29">
      <c r="A770" s="2054"/>
      <c r="B770" s="2054"/>
      <c r="C770" s="2054"/>
      <c r="D770" s="2054"/>
      <c r="E770" s="2054"/>
      <c r="F770" s="2054"/>
      <c r="G770" s="2054"/>
      <c r="H770" s="2054"/>
      <c r="I770" s="2054"/>
      <c r="J770" s="2054"/>
      <c r="K770" s="2055"/>
      <c r="L770" s="2056"/>
      <c r="M770" s="2054"/>
      <c r="N770" s="2054"/>
      <c r="O770" s="2054"/>
      <c r="P770" s="2095"/>
      <c r="Q770" s="2054"/>
      <c r="R770" s="2054"/>
      <c r="S770" s="2054"/>
      <c r="T770" s="2054"/>
      <c r="U770" s="2054"/>
      <c r="V770" s="2054"/>
      <c r="W770" s="2054"/>
      <c r="X770" s="2054"/>
      <c r="Y770" s="2054"/>
      <c r="Z770" s="2054"/>
      <c r="AA770" s="2054"/>
      <c r="AB770" s="2054"/>
      <c r="AC770" s="2054"/>
    </row>
    <row r="771" spans="1:29">
      <c r="A771" s="2054"/>
      <c r="B771" s="2054"/>
      <c r="C771" s="2054"/>
      <c r="D771" s="2054"/>
      <c r="E771" s="2054"/>
      <c r="F771" s="2054"/>
      <c r="G771" s="2054"/>
      <c r="H771" s="2054"/>
      <c r="I771" s="2054"/>
      <c r="J771" s="2054"/>
      <c r="K771" s="2055"/>
      <c r="L771" s="2056"/>
      <c r="M771" s="2054"/>
      <c r="N771" s="2054"/>
      <c r="O771" s="2054"/>
      <c r="P771" s="2095"/>
      <c r="Q771" s="2054"/>
      <c r="R771" s="2054"/>
      <c r="S771" s="2054"/>
      <c r="T771" s="2054"/>
      <c r="U771" s="2054"/>
      <c r="V771" s="2054"/>
      <c r="W771" s="2054"/>
      <c r="X771" s="2054"/>
      <c r="Y771" s="2054"/>
      <c r="Z771" s="2054"/>
      <c r="AA771" s="2054"/>
      <c r="AB771" s="2054"/>
      <c r="AC771" s="2054"/>
    </row>
    <row r="772" spans="1:29">
      <c r="A772" s="2054"/>
      <c r="B772" s="2054"/>
      <c r="C772" s="2054"/>
      <c r="D772" s="2054"/>
      <c r="E772" s="2054"/>
      <c r="F772" s="2054"/>
      <c r="G772" s="2054"/>
      <c r="H772" s="2054"/>
      <c r="I772" s="2054"/>
      <c r="J772" s="2054"/>
      <c r="K772" s="2055"/>
      <c r="L772" s="2056"/>
      <c r="M772" s="2054"/>
      <c r="N772" s="2054"/>
      <c r="O772" s="2054"/>
      <c r="P772" s="2095"/>
      <c r="Q772" s="2054"/>
      <c r="R772" s="2054"/>
      <c r="S772" s="2054"/>
      <c r="T772" s="2054"/>
      <c r="U772" s="2054"/>
      <c r="V772" s="2054"/>
      <c r="W772" s="2054"/>
      <c r="X772" s="2054"/>
      <c r="Y772" s="2054"/>
      <c r="Z772" s="2054"/>
      <c r="AA772" s="2054"/>
      <c r="AB772" s="2054"/>
      <c r="AC772" s="2054"/>
    </row>
    <row r="773" spans="1:29">
      <c r="A773" s="2054"/>
      <c r="B773" s="2054"/>
      <c r="C773" s="2054"/>
      <c r="D773" s="2054"/>
      <c r="E773" s="2054"/>
      <c r="F773" s="2054"/>
      <c r="G773" s="2054"/>
      <c r="H773" s="2054"/>
      <c r="I773" s="2054"/>
      <c r="J773" s="2054"/>
      <c r="K773" s="2055"/>
      <c r="L773" s="2056"/>
      <c r="M773" s="2054"/>
      <c r="N773" s="2054"/>
      <c r="O773" s="2054"/>
      <c r="P773" s="2095"/>
      <c r="Q773" s="2054"/>
      <c r="R773" s="2054"/>
      <c r="S773" s="2054"/>
      <c r="T773" s="2054"/>
      <c r="U773" s="2054"/>
      <c r="V773" s="2054"/>
      <c r="W773" s="2054"/>
      <c r="X773" s="2054"/>
      <c r="Y773" s="2054"/>
      <c r="Z773" s="2054"/>
      <c r="AA773" s="2054"/>
      <c r="AB773" s="2054"/>
      <c r="AC773" s="2054"/>
    </row>
    <row r="774" spans="1:29">
      <c r="A774" s="2054"/>
      <c r="B774" s="2054"/>
      <c r="C774" s="2054"/>
      <c r="D774" s="2054"/>
      <c r="E774" s="2054"/>
      <c r="F774" s="2054"/>
      <c r="G774" s="2054"/>
      <c r="H774" s="2054"/>
      <c r="I774" s="2054"/>
      <c r="J774" s="2054"/>
      <c r="K774" s="2055"/>
      <c r="L774" s="2056"/>
      <c r="M774" s="2054"/>
      <c r="N774" s="2054"/>
      <c r="O774" s="2054"/>
      <c r="P774" s="2095"/>
      <c r="Q774" s="2054"/>
      <c r="R774" s="2054"/>
      <c r="S774" s="2054"/>
      <c r="T774" s="2054"/>
      <c r="U774" s="2054"/>
      <c r="V774" s="2054"/>
      <c r="W774" s="2054"/>
      <c r="X774" s="2054"/>
      <c r="Y774" s="2054"/>
      <c r="Z774" s="2054"/>
      <c r="AA774" s="2054"/>
      <c r="AB774" s="2054"/>
      <c r="AC774" s="2054"/>
    </row>
    <row r="775" spans="1:29">
      <c r="A775" s="2054"/>
      <c r="B775" s="2054"/>
      <c r="C775" s="2054"/>
      <c r="D775" s="2054"/>
      <c r="E775" s="2054"/>
      <c r="F775" s="2054"/>
      <c r="G775" s="2054"/>
      <c r="H775" s="2054"/>
      <c r="I775" s="2054"/>
      <c r="J775" s="2054"/>
      <c r="K775" s="2055"/>
      <c r="L775" s="2056"/>
      <c r="M775" s="2054"/>
      <c r="N775" s="2054"/>
      <c r="O775" s="2054"/>
      <c r="P775" s="2095"/>
      <c r="Q775" s="2054"/>
      <c r="R775" s="2054"/>
      <c r="S775" s="2054"/>
      <c r="T775" s="2054"/>
      <c r="U775" s="2054"/>
      <c r="V775" s="2054"/>
      <c r="W775" s="2054"/>
      <c r="X775" s="2054"/>
      <c r="Y775" s="2054"/>
      <c r="Z775" s="2054"/>
      <c r="AA775" s="2054"/>
      <c r="AB775" s="2054"/>
      <c r="AC775" s="2054"/>
    </row>
    <row r="776" spans="1:29">
      <c r="A776" s="2054"/>
      <c r="B776" s="2054"/>
      <c r="C776" s="2054"/>
      <c r="D776" s="2054"/>
      <c r="E776" s="2054"/>
      <c r="F776" s="2054"/>
      <c r="G776" s="2054"/>
      <c r="H776" s="2054"/>
      <c r="I776" s="2054"/>
      <c r="J776" s="2054"/>
      <c r="K776" s="2055"/>
      <c r="L776" s="2056"/>
      <c r="M776" s="2054"/>
      <c r="N776" s="2054"/>
      <c r="O776" s="2054"/>
      <c r="P776" s="2095"/>
      <c r="Q776" s="2054"/>
      <c r="R776" s="2054"/>
      <c r="S776" s="2054"/>
      <c r="T776" s="2054"/>
      <c r="U776" s="2054"/>
      <c r="V776" s="2054"/>
      <c r="W776" s="2054"/>
      <c r="X776" s="2054"/>
      <c r="Y776" s="2054"/>
      <c r="Z776" s="2054"/>
      <c r="AA776" s="2054"/>
      <c r="AB776" s="2054"/>
      <c r="AC776" s="2054"/>
    </row>
    <row r="777" spans="1:29">
      <c r="A777" s="2054"/>
      <c r="B777" s="2054"/>
      <c r="C777" s="2054"/>
      <c r="D777" s="2054"/>
      <c r="E777" s="2054"/>
      <c r="F777" s="2054"/>
      <c r="G777" s="2054"/>
      <c r="H777" s="2054"/>
      <c r="I777" s="2054"/>
      <c r="J777" s="2054"/>
      <c r="K777" s="2055"/>
      <c r="L777" s="2056"/>
      <c r="M777" s="2054"/>
      <c r="N777" s="2054"/>
      <c r="O777" s="2054"/>
      <c r="P777" s="2095"/>
      <c r="Q777" s="2054"/>
      <c r="R777" s="2054"/>
      <c r="S777" s="2054"/>
      <c r="T777" s="2054"/>
      <c r="U777" s="2054"/>
      <c r="V777" s="2054"/>
      <c r="W777" s="2054"/>
      <c r="X777" s="2054"/>
      <c r="Y777" s="2054"/>
      <c r="Z777" s="2054"/>
      <c r="AA777" s="2054"/>
      <c r="AB777" s="2054"/>
      <c r="AC777" s="2054"/>
    </row>
    <row r="778" spans="1:29">
      <c r="A778" s="2054"/>
      <c r="B778" s="2054"/>
      <c r="C778" s="2054"/>
      <c r="D778" s="2054"/>
      <c r="E778" s="2054"/>
      <c r="F778" s="2054"/>
      <c r="G778" s="2054"/>
      <c r="H778" s="2054"/>
      <c r="I778" s="2054"/>
      <c r="J778" s="2054"/>
      <c r="K778" s="2055"/>
      <c r="L778" s="2056"/>
      <c r="M778" s="2054"/>
      <c r="N778" s="2054"/>
      <c r="O778" s="2054"/>
      <c r="P778" s="2095"/>
      <c r="Q778" s="2054"/>
      <c r="R778" s="2054"/>
      <c r="S778" s="2054"/>
      <c r="T778" s="2054"/>
      <c r="U778" s="2054"/>
      <c r="V778" s="2054"/>
      <c r="W778" s="2054"/>
      <c r="X778" s="2054"/>
      <c r="Y778" s="2054"/>
      <c r="Z778" s="2054"/>
      <c r="AA778" s="2054"/>
      <c r="AB778" s="2054"/>
      <c r="AC778" s="2054"/>
    </row>
    <row r="779" spans="1:29">
      <c r="A779" s="2054"/>
      <c r="B779" s="2054"/>
      <c r="C779" s="2054"/>
      <c r="D779" s="2054"/>
      <c r="E779" s="2054"/>
      <c r="F779" s="2054"/>
      <c r="G779" s="2054"/>
      <c r="H779" s="2054"/>
      <c r="I779" s="2054"/>
      <c r="J779" s="2054"/>
      <c r="K779" s="2055"/>
      <c r="L779" s="2056"/>
      <c r="M779" s="2054"/>
      <c r="N779" s="2054"/>
      <c r="O779" s="2054"/>
      <c r="P779" s="2095"/>
      <c r="Q779" s="2054"/>
      <c r="R779" s="2054"/>
      <c r="S779" s="2054"/>
      <c r="T779" s="2054"/>
      <c r="U779" s="2054"/>
      <c r="V779" s="2054"/>
      <c r="W779" s="2054"/>
      <c r="X779" s="2054"/>
      <c r="Y779" s="2054"/>
      <c r="Z779" s="2054"/>
      <c r="AA779" s="2054"/>
      <c r="AB779" s="2054"/>
      <c r="AC779" s="2054"/>
    </row>
    <row r="780" spans="1:29">
      <c r="A780" s="2054"/>
      <c r="B780" s="2054"/>
      <c r="C780" s="2054"/>
      <c r="D780" s="2054"/>
      <c r="E780" s="2054"/>
      <c r="F780" s="2054"/>
      <c r="G780" s="2054"/>
      <c r="H780" s="2054"/>
      <c r="I780" s="2054"/>
      <c r="J780" s="2054"/>
      <c r="K780" s="2055"/>
      <c r="L780" s="2056"/>
      <c r="M780" s="2054"/>
      <c r="N780" s="2054"/>
      <c r="O780" s="2054"/>
      <c r="P780" s="2095"/>
      <c r="Q780" s="2054"/>
      <c r="R780" s="2054"/>
      <c r="S780" s="2054"/>
      <c r="T780" s="2054"/>
      <c r="U780" s="2054"/>
      <c r="V780" s="2054"/>
      <c r="W780" s="2054"/>
      <c r="X780" s="2054"/>
      <c r="Y780" s="2054"/>
      <c r="Z780" s="2054"/>
      <c r="AA780" s="2054"/>
      <c r="AB780" s="2054"/>
      <c r="AC780" s="2054"/>
    </row>
    <row r="781" spans="1:29">
      <c r="A781" s="2054"/>
      <c r="B781" s="2054"/>
      <c r="C781" s="2054"/>
      <c r="D781" s="2054"/>
      <c r="E781" s="2054"/>
      <c r="F781" s="2054"/>
      <c r="G781" s="2054"/>
      <c r="H781" s="2054"/>
      <c r="I781" s="2054"/>
      <c r="J781" s="2054"/>
      <c r="K781" s="2055"/>
      <c r="L781" s="2056"/>
      <c r="M781" s="2054"/>
      <c r="N781" s="2054"/>
      <c r="O781" s="2054"/>
      <c r="P781" s="2095"/>
      <c r="Q781" s="2054"/>
      <c r="R781" s="2054"/>
      <c r="S781" s="2054"/>
      <c r="T781" s="2054"/>
      <c r="U781" s="2054"/>
      <c r="V781" s="2054"/>
      <c r="W781" s="2054"/>
      <c r="X781" s="2054"/>
      <c r="Y781" s="2054"/>
      <c r="Z781" s="2054"/>
      <c r="AA781" s="2054"/>
      <c r="AB781" s="2054"/>
      <c r="AC781" s="2054"/>
    </row>
    <row r="782" spans="1:29">
      <c r="A782" s="2054"/>
      <c r="B782" s="2054"/>
      <c r="C782" s="2054"/>
      <c r="D782" s="2054"/>
      <c r="E782" s="2054"/>
      <c r="F782" s="2054"/>
      <c r="G782" s="2054"/>
      <c r="H782" s="2054"/>
      <c r="I782" s="2054"/>
      <c r="J782" s="2054"/>
      <c r="K782" s="2055"/>
      <c r="L782" s="2056"/>
      <c r="M782" s="2054"/>
      <c r="N782" s="2054"/>
      <c r="O782" s="2054"/>
      <c r="P782" s="2095"/>
      <c r="Q782" s="2054"/>
      <c r="R782" s="2054"/>
      <c r="S782" s="2054"/>
      <c r="T782" s="2054"/>
      <c r="U782" s="2054"/>
      <c r="V782" s="2054"/>
      <c r="W782" s="2054"/>
      <c r="X782" s="2054"/>
      <c r="Y782" s="2054"/>
      <c r="Z782" s="2054"/>
      <c r="AA782" s="2054"/>
      <c r="AB782" s="2054"/>
      <c r="AC782" s="2054"/>
    </row>
    <row r="783" spans="1:29">
      <c r="A783" s="2054"/>
      <c r="B783" s="2054"/>
      <c r="C783" s="2054"/>
      <c r="D783" s="2054"/>
      <c r="E783" s="2054"/>
      <c r="F783" s="2054"/>
      <c r="G783" s="2054"/>
      <c r="H783" s="2054"/>
      <c r="I783" s="2054"/>
      <c r="J783" s="2054"/>
      <c r="K783" s="2055"/>
      <c r="L783" s="2056"/>
      <c r="M783" s="2054"/>
      <c r="N783" s="2054"/>
      <c r="O783" s="2054"/>
      <c r="P783" s="2095"/>
      <c r="Q783" s="2054"/>
      <c r="R783" s="2054"/>
      <c r="S783" s="2054"/>
      <c r="T783" s="2054"/>
      <c r="U783" s="2054"/>
      <c r="V783" s="2054"/>
      <c r="W783" s="2054"/>
      <c r="X783" s="2054"/>
      <c r="Y783" s="2054"/>
      <c r="Z783" s="2054"/>
      <c r="AA783" s="2054"/>
      <c r="AB783" s="2054"/>
      <c r="AC783" s="2054"/>
    </row>
    <row r="784" spans="1:29">
      <c r="A784" s="2054"/>
      <c r="B784" s="2054"/>
      <c r="C784" s="2054"/>
      <c r="D784" s="2054"/>
      <c r="E784" s="2054"/>
      <c r="F784" s="2054"/>
      <c r="G784" s="2054"/>
      <c r="H784" s="2054"/>
      <c r="I784" s="2054"/>
      <c r="J784" s="2054"/>
      <c r="K784" s="2055"/>
      <c r="L784" s="2056"/>
      <c r="M784" s="2054"/>
      <c r="N784" s="2054"/>
      <c r="O784" s="2054"/>
      <c r="P784" s="2095"/>
      <c r="Q784" s="2054"/>
      <c r="R784" s="2054"/>
      <c r="S784" s="2054"/>
      <c r="T784" s="2054"/>
      <c r="U784" s="2054"/>
      <c r="V784" s="2054"/>
      <c r="W784" s="2054"/>
      <c r="X784" s="2054"/>
      <c r="Y784" s="2054"/>
      <c r="Z784" s="2054"/>
      <c r="AA784" s="2054"/>
      <c r="AB784" s="2054"/>
      <c r="AC784" s="2054"/>
    </row>
    <row r="785" spans="1:29">
      <c r="A785" s="2054"/>
      <c r="B785" s="2054"/>
      <c r="C785" s="2054"/>
      <c r="D785" s="2054"/>
      <c r="E785" s="2054"/>
      <c r="F785" s="2054"/>
      <c r="G785" s="2054"/>
      <c r="H785" s="2054"/>
      <c r="I785" s="2054"/>
      <c r="J785" s="2054"/>
      <c r="K785" s="2055"/>
      <c r="L785" s="2056"/>
      <c r="M785" s="2054"/>
      <c r="N785" s="2054"/>
      <c r="O785" s="2054"/>
      <c r="P785" s="2095"/>
      <c r="Q785" s="2054"/>
      <c r="R785" s="2054"/>
      <c r="S785" s="2054"/>
      <c r="T785" s="2054"/>
      <c r="U785" s="2054"/>
      <c r="V785" s="2054"/>
      <c r="W785" s="2054"/>
      <c r="X785" s="2054"/>
      <c r="Y785" s="2054"/>
      <c r="Z785" s="2054"/>
      <c r="AA785" s="2054"/>
      <c r="AB785" s="2054"/>
      <c r="AC785" s="2054"/>
    </row>
    <row r="786" spans="1:29">
      <c r="A786" s="2054"/>
      <c r="B786" s="2054"/>
      <c r="C786" s="2054"/>
      <c r="D786" s="2054"/>
      <c r="E786" s="2054"/>
      <c r="F786" s="2054"/>
      <c r="G786" s="2054"/>
      <c r="H786" s="2054"/>
      <c r="I786" s="2054"/>
      <c r="J786" s="2054"/>
      <c r="K786" s="2055"/>
      <c r="L786" s="2056"/>
      <c r="M786" s="2054"/>
      <c r="N786" s="2054"/>
      <c r="O786" s="2054"/>
      <c r="P786" s="2095"/>
      <c r="Q786" s="2054"/>
      <c r="R786" s="2054"/>
      <c r="S786" s="2054"/>
      <c r="T786" s="2054"/>
      <c r="U786" s="2054"/>
      <c r="V786" s="2054"/>
      <c r="W786" s="2054"/>
      <c r="X786" s="2054"/>
      <c r="Y786" s="2054"/>
      <c r="Z786" s="2054"/>
      <c r="AA786" s="2054"/>
      <c r="AB786" s="2054"/>
      <c r="AC786" s="2054"/>
    </row>
    <row r="787" spans="1:29">
      <c r="A787" s="2054"/>
      <c r="B787" s="2054"/>
      <c r="C787" s="2054"/>
      <c r="D787" s="2054"/>
      <c r="E787" s="2054"/>
      <c r="F787" s="2054"/>
      <c r="G787" s="2054"/>
      <c r="H787" s="2054"/>
      <c r="I787" s="2054"/>
      <c r="J787" s="2054"/>
      <c r="K787" s="2055"/>
      <c r="L787" s="2056"/>
      <c r="M787" s="2054"/>
      <c r="N787" s="2054"/>
      <c r="O787" s="2054"/>
      <c r="P787" s="2095"/>
      <c r="Q787" s="2054"/>
      <c r="R787" s="2054"/>
      <c r="S787" s="2054"/>
      <c r="T787" s="2054"/>
      <c r="U787" s="2054"/>
      <c r="V787" s="2054"/>
      <c r="W787" s="2054"/>
      <c r="X787" s="2054"/>
      <c r="Y787" s="2054"/>
      <c r="Z787" s="2054"/>
      <c r="AA787" s="2054"/>
      <c r="AB787" s="2054"/>
      <c r="AC787" s="2054"/>
    </row>
    <row r="788" spans="1:29">
      <c r="A788" s="2054"/>
      <c r="B788" s="2054"/>
      <c r="C788" s="2054"/>
      <c r="D788" s="2054"/>
      <c r="E788" s="2054"/>
      <c r="F788" s="2054"/>
      <c r="G788" s="2054"/>
      <c r="H788" s="2054"/>
      <c r="I788" s="2054"/>
      <c r="J788" s="2054"/>
      <c r="K788" s="2055"/>
      <c r="L788" s="2056"/>
      <c r="M788" s="2054"/>
      <c r="N788" s="2054"/>
      <c r="O788" s="2054"/>
      <c r="P788" s="2095"/>
      <c r="Q788" s="2054"/>
      <c r="R788" s="2054"/>
      <c r="S788" s="2054"/>
      <c r="T788" s="2054"/>
      <c r="U788" s="2054"/>
      <c r="V788" s="2054"/>
      <c r="W788" s="2054"/>
      <c r="X788" s="2054"/>
      <c r="Y788" s="2054"/>
      <c r="Z788" s="2054"/>
      <c r="AA788" s="2054"/>
      <c r="AB788" s="2054"/>
      <c r="AC788" s="2054"/>
    </row>
    <row r="789" spans="1:29">
      <c r="A789" s="2054"/>
      <c r="B789" s="2054"/>
      <c r="C789" s="2054"/>
      <c r="D789" s="2054"/>
      <c r="E789" s="2054"/>
      <c r="F789" s="2054"/>
      <c r="G789" s="2054"/>
      <c r="H789" s="2054"/>
      <c r="I789" s="2054"/>
      <c r="J789" s="2054"/>
      <c r="K789" s="2055"/>
      <c r="L789" s="2056"/>
      <c r="M789" s="2054"/>
      <c r="N789" s="2054"/>
      <c r="O789" s="2054"/>
      <c r="P789" s="2095"/>
      <c r="Q789" s="2054"/>
      <c r="R789" s="2054"/>
      <c r="S789" s="2054"/>
      <c r="T789" s="2054"/>
      <c r="U789" s="2054"/>
      <c r="V789" s="2054"/>
      <c r="W789" s="2054"/>
      <c r="X789" s="2054"/>
      <c r="Y789" s="2054"/>
      <c r="Z789" s="2054"/>
      <c r="AA789" s="2054"/>
      <c r="AB789" s="2054"/>
      <c r="AC789" s="2054"/>
    </row>
    <row r="790" spans="1:29">
      <c r="A790" s="2054"/>
      <c r="B790" s="2054"/>
      <c r="C790" s="2054"/>
      <c r="D790" s="2054"/>
      <c r="E790" s="2054"/>
      <c r="F790" s="2054"/>
      <c r="G790" s="2054"/>
      <c r="H790" s="2054"/>
      <c r="I790" s="2054"/>
      <c r="J790" s="2054"/>
      <c r="K790" s="2055"/>
      <c r="L790" s="2056"/>
      <c r="M790" s="2054"/>
      <c r="N790" s="2054"/>
      <c r="O790" s="2054"/>
      <c r="P790" s="2095"/>
      <c r="Q790" s="2054"/>
      <c r="R790" s="2054"/>
      <c r="S790" s="2054"/>
      <c r="T790" s="2054"/>
      <c r="U790" s="2054"/>
      <c r="V790" s="2054"/>
      <c r="W790" s="2054"/>
      <c r="X790" s="2054"/>
      <c r="Y790" s="2054"/>
      <c r="Z790" s="2054"/>
      <c r="AA790" s="2054"/>
      <c r="AB790" s="2054"/>
      <c r="AC790" s="2054"/>
    </row>
    <row r="791" spans="1:29">
      <c r="A791" s="2054"/>
      <c r="B791" s="2054"/>
      <c r="C791" s="2054"/>
      <c r="D791" s="2054"/>
      <c r="E791" s="2054"/>
      <c r="F791" s="2054"/>
      <c r="G791" s="2054"/>
      <c r="H791" s="2054"/>
      <c r="I791" s="2054"/>
      <c r="J791" s="2054"/>
      <c r="K791" s="2055"/>
      <c r="L791" s="2056"/>
      <c r="M791" s="2054"/>
      <c r="N791" s="2054"/>
      <c r="O791" s="2054"/>
      <c r="P791" s="2095"/>
      <c r="Q791" s="2054"/>
      <c r="R791" s="2054"/>
      <c r="S791" s="2054"/>
      <c r="T791" s="2054"/>
      <c r="U791" s="2054"/>
      <c r="V791" s="2054"/>
      <c r="W791" s="2054"/>
      <c r="X791" s="2054"/>
      <c r="Y791" s="2054"/>
      <c r="Z791" s="2054"/>
      <c r="AA791" s="2054"/>
      <c r="AB791" s="2054"/>
      <c r="AC791" s="2054"/>
    </row>
    <row r="792" spans="1:29">
      <c r="A792" s="2054"/>
      <c r="B792" s="2054"/>
      <c r="C792" s="2054"/>
      <c r="D792" s="2054"/>
      <c r="E792" s="2054"/>
      <c r="F792" s="2054"/>
      <c r="G792" s="2054"/>
      <c r="H792" s="2054"/>
      <c r="I792" s="2054"/>
      <c r="J792" s="2054"/>
      <c r="K792" s="2055"/>
      <c r="L792" s="2056"/>
      <c r="M792" s="2054"/>
      <c r="N792" s="2054"/>
      <c r="O792" s="2054"/>
      <c r="P792" s="2095"/>
      <c r="Q792" s="2054"/>
      <c r="R792" s="2054"/>
      <c r="S792" s="2054"/>
      <c r="T792" s="2054"/>
      <c r="U792" s="2054"/>
      <c r="V792" s="2054"/>
      <c r="W792" s="2054"/>
      <c r="X792" s="2054"/>
      <c r="Y792" s="2054"/>
      <c r="Z792" s="2054"/>
      <c r="AA792" s="2054"/>
      <c r="AB792" s="2054"/>
      <c r="AC792" s="2054"/>
    </row>
    <row r="793" spans="1:29">
      <c r="A793" s="2054"/>
      <c r="B793" s="2054"/>
      <c r="C793" s="2054"/>
      <c r="D793" s="2054"/>
      <c r="E793" s="2054"/>
      <c r="F793" s="2054"/>
      <c r="G793" s="2054"/>
      <c r="H793" s="2054"/>
      <c r="I793" s="2054"/>
      <c r="J793" s="2054"/>
      <c r="K793" s="2055"/>
      <c r="L793" s="2056"/>
      <c r="M793" s="2054"/>
      <c r="N793" s="2054"/>
      <c r="O793" s="2054"/>
      <c r="P793" s="2095"/>
      <c r="Q793" s="2054"/>
      <c r="R793" s="2054"/>
      <c r="S793" s="2054"/>
      <c r="T793" s="2054"/>
      <c r="U793" s="2054"/>
      <c r="V793" s="2054"/>
      <c r="W793" s="2054"/>
      <c r="X793" s="2054"/>
      <c r="Y793" s="2054"/>
      <c r="Z793" s="2054"/>
      <c r="AA793" s="2054"/>
      <c r="AB793" s="2054"/>
      <c r="AC793" s="2054"/>
    </row>
    <row r="794" spans="1:29">
      <c r="A794" s="2054"/>
      <c r="B794" s="2054"/>
      <c r="C794" s="2054"/>
      <c r="D794" s="2054"/>
      <c r="E794" s="2054"/>
      <c r="F794" s="2054"/>
      <c r="G794" s="2054"/>
      <c r="H794" s="2054"/>
      <c r="I794" s="2054"/>
      <c r="J794" s="2054"/>
      <c r="K794" s="2055"/>
      <c r="L794" s="2056"/>
      <c r="M794" s="2054"/>
      <c r="N794" s="2054"/>
      <c r="O794" s="2054"/>
      <c r="P794" s="2095"/>
      <c r="Q794" s="2054"/>
      <c r="R794" s="2054"/>
      <c r="S794" s="2054"/>
      <c r="T794" s="2054"/>
      <c r="U794" s="2054"/>
      <c r="V794" s="2054"/>
      <c r="W794" s="2054"/>
      <c r="X794" s="2054"/>
      <c r="Y794" s="2054"/>
      <c r="Z794" s="2054"/>
      <c r="AA794" s="2054"/>
      <c r="AB794" s="2054"/>
      <c r="AC794" s="2054"/>
    </row>
    <row r="795" spans="1:29">
      <c r="A795" s="2054"/>
      <c r="B795" s="2054"/>
      <c r="C795" s="2054"/>
      <c r="D795" s="2054"/>
      <c r="E795" s="2054"/>
      <c r="F795" s="2054"/>
      <c r="G795" s="2054"/>
      <c r="H795" s="2054"/>
      <c r="I795" s="2054"/>
      <c r="J795" s="2054"/>
      <c r="K795" s="2055"/>
      <c r="L795" s="2056"/>
      <c r="M795" s="2054"/>
      <c r="N795" s="2054"/>
      <c r="O795" s="2054"/>
      <c r="P795" s="2095"/>
      <c r="Q795" s="2054"/>
      <c r="R795" s="2054"/>
      <c r="S795" s="2054"/>
      <c r="T795" s="2054"/>
      <c r="U795" s="2054"/>
      <c r="V795" s="2054"/>
      <c r="W795" s="2054"/>
      <c r="X795" s="2054"/>
      <c r="Y795" s="2054"/>
      <c r="Z795" s="2054"/>
      <c r="AA795" s="2054"/>
      <c r="AB795" s="2054"/>
      <c r="AC795" s="2054"/>
    </row>
    <row r="796" spans="1:29">
      <c r="A796" s="2054"/>
      <c r="B796" s="2054"/>
      <c r="C796" s="2054"/>
      <c r="D796" s="2054"/>
      <c r="E796" s="2054"/>
      <c r="F796" s="2054"/>
      <c r="G796" s="2054"/>
      <c r="H796" s="2054"/>
      <c r="I796" s="2054"/>
      <c r="J796" s="2054"/>
      <c r="K796" s="2055"/>
      <c r="L796" s="2056"/>
      <c r="M796" s="2054"/>
      <c r="N796" s="2054"/>
      <c r="O796" s="2054"/>
      <c r="P796" s="2095"/>
      <c r="Q796" s="2054"/>
      <c r="R796" s="2054"/>
      <c r="S796" s="2054"/>
      <c r="T796" s="2054"/>
      <c r="U796" s="2054"/>
      <c r="V796" s="2054"/>
      <c r="W796" s="2054"/>
      <c r="X796" s="2054"/>
      <c r="Y796" s="2054"/>
      <c r="Z796" s="2054"/>
      <c r="AA796" s="2054"/>
      <c r="AB796" s="2054"/>
      <c r="AC796" s="2054"/>
    </row>
    <row r="797" spans="1:29">
      <c r="A797" s="2054"/>
      <c r="B797" s="2054"/>
      <c r="C797" s="2054"/>
      <c r="D797" s="2054"/>
      <c r="E797" s="2054"/>
      <c r="F797" s="2054"/>
      <c r="G797" s="2054"/>
      <c r="H797" s="2054"/>
      <c r="I797" s="2054"/>
      <c r="J797" s="2054"/>
      <c r="K797" s="2055"/>
      <c r="L797" s="2056"/>
      <c r="M797" s="2054"/>
      <c r="N797" s="2054"/>
      <c r="O797" s="2054"/>
      <c r="P797" s="2095"/>
      <c r="Q797" s="2054"/>
      <c r="R797" s="2054"/>
      <c r="S797" s="2054"/>
      <c r="T797" s="2054"/>
      <c r="U797" s="2054"/>
      <c r="V797" s="2054"/>
      <c r="W797" s="2054"/>
      <c r="X797" s="2054"/>
      <c r="Y797" s="2054"/>
      <c r="Z797" s="2054"/>
      <c r="AA797" s="2054"/>
      <c r="AB797" s="2054"/>
      <c r="AC797" s="2054"/>
    </row>
    <row r="798" spans="1:29">
      <c r="A798" s="2054"/>
      <c r="B798" s="2054"/>
      <c r="C798" s="2054"/>
      <c r="D798" s="2054"/>
      <c r="E798" s="2054"/>
      <c r="F798" s="2054"/>
      <c r="G798" s="2054"/>
      <c r="H798" s="2054"/>
      <c r="I798" s="2054"/>
      <c r="J798" s="2054"/>
      <c r="K798" s="2055"/>
      <c r="L798" s="2056"/>
      <c r="M798" s="2054"/>
      <c r="N798" s="2054"/>
      <c r="O798" s="2054"/>
      <c r="P798" s="2095"/>
      <c r="Q798" s="2054"/>
      <c r="R798" s="2054"/>
      <c r="S798" s="2054"/>
      <c r="T798" s="2054"/>
      <c r="U798" s="2054"/>
      <c r="V798" s="2054"/>
      <c r="W798" s="2054"/>
      <c r="X798" s="2054"/>
      <c r="Y798" s="2054"/>
      <c r="Z798" s="2054"/>
      <c r="AA798" s="2054"/>
      <c r="AB798" s="2054"/>
      <c r="AC798" s="2054"/>
    </row>
    <row r="799" spans="1:29">
      <c r="A799" s="2054"/>
      <c r="B799" s="2054"/>
      <c r="C799" s="2054"/>
      <c r="D799" s="2054"/>
      <c r="E799" s="2054"/>
      <c r="F799" s="2054"/>
      <c r="G799" s="2054"/>
      <c r="H799" s="2054"/>
      <c r="I799" s="2054"/>
      <c r="J799" s="2054"/>
      <c r="K799" s="2055"/>
      <c r="L799" s="2056"/>
      <c r="M799" s="2054"/>
      <c r="N799" s="2054"/>
      <c r="O799" s="2054"/>
      <c r="P799" s="2095"/>
      <c r="Q799" s="2054"/>
      <c r="R799" s="2054"/>
      <c r="S799" s="2054"/>
      <c r="T799" s="2054"/>
      <c r="U799" s="2054"/>
      <c r="V799" s="2054"/>
      <c r="W799" s="2054"/>
      <c r="X799" s="2054"/>
      <c r="Y799" s="2054"/>
      <c r="Z799" s="2054"/>
      <c r="AA799" s="2054"/>
      <c r="AB799" s="2054"/>
      <c r="AC799" s="2054"/>
    </row>
    <row r="800" spans="1:29">
      <c r="A800" s="2054"/>
      <c r="B800" s="2054"/>
      <c r="C800" s="2054"/>
      <c r="D800" s="2054"/>
      <c r="E800" s="2054"/>
      <c r="F800" s="2054"/>
      <c r="G800" s="2054"/>
      <c r="H800" s="2054"/>
      <c r="I800" s="2054"/>
      <c r="J800" s="2054"/>
      <c r="K800" s="2055"/>
      <c r="L800" s="2056"/>
      <c r="M800" s="2054"/>
      <c r="N800" s="2054"/>
      <c r="O800" s="2054"/>
      <c r="P800" s="2095"/>
      <c r="Q800" s="2054"/>
      <c r="R800" s="2054"/>
      <c r="S800" s="2054"/>
      <c r="T800" s="2054"/>
      <c r="U800" s="2054"/>
      <c r="V800" s="2054"/>
      <c r="W800" s="2054"/>
      <c r="X800" s="2054"/>
      <c r="Y800" s="2054"/>
      <c r="Z800" s="2054"/>
      <c r="AA800" s="2054"/>
      <c r="AB800" s="2054"/>
      <c r="AC800" s="2054"/>
    </row>
    <row r="801" spans="1:29">
      <c r="A801" s="2054"/>
      <c r="B801" s="2054"/>
      <c r="C801" s="2054"/>
      <c r="D801" s="2054"/>
      <c r="E801" s="2054"/>
      <c r="F801" s="2054"/>
      <c r="G801" s="2054"/>
      <c r="H801" s="2054"/>
      <c r="I801" s="2054"/>
      <c r="J801" s="2054"/>
      <c r="K801" s="2055"/>
      <c r="L801" s="2056"/>
      <c r="M801" s="2054"/>
      <c r="N801" s="2054"/>
      <c r="O801" s="2054"/>
      <c r="P801" s="2095"/>
      <c r="Q801" s="2054"/>
      <c r="R801" s="2054"/>
      <c r="S801" s="2054"/>
      <c r="T801" s="2054"/>
      <c r="U801" s="2054"/>
      <c r="V801" s="2054"/>
      <c r="W801" s="2054"/>
      <c r="X801" s="2054"/>
      <c r="Y801" s="2054"/>
      <c r="Z801" s="2054"/>
      <c r="AA801" s="2054"/>
      <c r="AB801" s="2054"/>
      <c r="AC801" s="2054"/>
    </row>
    <row r="802" spans="1:29">
      <c r="A802" s="2054"/>
      <c r="B802" s="2054"/>
      <c r="C802" s="2054"/>
      <c r="D802" s="2054"/>
      <c r="E802" s="2054"/>
      <c r="F802" s="2054"/>
      <c r="G802" s="2054"/>
      <c r="H802" s="2054"/>
      <c r="I802" s="2054"/>
      <c r="J802" s="2054"/>
      <c r="K802" s="2055"/>
      <c r="L802" s="2056"/>
      <c r="M802" s="2054"/>
      <c r="N802" s="2054"/>
      <c r="O802" s="2054"/>
      <c r="P802" s="2095"/>
      <c r="Q802" s="2054"/>
      <c r="R802" s="2054"/>
      <c r="S802" s="2054"/>
      <c r="T802" s="2054"/>
      <c r="U802" s="2054"/>
      <c r="V802" s="2054"/>
      <c r="W802" s="2054"/>
      <c r="X802" s="2054"/>
      <c r="Y802" s="2054"/>
      <c r="Z802" s="2054"/>
      <c r="AA802" s="2054"/>
      <c r="AB802" s="2054"/>
      <c r="AC802" s="2054"/>
    </row>
    <row r="803" spans="1:29">
      <c r="A803" s="2054"/>
      <c r="B803" s="2054"/>
      <c r="C803" s="2054"/>
      <c r="D803" s="2054"/>
      <c r="E803" s="2054"/>
      <c r="F803" s="2054"/>
      <c r="G803" s="2054"/>
      <c r="H803" s="2054"/>
      <c r="I803" s="2054"/>
      <c r="J803" s="2054"/>
      <c r="K803" s="2055"/>
      <c r="L803" s="2056"/>
      <c r="M803" s="2054"/>
      <c r="N803" s="2054"/>
      <c r="O803" s="2054"/>
      <c r="P803" s="2095"/>
      <c r="Q803" s="2054"/>
      <c r="R803" s="2054"/>
      <c r="S803" s="2054"/>
      <c r="T803" s="2054"/>
      <c r="U803" s="2054"/>
      <c r="V803" s="2054"/>
      <c r="W803" s="2054"/>
      <c r="X803" s="2054"/>
      <c r="Y803" s="2054"/>
      <c r="Z803" s="2054"/>
      <c r="AA803" s="2054"/>
      <c r="AB803" s="2054"/>
      <c r="AC803" s="2054"/>
    </row>
    <row r="804" spans="1:29">
      <c r="A804" s="2054"/>
      <c r="B804" s="2054"/>
      <c r="C804" s="2054"/>
      <c r="D804" s="2054"/>
      <c r="E804" s="2054"/>
      <c r="F804" s="2054"/>
      <c r="G804" s="2054"/>
      <c r="H804" s="2054"/>
      <c r="I804" s="2054"/>
      <c r="J804" s="2054"/>
      <c r="K804" s="2055"/>
      <c r="L804" s="2056"/>
      <c r="M804" s="2054"/>
      <c r="N804" s="2054"/>
      <c r="O804" s="2054"/>
      <c r="P804" s="2095"/>
      <c r="Q804" s="2054"/>
      <c r="R804" s="2054"/>
      <c r="S804" s="2054"/>
      <c r="T804" s="2054"/>
      <c r="U804" s="2054"/>
      <c r="V804" s="2054"/>
      <c r="W804" s="2054"/>
      <c r="X804" s="2054"/>
      <c r="Y804" s="2054"/>
      <c r="Z804" s="2054"/>
      <c r="AA804" s="2054"/>
      <c r="AB804" s="2054"/>
      <c r="AC804" s="2054"/>
    </row>
    <row r="805" spans="1:29">
      <c r="A805" s="2054"/>
      <c r="B805" s="2054"/>
      <c r="C805" s="2054"/>
      <c r="D805" s="2054"/>
      <c r="E805" s="2054"/>
      <c r="F805" s="2054"/>
      <c r="G805" s="2054"/>
      <c r="H805" s="2054"/>
      <c r="I805" s="2054"/>
      <c r="J805" s="2054"/>
      <c r="K805" s="2055"/>
      <c r="L805" s="2056"/>
      <c r="M805" s="2054"/>
      <c r="N805" s="2054"/>
      <c r="O805" s="2054"/>
      <c r="P805" s="2095"/>
      <c r="Q805" s="2054"/>
      <c r="R805" s="2054"/>
      <c r="S805" s="2054"/>
      <c r="T805" s="2054"/>
      <c r="U805" s="2054"/>
      <c r="V805" s="2054"/>
      <c r="W805" s="2054"/>
      <c r="X805" s="2054"/>
      <c r="Y805" s="2054"/>
      <c r="Z805" s="2054"/>
      <c r="AA805" s="2054"/>
      <c r="AB805" s="2054"/>
      <c r="AC805" s="2054"/>
    </row>
    <row r="806" spans="1:29">
      <c r="A806" s="2054"/>
      <c r="B806" s="2054"/>
      <c r="C806" s="2054"/>
      <c r="D806" s="2054"/>
      <c r="E806" s="2054"/>
      <c r="F806" s="2054"/>
      <c r="G806" s="2054"/>
      <c r="H806" s="2054"/>
      <c r="I806" s="2054"/>
      <c r="J806" s="2054"/>
      <c r="K806" s="2055"/>
      <c r="L806" s="2056"/>
      <c r="M806" s="2054"/>
      <c r="N806" s="2054"/>
      <c r="O806" s="2054"/>
      <c r="P806" s="2095"/>
      <c r="Q806" s="2054"/>
      <c r="R806" s="2054"/>
      <c r="S806" s="2054"/>
      <c r="T806" s="2054"/>
      <c r="U806" s="2054"/>
      <c r="V806" s="2054"/>
      <c r="W806" s="2054"/>
      <c r="X806" s="2054"/>
      <c r="Y806" s="2054"/>
      <c r="Z806" s="2054"/>
      <c r="AA806" s="2054"/>
      <c r="AB806" s="2054"/>
      <c r="AC806" s="2054"/>
    </row>
    <row r="807" spans="1:29">
      <c r="A807" s="2054"/>
      <c r="B807" s="2054"/>
      <c r="C807" s="2054"/>
      <c r="D807" s="2054"/>
      <c r="E807" s="2054"/>
      <c r="F807" s="2054"/>
      <c r="G807" s="2054"/>
      <c r="H807" s="2054"/>
      <c r="I807" s="2054"/>
      <c r="J807" s="2054"/>
      <c r="K807" s="2055"/>
      <c r="L807" s="2056"/>
      <c r="M807" s="2054"/>
      <c r="N807" s="2054"/>
      <c r="O807" s="2054"/>
      <c r="P807" s="2095"/>
      <c r="Q807" s="2054"/>
      <c r="R807" s="2054"/>
      <c r="S807" s="2054"/>
      <c r="T807" s="2054"/>
      <c r="U807" s="2054"/>
      <c r="V807" s="2054"/>
      <c r="W807" s="2054"/>
      <c r="X807" s="2054"/>
      <c r="Y807" s="2054"/>
      <c r="Z807" s="2054"/>
      <c r="AA807" s="2054"/>
      <c r="AB807" s="2054"/>
      <c r="AC807" s="2054"/>
    </row>
    <row r="808" spans="1:29">
      <c r="A808" s="2054"/>
      <c r="B808" s="2054"/>
      <c r="C808" s="2054"/>
      <c r="D808" s="2054"/>
      <c r="E808" s="2054"/>
      <c r="F808" s="2054"/>
      <c r="G808" s="2054"/>
      <c r="H808" s="2054"/>
      <c r="I808" s="2054"/>
      <c r="J808" s="2054"/>
      <c r="K808" s="2055"/>
      <c r="L808" s="2056"/>
      <c r="M808" s="2054"/>
      <c r="N808" s="2054"/>
      <c r="O808" s="2054"/>
      <c r="P808" s="2095"/>
      <c r="Q808" s="2054"/>
      <c r="R808" s="2054"/>
      <c r="S808" s="2054"/>
      <c r="T808" s="2054"/>
      <c r="U808" s="2054"/>
      <c r="V808" s="2054"/>
      <c r="W808" s="2054"/>
      <c r="X808" s="2054"/>
      <c r="Y808" s="2054"/>
      <c r="Z808" s="2054"/>
      <c r="AA808" s="2054"/>
      <c r="AB808" s="2054"/>
      <c r="AC808" s="2054"/>
    </row>
    <row r="809" spans="1:29">
      <c r="A809" s="2054"/>
      <c r="B809" s="2054"/>
      <c r="C809" s="2054"/>
      <c r="D809" s="2054"/>
      <c r="E809" s="2054"/>
      <c r="F809" s="2054"/>
      <c r="G809" s="2054"/>
      <c r="H809" s="2054"/>
      <c r="I809" s="2054"/>
      <c r="J809" s="2054"/>
      <c r="K809" s="2055"/>
      <c r="L809" s="2056"/>
      <c r="M809" s="2054"/>
      <c r="N809" s="2054"/>
      <c r="O809" s="2054"/>
      <c r="P809" s="2095"/>
      <c r="Q809" s="2054"/>
      <c r="R809" s="2054"/>
      <c r="S809" s="2054"/>
      <c r="T809" s="2054"/>
      <c r="U809" s="2054"/>
      <c r="V809" s="2054"/>
      <c r="W809" s="2054"/>
      <c r="X809" s="2054"/>
      <c r="Y809" s="2054"/>
      <c r="Z809" s="2054"/>
      <c r="AA809" s="2054"/>
      <c r="AB809" s="2054"/>
      <c r="AC809" s="2054"/>
    </row>
    <row r="810" spans="1:29">
      <c r="A810" s="2054"/>
      <c r="B810" s="2054"/>
      <c r="C810" s="2054"/>
      <c r="D810" s="2054"/>
      <c r="E810" s="2054"/>
      <c r="F810" s="2054"/>
      <c r="G810" s="2054"/>
      <c r="H810" s="2054"/>
      <c r="I810" s="2054"/>
      <c r="J810" s="2054"/>
      <c r="K810" s="2055"/>
      <c r="L810" s="2056"/>
      <c r="M810" s="2054"/>
      <c r="N810" s="2054"/>
      <c r="O810" s="2054"/>
      <c r="P810" s="2095"/>
      <c r="Q810" s="2054"/>
      <c r="R810" s="2054"/>
      <c r="S810" s="2054"/>
      <c r="T810" s="2054"/>
      <c r="U810" s="2054"/>
      <c r="V810" s="2054"/>
      <c r="W810" s="2054"/>
      <c r="X810" s="2054"/>
      <c r="Y810" s="2054"/>
      <c r="Z810" s="2054"/>
      <c r="AA810" s="2054"/>
      <c r="AB810" s="2054"/>
      <c r="AC810" s="2054"/>
    </row>
    <row r="811" spans="1:29">
      <c r="A811" s="2054"/>
      <c r="B811" s="2054"/>
      <c r="C811" s="2054"/>
      <c r="D811" s="2054"/>
      <c r="E811" s="2054"/>
      <c r="F811" s="2054"/>
      <c r="G811" s="2054"/>
      <c r="H811" s="2054"/>
      <c r="I811" s="2054"/>
      <c r="J811" s="2054"/>
      <c r="K811" s="2055"/>
      <c r="L811" s="2056"/>
      <c r="M811" s="2054"/>
      <c r="N811" s="2054"/>
      <c r="O811" s="2054"/>
      <c r="P811" s="2095"/>
      <c r="Q811" s="2054"/>
      <c r="R811" s="2054"/>
      <c r="S811" s="2054"/>
      <c r="T811" s="2054"/>
      <c r="U811" s="2054"/>
      <c r="V811" s="2054"/>
      <c r="W811" s="2054"/>
      <c r="X811" s="2054"/>
      <c r="Y811" s="2054"/>
      <c r="Z811" s="2054"/>
      <c r="AA811" s="2054"/>
      <c r="AB811" s="2054"/>
      <c r="AC811" s="2054"/>
    </row>
    <row r="812" spans="1:29">
      <c r="A812" s="2054"/>
      <c r="B812" s="2054"/>
      <c r="C812" s="2054"/>
      <c r="D812" s="2054"/>
      <c r="E812" s="2054"/>
      <c r="F812" s="2054"/>
      <c r="G812" s="2054"/>
      <c r="H812" s="2054"/>
      <c r="I812" s="2054"/>
      <c r="J812" s="2054"/>
      <c r="K812" s="2055"/>
      <c r="L812" s="2056"/>
      <c r="M812" s="2054"/>
      <c r="N812" s="2054"/>
      <c r="O812" s="2054"/>
      <c r="P812" s="2095"/>
      <c r="Q812" s="2054"/>
      <c r="R812" s="2054"/>
      <c r="S812" s="2054"/>
      <c r="T812" s="2054"/>
      <c r="U812" s="2054"/>
      <c r="V812" s="2054"/>
      <c r="W812" s="2054"/>
      <c r="X812" s="2054"/>
      <c r="Y812" s="2054"/>
      <c r="Z812" s="2054"/>
      <c r="AA812" s="2054"/>
      <c r="AB812" s="2054"/>
      <c r="AC812" s="2054"/>
    </row>
    <row r="813" spans="1:29">
      <c r="A813" s="2054"/>
      <c r="B813" s="2054"/>
      <c r="C813" s="2054"/>
      <c r="D813" s="2054"/>
      <c r="E813" s="2054"/>
      <c r="F813" s="2054"/>
      <c r="G813" s="2054"/>
      <c r="H813" s="2054"/>
      <c r="I813" s="2054"/>
      <c r="J813" s="2054"/>
      <c r="K813" s="2055"/>
      <c r="L813" s="2056"/>
      <c r="M813" s="2054"/>
      <c r="N813" s="2054"/>
      <c r="O813" s="2054"/>
      <c r="P813" s="2095"/>
      <c r="Q813" s="2054"/>
      <c r="R813" s="2054"/>
      <c r="S813" s="2054"/>
      <c r="T813" s="2054"/>
      <c r="U813" s="2054"/>
      <c r="V813" s="2054"/>
      <c r="W813" s="2054"/>
      <c r="X813" s="2054"/>
      <c r="Y813" s="2054"/>
      <c r="Z813" s="2054"/>
      <c r="AA813" s="2054"/>
      <c r="AB813" s="2054"/>
      <c r="AC813" s="2054"/>
    </row>
    <row r="814" spans="1:29">
      <c r="A814" s="2054"/>
      <c r="B814" s="2054"/>
      <c r="C814" s="2054"/>
      <c r="D814" s="2054"/>
      <c r="E814" s="2054"/>
      <c r="F814" s="2054"/>
      <c r="G814" s="2054"/>
      <c r="H814" s="2054"/>
      <c r="I814" s="2054"/>
      <c r="J814" s="2054"/>
      <c r="K814" s="2055"/>
      <c r="L814" s="2056"/>
      <c r="M814" s="2054"/>
      <c r="N814" s="2054"/>
      <c r="O814" s="2054"/>
      <c r="P814" s="2095"/>
      <c r="Q814" s="2054"/>
      <c r="R814" s="2054"/>
      <c r="S814" s="2054"/>
      <c r="T814" s="2054"/>
      <c r="U814" s="2054"/>
      <c r="V814" s="2054"/>
      <c r="W814" s="2054"/>
      <c r="X814" s="2054"/>
      <c r="Y814" s="2054"/>
      <c r="Z814" s="2054"/>
      <c r="AA814" s="2054"/>
      <c r="AB814" s="2054"/>
      <c r="AC814" s="2054"/>
    </row>
    <row r="815" spans="1:29">
      <c r="A815" s="2054"/>
      <c r="B815" s="2054"/>
      <c r="C815" s="2054"/>
      <c r="D815" s="2054"/>
      <c r="E815" s="2054"/>
      <c r="F815" s="2054"/>
      <c r="G815" s="2054"/>
      <c r="H815" s="2054"/>
      <c r="I815" s="2054"/>
      <c r="J815" s="2054"/>
      <c r="K815" s="2055"/>
      <c r="L815" s="2056"/>
      <c r="M815" s="2054"/>
      <c r="N815" s="2054"/>
      <c r="O815" s="2054"/>
      <c r="P815" s="2095"/>
      <c r="Q815" s="2054"/>
      <c r="R815" s="2054"/>
      <c r="S815" s="2054"/>
      <c r="T815" s="2054"/>
      <c r="U815" s="2054"/>
      <c r="V815" s="2054"/>
      <c r="W815" s="2054"/>
      <c r="X815" s="2054"/>
      <c r="Y815" s="2054"/>
      <c r="Z815" s="2054"/>
      <c r="AA815" s="2054"/>
      <c r="AB815" s="2054"/>
      <c r="AC815" s="2054"/>
    </row>
    <row r="816" spans="1:29">
      <c r="A816" s="2054"/>
      <c r="B816" s="2054"/>
      <c r="C816" s="2054"/>
      <c r="D816" s="2054"/>
      <c r="E816" s="2054"/>
      <c r="F816" s="2054"/>
      <c r="G816" s="2054"/>
      <c r="H816" s="2054"/>
      <c r="I816" s="2054"/>
      <c r="J816" s="2054"/>
      <c r="K816" s="2055"/>
      <c r="L816" s="2056"/>
      <c r="M816" s="2054"/>
      <c r="N816" s="2054"/>
      <c r="O816" s="2054"/>
      <c r="P816" s="2095"/>
      <c r="Q816" s="2054"/>
      <c r="R816" s="2054"/>
      <c r="S816" s="2054"/>
      <c r="T816" s="2054"/>
      <c r="U816" s="2054"/>
      <c r="V816" s="2054"/>
      <c r="W816" s="2054"/>
      <c r="X816" s="2054"/>
      <c r="Y816" s="2054"/>
      <c r="Z816" s="2054"/>
      <c r="AA816" s="2054"/>
      <c r="AB816" s="2054"/>
      <c r="AC816" s="2054"/>
    </row>
    <row r="817" spans="1:29">
      <c r="A817" s="2054"/>
      <c r="B817" s="2054"/>
      <c r="C817" s="2054"/>
      <c r="D817" s="2054"/>
      <c r="E817" s="2054"/>
      <c r="F817" s="2054"/>
      <c r="G817" s="2054"/>
      <c r="H817" s="2054"/>
      <c r="I817" s="2054"/>
      <c r="J817" s="2054"/>
      <c r="K817" s="2055"/>
      <c r="L817" s="2056"/>
      <c r="M817" s="2054"/>
      <c r="N817" s="2054"/>
      <c r="O817" s="2054"/>
      <c r="P817" s="2095"/>
      <c r="Q817" s="2054"/>
      <c r="R817" s="2054"/>
      <c r="S817" s="2054"/>
      <c r="T817" s="2054"/>
      <c r="U817" s="2054"/>
      <c r="V817" s="2054"/>
      <c r="W817" s="2054"/>
      <c r="X817" s="2054"/>
      <c r="Y817" s="2054"/>
      <c r="Z817" s="2054"/>
      <c r="AA817" s="2054"/>
      <c r="AB817" s="2054"/>
      <c r="AC817" s="2054"/>
    </row>
    <row r="818" spans="1:29">
      <c r="A818" s="2054"/>
      <c r="B818" s="2054"/>
      <c r="C818" s="2054"/>
      <c r="D818" s="2054"/>
      <c r="E818" s="2054"/>
      <c r="F818" s="2054"/>
      <c r="G818" s="2054"/>
      <c r="H818" s="2054"/>
      <c r="I818" s="2054"/>
      <c r="J818" s="2054"/>
      <c r="K818" s="2055"/>
      <c r="L818" s="2056"/>
      <c r="M818" s="2054"/>
      <c r="N818" s="2054"/>
      <c r="O818" s="2054"/>
      <c r="P818" s="2095"/>
      <c r="Q818" s="2054"/>
      <c r="R818" s="2054"/>
      <c r="S818" s="2054"/>
      <c r="T818" s="2054"/>
      <c r="U818" s="2054"/>
      <c r="V818" s="2054"/>
      <c r="W818" s="2054"/>
      <c r="X818" s="2054"/>
      <c r="Y818" s="2054"/>
      <c r="Z818" s="2054"/>
      <c r="AA818" s="2054"/>
      <c r="AB818" s="2054"/>
      <c r="AC818" s="2054"/>
    </row>
    <row r="819" spans="1:29">
      <c r="A819" s="2054"/>
      <c r="B819" s="2054"/>
      <c r="C819" s="2054"/>
      <c r="D819" s="2054"/>
      <c r="E819" s="2054"/>
      <c r="F819" s="2054"/>
      <c r="G819" s="2054"/>
      <c r="H819" s="2054"/>
      <c r="I819" s="2054"/>
      <c r="J819" s="2054"/>
      <c r="K819" s="2055"/>
      <c r="L819" s="2056"/>
      <c r="M819" s="2054"/>
      <c r="N819" s="2054"/>
      <c r="O819" s="2054"/>
      <c r="P819" s="2095"/>
      <c r="Q819" s="2054"/>
      <c r="R819" s="2054"/>
      <c r="S819" s="2054"/>
      <c r="T819" s="2054"/>
      <c r="U819" s="2054"/>
      <c r="V819" s="2054"/>
      <c r="W819" s="2054"/>
      <c r="X819" s="2054"/>
      <c r="Y819" s="2054"/>
      <c r="Z819" s="2054"/>
      <c r="AA819" s="2054"/>
      <c r="AB819" s="2054"/>
      <c r="AC819" s="2054"/>
    </row>
    <row r="820" spans="1:29">
      <c r="A820" s="2054"/>
      <c r="B820" s="2054"/>
      <c r="C820" s="2054"/>
      <c r="D820" s="2054"/>
      <c r="E820" s="2054"/>
      <c r="F820" s="2054"/>
      <c r="G820" s="2054"/>
      <c r="H820" s="2054"/>
      <c r="I820" s="2054"/>
      <c r="J820" s="2054"/>
      <c r="K820" s="2055"/>
      <c r="L820" s="2056"/>
      <c r="M820" s="2054"/>
      <c r="N820" s="2054"/>
      <c r="O820" s="2054"/>
      <c r="P820" s="2095"/>
      <c r="Q820" s="2054"/>
      <c r="R820" s="2054"/>
      <c r="S820" s="2054"/>
      <c r="T820" s="2054"/>
      <c r="U820" s="2054"/>
      <c r="V820" s="2054"/>
      <c r="W820" s="2054"/>
      <c r="X820" s="2054"/>
      <c r="Y820" s="2054"/>
      <c r="Z820" s="2054"/>
      <c r="AA820" s="2054"/>
      <c r="AB820" s="2054"/>
      <c r="AC820" s="2054"/>
    </row>
    <row r="821" spans="1:29">
      <c r="A821" s="2054"/>
      <c r="B821" s="2054"/>
      <c r="C821" s="2054"/>
      <c r="D821" s="2054"/>
      <c r="E821" s="2054"/>
      <c r="F821" s="2054"/>
      <c r="G821" s="2054"/>
      <c r="H821" s="2054"/>
      <c r="I821" s="2054"/>
      <c r="J821" s="2054"/>
      <c r="K821" s="2055"/>
      <c r="L821" s="2056"/>
      <c r="M821" s="2054"/>
      <c r="N821" s="2054"/>
      <c r="O821" s="2054"/>
      <c r="P821" s="2095"/>
      <c r="Q821" s="2054"/>
      <c r="R821" s="2054"/>
      <c r="S821" s="2054"/>
      <c r="T821" s="2054"/>
      <c r="U821" s="2054"/>
      <c r="V821" s="2054"/>
      <c r="W821" s="2054"/>
      <c r="X821" s="2054"/>
      <c r="Y821" s="2054"/>
      <c r="Z821" s="2054"/>
      <c r="AA821" s="2054"/>
      <c r="AB821" s="2054"/>
      <c r="AC821" s="2054"/>
    </row>
    <row r="822" spans="1:29">
      <c r="A822" s="2054"/>
      <c r="B822" s="2054"/>
      <c r="C822" s="2054"/>
      <c r="D822" s="2054"/>
      <c r="E822" s="2054"/>
      <c r="F822" s="2054"/>
      <c r="G822" s="2054"/>
      <c r="H822" s="2054"/>
      <c r="I822" s="2054"/>
      <c r="J822" s="2054"/>
      <c r="K822" s="2055"/>
      <c r="L822" s="2056"/>
      <c r="M822" s="2054"/>
      <c r="N822" s="2054"/>
      <c r="O822" s="2054"/>
      <c r="P822" s="2095"/>
      <c r="Q822" s="2054"/>
      <c r="R822" s="2054"/>
      <c r="S822" s="2054"/>
      <c r="T822" s="2054"/>
      <c r="U822" s="2054"/>
      <c r="V822" s="2054"/>
      <c r="W822" s="2054"/>
      <c r="X822" s="2054"/>
      <c r="Y822" s="2054"/>
      <c r="Z822" s="2054"/>
      <c r="AA822" s="2054"/>
      <c r="AB822" s="2054"/>
      <c r="AC822" s="2054"/>
    </row>
    <row r="823" spans="1:29">
      <c r="A823" s="2054"/>
      <c r="B823" s="2054"/>
      <c r="C823" s="2054"/>
      <c r="D823" s="2054"/>
      <c r="E823" s="2054"/>
      <c r="F823" s="2054"/>
      <c r="G823" s="2054"/>
      <c r="H823" s="2054"/>
      <c r="I823" s="2054"/>
      <c r="J823" s="2054"/>
      <c r="K823" s="2055"/>
      <c r="L823" s="2056"/>
      <c r="M823" s="2054"/>
      <c r="N823" s="2054"/>
      <c r="O823" s="2054"/>
      <c r="P823" s="2095"/>
      <c r="Q823" s="2054"/>
      <c r="R823" s="2054"/>
      <c r="S823" s="2054"/>
      <c r="T823" s="2054"/>
      <c r="U823" s="2054"/>
      <c r="V823" s="2054"/>
      <c r="W823" s="2054"/>
      <c r="X823" s="2054"/>
      <c r="Y823" s="2054"/>
      <c r="Z823" s="2054"/>
      <c r="AA823" s="2054"/>
      <c r="AB823" s="2054"/>
      <c r="AC823" s="2054"/>
    </row>
    <row r="824" spans="1:29">
      <c r="A824" s="2054"/>
      <c r="B824" s="2054"/>
      <c r="C824" s="2054"/>
      <c r="D824" s="2054"/>
      <c r="E824" s="2054"/>
      <c r="F824" s="2054"/>
      <c r="G824" s="2054"/>
      <c r="H824" s="2054"/>
      <c r="I824" s="2054"/>
      <c r="J824" s="2054"/>
      <c r="K824" s="2055"/>
      <c r="L824" s="2056"/>
      <c r="M824" s="2054"/>
      <c r="N824" s="2054"/>
      <c r="O824" s="2054"/>
      <c r="P824" s="2095"/>
      <c r="Q824" s="2054"/>
      <c r="R824" s="2054"/>
      <c r="S824" s="2054"/>
      <c r="T824" s="2054"/>
      <c r="U824" s="2054"/>
      <c r="V824" s="2054"/>
      <c r="W824" s="2054"/>
      <c r="X824" s="2054"/>
      <c r="Y824" s="2054"/>
      <c r="Z824" s="2054"/>
      <c r="AA824" s="2054"/>
      <c r="AB824" s="2054"/>
      <c r="AC824" s="2054"/>
    </row>
    <row r="825" spans="1:29">
      <c r="A825" s="2054"/>
      <c r="B825" s="2054"/>
      <c r="C825" s="2054"/>
      <c r="D825" s="2054"/>
      <c r="E825" s="2054"/>
      <c r="F825" s="2054"/>
      <c r="G825" s="2054"/>
      <c r="H825" s="2054"/>
      <c r="I825" s="2054"/>
      <c r="J825" s="2054"/>
      <c r="K825" s="2055"/>
      <c r="L825" s="2056"/>
      <c r="M825" s="2054"/>
      <c r="N825" s="2054"/>
      <c r="O825" s="2054"/>
      <c r="P825" s="2095"/>
      <c r="Q825" s="2054"/>
      <c r="R825" s="2054"/>
      <c r="S825" s="2054"/>
      <c r="T825" s="2054"/>
      <c r="U825" s="2054"/>
      <c r="V825" s="2054"/>
      <c r="W825" s="2054"/>
      <c r="X825" s="2054"/>
      <c r="Y825" s="2054"/>
      <c r="Z825" s="2054"/>
      <c r="AA825" s="2054"/>
      <c r="AB825" s="2054"/>
      <c r="AC825" s="2054"/>
    </row>
    <row r="826" spans="1:29">
      <c r="A826" s="2054"/>
      <c r="B826" s="2054"/>
      <c r="C826" s="2054"/>
      <c r="D826" s="2054"/>
      <c r="E826" s="2054"/>
      <c r="F826" s="2054"/>
      <c r="G826" s="2054"/>
      <c r="H826" s="2054"/>
      <c r="I826" s="2054"/>
      <c r="J826" s="2054"/>
      <c r="K826" s="2055"/>
      <c r="L826" s="2056"/>
      <c r="M826" s="2054"/>
      <c r="N826" s="2054"/>
      <c r="O826" s="2054"/>
      <c r="P826" s="2095"/>
      <c r="Q826" s="2054"/>
      <c r="R826" s="2054"/>
      <c r="S826" s="2054"/>
      <c r="T826" s="2054"/>
      <c r="U826" s="2054"/>
      <c r="V826" s="2054"/>
      <c r="W826" s="2054"/>
      <c r="X826" s="2054"/>
      <c r="Y826" s="2054"/>
      <c r="Z826" s="2054"/>
      <c r="AA826" s="2054"/>
      <c r="AB826" s="2054"/>
      <c r="AC826" s="2054"/>
    </row>
    <row r="827" spans="1:29">
      <c r="A827" s="2054"/>
      <c r="B827" s="2054"/>
      <c r="C827" s="2054"/>
      <c r="D827" s="2054"/>
      <c r="E827" s="2054"/>
      <c r="F827" s="2054"/>
      <c r="G827" s="2054"/>
      <c r="H827" s="2054"/>
      <c r="I827" s="2054"/>
      <c r="J827" s="2054"/>
      <c r="K827" s="2055"/>
      <c r="L827" s="2056"/>
      <c r="M827" s="2054"/>
      <c r="N827" s="2054"/>
      <c r="O827" s="2054"/>
      <c r="P827" s="2095"/>
      <c r="Q827" s="2054"/>
      <c r="R827" s="2054"/>
      <c r="S827" s="2054"/>
      <c r="T827" s="2054"/>
      <c r="U827" s="2054"/>
      <c r="V827" s="2054"/>
      <c r="W827" s="2054"/>
      <c r="X827" s="2054"/>
      <c r="Y827" s="2054"/>
      <c r="Z827" s="2054"/>
      <c r="AA827" s="2054"/>
      <c r="AB827" s="2054"/>
      <c r="AC827" s="2054"/>
    </row>
    <row r="828" spans="1:29">
      <c r="A828" s="2054"/>
      <c r="B828" s="2054"/>
      <c r="C828" s="2054"/>
      <c r="D828" s="2054"/>
      <c r="E828" s="2054"/>
      <c r="F828" s="2054"/>
      <c r="G828" s="2054"/>
      <c r="H828" s="2054"/>
      <c r="I828" s="2054"/>
      <c r="J828" s="2054"/>
      <c r="K828" s="2055"/>
      <c r="L828" s="2056"/>
      <c r="M828" s="2054"/>
      <c r="N828" s="2054"/>
      <c r="O828" s="2054"/>
      <c r="P828" s="2095"/>
      <c r="Q828" s="2054"/>
      <c r="R828" s="2054"/>
      <c r="S828" s="2054"/>
      <c r="T828" s="2054"/>
      <c r="U828" s="2054"/>
      <c r="V828" s="2054"/>
      <c r="W828" s="2054"/>
      <c r="X828" s="2054"/>
      <c r="Y828" s="2054"/>
      <c r="Z828" s="2054"/>
      <c r="AA828" s="2054"/>
      <c r="AB828" s="2054"/>
      <c r="AC828" s="2054"/>
    </row>
    <row r="829" spans="1:29">
      <c r="A829" s="2054"/>
      <c r="B829" s="2054"/>
      <c r="C829" s="2054"/>
      <c r="D829" s="2054"/>
      <c r="E829" s="2054"/>
      <c r="F829" s="2054"/>
      <c r="G829" s="2054"/>
      <c r="H829" s="2054"/>
      <c r="I829" s="2054"/>
      <c r="J829" s="2054"/>
      <c r="K829" s="2055"/>
      <c r="L829" s="2056"/>
      <c r="M829" s="2054"/>
      <c r="N829" s="2054"/>
      <c r="O829" s="2054"/>
      <c r="P829" s="2095"/>
      <c r="Q829" s="2054"/>
      <c r="R829" s="2054"/>
      <c r="S829" s="2054"/>
      <c r="T829" s="2054"/>
      <c r="U829" s="2054"/>
      <c r="V829" s="2054"/>
      <c r="W829" s="2054"/>
      <c r="X829" s="2054"/>
      <c r="Y829" s="2054"/>
      <c r="Z829" s="2054"/>
      <c r="AA829" s="2054"/>
      <c r="AB829" s="2054"/>
      <c r="AC829" s="2054"/>
    </row>
    <row r="830" spans="1:29">
      <c r="A830" s="2054"/>
      <c r="B830" s="2054"/>
      <c r="C830" s="2054"/>
      <c r="D830" s="2054"/>
      <c r="E830" s="2054"/>
      <c r="F830" s="2054"/>
      <c r="G830" s="2054"/>
      <c r="H830" s="2054"/>
      <c r="I830" s="2054"/>
      <c r="J830" s="2054"/>
      <c r="K830" s="2055"/>
      <c r="L830" s="2056"/>
      <c r="M830" s="2054"/>
      <c r="N830" s="2054"/>
      <c r="O830" s="2054"/>
      <c r="P830" s="2095"/>
      <c r="Q830" s="2054"/>
      <c r="R830" s="2054"/>
      <c r="S830" s="2054"/>
      <c r="T830" s="2054"/>
      <c r="U830" s="2054"/>
      <c r="V830" s="2054"/>
      <c r="W830" s="2054"/>
      <c r="X830" s="2054"/>
      <c r="Y830" s="2054"/>
      <c r="Z830" s="2054"/>
      <c r="AA830" s="2054"/>
      <c r="AB830" s="2054"/>
      <c r="AC830" s="2054"/>
    </row>
    <row r="831" spans="1:29">
      <c r="A831" s="2054"/>
      <c r="B831" s="2054"/>
      <c r="C831" s="2054"/>
      <c r="D831" s="2054"/>
      <c r="E831" s="2054"/>
      <c r="F831" s="2054"/>
      <c r="G831" s="2054"/>
      <c r="H831" s="2054"/>
      <c r="I831" s="2054"/>
      <c r="J831" s="2054"/>
      <c r="K831" s="2055"/>
      <c r="L831" s="2056"/>
      <c r="M831" s="2054"/>
      <c r="N831" s="2054"/>
      <c r="O831" s="2054"/>
      <c r="P831" s="2095"/>
      <c r="Q831" s="2054"/>
      <c r="R831" s="2054"/>
      <c r="S831" s="2054"/>
      <c r="T831" s="2054"/>
      <c r="U831" s="2054"/>
      <c r="V831" s="2054"/>
      <c r="W831" s="2054"/>
      <c r="X831" s="2054"/>
      <c r="Y831" s="2054"/>
      <c r="Z831" s="2054"/>
      <c r="AA831" s="2054"/>
      <c r="AB831" s="2054"/>
      <c r="AC831" s="2054"/>
    </row>
    <row r="832" spans="1:29">
      <c r="A832" s="2054"/>
      <c r="B832" s="2054"/>
      <c r="C832" s="2054"/>
      <c r="D832" s="2054"/>
      <c r="E832" s="2054"/>
      <c r="F832" s="2054"/>
      <c r="G832" s="2054"/>
      <c r="H832" s="2054"/>
      <c r="I832" s="2054"/>
      <c r="J832" s="2054"/>
      <c r="K832" s="2055"/>
      <c r="L832" s="2056"/>
      <c r="M832" s="2054"/>
      <c r="N832" s="2054"/>
      <c r="O832" s="2054"/>
      <c r="P832" s="2095"/>
      <c r="Q832" s="2054"/>
      <c r="R832" s="2054"/>
      <c r="S832" s="2054"/>
      <c r="T832" s="2054"/>
      <c r="U832" s="2054"/>
      <c r="V832" s="2054"/>
      <c r="W832" s="2054"/>
      <c r="X832" s="2054"/>
      <c r="Y832" s="2054"/>
      <c r="Z832" s="2054"/>
      <c r="AA832" s="2054"/>
      <c r="AB832" s="2054"/>
      <c r="AC832" s="2054"/>
    </row>
    <row r="833" spans="1:29">
      <c r="A833" s="2054"/>
      <c r="B833" s="2054"/>
      <c r="C833" s="2054"/>
      <c r="D833" s="2054"/>
      <c r="E833" s="2054"/>
      <c r="F833" s="2054"/>
      <c r="G833" s="2054"/>
      <c r="H833" s="2054"/>
      <c r="I833" s="2054"/>
      <c r="J833" s="2054"/>
      <c r="K833" s="2055"/>
      <c r="L833" s="2056"/>
      <c r="M833" s="2054"/>
      <c r="N833" s="2054"/>
      <c r="O833" s="2054"/>
      <c r="P833" s="2095"/>
      <c r="Q833" s="2054"/>
      <c r="R833" s="2054"/>
      <c r="S833" s="2054"/>
      <c r="T833" s="2054"/>
      <c r="U833" s="2054"/>
      <c r="V833" s="2054"/>
      <c r="W833" s="2054"/>
      <c r="X833" s="2054"/>
      <c r="Y833" s="2054"/>
      <c r="Z833" s="2054"/>
      <c r="AA833" s="2054"/>
      <c r="AB833" s="2054"/>
      <c r="AC833" s="2054"/>
    </row>
    <row r="834" spans="1:29">
      <c r="A834" s="2054"/>
      <c r="B834" s="2054"/>
      <c r="C834" s="2054"/>
      <c r="D834" s="2054"/>
      <c r="E834" s="2054"/>
      <c r="F834" s="2054"/>
      <c r="G834" s="2054"/>
      <c r="H834" s="2054"/>
      <c r="I834" s="2054"/>
      <c r="J834" s="2054"/>
      <c r="K834" s="2055"/>
      <c r="L834" s="2056"/>
      <c r="M834" s="2054"/>
      <c r="N834" s="2054"/>
      <c r="O834" s="2054"/>
      <c r="P834" s="2095"/>
      <c r="Q834" s="2054"/>
      <c r="R834" s="2054"/>
      <c r="S834" s="2054"/>
      <c r="T834" s="2054"/>
      <c r="U834" s="2054"/>
      <c r="V834" s="2054"/>
      <c r="W834" s="2054"/>
      <c r="X834" s="2054"/>
      <c r="Y834" s="2054"/>
      <c r="Z834" s="2054"/>
      <c r="AA834" s="2054"/>
      <c r="AB834" s="2054"/>
      <c r="AC834" s="2054"/>
    </row>
    <row r="835" spans="1:29">
      <c r="A835" s="2054"/>
      <c r="B835" s="2054"/>
      <c r="C835" s="2054"/>
      <c r="D835" s="2054"/>
      <c r="E835" s="2054"/>
      <c r="F835" s="2054"/>
      <c r="G835" s="2054"/>
      <c r="H835" s="2054"/>
      <c r="I835" s="2054"/>
      <c r="J835" s="2054"/>
      <c r="K835" s="2055"/>
      <c r="L835" s="2056"/>
      <c r="M835" s="2054"/>
      <c r="N835" s="2054"/>
      <c r="O835" s="2054"/>
      <c r="P835" s="2095"/>
      <c r="Q835" s="2054"/>
      <c r="R835" s="2054"/>
      <c r="S835" s="2054"/>
      <c r="T835" s="2054"/>
      <c r="U835" s="2054"/>
      <c r="V835" s="2054"/>
      <c r="W835" s="2054"/>
      <c r="X835" s="2054"/>
      <c r="Y835" s="2054"/>
      <c r="Z835" s="2054"/>
      <c r="AA835" s="2054"/>
      <c r="AB835" s="2054"/>
      <c r="AC835" s="2054"/>
    </row>
    <row r="836" spans="1:29">
      <c r="A836" s="2054"/>
      <c r="B836" s="2054"/>
      <c r="C836" s="2054"/>
      <c r="D836" s="2054"/>
      <c r="E836" s="2054"/>
      <c r="F836" s="2054"/>
      <c r="G836" s="2054"/>
      <c r="H836" s="2054"/>
      <c r="I836" s="2054"/>
      <c r="J836" s="2054"/>
      <c r="K836" s="2055"/>
      <c r="L836" s="2056"/>
      <c r="M836" s="2054"/>
      <c r="N836" s="2054"/>
      <c r="O836" s="2054"/>
      <c r="P836" s="2095"/>
      <c r="Q836" s="2054"/>
      <c r="R836" s="2054"/>
      <c r="S836" s="2054"/>
      <c r="T836" s="2054"/>
      <c r="U836" s="2054"/>
      <c r="V836" s="2054"/>
      <c r="W836" s="2054"/>
      <c r="X836" s="2054"/>
      <c r="Y836" s="2054"/>
      <c r="Z836" s="2054"/>
      <c r="AA836" s="2054"/>
      <c r="AB836" s="2054"/>
      <c r="AC836" s="2054"/>
    </row>
    <row r="837" spans="1:29">
      <c r="A837" s="2054"/>
      <c r="B837" s="2054"/>
      <c r="C837" s="2054"/>
      <c r="D837" s="2054"/>
      <c r="E837" s="2054"/>
      <c r="F837" s="2054"/>
      <c r="G837" s="2054"/>
      <c r="H837" s="2054"/>
      <c r="I837" s="2054"/>
      <c r="J837" s="2054"/>
      <c r="K837" s="2055"/>
      <c r="L837" s="2056"/>
      <c r="M837" s="2054"/>
      <c r="N837" s="2054"/>
      <c r="O837" s="2054"/>
      <c r="P837" s="2095"/>
      <c r="Q837" s="2054"/>
      <c r="R837" s="2054"/>
      <c r="S837" s="2054"/>
      <c r="T837" s="2054"/>
      <c r="U837" s="2054"/>
      <c r="V837" s="2054"/>
      <c r="W837" s="2054"/>
      <c r="X837" s="2054"/>
      <c r="Y837" s="2054"/>
      <c r="Z837" s="2054"/>
      <c r="AA837" s="2054"/>
      <c r="AB837" s="2054"/>
      <c r="AC837" s="2054"/>
    </row>
    <row r="838" spans="1:29">
      <c r="A838" s="2054"/>
      <c r="B838" s="2054"/>
      <c r="C838" s="2054"/>
      <c r="D838" s="2054"/>
      <c r="E838" s="2054"/>
      <c r="F838" s="2054"/>
      <c r="G838" s="2054"/>
      <c r="H838" s="2054"/>
      <c r="I838" s="2054"/>
      <c r="J838" s="2054"/>
      <c r="K838" s="2055"/>
      <c r="L838" s="2056"/>
      <c r="M838" s="2054"/>
      <c r="N838" s="2054"/>
      <c r="O838" s="2054"/>
      <c r="P838" s="2095"/>
      <c r="Q838" s="2054"/>
      <c r="R838" s="2054"/>
      <c r="S838" s="2054"/>
      <c r="T838" s="2054"/>
      <c r="U838" s="2054"/>
      <c r="V838" s="2054"/>
      <c r="W838" s="2054"/>
      <c r="X838" s="2054"/>
      <c r="Y838" s="2054"/>
      <c r="Z838" s="2054"/>
      <c r="AA838" s="2054"/>
      <c r="AB838" s="2054"/>
      <c r="AC838" s="2054"/>
    </row>
    <row r="839" spans="1:29">
      <c r="A839" s="2054"/>
      <c r="B839" s="2054"/>
      <c r="C839" s="2054"/>
      <c r="D839" s="2054"/>
      <c r="E839" s="2054"/>
      <c r="F839" s="2054"/>
      <c r="G839" s="2054"/>
      <c r="H839" s="2054"/>
      <c r="I839" s="2054"/>
      <c r="J839" s="2054"/>
      <c r="K839" s="2055"/>
      <c r="L839" s="2056"/>
      <c r="M839" s="2054"/>
      <c r="N839" s="2054"/>
      <c r="O839" s="2054"/>
      <c r="P839" s="2095"/>
      <c r="Q839" s="2054"/>
      <c r="R839" s="2054"/>
      <c r="S839" s="2054"/>
      <c r="T839" s="2054"/>
      <c r="U839" s="2054"/>
      <c r="V839" s="2054"/>
      <c r="W839" s="2054"/>
      <c r="X839" s="2054"/>
      <c r="Y839" s="2054"/>
      <c r="Z839" s="2054"/>
      <c r="AA839" s="2054"/>
      <c r="AB839" s="2054"/>
      <c r="AC839" s="2054"/>
    </row>
    <row r="840" spans="1:29">
      <c r="A840" s="2054"/>
      <c r="B840" s="2054"/>
      <c r="C840" s="2054"/>
      <c r="D840" s="2054"/>
      <c r="E840" s="2054"/>
      <c r="F840" s="2054"/>
      <c r="G840" s="2054"/>
      <c r="H840" s="2054"/>
      <c r="I840" s="2054"/>
      <c r="J840" s="2054"/>
      <c r="K840" s="2055"/>
      <c r="L840" s="2056"/>
      <c r="M840" s="2054"/>
      <c r="N840" s="2054"/>
      <c r="O840" s="2054"/>
      <c r="P840" s="2095"/>
      <c r="Q840" s="2054"/>
      <c r="R840" s="2054"/>
      <c r="S840" s="2054"/>
      <c r="T840" s="2054"/>
      <c r="U840" s="2054"/>
      <c r="V840" s="2054"/>
      <c r="W840" s="2054"/>
      <c r="X840" s="2054"/>
      <c r="Y840" s="2054"/>
      <c r="Z840" s="2054"/>
      <c r="AA840" s="2054"/>
      <c r="AB840" s="2054"/>
      <c r="AC840" s="2054"/>
    </row>
    <row r="841" spans="1:29">
      <c r="A841" s="2054"/>
      <c r="B841" s="2054"/>
      <c r="C841" s="2054"/>
      <c r="D841" s="2054"/>
      <c r="E841" s="2054"/>
      <c r="F841" s="2054"/>
      <c r="G841" s="2054"/>
      <c r="H841" s="2054"/>
      <c r="I841" s="2054"/>
      <c r="J841" s="2054"/>
      <c r="K841" s="2055"/>
      <c r="L841" s="2056"/>
      <c r="M841" s="2054"/>
      <c r="N841" s="2054"/>
      <c r="O841" s="2054"/>
      <c r="P841" s="2095"/>
      <c r="Q841" s="2054"/>
      <c r="R841" s="2054"/>
      <c r="S841" s="2054"/>
      <c r="T841" s="2054"/>
      <c r="U841" s="2054"/>
      <c r="V841" s="2054"/>
      <c r="W841" s="2054"/>
      <c r="X841" s="2054"/>
      <c r="Y841" s="2054"/>
      <c r="Z841" s="2054"/>
      <c r="AA841" s="2054"/>
      <c r="AB841" s="2054"/>
      <c r="AC841" s="2054"/>
    </row>
    <row r="842" spans="1:29">
      <c r="A842" s="2054"/>
      <c r="B842" s="2054"/>
      <c r="C842" s="2054"/>
      <c r="D842" s="2054"/>
      <c r="E842" s="2054"/>
      <c r="F842" s="2054"/>
      <c r="G842" s="2054"/>
      <c r="H842" s="2054"/>
      <c r="I842" s="2054"/>
      <c r="J842" s="2054"/>
      <c r="K842" s="2055"/>
      <c r="L842" s="2056"/>
      <c r="M842" s="2054"/>
      <c r="N842" s="2054"/>
      <c r="O842" s="2054"/>
      <c r="P842" s="2095"/>
      <c r="Q842" s="2054"/>
      <c r="R842" s="2054"/>
      <c r="S842" s="2054"/>
      <c r="T842" s="2054"/>
      <c r="U842" s="2054"/>
      <c r="V842" s="2054"/>
      <c r="W842" s="2054"/>
      <c r="X842" s="2054"/>
      <c r="Y842" s="2054"/>
      <c r="Z842" s="2054"/>
      <c r="AA842" s="2054"/>
      <c r="AB842" s="2054"/>
      <c r="AC842" s="2054"/>
    </row>
    <row r="843" spans="1:29">
      <c r="A843" s="2054"/>
      <c r="B843" s="2054"/>
      <c r="C843" s="2054"/>
      <c r="D843" s="2054"/>
      <c r="E843" s="2054"/>
      <c r="F843" s="2054"/>
      <c r="G843" s="2054"/>
      <c r="H843" s="2054"/>
      <c r="I843" s="2054"/>
      <c r="J843" s="2054"/>
      <c r="K843" s="2055"/>
      <c r="L843" s="2056"/>
      <c r="M843" s="2054"/>
      <c r="N843" s="2054"/>
      <c r="O843" s="2054"/>
      <c r="P843" s="2095"/>
      <c r="Q843" s="2054"/>
      <c r="R843" s="2054"/>
      <c r="S843" s="2054"/>
      <c r="T843" s="2054"/>
      <c r="U843" s="2054"/>
      <c r="V843" s="2054"/>
      <c r="W843" s="2054"/>
      <c r="X843" s="2054"/>
      <c r="Y843" s="2054"/>
      <c r="Z843" s="2054"/>
      <c r="AA843" s="2054"/>
      <c r="AB843" s="2054"/>
      <c r="AC843" s="2054"/>
    </row>
    <row r="844" spans="1:29">
      <c r="A844" s="2054"/>
      <c r="B844" s="2054"/>
      <c r="C844" s="2054"/>
      <c r="D844" s="2054"/>
      <c r="E844" s="2054"/>
      <c r="F844" s="2054"/>
      <c r="G844" s="2054"/>
      <c r="H844" s="2054"/>
      <c r="I844" s="2054"/>
      <c r="J844" s="2054"/>
      <c r="K844" s="2055"/>
      <c r="L844" s="2056"/>
      <c r="M844" s="2054"/>
      <c r="N844" s="2054"/>
      <c r="O844" s="2054"/>
      <c r="P844" s="2095"/>
      <c r="Q844" s="2054"/>
      <c r="R844" s="2054"/>
      <c r="S844" s="2054"/>
      <c r="T844" s="2054"/>
      <c r="U844" s="2054"/>
      <c r="V844" s="2054"/>
      <c r="W844" s="2054"/>
      <c r="X844" s="2054"/>
      <c r="Y844" s="2054"/>
      <c r="Z844" s="2054"/>
      <c r="AA844" s="2054"/>
      <c r="AB844" s="2054"/>
      <c r="AC844" s="2054"/>
    </row>
    <row r="845" spans="1:29">
      <c r="A845" s="2054"/>
      <c r="B845" s="2054"/>
      <c r="C845" s="2054"/>
      <c r="D845" s="2054"/>
      <c r="E845" s="2054"/>
      <c r="F845" s="2054"/>
      <c r="G845" s="2054"/>
      <c r="H845" s="2054"/>
      <c r="I845" s="2054"/>
      <c r="J845" s="2054"/>
      <c r="K845" s="2055"/>
      <c r="L845" s="2056"/>
      <c r="M845" s="2054"/>
      <c r="N845" s="2054"/>
      <c r="O845" s="2054"/>
      <c r="P845" s="2095"/>
      <c r="Q845" s="2054"/>
      <c r="R845" s="2054"/>
      <c r="S845" s="2054"/>
      <c r="T845" s="2054"/>
      <c r="U845" s="2054"/>
      <c r="V845" s="2054"/>
      <c r="W845" s="2054"/>
      <c r="X845" s="2054"/>
      <c r="Y845" s="2054"/>
      <c r="Z845" s="2054"/>
      <c r="AA845" s="2054"/>
      <c r="AB845" s="2054"/>
      <c r="AC845" s="2054"/>
    </row>
    <row r="846" spans="1:29">
      <c r="A846" s="2054"/>
      <c r="B846" s="2054"/>
      <c r="C846" s="2054"/>
      <c r="D846" s="2054"/>
      <c r="E846" s="2054"/>
      <c r="F846" s="2054"/>
      <c r="G846" s="2054"/>
      <c r="H846" s="2054"/>
      <c r="I846" s="2054"/>
      <c r="J846" s="2054"/>
      <c r="K846" s="2055"/>
      <c r="L846" s="2056"/>
      <c r="M846" s="2054"/>
      <c r="N846" s="2054"/>
      <c r="O846" s="2054"/>
      <c r="P846" s="2095"/>
      <c r="Q846" s="2054"/>
      <c r="R846" s="2054"/>
      <c r="S846" s="2054"/>
      <c r="T846" s="2054"/>
      <c r="U846" s="2054"/>
      <c r="V846" s="2054"/>
      <c r="W846" s="2054"/>
      <c r="X846" s="2054"/>
      <c r="Y846" s="2054"/>
      <c r="Z846" s="2054"/>
      <c r="AA846" s="2054"/>
      <c r="AB846" s="2054"/>
      <c r="AC846" s="2054"/>
    </row>
    <row r="847" spans="1:29">
      <c r="A847" s="2054"/>
      <c r="B847" s="2054"/>
      <c r="C847" s="2054"/>
      <c r="D847" s="2054"/>
      <c r="E847" s="2054"/>
      <c r="F847" s="2054"/>
      <c r="G847" s="2054"/>
      <c r="H847" s="2054"/>
      <c r="I847" s="2054"/>
      <c r="J847" s="2054"/>
      <c r="K847" s="2055"/>
      <c r="L847" s="2056"/>
      <c r="M847" s="2054"/>
      <c r="N847" s="2054"/>
      <c r="O847" s="2054"/>
      <c r="P847" s="2095"/>
      <c r="Q847" s="2054"/>
      <c r="R847" s="2054"/>
      <c r="S847" s="2054"/>
      <c r="T847" s="2054"/>
      <c r="U847" s="2054"/>
      <c r="V847" s="2054"/>
      <c r="W847" s="2054"/>
      <c r="X847" s="2054"/>
      <c r="Y847" s="2054"/>
      <c r="Z847" s="2054"/>
      <c r="AA847" s="2054"/>
      <c r="AB847" s="2054"/>
      <c r="AC847" s="2054"/>
    </row>
    <row r="848" spans="1:29">
      <c r="A848" s="2054"/>
      <c r="B848" s="2054"/>
      <c r="C848" s="2054"/>
      <c r="D848" s="2054"/>
      <c r="E848" s="2054"/>
      <c r="F848" s="2054"/>
      <c r="G848" s="2054"/>
      <c r="H848" s="2054"/>
      <c r="I848" s="2054"/>
      <c r="J848" s="2054"/>
      <c r="K848" s="2055"/>
      <c r="L848" s="2056"/>
      <c r="M848" s="2054"/>
      <c r="N848" s="2054"/>
      <c r="O848" s="2054"/>
      <c r="P848" s="2095"/>
      <c r="Q848" s="2054"/>
      <c r="R848" s="2054"/>
      <c r="S848" s="2054"/>
      <c r="T848" s="2054"/>
      <c r="U848" s="2054"/>
      <c r="V848" s="2054"/>
      <c r="W848" s="2054"/>
      <c r="X848" s="2054"/>
      <c r="Y848" s="2054"/>
      <c r="Z848" s="2054"/>
      <c r="AA848" s="2054"/>
      <c r="AB848" s="2054"/>
      <c r="AC848" s="2054"/>
    </row>
    <row r="849" spans="1:29">
      <c r="A849" s="2054"/>
      <c r="B849" s="2054"/>
      <c r="C849" s="2054"/>
      <c r="D849" s="2054"/>
      <c r="E849" s="2054"/>
      <c r="F849" s="2054"/>
      <c r="G849" s="2054"/>
      <c r="H849" s="2054"/>
      <c r="I849" s="2054"/>
      <c r="J849" s="2054"/>
      <c r="K849" s="2055"/>
      <c r="L849" s="2056"/>
      <c r="M849" s="2054"/>
      <c r="N849" s="2054"/>
      <c r="O849" s="2054"/>
      <c r="P849" s="2095"/>
      <c r="Q849" s="2054"/>
      <c r="R849" s="2054"/>
      <c r="S849" s="2054"/>
      <c r="T849" s="2054"/>
      <c r="U849" s="2054"/>
      <c r="V849" s="2054"/>
      <c r="W849" s="2054"/>
      <c r="X849" s="2054"/>
      <c r="Y849" s="2054"/>
      <c r="Z849" s="2054"/>
      <c r="AA849" s="2054"/>
      <c r="AB849" s="2054"/>
      <c r="AC849" s="2054"/>
    </row>
    <row r="850" spans="1:29">
      <c r="A850" s="2054"/>
      <c r="B850" s="2054"/>
      <c r="C850" s="2054"/>
      <c r="D850" s="2054"/>
      <c r="E850" s="2054"/>
      <c r="F850" s="2054"/>
      <c r="G850" s="2054"/>
      <c r="H850" s="2054"/>
      <c r="I850" s="2054"/>
      <c r="J850" s="2054"/>
      <c r="K850" s="2055"/>
      <c r="L850" s="2056"/>
      <c r="M850" s="2054"/>
      <c r="N850" s="2054"/>
      <c r="O850" s="2054"/>
      <c r="P850" s="2095"/>
      <c r="Q850" s="2054"/>
      <c r="R850" s="2054"/>
      <c r="S850" s="2054"/>
      <c r="T850" s="2054"/>
      <c r="U850" s="2054"/>
      <c r="V850" s="2054"/>
      <c r="W850" s="2054"/>
      <c r="X850" s="2054"/>
      <c r="Y850" s="2054"/>
      <c r="Z850" s="2054"/>
      <c r="AA850" s="2054"/>
      <c r="AB850" s="2054"/>
      <c r="AC850" s="2054"/>
    </row>
    <row r="851" spans="1:29">
      <c r="A851" s="2054"/>
      <c r="B851" s="2054"/>
      <c r="C851" s="2054"/>
      <c r="D851" s="2054"/>
      <c r="E851" s="2054"/>
      <c r="F851" s="2054"/>
      <c r="G851" s="2054"/>
      <c r="H851" s="2054"/>
      <c r="I851" s="2054"/>
      <c r="J851" s="2054"/>
      <c r="K851" s="2055"/>
      <c r="L851" s="2056"/>
      <c r="M851" s="2054"/>
      <c r="N851" s="2054"/>
      <c r="O851" s="2054"/>
      <c r="P851" s="2095"/>
      <c r="Q851" s="2054"/>
      <c r="R851" s="2054"/>
      <c r="S851" s="2054"/>
      <c r="T851" s="2054"/>
      <c r="U851" s="2054"/>
      <c r="V851" s="2054"/>
      <c r="W851" s="2054"/>
      <c r="X851" s="2054"/>
      <c r="Y851" s="2054"/>
      <c r="Z851" s="2054"/>
      <c r="AA851" s="2054"/>
      <c r="AB851" s="2054"/>
      <c r="AC851" s="2054"/>
    </row>
    <row r="852" spans="1:29">
      <c r="A852" s="2054"/>
      <c r="B852" s="2054"/>
      <c r="C852" s="2054"/>
      <c r="D852" s="2054"/>
      <c r="E852" s="2054"/>
      <c r="F852" s="2054"/>
      <c r="G852" s="2054"/>
      <c r="H852" s="2054"/>
      <c r="I852" s="2054"/>
      <c r="J852" s="2054"/>
      <c r="K852" s="2055"/>
      <c r="L852" s="2056"/>
      <c r="M852" s="2054"/>
      <c r="N852" s="2054"/>
      <c r="O852" s="2054"/>
      <c r="P852" s="2095"/>
      <c r="Q852" s="2054"/>
      <c r="R852" s="2054"/>
      <c r="S852" s="2054"/>
      <c r="T852" s="2054"/>
      <c r="U852" s="2054"/>
      <c r="V852" s="2054"/>
      <c r="W852" s="2054"/>
      <c r="X852" s="2054"/>
      <c r="Y852" s="2054"/>
      <c r="Z852" s="2054"/>
      <c r="AA852" s="2054"/>
      <c r="AB852" s="2054"/>
      <c r="AC852" s="2054"/>
    </row>
    <row r="853" spans="1:29">
      <c r="A853" s="2054"/>
      <c r="B853" s="2054"/>
      <c r="C853" s="2054"/>
      <c r="D853" s="2054"/>
      <c r="E853" s="2054"/>
      <c r="F853" s="2054"/>
      <c r="G853" s="2054"/>
      <c r="H853" s="2054"/>
      <c r="I853" s="2054"/>
      <c r="J853" s="2054"/>
      <c r="K853" s="2055"/>
      <c r="L853" s="2056"/>
      <c r="M853" s="2054"/>
      <c r="N853" s="2054"/>
      <c r="O853" s="2054"/>
      <c r="P853" s="2095"/>
      <c r="Q853" s="2054"/>
      <c r="R853" s="2054"/>
      <c r="S853" s="2054"/>
      <c r="T853" s="2054"/>
      <c r="U853" s="2054"/>
      <c r="V853" s="2054"/>
      <c r="W853" s="2054"/>
      <c r="X853" s="2054"/>
      <c r="Y853" s="2054"/>
      <c r="Z853" s="2054"/>
      <c r="AA853" s="2054"/>
      <c r="AB853" s="2054"/>
      <c r="AC853" s="20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225" customWidth="1"/>
    <col min="2" max="2" width="15.75" style="1225" customWidth="1"/>
    <col min="3" max="3" width="14.375" style="1225" customWidth="1"/>
    <col min="4" max="4" width="12.25" style="1225" customWidth="1"/>
    <col min="5" max="5" width="14.3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658</v>
      </c>
      <c r="B1" s="403" t="s">
        <v>727</v>
      </c>
      <c r="C1" s="404" t="s">
        <v>660</v>
      </c>
      <c r="D1" s="749"/>
      <c r="E1" s="406"/>
      <c r="F1" s="2672"/>
      <c r="G1" s="1489" t="s">
        <v>661</v>
      </c>
      <c r="H1" s="406"/>
      <c r="I1" s="406"/>
      <c r="J1" s="406"/>
      <c r="K1" s="407"/>
      <c r="L1" s="1450"/>
      <c r="M1" s="1451"/>
      <c r="N1" s="1451"/>
      <c r="O1" s="1451"/>
      <c r="P1" s="1452"/>
      <c r="Q1" s="1452"/>
      <c r="R1" s="1452"/>
      <c r="S1" s="1452"/>
      <c r="T1" s="1452"/>
      <c r="U1" s="1452"/>
      <c r="V1" s="1452"/>
      <c r="W1" s="1452"/>
      <c r="X1" s="1452"/>
      <c r="Y1" s="1452"/>
      <c r="Z1" s="1452"/>
      <c r="AA1" s="1452"/>
      <c r="AB1" s="1452"/>
      <c r="AC1" s="328"/>
    </row>
    <row r="2" spans="1:29" s="1224" customFormat="1" ht="28.5" customHeight="1">
      <c r="A2" s="323" t="s">
        <v>407</v>
      </c>
      <c r="B2" s="750" t="e">
        <f>ROUND(B3*D3/10000,0)</f>
        <v>#DIV/0!</v>
      </c>
      <c r="C2" s="2002"/>
      <c r="D2" s="2002"/>
      <c r="E2" s="2003"/>
      <c r="F2" s="2004"/>
      <c r="G2" s="2003"/>
      <c r="H2" s="2003"/>
      <c r="I2" s="2003"/>
      <c r="J2" s="2003"/>
      <c r="K2" s="2003"/>
      <c r="L2" s="2006"/>
      <c r="M2" s="2007"/>
      <c r="N2" s="2007"/>
      <c r="O2" s="2007"/>
      <c r="P2" s="1452"/>
      <c r="Q2" s="1452"/>
      <c r="R2" s="1452"/>
      <c r="S2" s="1452"/>
      <c r="T2" s="1452"/>
      <c r="U2" s="1452"/>
      <c r="V2" s="1452"/>
      <c r="W2" s="1452"/>
      <c r="X2" s="1452"/>
      <c r="Y2" s="1452"/>
      <c r="Z2" s="1452"/>
      <c r="AA2" s="1452"/>
      <c r="AB2" s="1452"/>
      <c r="AC2" s="328"/>
    </row>
    <row r="3" spans="1:29" s="1224" customFormat="1" ht="28.5" customHeight="1" thickBot="1">
      <c r="A3" s="409" t="s">
        <v>459</v>
      </c>
      <c r="B3" s="410" t="e">
        <f>C43</f>
        <v>#DIV/0!</v>
      </c>
      <c r="C3" s="752" t="s">
        <v>662</v>
      </c>
      <c r="D3" s="751">
        <f>SUMIF('数据-汇总表'!$C19:$C33,D1,'数据-汇总表'!$E19:$E33)</f>
        <v>0</v>
      </c>
      <c r="E3" s="2003"/>
      <c r="F3" s="2004"/>
      <c r="G3" s="2003"/>
      <c r="H3" s="2003"/>
      <c r="I3" s="2003"/>
      <c r="J3" s="2003"/>
      <c r="K3" s="2005"/>
      <c r="L3" s="2006"/>
      <c r="M3" s="2007"/>
      <c r="N3" s="2007"/>
      <c r="O3" s="2007"/>
      <c r="P3" s="1452"/>
      <c r="Q3" s="1452"/>
      <c r="R3" s="1452"/>
      <c r="S3" s="1452"/>
      <c r="T3" s="1452"/>
      <c r="U3" s="1452"/>
      <c r="V3" s="1452"/>
      <c r="W3" s="1452"/>
      <c r="X3" s="1452"/>
      <c r="Y3" s="1452"/>
      <c r="Z3" s="1452"/>
      <c r="AA3" s="1452"/>
      <c r="AB3" s="1454"/>
      <c r="AC3" s="328"/>
    </row>
    <row r="4" spans="1:29" ht="15">
      <c r="A4" s="412" t="s">
        <v>461</v>
      </c>
      <c r="B4" s="413"/>
      <c r="C4" s="3384" t="s">
        <v>462</v>
      </c>
      <c r="D4" s="3385"/>
      <c r="E4" s="3418" t="s">
        <v>463</v>
      </c>
      <c r="F4" s="3419"/>
      <c r="G4" s="3384" t="s">
        <v>464</v>
      </c>
      <c r="H4" s="3385"/>
      <c r="I4" s="3384" t="s">
        <v>465</v>
      </c>
      <c r="J4" s="3385"/>
      <c r="K4" s="414" t="s">
        <v>466</v>
      </c>
      <c r="L4" s="2008"/>
      <c r="M4" s="2009"/>
      <c r="N4" s="2009"/>
      <c r="O4" s="2009"/>
      <c r="P4" s="3386" t="s">
        <v>467</v>
      </c>
      <c r="Q4" s="3387"/>
      <c r="R4" s="3392" t="s">
        <v>463</v>
      </c>
      <c r="S4" s="3393"/>
      <c r="T4" s="3392" t="s">
        <v>464</v>
      </c>
      <c r="U4" s="3393"/>
      <c r="V4" s="3379" t="s">
        <v>465</v>
      </c>
      <c r="W4" s="3379"/>
      <c r="X4" s="1455"/>
      <c r="Y4" s="3392" t="s">
        <v>467</v>
      </c>
      <c r="Z4" s="3393"/>
      <c r="AA4" s="3381" t="s">
        <v>463</v>
      </c>
      <c r="AB4" s="3382" t="s">
        <v>464</v>
      </c>
      <c r="AC4" s="3381" t="s">
        <v>465</v>
      </c>
    </row>
    <row r="5" spans="1:29" ht="15">
      <c r="A5" s="415"/>
      <c r="B5" s="416"/>
      <c r="C5" s="3400" t="s">
        <v>2841</v>
      </c>
      <c r="D5" s="3401"/>
      <c r="E5" s="3420" t="s">
        <v>2842</v>
      </c>
      <c r="F5" s="3421"/>
      <c r="G5" s="3400" t="s">
        <v>2843</v>
      </c>
      <c r="H5" s="3401"/>
      <c r="I5" s="3400" t="s">
        <v>2844</v>
      </c>
      <c r="J5" s="3401"/>
      <c r="K5" s="414"/>
      <c r="L5" s="2008"/>
      <c r="M5" s="2009"/>
      <c r="N5" s="2009"/>
      <c r="O5" s="2009"/>
      <c r="P5" s="3388"/>
      <c r="Q5" s="3389"/>
      <c r="R5" s="3394"/>
      <c r="S5" s="3395"/>
      <c r="T5" s="3394"/>
      <c r="U5" s="3395"/>
      <c r="V5" s="3379"/>
      <c r="W5" s="3379"/>
      <c r="X5" s="1455"/>
      <c r="Y5" s="3394"/>
      <c r="Z5" s="3395"/>
      <c r="AA5" s="3382"/>
      <c r="AB5" s="3382"/>
      <c r="AC5" s="3382"/>
    </row>
    <row r="6" spans="1:29" ht="15.75" thickBot="1">
      <c r="A6" s="417"/>
      <c r="B6" s="418"/>
      <c r="C6" s="3398" t="s">
        <v>2845</v>
      </c>
      <c r="D6" s="3399"/>
      <c r="E6" s="3416" t="s">
        <v>2845</v>
      </c>
      <c r="F6" s="3417"/>
      <c r="G6" s="3398" t="s">
        <v>2845</v>
      </c>
      <c r="H6" s="3399"/>
      <c r="I6" s="3398" t="s">
        <v>2845</v>
      </c>
      <c r="J6" s="3399"/>
      <c r="K6" s="414" t="s">
        <v>468</v>
      </c>
      <c r="L6" s="2008"/>
      <c r="M6" s="2009"/>
      <c r="N6" s="2009"/>
      <c r="O6" s="2009"/>
      <c r="P6" s="3390"/>
      <c r="Q6" s="3391"/>
      <c r="R6" s="3394"/>
      <c r="S6" s="3395"/>
      <c r="T6" s="3396"/>
      <c r="U6" s="3397"/>
      <c r="V6" s="3379"/>
      <c r="W6" s="3379"/>
      <c r="X6" s="1455"/>
      <c r="Y6" s="3396"/>
      <c r="Z6" s="3397"/>
      <c r="AA6" s="3383"/>
      <c r="AB6" s="3383"/>
      <c r="AC6" s="3383"/>
    </row>
    <row r="7" spans="1:29" s="1108" customFormat="1" ht="15.75" thickBot="1">
      <c r="A7" s="2777"/>
      <c r="B7" s="2784" t="s">
        <v>469</v>
      </c>
      <c r="C7" s="419">
        <f>'数据-取费表'!B2</f>
        <v>43240</v>
      </c>
      <c r="D7" s="420">
        <v>100</v>
      </c>
      <c r="E7" s="421"/>
      <c r="F7" s="422">
        <f>SUMIF(52:52,YEAR(E7)&amp;"-"&amp;MONTH(E7),53:53)</f>
        <v>0</v>
      </c>
      <c r="G7" s="421"/>
      <c r="H7" s="420">
        <f>SUMIF(52:52,YEAR(G7)&amp;"-"&amp;MONTH(G7),53:53)</f>
        <v>0</v>
      </c>
      <c r="I7" s="421"/>
      <c r="J7" s="420">
        <f>SUMIF(52:52,YEAR(I7)&amp;"-"&amp;MONTH(I7),53:53)</f>
        <v>0</v>
      </c>
      <c r="K7" s="424"/>
      <c r="L7" s="2010"/>
      <c r="M7" s="2011"/>
      <c r="N7" s="2011"/>
      <c r="O7" s="2011"/>
      <c r="P7" s="3409" t="s">
        <v>470</v>
      </c>
      <c r="Q7" s="3411"/>
      <c r="R7" s="1456" t="s">
        <v>8</v>
      </c>
      <c r="S7" s="1457">
        <f t="shared" ref="S7:S15" si="0">F7</f>
        <v>0</v>
      </c>
      <c r="T7" s="1456" t="s">
        <v>8</v>
      </c>
      <c r="U7" s="1457">
        <f t="shared" ref="U7:U15" si="1">H7</f>
        <v>0</v>
      </c>
      <c r="V7" s="1456" t="s">
        <v>8</v>
      </c>
      <c r="W7" s="1457">
        <f t="shared" ref="W7:W15" si="2">J7</f>
        <v>0</v>
      </c>
      <c r="X7" s="1458"/>
      <c r="Y7" s="3409" t="s">
        <v>470</v>
      </c>
      <c r="Z7" s="3410"/>
      <c r="AA7" s="1459" t="e">
        <f>D7/F7</f>
        <v>#DIV/0!</v>
      </c>
      <c r="AB7" s="1459" t="e">
        <f>D7/H7</f>
        <v>#DIV/0!</v>
      </c>
      <c r="AC7" s="1459" t="e">
        <f>D7/J7</f>
        <v>#DIV/0!</v>
      </c>
    </row>
    <row r="8" spans="1:29" s="1108" customFormat="1" ht="15.75" thickBot="1">
      <c r="A8" s="2778"/>
      <c r="B8" s="2785" t="s">
        <v>471</v>
      </c>
      <c r="C8" s="425" t="s">
        <v>516</v>
      </c>
      <c r="D8" s="420">
        <v>100</v>
      </c>
      <c r="E8" s="425"/>
      <c r="F8" s="422">
        <f>SUMIF(55:55,E8,56:56)-SUMIF(55:55,C8,56:56)+100</f>
        <v>0</v>
      </c>
      <c r="G8" s="425"/>
      <c r="H8" s="420">
        <f>SUMIF(55:55,G8,56:56)-SUMIF(55:55,C8,56:56)+100</f>
        <v>0</v>
      </c>
      <c r="I8" s="425"/>
      <c r="J8" s="420">
        <f>SUMIF(55:55,I8,56:56)-SUMIF(55:55,C8,56:56)+100</f>
        <v>0</v>
      </c>
      <c r="K8" s="424"/>
      <c r="L8" s="2010"/>
      <c r="M8" s="2011"/>
      <c r="N8" s="2011"/>
      <c r="O8" s="2011"/>
      <c r="P8" s="3409" t="s">
        <v>473</v>
      </c>
      <c r="Q8" s="3410"/>
      <c r="R8" s="1456" t="s">
        <v>8</v>
      </c>
      <c r="S8" s="1457">
        <f t="shared" si="0"/>
        <v>0</v>
      </c>
      <c r="T8" s="1456" t="s">
        <v>8</v>
      </c>
      <c r="U8" s="1457">
        <f t="shared" si="1"/>
        <v>0</v>
      </c>
      <c r="V8" s="1456" t="s">
        <v>8</v>
      </c>
      <c r="W8" s="1457">
        <f t="shared" si="2"/>
        <v>0</v>
      </c>
      <c r="X8" s="1458"/>
      <c r="Y8" s="3409" t="s">
        <v>473</v>
      </c>
      <c r="Z8" s="3410"/>
      <c r="AA8" s="1459" t="e">
        <f t="shared" ref="AA8:AA40" si="3">D8/F8</f>
        <v>#DIV/0!</v>
      </c>
      <c r="AB8" s="1459" t="e">
        <f t="shared" ref="AB8:AB40" si="4">D8/H8</f>
        <v>#DIV/0!</v>
      </c>
      <c r="AC8" s="1459" t="e">
        <f t="shared" ref="AC8:AC40" si="5">D8/J8</f>
        <v>#DIV/0!</v>
      </c>
    </row>
    <row r="9" spans="1:29" s="1108" customFormat="1" ht="15">
      <c r="A9" s="2779"/>
      <c r="B9" s="2786" t="s">
        <v>2684</v>
      </c>
      <c r="C9" s="757"/>
      <c r="D9" s="158">
        <v>100</v>
      </c>
      <c r="E9" s="760"/>
      <c r="F9" s="158">
        <f>SUMIF(57:57,E9,58:58)-SUMIF(57:57,C9,58:58)+100</f>
        <v>100</v>
      </c>
      <c r="G9" s="758"/>
      <c r="H9" s="158">
        <f>SUMIF(57:57,G9,58:58)-SUMIF(57:57,C9,58:58)+100</f>
        <v>100</v>
      </c>
      <c r="I9" s="758"/>
      <c r="J9" s="158">
        <f>SUMIF(57:57,I9,58:58)-SUMIF(57:57,C9,58:58)+100</f>
        <v>100</v>
      </c>
      <c r="K9" s="424"/>
      <c r="L9" s="2010"/>
      <c r="M9" s="2011"/>
      <c r="N9" s="2011"/>
      <c r="O9" s="2012"/>
      <c r="P9" s="3378" t="s">
        <v>475</v>
      </c>
      <c r="Q9" s="1049" t="str">
        <f t="shared" ref="Q9:Q15" si="6">B9</f>
        <v>用途</v>
      </c>
      <c r="R9" s="1456" t="s">
        <v>8</v>
      </c>
      <c r="S9" s="1457">
        <f t="shared" si="0"/>
        <v>100</v>
      </c>
      <c r="T9" s="1456" t="s">
        <v>8</v>
      </c>
      <c r="U9" s="1457">
        <f t="shared" si="1"/>
        <v>100</v>
      </c>
      <c r="V9" s="1456" t="s">
        <v>8</v>
      </c>
      <c r="W9" s="1457">
        <f t="shared" si="2"/>
        <v>100</v>
      </c>
      <c r="X9" s="1458"/>
      <c r="Y9" s="3324" t="s">
        <v>476</v>
      </c>
      <c r="Z9" s="1048" t="str">
        <f t="shared" ref="Z9:Z15" si="7">Q9</f>
        <v>用途</v>
      </c>
      <c r="AA9" s="1459">
        <f t="shared" si="3"/>
        <v>1</v>
      </c>
      <c r="AB9" s="1459">
        <f t="shared" si="4"/>
        <v>1</v>
      </c>
      <c r="AC9" s="1459">
        <f t="shared" si="5"/>
        <v>1</v>
      </c>
    </row>
    <row r="10" spans="1:29" s="1226" customFormat="1" ht="27">
      <c r="A10" s="2780"/>
      <c r="B10" s="2785" t="s">
        <v>2685</v>
      </c>
      <c r="C10" s="761"/>
      <c r="D10" s="159">
        <v>100</v>
      </c>
      <c r="E10" s="761"/>
      <c r="F10" s="159">
        <f>SUMIF(59:59,E10,60:60)-SUMIF(59:59,C10,60:60)+100</f>
        <v>100</v>
      </c>
      <c r="G10" s="762"/>
      <c r="H10" s="159">
        <f>SUMIF(59:59,G10,60:60)-SUMIF(59:59,C10,60:60)+100</f>
        <v>100</v>
      </c>
      <c r="I10" s="761"/>
      <c r="J10" s="159">
        <f>SUMIF(59:59,I10,60:60)-SUMIF(59:59,C10,60:60)+100</f>
        <v>100</v>
      </c>
      <c r="K10" s="484"/>
      <c r="L10" s="2013"/>
      <c r="M10" s="2053"/>
      <c r="N10" s="2053"/>
      <c r="O10" s="2014"/>
      <c r="P10" s="3378"/>
      <c r="Q10" s="1049" t="str">
        <f t="shared" si="6"/>
        <v>土地使用年限（年）</v>
      </c>
      <c r="R10" s="1456" t="s">
        <v>8</v>
      </c>
      <c r="S10" s="1457">
        <f t="shared" si="0"/>
        <v>100</v>
      </c>
      <c r="T10" s="1456" t="s">
        <v>8</v>
      </c>
      <c r="U10" s="1457">
        <f t="shared" si="1"/>
        <v>100</v>
      </c>
      <c r="V10" s="1456" t="s">
        <v>8</v>
      </c>
      <c r="W10" s="1457">
        <f t="shared" si="2"/>
        <v>100</v>
      </c>
      <c r="X10" s="1458"/>
      <c r="Y10" s="3324"/>
      <c r="Z10" s="1048" t="str">
        <f t="shared" si="7"/>
        <v>土地使用年限（年）</v>
      </c>
      <c r="AA10" s="1459">
        <f t="shared" si="3"/>
        <v>1</v>
      </c>
      <c r="AB10" s="1459">
        <f t="shared" si="4"/>
        <v>1</v>
      </c>
      <c r="AC10" s="1459">
        <f t="shared" si="5"/>
        <v>1</v>
      </c>
    </row>
    <row r="11" spans="1:29" ht="15">
      <c r="A11" s="2781"/>
      <c r="B11" s="2785" t="s">
        <v>2686</v>
      </c>
      <c r="C11" s="433"/>
      <c r="D11" s="159">
        <v>100</v>
      </c>
      <c r="E11" s="433"/>
      <c r="F11" s="159" t="e">
        <f>LOOKUP(E11,62:62,63:63)-LOOKUP(C11,62:62,63:63)+100</f>
        <v>#N/A</v>
      </c>
      <c r="G11" s="434"/>
      <c r="H11" s="159" t="e">
        <f>LOOKUP(G11,62:62,63:63)-LOOKUP(C11,62:62,63:63)+100</f>
        <v>#N/A</v>
      </c>
      <c r="I11" s="433"/>
      <c r="J11" s="159" t="e">
        <f>LOOKUP(I11,62:62,63:63)-LOOKUP(C11,62:62,63:63)+100</f>
        <v>#N/A</v>
      </c>
      <c r="K11" s="484"/>
      <c r="L11" s="2015"/>
      <c r="M11" s="2009"/>
      <c r="N11" s="2009"/>
      <c r="O11" s="2016"/>
      <c r="P11" s="3378"/>
      <c r="Q11" s="1049" t="str">
        <f t="shared" si="6"/>
        <v>容积率</v>
      </c>
      <c r="R11" s="1456" t="s">
        <v>8</v>
      </c>
      <c r="S11" s="1457" t="e">
        <f t="shared" si="0"/>
        <v>#N/A</v>
      </c>
      <c r="T11" s="1456" t="s">
        <v>8</v>
      </c>
      <c r="U11" s="1457" t="e">
        <f t="shared" si="1"/>
        <v>#N/A</v>
      </c>
      <c r="V11" s="1456" t="s">
        <v>8</v>
      </c>
      <c r="W11" s="1457" t="e">
        <f t="shared" si="2"/>
        <v>#N/A</v>
      </c>
      <c r="X11" s="1458"/>
      <c r="Y11" s="3324"/>
      <c r="Z11" s="1048" t="str">
        <f t="shared" si="7"/>
        <v>容积率</v>
      </c>
      <c r="AA11" s="1459" t="e">
        <f t="shared" si="3"/>
        <v>#N/A</v>
      </c>
      <c r="AB11" s="1459" t="e">
        <f t="shared" si="4"/>
        <v>#N/A</v>
      </c>
      <c r="AC11" s="1459" t="e">
        <f t="shared" si="5"/>
        <v>#N/A</v>
      </c>
    </row>
    <row r="12" spans="1:29" s="1108" customFormat="1" ht="15">
      <c r="A12" s="2782"/>
      <c r="B12" s="2788">
        <v>111</v>
      </c>
      <c r="C12" s="428"/>
      <c r="D12" s="438">
        <v>100</v>
      </c>
      <c r="E12" s="439"/>
      <c r="F12" s="159">
        <f>SUMIF(64:64,E12,65:65)-SUMIF(64:64,C12,65:65)+100</f>
        <v>100</v>
      </c>
      <c r="G12" s="820"/>
      <c r="H12" s="159">
        <f>SUMIF(64:64,G12,65:65)-SUMIF(64:64,C12,65:65)+100</f>
        <v>100</v>
      </c>
      <c r="I12" s="780"/>
      <c r="J12" s="159">
        <f>SUMIF(64:64,I12,65:65)-SUMIF(64:64,C12,65:65)+100</f>
        <v>100</v>
      </c>
      <c r="K12" s="481"/>
      <c r="L12" s="2010"/>
      <c r="M12" s="2011"/>
      <c r="N12" s="2011"/>
      <c r="O12" s="2012"/>
      <c r="P12" s="3378"/>
      <c r="Q12" s="1049">
        <f t="shared" si="6"/>
        <v>111</v>
      </c>
      <c r="R12" s="1456" t="s">
        <v>8</v>
      </c>
      <c r="S12" s="1457">
        <f t="shared" si="0"/>
        <v>100</v>
      </c>
      <c r="T12" s="1456" t="s">
        <v>8</v>
      </c>
      <c r="U12" s="1457">
        <f t="shared" si="1"/>
        <v>100</v>
      </c>
      <c r="V12" s="1456" t="s">
        <v>8</v>
      </c>
      <c r="W12" s="1457">
        <f t="shared" si="2"/>
        <v>100</v>
      </c>
      <c r="X12" s="1458"/>
      <c r="Y12" s="3324"/>
      <c r="Z12" s="1048">
        <f t="shared" si="7"/>
        <v>111</v>
      </c>
      <c r="AA12" s="1459">
        <f>D12/F12</f>
        <v>1</v>
      </c>
      <c r="AB12" s="1459">
        <f>D12/H12</f>
        <v>1</v>
      </c>
      <c r="AC12" s="1459">
        <f>D12/J12</f>
        <v>1</v>
      </c>
    </row>
    <row r="13" spans="1:29" ht="15">
      <c r="A13" s="2782"/>
      <c r="B13" s="2788">
        <v>111</v>
      </c>
      <c r="C13" s="439"/>
      <c r="D13" s="440">
        <v>100</v>
      </c>
      <c r="E13" s="439"/>
      <c r="F13" s="159">
        <f>SUMIF(66:66,E13,67:67)-SUMIF(66:66,C13,67:67)+100</f>
        <v>100</v>
      </c>
      <c r="G13" s="820"/>
      <c r="H13" s="440">
        <f>SUMIF(66:66,G13,67:67)-SUMIF(66:66,C13,67:67)+100</f>
        <v>100</v>
      </c>
      <c r="I13" s="780"/>
      <c r="J13" s="440">
        <f>SUMIF(66:66,I13,67:67)-SUMIF(66:66,C13,67:67)+100</f>
        <v>100</v>
      </c>
      <c r="K13" s="481"/>
      <c r="L13" s="2017"/>
      <c r="M13" s="2009"/>
      <c r="N13" s="2009"/>
      <c r="O13" s="2016"/>
      <c r="P13" s="3378"/>
      <c r="Q13" s="1049">
        <f t="shared" si="6"/>
        <v>111</v>
      </c>
      <c r="R13" s="1456" t="s">
        <v>8</v>
      </c>
      <c r="S13" s="1457">
        <f t="shared" si="0"/>
        <v>100</v>
      </c>
      <c r="T13" s="1456" t="s">
        <v>8</v>
      </c>
      <c r="U13" s="1457">
        <f t="shared" si="1"/>
        <v>100</v>
      </c>
      <c r="V13" s="1456" t="s">
        <v>8</v>
      </c>
      <c r="W13" s="1457">
        <f t="shared" si="2"/>
        <v>100</v>
      </c>
      <c r="X13" s="1458"/>
      <c r="Y13" s="3324"/>
      <c r="Z13" s="1048">
        <f t="shared" si="7"/>
        <v>111</v>
      </c>
      <c r="AA13" s="1459">
        <f t="shared" si="3"/>
        <v>1</v>
      </c>
      <c r="AB13" s="1459">
        <f t="shared" si="4"/>
        <v>1</v>
      </c>
      <c r="AC13" s="1459">
        <f t="shared" si="5"/>
        <v>1</v>
      </c>
    </row>
    <row r="14" spans="1:29" ht="15.75" thickBot="1">
      <c r="A14" s="2783"/>
      <c r="B14" s="2789">
        <v>111</v>
      </c>
      <c r="C14" s="445"/>
      <c r="D14" s="446">
        <v>100</v>
      </c>
      <c r="E14" s="445"/>
      <c r="F14" s="446">
        <f>SUMIF(68:68,E14,69:69)-SUMIF(68:68,C14,69:69)+100</f>
        <v>100</v>
      </c>
      <c r="G14" s="820"/>
      <c r="H14" s="446">
        <f>SUMIF(68:68,G14,69:69)-SUMIF(68:68,C14,69:69)+100</f>
        <v>100</v>
      </c>
      <c r="I14" s="780"/>
      <c r="J14" s="446">
        <f>SUMIF(68:68,I14,69:69)-SUMIF(68:68,C14,69:69)+100</f>
        <v>100</v>
      </c>
      <c r="K14" s="481"/>
      <c r="L14" s="2017"/>
      <c r="M14" s="2009"/>
      <c r="N14" s="2009"/>
      <c r="O14" s="2016"/>
      <c r="P14" s="3378"/>
      <c r="Q14" s="1049">
        <f t="shared" si="6"/>
        <v>111</v>
      </c>
      <c r="R14" s="1456" t="s">
        <v>8</v>
      </c>
      <c r="S14" s="1457">
        <f t="shared" si="0"/>
        <v>100</v>
      </c>
      <c r="T14" s="1456" t="s">
        <v>8</v>
      </c>
      <c r="U14" s="1457">
        <f t="shared" si="1"/>
        <v>100</v>
      </c>
      <c r="V14" s="1456" t="s">
        <v>8</v>
      </c>
      <c r="W14" s="1457">
        <f t="shared" si="2"/>
        <v>100</v>
      </c>
      <c r="X14" s="1458"/>
      <c r="Y14" s="3324"/>
      <c r="Z14" s="1048">
        <f t="shared" si="7"/>
        <v>111</v>
      </c>
      <c r="AA14" s="1459">
        <f t="shared" si="3"/>
        <v>1</v>
      </c>
      <c r="AB14" s="1459">
        <f t="shared" si="4"/>
        <v>1</v>
      </c>
      <c r="AC14" s="1459">
        <f t="shared" si="5"/>
        <v>1</v>
      </c>
    </row>
    <row r="15" spans="1:29" ht="15">
      <c r="A15" s="2775" t="s">
        <v>2682</v>
      </c>
      <c r="B15" s="146" t="s">
        <v>728</v>
      </c>
      <c r="C15" s="821">
        <f>估价对象房地状况!G3</f>
        <v>0</v>
      </c>
      <c r="D15" s="449">
        <v>100</v>
      </c>
      <c r="E15" s="450"/>
      <c r="F15" s="451">
        <f>SUMIF(70:70,E16,71:71)-SUMIF(70:70,C16,71:71)+100</f>
        <v>100</v>
      </c>
      <c r="G15" s="452"/>
      <c r="H15" s="449">
        <f>SUMIF(70:70,G16,71:71)-SUMIF(70:70,C16,71:71)+100</f>
        <v>100</v>
      </c>
      <c r="I15" s="450"/>
      <c r="J15" s="449">
        <f>SUMIF(70:70,I16,71:71)-SUMIF(70:70,C16,71:71)+100</f>
        <v>100</v>
      </c>
      <c r="K15" s="798"/>
      <c r="L15" s="2017"/>
      <c r="M15" s="2009"/>
      <c r="N15" s="2009"/>
      <c r="O15" s="2016"/>
      <c r="P15" s="3412" t="s">
        <v>480</v>
      </c>
      <c r="Q15" s="1460" t="str">
        <f t="shared" si="6"/>
        <v>产业集聚程度</v>
      </c>
      <c r="R15" s="1461" t="s">
        <v>8</v>
      </c>
      <c r="S15" s="1462">
        <f t="shared" si="0"/>
        <v>100</v>
      </c>
      <c r="T15" s="1461" t="s">
        <v>8</v>
      </c>
      <c r="U15" s="1462">
        <f t="shared" si="1"/>
        <v>100</v>
      </c>
      <c r="V15" s="1461" t="s">
        <v>8</v>
      </c>
      <c r="W15" s="1462">
        <f t="shared" si="2"/>
        <v>100</v>
      </c>
      <c r="X15" s="1455"/>
      <c r="Y15" s="3412" t="s">
        <v>480</v>
      </c>
      <c r="Z15" s="1463" t="str">
        <f t="shared" si="7"/>
        <v>产业集聚程度</v>
      </c>
      <c r="AA15" s="1464">
        <f t="shared" si="3"/>
        <v>1</v>
      </c>
      <c r="AB15" s="1464">
        <f t="shared" si="4"/>
        <v>1</v>
      </c>
      <c r="AC15" s="1464">
        <f t="shared" si="5"/>
        <v>1</v>
      </c>
    </row>
    <row r="16" spans="1:29" ht="15">
      <c r="A16" s="432"/>
      <c r="B16" s="769"/>
      <c r="C16" s="476"/>
      <c r="D16" s="455"/>
      <c r="E16" s="476"/>
      <c r="F16" s="457"/>
      <c r="G16" s="476"/>
      <c r="H16" s="459"/>
      <c r="I16" s="476"/>
      <c r="J16" s="455"/>
      <c r="K16" s="799"/>
      <c r="L16" s="2017"/>
      <c r="M16" s="2009"/>
      <c r="N16" s="2009"/>
      <c r="O16" s="2016"/>
      <c r="P16" s="3413"/>
      <c r="Q16" s="1460"/>
      <c r="R16" s="1461"/>
      <c r="S16" s="1462"/>
      <c r="T16" s="1461"/>
      <c r="U16" s="1462"/>
      <c r="V16" s="1461"/>
      <c r="W16" s="1462"/>
      <c r="X16" s="1455"/>
      <c r="Y16" s="3413"/>
      <c r="Z16" s="1463"/>
      <c r="AA16" s="1464">
        <v>1</v>
      </c>
      <c r="AB16" s="1464">
        <v>1</v>
      </c>
      <c r="AC16" s="1464">
        <v>1</v>
      </c>
    </row>
    <row r="17" spans="1:29" ht="15">
      <c r="A17" s="432"/>
      <c r="B17" s="771" t="s">
        <v>236</v>
      </c>
      <c r="C17" s="772">
        <f>估价对象房地状况!G4</f>
        <v>0</v>
      </c>
      <c r="D17" s="459">
        <v>100</v>
      </c>
      <c r="E17" s="462"/>
      <c r="F17" s="463">
        <f>SUMIF(72:72,E18,73:73)-SUMIF(72:72,C18,73:73)+100</f>
        <v>100</v>
      </c>
      <c r="G17" s="464"/>
      <c r="H17" s="465">
        <f>SUMIF(72:72,G18,73:73)-SUMIF(72:72,C18,73:73)+100</f>
        <v>100</v>
      </c>
      <c r="I17" s="462"/>
      <c r="J17" s="465">
        <f>SUMIF(72:72,I18,73:73)-SUMIF(72:72,C18,73:73)+100</f>
        <v>100</v>
      </c>
      <c r="K17" s="798"/>
      <c r="L17" s="2017"/>
      <c r="M17" s="2009"/>
      <c r="N17" s="2009"/>
      <c r="O17" s="2016"/>
      <c r="P17" s="3413"/>
      <c r="Q17" s="1460" t="str">
        <f>B17</f>
        <v>交通便捷度</v>
      </c>
      <c r="R17" s="1461" t="s">
        <v>8</v>
      </c>
      <c r="S17" s="1462">
        <f>F17</f>
        <v>100</v>
      </c>
      <c r="T17" s="1461" t="s">
        <v>8</v>
      </c>
      <c r="U17" s="1462">
        <f>H17</f>
        <v>100</v>
      </c>
      <c r="V17" s="1461" t="s">
        <v>8</v>
      </c>
      <c r="W17" s="1462">
        <f>J17</f>
        <v>100</v>
      </c>
      <c r="X17" s="1455"/>
      <c r="Y17" s="3413"/>
      <c r="Z17" s="1463" t="str">
        <f>Q17</f>
        <v>交通便捷度</v>
      </c>
      <c r="AA17" s="1464">
        <f t="shared" si="3"/>
        <v>1</v>
      </c>
      <c r="AB17" s="1464">
        <f t="shared" si="4"/>
        <v>1</v>
      </c>
      <c r="AC17" s="1464">
        <f t="shared" si="5"/>
        <v>1</v>
      </c>
    </row>
    <row r="18" spans="1:29" ht="15">
      <c r="A18" s="432"/>
      <c r="B18" s="495"/>
      <c r="C18" s="773"/>
      <c r="D18" s="459"/>
      <c r="E18" s="468"/>
      <c r="F18" s="463"/>
      <c r="G18" s="469"/>
      <c r="H18" s="455"/>
      <c r="I18" s="468"/>
      <c r="J18" s="455"/>
      <c r="K18" s="799"/>
      <c r="L18" s="2017"/>
      <c r="M18" s="2009"/>
      <c r="N18" s="2009"/>
      <c r="O18" s="2016"/>
      <c r="P18" s="3413"/>
      <c r="Q18" s="1460"/>
      <c r="R18" s="1461"/>
      <c r="S18" s="1462"/>
      <c r="T18" s="1461"/>
      <c r="U18" s="1462"/>
      <c r="V18" s="1461"/>
      <c r="W18" s="1462"/>
      <c r="X18" s="1455"/>
      <c r="Y18" s="3413"/>
      <c r="Z18" s="1463"/>
      <c r="AA18" s="1464">
        <v>1</v>
      </c>
      <c r="AB18" s="1464">
        <v>1</v>
      </c>
      <c r="AC18" s="1464">
        <v>1</v>
      </c>
    </row>
    <row r="19" spans="1:29" ht="15">
      <c r="A19" s="432"/>
      <c r="B19" s="2469" t="s">
        <v>2474</v>
      </c>
      <c r="C19" s="772">
        <f>估价对象房地状况!G5</f>
        <v>0</v>
      </c>
      <c r="D19" s="465">
        <v>100</v>
      </c>
      <c r="E19" s="470"/>
      <c r="F19" s="471">
        <f>SUMIF(74:74,E20,75:75)-SUMIF(74:74,C20,75:75)+100</f>
        <v>100</v>
      </c>
      <c r="G19" s="472"/>
      <c r="H19" s="459">
        <f>SUMIF(74:74,G20,75:75)-SUMIF(74:74,C20,75:75)+100</f>
        <v>100</v>
      </c>
      <c r="I19" s="470"/>
      <c r="J19" s="459">
        <f>SUMIF(74:74,I20,75:75)-SUMIF(74:74,C20,75:75)+100</f>
        <v>100</v>
      </c>
      <c r="K19" s="798"/>
      <c r="L19" s="2017"/>
      <c r="M19" s="2009"/>
      <c r="N19" s="2009"/>
      <c r="O19" s="2016"/>
      <c r="P19" s="3413"/>
      <c r="Q19" s="1460" t="str">
        <f>B19</f>
        <v>公共配套设施</v>
      </c>
      <c r="R19" s="1461" t="s">
        <v>8</v>
      </c>
      <c r="S19" s="1462">
        <f>F19</f>
        <v>100</v>
      </c>
      <c r="T19" s="1461" t="s">
        <v>8</v>
      </c>
      <c r="U19" s="1462">
        <f>H19</f>
        <v>100</v>
      </c>
      <c r="V19" s="1461" t="s">
        <v>8</v>
      </c>
      <c r="W19" s="1462">
        <f>J19</f>
        <v>100</v>
      </c>
      <c r="X19" s="1455"/>
      <c r="Y19" s="3413"/>
      <c r="Z19" s="1463" t="str">
        <f>Q19</f>
        <v>公共配套设施</v>
      </c>
      <c r="AA19" s="1464">
        <f t="shared" si="3"/>
        <v>1</v>
      </c>
      <c r="AB19" s="1464">
        <f t="shared" si="4"/>
        <v>1</v>
      </c>
      <c r="AC19" s="1464">
        <f t="shared" si="5"/>
        <v>1</v>
      </c>
    </row>
    <row r="20" spans="1:29" ht="15">
      <c r="A20" s="432"/>
      <c r="B20" s="466"/>
      <c r="C20" s="476"/>
      <c r="D20" s="455"/>
      <c r="E20" s="456"/>
      <c r="F20" s="457"/>
      <c r="G20" s="458"/>
      <c r="H20" s="455"/>
      <c r="I20" s="456"/>
      <c r="J20" s="455"/>
      <c r="K20" s="799"/>
      <c r="L20" s="2017"/>
      <c r="M20" s="2009"/>
      <c r="N20" s="2009"/>
      <c r="O20" s="2016"/>
      <c r="P20" s="3413"/>
      <c r="Q20" s="1460"/>
      <c r="R20" s="1461"/>
      <c r="S20" s="1462"/>
      <c r="T20" s="1461"/>
      <c r="U20" s="1462"/>
      <c r="V20" s="1461"/>
      <c r="W20" s="1462"/>
      <c r="X20" s="1455"/>
      <c r="Y20" s="3413"/>
      <c r="Z20" s="1463"/>
      <c r="AA20" s="1464">
        <v>1</v>
      </c>
      <c r="AB20" s="1464">
        <v>1</v>
      </c>
      <c r="AC20" s="1464">
        <v>1</v>
      </c>
    </row>
    <row r="21" spans="1:29" ht="15">
      <c r="A21" s="432"/>
      <c r="B21" s="2457" t="s">
        <v>2486</v>
      </c>
      <c r="C21" s="772">
        <f>估价对象房地状况!G6</f>
        <v>0</v>
      </c>
      <c r="D21" s="465">
        <v>100</v>
      </c>
      <c r="E21" s="472"/>
      <c r="F21" s="471">
        <f>SUMIF(76:76,E22,77:77)-SUMIF(76:76,C22,77:77)+100</f>
        <v>100</v>
      </c>
      <c r="G21" s="472"/>
      <c r="H21" s="465">
        <f>SUMIF(76:76,G22,77:77)-SUMIF(76:76,C22,77:77)+100</f>
        <v>100</v>
      </c>
      <c r="I21" s="470"/>
      <c r="J21" s="465">
        <f>SUMIF(76:76,I22,77:77)-SUMIF(76:76,C22,77:77)+100</f>
        <v>100</v>
      </c>
      <c r="K21" s="798"/>
      <c r="L21" s="2017"/>
      <c r="M21" s="2009"/>
      <c r="N21" s="2009"/>
      <c r="O21" s="2016"/>
      <c r="P21" s="3413"/>
      <c r="Q21" s="2445" t="str">
        <f>B21</f>
        <v>基础设施水平</v>
      </c>
      <c r="R21" s="1461" t="s">
        <v>8</v>
      </c>
      <c r="S21" s="1462">
        <f>F21</f>
        <v>100</v>
      </c>
      <c r="T21" s="1461" t="s">
        <v>8</v>
      </c>
      <c r="U21" s="1462">
        <f>H21</f>
        <v>100</v>
      </c>
      <c r="V21" s="1461" t="s">
        <v>8</v>
      </c>
      <c r="W21" s="1462">
        <f>J21</f>
        <v>100</v>
      </c>
      <c r="X21" s="2447"/>
      <c r="Y21" s="3413"/>
      <c r="Z21" s="2446" t="str">
        <f>Q21</f>
        <v>基础设施水平</v>
      </c>
      <c r="AA21" s="1464">
        <f>D21/F21</f>
        <v>1</v>
      </c>
      <c r="AB21" s="1464">
        <f>D21/H21</f>
        <v>1</v>
      </c>
      <c r="AC21" s="1464">
        <f>D21/J21</f>
        <v>1</v>
      </c>
    </row>
    <row r="22" spans="1:29" ht="15">
      <c r="A22" s="432"/>
      <c r="B22" s="478"/>
      <c r="C22" s="773"/>
      <c r="D22" s="455"/>
      <c r="E22" s="476"/>
      <c r="F22" s="457"/>
      <c r="G22" s="476"/>
      <c r="H22" s="455"/>
      <c r="I22" s="476"/>
      <c r="J22" s="455"/>
      <c r="K22" s="2468"/>
      <c r="L22" s="2017"/>
      <c r="M22" s="2009"/>
      <c r="N22" s="2009"/>
      <c r="O22" s="2016"/>
      <c r="P22" s="3413"/>
      <c r="Q22" s="2445"/>
      <c r="R22" s="1461"/>
      <c r="S22" s="1462"/>
      <c r="T22" s="1461"/>
      <c r="U22" s="1462"/>
      <c r="V22" s="1461"/>
      <c r="W22" s="1462"/>
      <c r="X22" s="2447"/>
      <c r="Y22" s="3413"/>
      <c r="Z22" s="2446"/>
      <c r="AA22" s="1464">
        <v>1</v>
      </c>
      <c r="AB22" s="1464">
        <v>1</v>
      </c>
      <c r="AC22" s="1464">
        <v>1</v>
      </c>
    </row>
    <row r="23" spans="1:29" ht="15">
      <c r="A23" s="432"/>
      <c r="B23" s="771" t="s">
        <v>717</v>
      </c>
      <c r="C23" s="772">
        <f>估价对象房地状况!G7</f>
        <v>0</v>
      </c>
      <c r="D23" s="459">
        <v>100</v>
      </c>
      <c r="E23" s="462"/>
      <c r="F23" s="463">
        <f>SUMIF(78:78,E24,79:79)-SUMIF(78:78,C24,79:79)+100</f>
        <v>100</v>
      </c>
      <c r="G23" s="464"/>
      <c r="H23" s="459">
        <f>SUMIF(78:78,G24,79:79)-SUMIF(78:78,C24,79:79)+100</f>
        <v>100</v>
      </c>
      <c r="I23" s="462"/>
      <c r="J23" s="459">
        <f>SUMIF(78:78,I24,79:79)-SUMIF(78:78,C24,79:79)+100</f>
        <v>100</v>
      </c>
      <c r="K23" s="798"/>
      <c r="L23" s="2017"/>
      <c r="M23" s="2009"/>
      <c r="N23" s="2009"/>
      <c r="O23" s="2016"/>
      <c r="P23" s="3413"/>
      <c r="Q23" s="1460" t="str">
        <f>B23</f>
        <v>环境质量</v>
      </c>
      <c r="R23" s="1461" t="s">
        <v>8</v>
      </c>
      <c r="S23" s="1462">
        <f>F23</f>
        <v>100</v>
      </c>
      <c r="T23" s="1461" t="s">
        <v>8</v>
      </c>
      <c r="U23" s="1462">
        <f>H23</f>
        <v>100</v>
      </c>
      <c r="V23" s="1461" t="s">
        <v>8</v>
      </c>
      <c r="W23" s="1462">
        <f>J23</f>
        <v>100</v>
      </c>
      <c r="X23" s="1455"/>
      <c r="Y23" s="3413"/>
      <c r="Z23" s="1463" t="str">
        <f>Q23</f>
        <v>环境质量</v>
      </c>
      <c r="AA23" s="1464">
        <f t="shared" si="3"/>
        <v>1</v>
      </c>
      <c r="AB23" s="1464">
        <f t="shared" si="4"/>
        <v>1</v>
      </c>
      <c r="AC23" s="1464">
        <f t="shared" si="5"/>
        <v>1</v>
      </c>
    </row>
    <row r="24" spans="1:29" ht="15">
      <c r="A24" s="432"/>
      <c r="B24" s="822"/>
      <c r="C24" s="476"/>
      <c r="D24" s="455"/>
      <c r="E24" s="456"/>
      <c r="F24" s="457"/>
      <c r="G24" s="458"/>
      <c r="H24" s="455"/>
      <c r="I24" s="456"/>
      <c r="J24" s="455"/>
      <c r="K24" s="799"/>
      <c r="L24" s="2017"/>
      <c r="M24" s="2009"/>
      <c r="N24" s="2009"/>
      <c r="O24" s="2016"/>
      <c r="P24" s="3413"/>
      <c r="Q24" s="1460"/>
      <c r="R24" s="1461"/>
      <c r="S24" s="1462"/>
      <c r="T24" s="1461"/>
      <c r="U24" s="1462"/>
      <c r="V24" s="1461"/>
      <c r="W24" s="1462"/>
      <c r="X24" s="1455"/>
      <c r="Y24" s="3413"/>
      <c r="Z24" s="1463"/>
      <c r="AA24" s="1464">
        <v>1</v>
      </c>
      <c r="AB24" s="1464">
        <v>1</v>
      </c>
      <c r="AC24" s="1464">
        <v>1</v>
      </c>
    </row>
    <row r="25" spans="1:29" ht="15">
      <c r="A25" s="415"/>
      <c r="B25" s="777">
        <v>111</v>
      </c>
      <c r="C25" s="439"/>
      <c r="D25" s="440">
        <v>100</v>
      </c>
      <c r="E25" s="439"/>
      <c r="F25" s="475">
        <f>SUMIF(80:80,E25,81:81)-SUMIF(80:80,C25,81:81)+100</f>
        <v>100</v>
      </c>
      <c r="G25" s="439"/>
      <c r="H25" s="440">
        <f>SUMIF(80:80,G25,81:81)-SUMIF(80:80,C25,81:81)+100</f>
        <v>100</v>
      </c>
      <c r="I25" s="439"/>
      <c r="J25" s="440">
        <f>SUMIF(80:80,I25,81:81)-SUMIF(80:80,C25,81:81)+100</f>
        <v>100</v>
      </c>
      <c r="K25" s="481"/>
      <c r="L25" s="2017"/>
      <c r="M25" s="2009"/>
      <c r="N25" s="2009"/>
      <c r="O25" s="2016"/>
      <c r="P25" s="3413"/>
      <c r="Q25" s="1460">
        <f>B25</f>
        <v>111</v>
      </c>
      <c r="R25" s="1461" t="s">
        <v>8</v>
      </c>
      <c r="S25" s="1462">
        <f>F25</f>
        <v>100</v>
      </c>
      <c r="T25" s="1461" t="s">
        <v>8</v>
      </c>
      <c r="U25" s="1462">
        <f>H25</f>
        <v>100</v>
      </c>
      <c r="V25" s="1461" t="s">
        <v>8</v>
      </c>
      <c r="W25" s="1462">
        <f>J25</f>
        <v>100</v>
      </c>
      <c r="X25" s="1455"/>
      <c r="Y25" s="3413"/>
      <c r="Z25" s="1463">
        <f>Q25</f>
        <v>111</v>
      </c>
      <c r="AA25" s="1464">
        <f t="shared" si="3"/>
        <v>1</v>
      </c>
      <c r="AB25" s="1464">
        <f t="shared" si="4"/>
        <v>1</v>
      </c>
      <c r="AC25" s="1464">
        <f t="shared" si="5"/>
        <v>1</v>
      </c>
    </row>
    <row r="26" spans="1:29" ht="15">
      <c r="A26" s="432"/>
      <c r="B26" s="777">
        <v>111</v>
      </c>
      <c r="C26" s="439"/>
      <c r="D26" s="440">
        <v>100</v>
      </c>
      <c r="E26" s="439"/>
      <c r="F26" s="475">
        <f>SUMIF(82:82,E26,83:83)-SUMIF(82:82,C26,83:83)+100</f>
        <v>100</v>
      </c>
      <c r="G26" s="439"/>
      <c r="H26" s="440">
        <f>SUMIF(82:82,G26,83:83)-SUMIF(82:82,C26,83:83)+100</f>
        <v>100</v>
      </c>
      <c r="I26" s="439"/>
      <c r="J26" s="440">
        <f>SUMIF(82:82,I26,83:83)-SUMIF(82:82,C26,83:83)+100</f>
        <v>100</v>
      </c>
      <c r="K26" s="481"/>
      <c r="L26" s="2017"/>
      <c r="M26" s="2009"/>
      <c r="N26" s="2009"/>
      <c r="O26" s="2016"/>
      <c r="P26" s="3413"/>
      <c r="Q26" s="1460">
        <f t="shared" ref="Q26:Q40" si="8">B26</f>
        <v>111</v>
      </c>
      <c r="R26" s="1461" t="s">
        <v>8</v>
      </c>
      <c r="S26" s="1462">
        <f>F26</f>
        <v>100</v>
      </c>
      <c r="T26" s="1461" t="s">
        <v>8</v>
      </c>
      <c r="U26" s="1462">
        <f>H26</f>
        <v>100</v>
      </c>
      <c r="V26" s="1461" t="s">
        <v>8</v>
      </c>
      <c r="W26" s="1462">
        <f>J26</f>
        <v>100</v>
      </c>
      <c r="X26" s="1455"/>
      <c r="Y26" s="3413"/>
      <c r="Z26" s="1463">
        <f>Q26</f>
        <v>111</v>
      </c>
      <c r="AA26" s="1464">
        <f t="shared" si="3"/>
        <v>1</v>
      </c>
      <c r="AB26" s="1464">
        <f t="shared" si="4"/>
        <v>1</v>
      </c>
      <c r="AC26" s="1464">
        <f t="shared" si="5"/>
        <v>1</v>
      </c>
    </row>
    <row r="27" spans="1:29" s="1108" customFormat="1" ht="15">
      <c r="A27" s="436"/>
      <c r="B27" s="777">
        <v>111</v>
      </c>
      <c r="C27" s="439"/>
      <c r="D27" s="775">
        <v>100</v>
      </c>
      <c r="E27" s="439"/>
      <c r="F27" s="776">
        <f>SUMIF(84:84,E27,85:85)-SUMIF(84:84,C27,85:85)+100</f>
        <v>100</v>
      </c>
      <c r="G27" s="439"/>
      <c r="H27" s="775">
        <f>SUMIF(84:84,G27,85:85)-SUMIF(84:84,C27,85:85)+100</f>
        <v>100</v>
      </c>
      <c r="I27" s="439"/>
      <c r="J27" s="775">
        <f>SUMIF(84:84,I27,85:85)-SUMIF(84:84,C27,85:85)+100</f>
        <v>100</v>
      </c>
      <c r="K27" s="481"/>
      <c r="L27" s="2010"/>
      <c r="M27" s="2011"/>
      <c r="N27" s="2011"/>
      <c r="O27" s="2012"/>
      <c r="P27" s="3413"/>
      <c r="Q27" s="1049">
        <f t="shared" si="8"/>
        <v>111</v>
      </c>
      <c r="R27" s="1456" t="s">
        <v>8</v>
      </c>
      <c r="S27" s="1457">
        <f>F27</f>
        <v>100</v>
      </c>
      <c r="T27" s="1456" t="s">
        <v>8</v>
      </c>
      <c r="U27" s="1457">
        <f>H27</f>
        <v>100</v>
      </c>
      <c r="V27" s="1456" t="s">
        <v>8</v>
      </c>
      <c r="W27" s="1457">
        <f>J27</f>
        <v>100</v>
      </c>
      <c r="X27" s="1458"/>
      <c r="Y27" s="3413"/>
      <c r="Z27" s="1048">
        <f>Q27</f>
        <v>111</v>
      </c>
      <c r="AA27" s="1464">
        <f>D27/F27</f>
        <v>1</v>
      </c>
      <c r="AB27" s="1464">
        <f>D27/H27</f>
        <v>1</v>
      </c>
      <c r="AC27" s="1464">
        <f>D27/J27</f>
        <v>1</v>
      </c>
    </row>
    <row r="28" spans="1:29" ht="15.75" thickBot="1">
      <c r="A28" s="443"/>
      <c r="B28" s="777">
        <v>111</v>
      </c>
      <c r="C28" s="445"/>
      <c r="D28" s="446">
        <v>100</v>
      </c>
      <c r="E28" s="439"/>
      <c r="F28" s="766">
        <f>SUMIF(86:86,E28,87:87)-SUMIF(86:86,C28,87:87)+100</f>
        <v>100</v>
      </c>
      <c r="G28" s="780"/>
      <c r="H28" s="446">
        <f>SUMIF(86:86,G28,87:87)-SUMIF(86:86,C28,87:87)+100</f>
        <v>100</v>
      </c>
      <c r="I28" s="780"/>
      <c r="J28" s="446">
        <f>SUMIF(86:86,I28,87:87)-SUMIF(86:86,C28,87:87)+100</f>
        <v>100</v>
      </c>
      <c r="K28" s="481"/>
      <c r="L28" s="2017"/>
      <c r="M28" s="2009"/>
      <c r="N28" s="2009"/>
      <c r="O28" s="2016"/>
      <c r="P28" s="3413"/>
      <c r="Q28" s="1460">
        <f t="shared" si="8"/>
        <v>111</v>
      </c>
      <c r="R28" s="1461" t="s">
        <v>8</v>
      </c>
      <c r="S28" s="1462">
        <f t="shared" ref="S28:S40" si="9">F28</f>
        <v>100</v>
      </c>
      <c r="T28" s="1461" t="s">
        <v>8</v>
      </c>
      <c r="U28" s="1462">
        <f t="shared" ref="U28:U40" si="10">H28</f>
        <v>100</v>
      </c>
      <c r="V28" s="1461" t="s">
        <v>8</v>
      </c>
      <c r="W28" s="1462">
        <f t="shared" ref="W28:W40" si="11">J28</f>
        <v>100</v>
      </c>
      <c r="X28" s="1455"/>
      <c r="Y28" s="3413"/>
      <c r="Z28" s="1463">
        <f t="shared" ref="Z28:Z40" si="12">Q28</f>
        <v>111</v>
      </c>
      <c r="AA28" s="1464">
        <f t="shared" si="3"/>
        <v>1</v>
      </c>
      <c r="AB28" s="1464">
        <f t="shared" si="4"/>
        <v>1</v>
      </c>
      <c r="AC28" s="1464">
        <f t="shared" si="5"/>
        <v>1</v>
      </c>
    </row>
    <row r="29" spans="1:29" ht="15">
      <c r="A29" s="2772" t="s">
        <v>2683</v>
      </c>
      <c r="B29" s="148" t="s">
        <v>719</v>
      </c>
      <c r="C29" s="816"/>
      <c r="D29" s="497">
        <v>100</v>
      </c>
      <c r="E29" s="816"/>
      <c r="F29" s="475">
        <f>SUMIF(88:88,E29,89:89)-SUMIF(88:88,C29,89:89)+100</f>
        <v>100</v>
      </c>
      <c r="G29" s="816"/>
      <c r="H29" s="440">
        <f>SUMIF(88:88,G29,89:89)-SUMIF(88:88,C29,89:89)+100</f>
        <v>100</v>
      </c>
      <c r="I29" s="816"/>
      <c r="J29" s="497">
        <f>SUMIF(88:88,I29,89:89)-SUMIF(88:88,C29,89:89)+100</f>
        <v>100</v>
      </c>
      <c r="K29" s="484"/>
      <c r="L29" s="2017"/>
      <c r="M29" s="2009"/>
      <c r="N29" s="2009"/>
      <c r="O29" s="2016"/>
      <c r="P29" s="3414" t="s">
        <v>490</v>
      </c>
      <c r="Q29" s="1460" t="str">
        <f t="shared" si="8"/>
        <v>建筑类型</v>
      </c>
      <c r="R29" s="1461" t="s">
        <v>8</v>
      </c>
      <c r="S29" s="1462">
        <f t="shared" si="9"/>
        <v>100</v>
      </c>
      <c r="T29" s="1461" t="s">
        <v>8</v>
      </c>
      <c r="U29" s="1462">
        <f t="shared" si="10"/>
        <v>100</v>
      </c>
      <c r="V29" s="1461" t="s">
        <v>8</v>
      </c>
      <c r="W29" s="1462">
        <f t="shared" si="11"/>
        <v>100</v>
      </c>
      <c r="X29" s="1455"/>
      <c r="Y29" s="3415" t="s">
        <v>490</v>
      </c>
      <c r="Z29" s="1463" t="str">
        <f t="shared" si="12"/>
        <v>建筑类型</v>
      </c>
      <c r="AA29" s="1464">
        <f t="shared" si="3"/>
        <v>1</v>
      </c>
      <c r="AB29" s="1464">
        <f t="shared" si="4"/>
        <v>1</v>
      </c>
      <c r="AC29" s="1464">
        <f t="shared" si="5"/>
        <v>1</v>
      </c>
    </row>
    <row r="30" spans="1:29" s="1227" customFormat="1" ht="15">
      <c r="A30" s="503"/>
      <c r="B30" s="427" t="s">
        <v>665</v>
      </c>
      <c r="C30" s="780"/>
      <c r="D30" s="159">
        <v>100</v>
      </c>
      <c r="E30" s="434"/>
      <c r="F30" s="763" t="e">
        <f>LOOKUP(E30,91:91,92:92)-LOOKUP(C30,91:91,92:92)+100</f>
        <v>#N/A</v>
      </c>
      <c r="G30" s="433"/>
      <c r="H30" s="159" t="e">
        <f>LOOKUP(G30,91:91,92:92)-LOOKUP(C30,91:91,92:92)+100</f>
        <v>#N/A</v>
      </c>
      <c r="I30" s="433"/>
      <c r="J30" s="159" t="e">
        <f>LOOKUP(I30,91:91,92:92)-LOOKUP(C30,91:91,92:92)+100</f>
        <v>#N/A</v>
      </c>
      <c r="K30" s="481"/>
      <c r="L30" s="2015"/>
      <c r="M30" s="2046"/>
      <c r="N30" s="2046"/>
      <c r="O30" s="2018"/>
      <c r="P30" s="3415"/>
      <c r="Q30" s="1493" t="str">
        <f t="shared" si="8"/>
        <v>项目建筑规模</v>
      </c>
      <c r="R30" s="1465" t="s">
        <v>8</v>
      </c>
      <c r="S30" s="1466" t="e">
        <f t="shared" si="9"/>
        <v>#N/A</v>
      </c>
      <c r="T30" s="1465" t="s">
        <v>8</v>
      </c>
      <c r="U30" s="1466" t="e">
        <f t="shared" si="10"/>
        <v>#N/A</v>
      </c>
      <c r="V30" s="1465" t="s">
        <v>8</v>
      </c>
      <c r="W30" s="1466" t="e">
        <f t="shared" si="11"/>
        <v>#N/A</v>
      </c>
      <c r="X30" s="1467"/>
      <c r="Y30" s="3415"/>
      <c r="Z30" s="1468" t="str">
        <f t="shared" si="12"/>
        <v>项目建筑规模</v>
      </c>
      <c r="AA30" s="1464" t="e">
        <f t="shared" si="3"/>
        <v>#N/A</v>
      </c>
      <c r="AB30" s="1464" t="e">
        <f t="shared" si="4"/>
        <v>#N/A</v>
      </c>
      <c r="AC30" s="1464" t="e">
        <f t="shared" si="5"/>
        <v>#N/A</v>
      </c>
    </row>
    <row r="31" spans="1:29" ht="15">
      <c r="A31" s="494"/>
      <c r="B31" s="427" t="s">
        <v>666</v>
      </c>
      <c r="C31" s="474"/>
      <c r="D31" s="440">
        <v>100</v>
      </c>
      <c r="E31" s="474"/>
      <c r="F31" s="475">
        <f>SUMIF(93:93,E31,94:94)-SUMIF(93:93,C31,94:94)+100</f>
        <v>100</v>
      </c>
      <c r="G31" s="474"/>
      <c r="H31" s="440">
        <f>SUMIF(93:93,G31,94:94)-SUMIF(93:93,C31,94:94)+100</f>
        <v>100</v>
      </c>
      <c r="I31" s="474"/>
      <c r="J31" s="440">
        <f>SUMIF(93:93,I31,94:94)-SUMIF(93:93,C31,94:94)+100</f>
        <v>100</v>
      </c>
      <c r="K31" s="484"/>
      <c r="L31" s="2017"/>
      <c r="M31" s="2009"/>
      <c r="N31" s="2009"/>
      <c r="O31" s="2016"/>
      <c r="P31" s="3415"/>
      <c r="Q31" s="1460" t="str">
        <f t="shared" si="8"/>
        <v>建筑结构</v>
      </c>
      <c r="R31" s="1461" t="s">
        <v>8</v>
      </c>
      <c r="S31" s="1462">
        <f t="shared" si="9"/>
        <v>100</v>
      </c>
      <c r="T31" s="1461" t="s">
        <v>8</v>
      </c>
      <c r="U31" s="1462">
        <f t="shared" si="10"/>
        <v>100</v>
      </c>
      <c r="V31" s="1461" t="s">
        <v>8</v>
      </c>
      <c r="W31" s="1462">
        <f t="shared" si="11"/>
        <v>100</v>
      </c>
      <c r="X31" s="1455"/>
      <c r="Y31" s="3415"/>
      <c r="Z31" s="1463" t="str">
        <f t="shared" si="12"/>
        <v>建筑结构</v>
      </c>
      <c r="AA31" s="1464">
        <f t="shared" si="3"/>
        <v>1</v>
      </c>
      <c r="AB31" s="1464">
        <f t="shared" si="4"/>
        <v>1</v>
      </c>
      <c r="AC31" s="1464">
        <f t="shared" si="5"/>
        <v>1</v>
      </c>
    </row>
    <row r="32" spans="1:29" ht="15">
      <c r="A32" s="494"/>
      <c r="B32" s="427" t="s">
        <v>702</v>
      </c>
      <c r="C32" s="474"/>
      <c r="D32" s="440">
        <v>100</v>
      </c>
      <c r="E32" s="474"/>
      <c r="F32" s="475">
        <f>SUMIF(95:95,E32,96:96)-SUMIF(95:95,C32,96:96)+100</f>
        <v>100</v>
      </c>
      <c r="G32" s="474"/>
      <c r="H32" s="440">
        <f>SUMIF(95:95,G32,96:96)-SUMIF(95:95,C32,96:96)+100</f>
        <v>100</v>
      </c>
      <c r="I32" s="474"/>
      <c r="J32" s="440">
        <f>SUMIF(95:95,I32,96:96)-SUMIF(95:95,C32,96:96)+100</f>
        <v>100</v>
      </c>
      <c r="K32" s="484"/>
      <c r="L32" s="2017"/>
      <c r="M32" s="2009"/>
      <c r="N32" s="2009"/>
      <c r="O32" s="2016"/>
      <c r="P32" s="3415"/>
      <c r="Q32" s="1460" t="str">
        <f t="shared" si="8"/>
        <v>公共部分装修</v>
      </c>
      <c r="R32" s="1461" t="s">
        <v>8</v>
      </c>
      <c r="S32" s="1462">
        <f t="shared" si="9"/>
        <v>100</v>
      </c>
      <c r="T32" s="1461" t="s">
        <v>8</v>
      </c>
      <c r="U32" s="1462">
        <f t="shared" si="10"/>
        <v>100</v>
      </c>
      <c r="V32" s="1461" t="s">
        <v>8</v>
      </c>
      <c r="W32" s="1462">
        <f t="shared" si="11"/>
        <v>100</v>
      </c>
      <c r="X32" s="1455"/>
      <c r="Y32" s="3415"/>
      <c r="Z32" s="1463" t="str">
        <f t="shared" si="12"/>
        <v>公共部分装修</v>
      </c>
      <c r="AA32" s="1464">
        <f t="shared" si="3"/>
        <v>1</v>
      </c>
      <c r="AB32" s="1464">
        <f t="shared" si="4"/>
        <v>1</v>
      </c>
      <c r="AC32" s="1464">
        <f t="shared" si="5"/>
        <v>1</v>
      </c>
    </row>
    <row r="33" spans="1:29" ht="15">
      <c r="A33" s="494"/>
      <c r="B33" s="427" t="s">
        <v>703</v>
      </c>
      <c r="C33" s="780"/>
      <c r="D33" s="440">
        <v>100</v>
      </c>
      <c r="E33" s="783"/>
      <c r="F33" s="475" t="e">
        <f>LOOKUP(E33,98:98,99:99)-LOOKUP(C33,98:98,99:99)+100</f>
        <v>#N/A</v>
      </c>
      <c r="G33" s="783"/>
      <c r="H33" s="475" t="e">
        <f>LOOKUP(G33,98:98,99:99)-LOOKUP(C33,98:98,99:99)+100</f>
        <v>#N/A</v>
      </c>
      <c r="I33" s="783"/>
      <c r="J33" s="440" t="e">
        <f>LOOKUP(I33,98:98,99:99)-LOOKUP(C33,98:98,99:99)+100</f>
        <v>#N/A</v>
      </c>
      <c r="K33" s="484"/>
      <c r="L33" s="2017"/>
      <c r="M33" s="2009"/>
      <c r="N33" s="2009"/>
      <c r="O33" s="2016"/>
      <c r="P33" s="3415"/>
      <c r="Q33" s="1460" t="str">
        <f t="shared" si="8"/>
        <v>成新度</v>
      </c>
      <c r="R33" s="1461" t="s">
        <v>8</v>
      </c>
      <c r="S33" s="1462" t="e">
        <f t="shared" si="9"/>
        <v>#N/A</v>
      </c>
      <c r="T33" s="1461" t="s">
        <v>8</v>
      </c>
      <c r="U33" s="1462" t="e">
        <f t="shared" si="10"/>
        <v>#N/A</v>
      </c>
      <c r="V33" s="1461" t="s">
        <v>8</v>
      </c>
      <c r="W33" s="1462" t="e">
        <f t="shared" si="11"/>
        <v>#N/A</v>
      </c>
      <c r="X33" s="1455"/>
      <c r="Y33" s="3415"/>
      <c r="Z33" s="1463" t="str">
        <f t="shared" si="12"/>
        <v>成新度</v>
      </c>
      <c r="AA33" s="1464" t="e">
        <f t="shared" si="3"/>
        <v>#N/A</v>
      </c>
      <c r="AB33" s="1464" t="e">
        <f t="shared" si="4"/>
        <v>#N/A</v>
      </c>
      <c r="AC33" s="1464" t="e">
        <f t="shared" si="5"/>
        <v>#N/A</v>
      </c>
    </row>
    <row r="34" spans="1:29" s="1108" customFormat="1" ht="15">
      <c r="A34" s="500"/>
      <c r="B34" s="427" t="s">
        <v>721</v>
      </c>
      <c r="C34" s="474"/>
      <c r="D34" s="159">
        <v>100</v>
      </c>
      <c r="E34" s="474"/>
      <c r="F34" s="475">
        <f>SUMIF(100:100,E34,101:101)-SUMIF(100:100,C34,101:101)+100</f>
        <v>100</v>
      </c>
      <c r="G34" s="474"/>
      <c r="H34" s="440">
        <f>SUMIF(100:100,G34,101:101)-SUMIF(100:100,C34,101:101)+100</f>
        <v>100</v>
      </c>
      <c r="I34" s="474"/>
      <c r="J34" s="440">
        <f>SUMIF(100:100,I34,101:101)-SUMIF(100:100,C34,101:101)+100</f>
        <v>100</v>
      </c>
      <c r="K34" s="484"/>
      <c r="L34" s="2010"/>
      <c r="M34" s="2011"/>
      <c r="N34" s="2011"/>
      <c r="O34" s="2012"/>
      <c r="P34" s="3415"/>
      <c r="Q34" s="1049" t="str">
        <f t="shared" si="8"/>
        <v>物业管理</v>
      </c>
      <c r="R34" s="1456" t="s">
        <v>8</v>
      </c>
      <c r="S34" s="1457">
        <f t="shared" si="9"/>
        <v>100</v>
      </c>
      <c r="T34" s="1456" t="s">
        <v>8</v>
      </c>
      <c r="U34" s="1457">
        <f t="shared" si="10"/>
        <v>100</v>
      </c>
      <c r="V34" s="1456" t="s">
        <v>8</v>
      </c>
      <c r="W34" s="1457">
        <f t="shared" si="11"/>
        <v>100</v>
      </c>
      <c r="X34" s="1458"/>
      <c r="Y34" s="3415"/>
      <c r="Z34" s="1048" t="str">
        <f t="shared" si="12"/>
        <v>物业管理</v>
      </c>
      <c r="AA34" s="1459">
        <f t="shared" si="3"/>
        <v>1</v>
      </c>
      <c r="AB34" s="1459">
        <f t="shared" si="4"/>
        <v>1</v>
      </c>
      <c r="AC34" s="1459">
        <f t="shared" si="5"/>
        <v>1</v>
      </c>
    </row>
    <row r="35" spans="1:29" ht="15">
      <c r="A35" s="494"/>
      <c r="B35" s="1777" t="s">
        <v>2493</v>
      </c>
      <c r="C35" s="474"/>
      <c r="D35" s="440">
        <v>100</v>
      </c>
      <c r="E35" s="474"/>
      <c r="F35" s="475">
        <f>SUMIF(102:102,E35,103:103)-SUMIF(102:102,C35,103:103)+100</f>
        <v>100</v>
      </c>
      <c r="G35" s="474"/>
      <c r="H35" s="440">
        <f>SUMIF(102:102,G35,103:103)-SUMIF(102:102,C35,103:103)+100</f>
        <v>100</v>
      </c>
      <c r="I35" s="474"/>
      <c r="J35" s="440">
        <f>SUMIF(102:102,I35,103:103)-SUMIF(102:102,C35,103:103)+100</f>
        <v>100</v>
      </c>
      <c r="K35" s="484"/>
      <c r="L35" s="2017"/>
      <c r="M35" s="2009"/>
      <c r="N35" s="2009"/>
      <c r="O35" s="2016"/>
      <c r="P35" s="3415" t="s">
        <v>490</v>
      </c>
      <c r="Q35" s="1460" t="str">
        <f t="shared" si="8"/>
        <v>市政基础设施</v>
      </c>
      <c r="R35" s="1461" t="s">
        <v>8</v>
      </c>
      <c r="S35" s="1462">
        <f t="shared" si="9"/>
        <v>100</v>
      </c>
      <c r="T35" s="1461" t="s">
        <v>8</v>
      </c>
      <c r="U35" s="1462">
        <f t="shared" si="10"/>
        <v>100</v>
      </c>
      <c r="V35" s="1461" t="s">
        <v>8</v>
      </c>
      <c r="W35" s="1462">
        <f t="shared" si="11"/>
        <v>100</v>
      </c>
      <c r="X35" s="1455"/>
      <c r="Y35" s="3415" t="s">
        <v>490</v>
      </c>
      <c r="Z35" s="1463" t="str">
        <f t="shared" si="12"/>
        <v>市政基础设施</v>
      </c>
      <c r="AA35" s="1464">
        <f t="shared" si="3"/>
        <v>1</v>
      </c>
      <c r="AB35" s="1464">
        <f t="shared" si="4"/>
        <v>1</v>
      </c>
      <c r="AC35" s="1464">
        <f t="shared" si="5"/>
        <v>1</v>
      </c>
    </row>
    <row r="36" spans="1:29" ht="15">
      <c r="A36" s="494"/>
      <c r="B36" s="427" t="s">
        <v>709</v>
      </c>
      <c r="C36" s="474"/>
      <c r="D36" s="440">
        <v>100</v>
      </c>
      <c r="E36" s="474"/>
      <c r="F36" s="475">
        <f>SUMIF(104:104,E36,105:105)-SUMIF(104:104,C36,105:105)+100</f>
        <v>100</v>
      </c>
      <c r="G36" s="474"/>
      <c r="H36" s="440">
        <f>SUMIF(104:104,G36,105:105)-SUMIF(104:104,C36,105:105)+100</f>
        <v>100</v>
      </c>
      <c r="I36" s="474"/>
      <c r="J36" s="440">
        <f>SUMIF(104:104,I36,105:105)-SUMIF(104:104,C36,105:105)+100</f>
        <v>100</v>
      </c>
      <c r="K36" s="484"/>
      <c r="L36" s="2017"/>
      <c r="M36" s="2009"/>
      <c r="N36" s="2009"/>
      <c r="O36" s="2016"/>
      <c r="P36" s="3415"/>
      <c r="Q36" s="1460" t="str">
        <f t="shared" si="8"/>
        <v>内部装修</v>
      </c>
      <c r="R36" s="1461" t="s">
        <v>8</v>
      </c>
      <c r="S36" s="1462">
        <f t="shared" si="9"/>
        <v>100</v>
      </c>
      <c r="T36" s="1461" t="s">
        <v>8</v>
      </c>
      <c r="U36" s="1462">
        <f t="shared" si="10"/>
        <v>100</v>
      </c>
      <c r="V36" s="1461" t="s">
        <v>8</v>
      </c>
      <c r="W36" s="1462">
        <f t="shared" si="11"/>
        <v>100</v>
      </c>
      <c r="X36" s="1455"/>
      <c r="Y36" s="3415"/>
      <c r="Z36" s="1463" t="str">
        <f t="shared" si="12"/>
        <v>内部装修</v>
      </c>
      <c r="AA36" s="1464">
        <f t="shared" si="3"/>
        <v>1</v>
      </c>
      <c r="AB36" s="1464">
        <f t="shared" si="4"/>
        <v>1</v>
      </c>
      <c r="AC36" s="1464">
        <f t="shared" si="5"/>
        <v>1</v>
      </c>
    </row>
    <row r="37" spans="1:29" ht="15">
      <c r="A37" s="494"/>
      <c r="B37" s="427" t="s">
        <v>729</v>
      </c>
      <c r="C37" s="483"/>
      <c r="D37" s="440">
        <v>100</v>
      </c>
      <c r="E37" s="483"/>
      <c r="F37" s="475">
        <f>SUMIF(106:106,E37,107:107)-SUMIF(106:106,C37,107:107)+100</f>
        <v>100</v>
      </c>
      <c r="G37" s="483"/>
      <c r="H37" s="440">
        <f>SUMIF(106:106,G37,107:107)-SUMIF(106:106,C37,107:107)+100</f>
        <v>100</v>
      </c>
      <c r="I37" s="483"/>
      <c r="J37" s="440">
        <f>SUMIF(106:106,I37,107:107)-SUMIF(106:106,C37,107:107)+100</f>
        <v>100</v>
      </c>
      <c r="K37" s="484"/>
      <c r="L37" s="2017"/>
      <c r="M37" s="2009"/>
      <c r="N37" s="2009"/>
      <c r="O37" s="2016"/>
      <c r="P37" s="3415"/>
      <c r="Q37" s="1460" t="str">
        <f t="shared" si="8"/>
        <v>内部装修状况</v>
      </c>
      <c r="R37" s="1461" t="s">
        <v>8</v>
      </c>
      <c r="S37" s="1462">
        <f t="shared" si="9"/>
        <v>100</v>
      </c>
      <c r="T37" s="1461" t="s">
        <v>8</v>
      </c>
      <c r="U37" s="1462">
        <f t="shared" si="10"/>
        <v>100</v>
      </c>
      <c r="V37" s="1461" t="s">
        <v>8</v>
      </c>
      <c r="W37" s="1462">
        <f t="shared" si="11"/>
        <v>100</v>
      </c>
      <c r="X37" s="1455"/>
      <c r="Y37" s="3415"/>
      <c r="Z37" s="1463" t="str">
        <f t="shared" si="12"/>
        <v>内部装修状况</v>
      </c>
      <c r="AA37" s="1464">
        <f t="shared" si="3"/>
        <v>1</v>
      </c>
      <c r="AB37" s="1464">
        <f t="shared" si="4"/>
        <v>1</v>
      </c>
      <c r="AC37" s="1464">
        <f t="shared" si="5"/>
        <v>1</v>
      </c>
    </row>
    <row r="38" spans="1:29" s="1227" customFormat="1" ht="15">
      <c r="A38" s="503"/>
      <c r="B38" s="777">
        <v>111</v>
      </c>
      <c r="C38" s="780"/>
      <c r="D38" s="440">
        <v>100</v>
      </c>
      <c r="E38" s="439"/>
      <c r="F38" s="475">
        <f>SUMIF(108:108,E38,109:109)-SUMIF(108:108,C38,109:109)+100</f>
        <v>100</v>
      </c>
      <c r="G38" s="780"/>
      <c r="H38" s="440">
        <f>SUMIF(108:108,G38,109:109)-SUMIF(108:108,C38,109:109)+100</f>
        <v>100</v>
      </c>
      <c r="I38" s="780"/>
      <c r="J38" s="440">
        <f>SUMIF(108:108,I38,109:1038)-SUMIF(108:108,C38,109:109)+100</f>
        <v>100</v>
      </c>
      <c r="K38" s="481"/>
      <c r="L38" s="2015"/>
      <c r="M38" s="2046"/>
      <c r="N38" s="2046"/>
      <c r="O38" s="2018"/>
      <c r="P38" s="3415"/>
      <c r="Q38" s="1493">
        <f t="shared" si="8"/>
        <v>111</v>
      </c>
      <c r="R38" s="1465" t="s">
        <v>8</v>
      </c>
      <c r="S38" s="1466">
        <f t="shared" si="9"/>
        <v>100</v>
      </c>
      <c r="T38" s="1465" t="s">
        <v>8</v>
      </c>
      <c r="U38" s="1466">
        <f t="shared" si="10"/>
        <v>100</v>
      </c>
      <c r="V38" s="1465" t="s">
        <v>8</v>
      </c>
      <c r="W38" s="1466">
        <f t="shared" si="11"/>
        <v>100</v>
      </c>
      <c r="X38" s="1467"/>
      <c r="Y38" s="3415"/>
      <c r="Z38" s="1468">
        <f t="shared" si="12"/>
        <v>111</v>
      </c>
      <c r="AA38" s="1464">
        <f t="shared" si="3"/>
        <v>1</v>
      </c>
      <c r="AB38" s="1464">
        <f t="shared" si="4"/>
        <v>1</v>
      </c>
      <c r="AC38" s="1464">
        <f t="shared" si="5"/>
        <v>1</v>
      </c>
    </row>
    <row r="39" spans="1:29" ht="15">
      <c r="A39" s="494"/>
      <c r="B39" s="777">
        <v>111</v>
      </c>
      <c r="C39" s="780"/>
      <c r="D39" s="440">
        <v>100</v>
      </c>
      <c r="E39" s="439"/>
      <c r="F39" s="475">
        <f>SUMIF(110:110,E39,111:111)-SUMIF(110:110,C39,111:111)+100</f>
        <v>100</v>
      </c>
      <c r="G39" s="780"/>
      <c r="H39" s="440">
        <f>SUMIF(110:110,G39,111:111)-SUMIF(110:110,C39,111:111)+100</f>
        <v>100</v>
      </c>
      <c r="I39" s="780"/>
      <c r="J39" s="440">
        <f>SUMIF(110:110,I39,111:111)-SUMIF(110:110,C39,111:111)+100</f>
        <v>100</v>
      </c>
      <c r="K39" s="481"/>
      <c r="L39" s="2017"/>
      <c r="M39" s="2009"/>
      <c r="N39" s="2009"/>
      <c r="O39" s="2016"/>
      <c r="P39" s="3415"/>
      <c r="Q39" s="1460">
        <f t="shared" si="8"/>
        <v>111</v>
      </c>
      <c r="R39" s="1461" t="s">
        <v>8</v>
      </c>
      <c r="S39" s="1462">
        <f t="shared" si="9"/>
        <v>100</v>
      </c>
      <c r="T39" s="1461" t="s">
        <v>8</v>
      </c>
      <c r="U39" s="1462">
        <f t="shared" si="10"/>
        <v>100</v>
      </c>
      <c r="V39" s="1461" t="s">
        <v>8</v>
      </c>
      <c r="W39" s="1462">
        <f t="shared" si="11"/>
        <v>100</v>
      </c>
      <c r="X39" s="1455"/>
      <c r="Y39" s="3415"/>
      <c r="Z39" s="1463">
        <f t="shared" si="12"/>
        <v>111</v>
      </c>
      <c r="AA39" s="1464">
        <f t="shared" si="3"/>
        <v>1</v>
      </c>
      <c r="AB39" s="1464">
        <f t="shared" si="4"/>
        <v>1</v>
      </c>
      <c r="AC39" s="1464">
        <f t="shared" si="5"/>
        <v>1</v>
      </c>
    </row>
    <row r="40" spans="1:29" ht="15.75" thickBot="1">
      <c r="A40" s="786"/>
      <c r="B40" s="444">
        <v>111</v>
      </c>
      <c r="C40" s="445"/>
      <c r="D40" s="446">
        <v>100</v>
      </c>
      <c r="E40" s="439"/>
      <c r="F40" s="766">
        <f>SUMIF(112:112,E40,113:113)-SUMIF(112:112,C40,113:113)+100</f>
        <v>100</v>
      </c>
      <c r="G40" s="780"/>
      <c r="H40" s="446">
        <f>SUMIF(112:112,G40,113:113)-SUMIF(112:112,C40,113:113)+100</f>
        <v>100</v>
      </c>
      <c r="I40" s="780"/>
      <c r="J40" s="446">
        <f>SUMIF(112:112,I40,113:113)-SUMIF(112:112,C40,113:113)+100</f>
        <v>100</v>
      </c>
      <c r="K40" s="481"/>
      <c r="L40" s="2017"/>
      <c r="M40" s="2009"/>
      <c r="N40" s="2009"/>
      <c r="O40" s="2016"/>
      <c r="P40" s="3490"/>
      <c r="Q40" s="1460">
        <f t="shared" si="8"/>
        <v>111</v>
      </c>
      <c r="R40" s="1461" t="s">
        <v>8</v>
      </c>
      <c r="S40" s="1462">
        <f t="shared" si="9"/>
        <v>100</v>
      </c>
      <c r="T40" s="1461" t="s">
        <v>8</v>
      </c>
      <c r="U40" s="1462">
        <f t="shared" si="10"/>
        <v>100</v>
      </c>
      <c r="V40" s="1461" t="s">
        <v>8</v>
      </c>
      <c r="W40" s="1462">
        <f t="shared" si="11"/>
        <v>100</v>
      </c>
      <c r="X40" s="1455"/>
      <c r="Y40" s="3490"/>
      <c r="Z40" s="1463">
        <f t="shared" si="12"/>
        <v>111</v>
      </c>
      <c r="AA40" s="1464">
        <f t="shared" si="3"/>
        <v>1</v>
      </c>
      <c r="AB40" s="1464">
        <f t="shared" si="4"/>
        <v>1</v>
      </c>
      <c r="AC40" s="1464">
        <f t="shared" si="5"/>
        <v>1</v>
      </c>
    </row>
    <row r="41" spans="1:29" ht="15">
      <c r="A41" s="507" t="s">
        <v>675</v>
      </c>
      <c r="B41" s="787"/>
      <c r="C41" s="2492" t="s">
        <v>1</v>
      </c>
      <c r="D41" s="2493"/>
      <c r="E41" s="2494"/>
      <c r="F41" s="2495"/>
      <c r="G41" s="2496"/>
      <c r="H41" s="2497"/>
      <c r="I41" s="2494"/>
      <c r="J41" s="2497"/>
      <c r="K41" s="1499"/>
      <c r="L41" s="2019"/>
      <c r="M41" s="2020"/>
      <c r="N41" s="2009"/>
      <c r="O41" s="2020"/>
      <c r="P41" s="3378" t="str">
        <f>A41</f>
        <v>成交单价（元/平方米）</v>
      </c>
      <c r="Q41" s="3378"/>
      <c r="R41" s="3489">
        <f>E41</f>
        <v>0</v>
      </c>
      <c r="S41" s="3489"/>
      <c r="T41" s="3489">
        <f>G41</f>
        <v>0</v>
      </c>
      <c r="U41" s="3489"/>
      <c r="V41" s="3489">
        <f>I41</f>
        <v>0</v>
      </c>
      <c r="W41" s="3489"/>
      <c r="X41" s="1447"/>
      <c r="Y41" s="1469"/>
      <c r="Z41" s="1447"/>
      <c r="AA41" s="1447"/>
      <c r="AB41" s="1447"/>
      <c r="AC41" s="1447"/>
    </row>
    <row r="42" spans="1:29" ht="15.75" thickBot="1">
      <c r="A42" s="515" t="s">
        <v>2688</v>
      </c>
      <c r="B42" s="788"/>
      <c r="C42" s="2498" t="e">
        <f>R43</f>
        <v>#DIV/0!</v>
      </c>
      <c r="D42" s="2499"/>
      <c r="E42" s="2500" t="e">
        <f>R42</f>
        <v>#DIV/0!</v>
      </c>
      <c r="F42" s="2500"/>
      <c r="G42" s="2498" t="e">
        <f>T42</f>
        <v>#DIV/0!</v>
      </c>
      <c r="H42" s="2499"/>
      <c r="I42" s="2500" t="e">
        <f>V42</f>
        <v>#DIV/0!</v>
      </c>
      <c r="J42" s="2499"/>
      <c r="K42" s="1500"/>
      <c r="L42" s="2019"/>
      <c r="M42" s="2020"/>
      <c r="N42" s="2009"/>
      <c r="O42" s="2020"/>
      <c r="P42" s="3378" t="str">
        <f>A42</f>
        <v>比较价格（元/平方米）</v>
      </c>
      <c r="Q42" s="3378"/>
      <c r="R42" s="3489" t="e">
        <f>IF(F1="售价",ROUND(PRODUCT(R41,AA7:AA40),0),ROUND(PRODUCT(R41,AA7:AA40),1))</f>
        <v>#DIV/0!</v>
      </c>
      <c r="S42" s="3489"/>
      <c r="T42" s="3489" t="e">
        <f>IF(F1="售价",ROUND(PRODUCT(T41,AB7:AB40),0),ROUND(PRODUCT(T41,AB7:AB40),1))</f>
        <v>#DIV/0!</v>
      </c>
      <c r="U42" s="3489"/>
      <c r="V42" s="3489" t="e">
        <f>IF(F1="售价",ROUND(PRODUCT(V41,AC7:AC40),0),ROUND(PRODUCT(V41,AC7:AC40),1))</f>
        <v>#DIV/0!</v>
      </c>
      <c r="W42" s="3489"/>
      <c r="X42" s="1447"/>
      <c r="Y42" s="1447"/>
      <c r="Z42" s="1447"/>
      <c r="AA42" s="1447"/>
      <c r="AB42" s="1447"/>
      <c r="AC42" s="1447"/>
    </row>
    <row r="43" spans="1:29" ht="15.75" thickBot="1">
      <c r="A43" s="521" t="s">
        <v>2847</v>
      </c>
      <c r="B43" s="522"/>
      <c r="C43" s="2501" t="e">
        <f>R43</f>
        <v>#DIV/0!</v>
      </c>
      <c r="D43" s="2501"/>
      <c r="E43" s="2501"/>
      <c r="F43" s="2501"/>
      <c r="G43" s="2501"/>
      <c r="H43" s="2501"/>
      <c r="I43" s="2501"/>
      <c r="J43" s="2501"/>
      <c r="K43" s="1501"/>
      <c r="L43" s="2019"/>
      <c r="M43" s="2020"/>
      <c r="N43" s="2020"/>
      <c r="O43" s="2020"/>
      <c r="P43" s="3375" t="str">
        <f>A43</f>
        <v>估价对象XX用房的比较价格（楼面单价，元/平方米）</v>
      </c>
      <c r="Q43" s="3376"/>
      <c r="R43" s="3488" t="e">
        <f>IF(F1="售价",ROUND(AVERAGE(R42:V42),0),ROUND(AVERAGE(R42:V42),1))</f>
        <v>#DIV/0!</v>
      </c>
      <c r="S43" s="3488"/>
      <c r="T43" s="3488"/>
      <c r="U43" s="3488"/>
      <c r="V43" s="3488"/>
      <c r="W43" s="3488"/>
      <c r="X43" s="1447"/>
      <c r="Y43" s="1447"/>
      <c r="Z43" s="1447"/>
      <c r="AA43" s="1447"/>
      <c r="AB43" s="1447"/>
      <c r="AC43" s="1447"/>
    </row>
    <row r="44" spans="1:29">
      <c r="A44" s="2020"/>
      <c r="B44" s="2020"/>
      <c r="C44" s="2020"/>
      <c r="D44" s="2020"/>
      <c r="E44" s="2020"/>
      <c r="F44" s="2020"/>
      <c r="G44" s="2023"/>
      <c r="H44" s="2020"/>
      <c r="I44" s="2020"/>
      <c r="J44" s="2020"/>
      <c r="K44" s="2024"/>
      <c r="L44" s="2025"/>
      <c r="M44" s="2020"/>
      <c r="N44" s="2020"/>
      <c r="O44" s="2020"/>
      <c r="P44" s="2020"/>
      <c r="Q44" s="2020"/>
      <c r="R44" s="2020"/>
      <c r="S44" s="2020"/>
      <c r="T44" s="2020"/>
      <c r="U44" s="2020"/>
      <c r="V44" s="2020"/>
      <c r="W44" s="2020"/>
      <c r="X44" s="2020"/>
      <c r="Y44" s="2020"/>
      <c r="Z44" s="2020"/>
      <c r="AA44" s="2020"/>
      <c r="AB44" s="2020"/>
      <c r="AC44" s="2020"/>
    </row>
    <row r="45" spans="1:29">
      <c r="A45" s="2020"/>
      <c r="B45" s="2020"/>
      <c r="C45" s="2020"/>
      <c r="D45" s="2020"/>
      <c r="E45" s="2020"/>
      <c r="F45" s="2020"/>
      <c r="G45" s="2020"/>
      <c r="H45" s="2020"/>
      <c r="I45" s="2020"/>
      <c r="J45" s="2020"/>
      <c r="K45" s="2024"/>
      <c r="L45" s="2025"/>
      <c r="M45" s="2020"/>
      <c r="N45" s="2020"/>
      <c r="O45" s="2020"/>
      <c r="P45" s="2020"/>
      <c r="Q45" s="2020"/>
      <c r="R45" s="2020"/>
      <c r="S45" s="2020"/>
      <c r="T45" s="2020"/>
      <c r="U45" s="2020"/>
      <c r="V45" s="2020"/>
      <c r="W45" s="2020"/>
      <c r="X45" s="2020"/>
      <c r="Y45" s="2020"/>
      <c r="Z45" s="2020"/>
      <c r="AA45" s="2020"/>
      <c r="AB45" s="2020"/>
      <c r="AC45" s="2020"/>
    </row>
    <row r="46" spans="1:29" ht="13.5" customHeight="1">
      <c r="A46" s="2020"/>
      <c r="B46" s="2020"/>
      <c r="C46" s="524" t="s">
        <v>497</v>
      </c>
      <c r="D46" s="525"/>
      <c r="E46" s="526" t="e">
        <f>IF(E41&lt;E42,E42/E41-1,E41/E42-1)</f>
        <v>#DIV/0!</v>
      </c>
      <c r="F46" s="527" t="e">
        <f>IF(OR(E46&gt;=0.3,E46&lt;=-0.3),"超过30%","")</f>
        <v>#DIV/0!</v>
      </c>
      <c r="G46" s="526" t="e">
        <f>IF(G41&lt;G42,G42/G41-1,G41/G42-1)</f>
        <v>#DIV/0!</v>
      </c>
      <c r="H46" s="527" t="e">
        <f>IF(OR(G46&gt;=0.3,G46&lt;=-0.3),"超过30%","")</f>
        <v>#DIV/0!</v>
      </c>
      <c r="I46" s="526" t="e">
        <f>IF(I41&lt;I42,I42/I41-1,I41/I42-1)</f>
        <v>#DIV/0!</v>
      </c>
      <c r="J46" s="527" t="e">
        <f>IF(OR(I46&gt;=0.3,I46&lt;=-0.3),"超过30%","")</f>
        <v>#DIV/0!</v>
      </c>
      <c r="K46" s="2024"/>
      <c r="L46" s="2025"/>
      <c r="M46" s="2020"/>
      <c r="N46" s="2020"/>
      <c r="O46" s="2020"/>
      <c r="P46" s="2020"/>
      <c r="Q46" s="2020"/>
      <c r="R46" s="2020"/>
      <c r="S46" s="2020"/>
      <c r="T46" s="2020"/>
      <c r="U46" s="2020"/>
      <c r="V46" s="2020"/>
      <c r="W46" s="2020"/>
      <c r="X46" s="2020"/>
      <c r="Y46" s="2020"/>
      <c r="Z46" s="2020"/>
      <c r="AA46" s="2020"/>
      <c r="AB46" s="2020"/>
      <c r="AC46" s="2020"/>
    </row>
    <row r="47" spans="1:29" ht="13.5" customHeight="1">
      <c r="A47" s="2020"/>
      <c r="B47" s="2020"/>
      <c r="C47" s="524" t="s">
        <v>498</v>
      </c>
      <c r="D47" s="528"/>
      <c r="E47" s="526" t="e">
        <f>IF(E42&lt;G42,G42/E42-1,E42/G42-1)</f>
        <v>#DIV/0!</v>
      </c>
      <c r="F47" s="527" t="e">
        <f>IF(OR(E47&gt;=0.2,E47&lt;=-0.2),"超过20%","")</f>
        <v>#DIV/0!</v>
      </c>
      <c r="G47" s="526" t="e">
        <f>IF(G42&lt;I42,I42/G42-1,G42/I42-1)</f>
        <v>#DIV/0!</v>
      </c>
      <c r="H47" s="527" t="e">
        <f>IF(OR(G47&gt;=0.2,G47&lt;=-0.2),"超过20%","")</f>
        <v>#DIV/0!</v>
      </c>
      <c r="I47" s="526" t="e">
        <f>IF(I42&lt;E42,E42/I42-1,I42/E42-1)</f>
        <v>#DIV/0!</v>
      </c>
      <c r="J47" s="527" t="e">
        <f>IF(OR(I47&gt;=0.2,I47&lt;=-0.2),"超过20%","")</f>
        <v>#DIV/0!</v>
      </c>
      <c r="K47" s="2024"/>
      <c r="L47" s="2025"/>
      <c r="M47" s="2020"/>
      <c r="N47" s="2020"/>
      <c r="O47" s="2020"/>
      <c r="P47" s="2020"/>
      <c r="Q47" s="2020"/>
      <c r="R47" s="2020"/>
      <c r="S47" s="2020"/>
      <c r="T47" s="2020"/>
      <c r="U47" s="2020"/>
      <c r="V47" s="2020"/>
      <c r="W47" s="2020"/>
      <c r="X47" s="2020"/>
      <c r="Y47" s="2020"/>
      <c r="Z47" s="2020"/>
      <c r="AA47" s="2020"/>
      <c r="AB47" s="2020"/>
      <c r="AC47" s="2020"/>
    </row>
    <row r="48" spans="1:29" s="1233" customFormat="1" ht="13.5" customHeight="1">
      <c r="A48" s="2021"/>
      <c r="B48" s="2021"/>
      <c r="C48" s="524" t="s">
        <v>499</v>
      </c>
      <c r="D48" s="528"/>
      <c r="E48" s="526" t="e">
        <f>IF(E41&lt;G41,G41/E41-1,E41/G41-1)</f>
        <v>#DIV/0!</v>
      </c>
      <c r="F48" s="527" t="e">
        <f>IF(OR(E48&gt;=0.3,E48&lt;=-0.3),"超过30%","")</f>
        <v>#DIV/0!</v>
      </c>
      <c r="G48" s="526" t="e">
        <f>IF(G41&lt;I41,I41/G41-1,G41/I41-1)</f>
        <v>#DIV/0!</v>
      </c>
      <c r="H48" s="527" t="e">
        <f>IF(OR(G48&gt;=0.3,G48&lt;=-0.3),"超过30%","")</f>
        <v>#DIV/0!</v>
      </c>
      <c r="I48" s="526" t="e">
        <f>IF(I41&lt;E41,E41/I41-1,I41/E41-1)</f>
        <v>#DIV/0!</v>
      </c>
      <c r="J48" s="527" t="e">
        <f>IF(OR(I48&gt;=0.3,I48&lt;=-0.3),"超过30%","")</f>
        <v>#DIV/0!</v>
      </c>
      <c r="K48" s="2027"/>
      <c r="L48" s="2028"/>
      <c r="M48" s="2021"/>
      <c r="N48" s="2021"/>
      <c r="O48" s="2021"/>
      <c r="P48" s="2021"/>
      <c r="Q48" s="2021"/>
      <c r="R48" s="2021"/>
      <c r="S48" s="2021"/>
      <c r="T48" s="2021"/>
      <c r="U48" s="2021"/>
      <c r="V48" s="2021"/>
      <c r="W48" s="2021"/>
      <c r="X48" s="2021"/>
      <c r="Y48" s="2021"/>
      <c r="Z48" s="2021"/>
      <c r="AA48" s="2021"/>
      <c r="AB48" s="2021"/>
      <c r="AC48" s="2021"/>
    </row>
    <row r="49" spans="1:29" s="1233" customFormat="1">
      <c r="A49" s="2021"/>
      <c r="B49" s="2022"/>
      <c r="C49" s="2026"/>
      <c r="D49" s="2021"/>
      <c r="E49" s="2021"/>
      <c r="F49" s="2021"/>
      <c r="G49" s="2021"/>
      <c r="H49" s="2021"/>
      <c r="I49" s="2021"/>
      <c r="J49" s="2021"/>
      <c r="K49" s="2027"/>
      <c r="L49" s="2028"/>
      <c r="M49" s="2021"/>
      <c r="N49" s="2021"/>
      <c r="O49" s="2021"/>
      <c r="P49" s="2021"/>
      <c r="Q49" s="2021"/>
      <c r="R49" s="2021"/>
      <c r="S49" s="2021"/>
      <c r="T49" s="2021"/>
      <c r="U49" s="2021"/>
      <c r="V49" s="2021"/>
      <c r="W49" s="2021"/>
      <c r="X49" s="2021"/>
      <c r="Y49" s="2021"/>
      <c r="Z49" s="2021"/>
      <c r="AA49" s="2021"/>
      <c r="AB49" s="2021"/>
      <c r="AC49" s="2021"/>
    </row>
    <row r="50" spans="1:29">
      <c r="A50" s="2020"/>
      <c r="B50" s="2022"/>
      <c r="C50" s="2026"/>
      <c r="D50" s="2020"/>
      <c r="E50" s="2020"/>
      <c r="F50" s="2020"/>
      <c r="G50" s="2020"/>
      <c r="H50" s="2020"/>
      <c r="I50" s="2020"/>
      <c r="J50" s="2020"/>
      <c r="K50" s="2024"/>
      <c r="L50" s="2025"/>
      <c r="M50" s="2020"/>
      <c r="N50" s="2020"/>
      <c r="O50" s="2020"/>
      <c r="P50" s="2020"/>
      <c r="Q50" s="2020"/>
      <c r="R50" s="2020"/>
      <c r="S50" s="2020"/>
      <c r="T50" s="2020"/>
      <c r="U50" s="2020"/>
      <c r="V50" s="2020"/>
      <c r="W50" s="2020"/>
      <c r="X50" s="2020"/>
      <c r="Y50" s="2020"/>
      <c r="Z50" s="2020"/>
      <c r="AA50" s="2020"/>
      <c r="AB50" s="2020"/>
      <c r="AC50" s="2020"/>
    </row>
    <row r="51" spans="1:29" ht="21.75" thickBot="1">
      <c r="A51" s="1472" t="s">
        <v>514</v>
      </c>
      <c r="B51" s="1447"/>
      <c r="C51" s="1471"/>
      <c r="D51" s="1471"/>
      <c r="E51" s="1471"/>
      <c r="F51" s="1473"/>
      <c r="G51" s="1473"/>
      <c r="H51" s="1471"/>
      <c r="I51" s="1471"/>
      <c r="J51" s="1471"/>
      <c r="K51" s="1474"/>
      <c r="L51" s="1470"/>
      <c r="M51" s="1471"/>
      <c r="N51" s="1471"/>
      <c r="O51" s="1471"/>
      <c r="P51" s="2032"/>
      <c r="Q51" s="2033"/>
      <c r="R51" s="2020"/>
      <c r="S51" s="2020"/>
      <c r="T51" s="2020"/>
      <c r="U51" s="2020"/>
      <c r="V51" s="2020"/>
      <c r="W51" s="2020"/>
      <c r="X51" s="2020"/>
      <c r="Y51" s="2020"/>
      <c r="Z51" s="2020"/>
      <c r="AA51" s="2020"/>
      <c r="AB51" s="2020"/>
      <c r="AC51" s="2020"/>
    </row>
    <row r="52" spans="1:29" s="1235" customFormat="1" ht="15">
      <c r="A52" s="545" t="s">
        <v>469</v>
      </c>
      <c r="B52" s="546"/>
      <c r="C52" s="2667" t="str">
        <f>YEAR(C7)&amp;"-"&amp;MONTH(C7)</f>
        <v>2018-5</v>
      </c>
      <c r="D52" s="2669">
        <f>EDATE(C52,-1)</f>
        <v>43191</v>
      </c>
      <c r="E52" s="2669">
        <f t="shared" ref="E52:O52" si="13">EDATE(D52,-1)</f>
        <v>43160</v>
      </c>
      <c r="F52" s="2669">
        <f t="shared" si="13"/>
        <v>43132</v>
      </c>
      <c r="G52" s="2669">
        <f t="shared" si="13"/>
        <v>43101</v>
      </c>
      <c r="H52" s="2669">
        <f t="shared" si="13"/>
        <v>43070</v>
      </c>
      <c r="I52" s="2669">
        <f t="shared" si="13"/>
        <v>43040</v>
      </c>
      <c r="J52" s="2669">
        <f t="shared" si="13"/>
        <v>43009</v>
      </c>
      <c r="K52" s="2669">
        <f t="shared" si="13"/>
        <v>42979</v>
      </c>
      <c r="L52" s="2669">
        <f t="shared" si="13"/>
        <v>42948</v>
      </c>
      <c r="M52" s="2669">
        <f t="shared" si="13"/>
        <v>42917</v>
      </c>
      <c r="N52" s="2669">
        <f t="shared" si="13"/>
        <v>42887</v>
      </c>
      <c r="O52" s="2669">
        <f t="shared" si="13"/>
        <v>42856</v>
      </c>
      <c r="P52" s="2035"/>
      <c r="Q52" s="2036"/>
      <c r="R52" s="2036"/>
      <c r="S52" s="2036"/>
      <c r="T52" s="2036"/>
      <c r="U52" s="2036"/>
      <c r="V52" s="2036"/>
      <c r="W52" s="2036"/>
      <c r="X52" s="2036"/>
      <c r="Y52" s="2036"/>
      <c r="Z52" s="2036"/>
      <c r="AA52" s="2036"/>
      <c r="AB52" s="2036"/>
      <c r="AC52" s="2036"/>
    </row>
    <row r="53" spans="1:29" s="1108" customFormat="1" ht="15">
      <c r="A53" s="547"/>
      <c r="B53" s="548"/>
      <c r="C53" s="549">
        <v>100</v>
      </c>
      <c r="D53" s="550"/>
      <c r="E53" s="550"/>
      <c r="F53" s="550"/>
      <c r="G53" s="550"/>
      <c r="H53" s="550"/>
      <c r="I53" s="550"/>
      <c r="J53" s="550"/>
      <c r="K53" s="550"/>
      <c r="L53" s="550"/>
      <c r="M53" s="551"/>
      <c r="N53" s="550"/>
      <c r="O53" s="552"/>
      <c r="P53" s="2033"/>
      <c r="Q53" s="1872"/>
      <c r="R53" s="1872"/>
      <c r="S53" s="1872"/>
      <c r="T53" s="1872"/>
      <c r="U53" s="1872"/>
      <c r="V53" s="1872"/>
      <c r="W53" s="1872"/>
      <c r="X53" s="1872"/>
      <c r="Y53" s="1872"/>
      <c r="Z53" s="1872"/>
      <c r="AA53" s="1872"/>
      <c r="AB53" s="1872"/>
      <c r="AC53" s="1872"/>
    </row>
    <row r="54" spans="1:29" s="1108" customFormat="1" ht="15.75" thickBot="1">
      <c r="A54" s="553" t="s">
        <v>515</v>
      </c>
      <c r="B54" s="554"/>
      <c r="C54" s="555"/>
      <c r="D54" s="556"/>
      <c r="E54" s="556"/>
      <c r="F54" s="556"/>
      <c r="G54" s="556"/>
      <c r="H54" s="556"/>
      <c r="I54" s="556"/>
      <c r="J54" s="556"/>
      <c r="K54" s="556"/>
      <c r="L54" s="556"/>
      <c r="M54" s="557"/>
      <c r="N54" s="556"/>
      <c r="O54" s="558"/>
      <c r="P54" s="2033"/>
      <c r="Q54" s="2033"/>
      <c r="R54" s="1872"/>
      <c r="S54" s="1872"/>
      <c r="T54" s="1872"/>
      <c r="U54" s="1872"/>
      <c r="V54" s="1872"/>
      <c r="W54" s="1872"/>
      <c r="X54" s="1872"/>
      <c r="Y54" s="1872"/>
      <c r="Z54" s="1872"/>
      <c r="AA54" s="1872"/>
      <c r="AB54" s="1872"/>
      <c r="AC54" s="1872"/>
    </row>
    <row r="55" spans="1:29" s="1108" customFormat="1" ht="15">
      <c r="A55" s="559" t="s">
        <v>471</v>
      </c>
      <c r="B55" s="548"/>
      <c r="C55" s="560" t="s">
        <v>516</v>
      </c>
      <c r="D55" s="561"/>
      <c r="E55" s="561"/>
      <c r="F55" s="561"/>
      <c r="G55" s="561"/>
      <c r="H55" s="561"/>
      <c r="I55" s="561"/>
      <c r="J55" s="561"/>
      <c r="K55" s="561"/>
      <c r="L55" s="562"/>
      <c r="M55" s="563"/>
      <c r="N55" s="2037"/>
      <c r="O55" s="2037"/>
      <c r="P55" s="2038"/>
      <c r="Q55" s="2033"/>
      <c r="R55" s="1872"/>
      <c r="S55" s="1872"/>
      <c r="T55" s="1872"/>
      <c r="U55" s="1872"/>
      <c r="V55" s="1872"/>
      <c r="W55" s="1872"/>
      <c r="X55" s="1872"/>
      <c r="Y55" s="1872"/>
      <c r="Z55" s="1872"/>
      <c r="AA55" s="1872"/>
      <c r="AB55" s="1872"/>
      <c r="AC55" s="1872"/>
    </row>
    <row r="56" spans="1:29" s="1108" customFormat="1" ht="15.75" thickBot="1">
      <c r="A56" s="559"/>
      <c r="B56" s="548"/>
      <c r="C56" s="549">
        <v>100</v>
      </c>
      <c r="D56" s="550"/>
      <c r="E56" s="550"/>
      <c r="F56" s="550"/>
      <c r="G56" s="550"/>
      <c r="H56" s="550"/>
      <c r="I56" s="550"/>
      <c r="J56" s="550"/>
      <c r="K56" s="550"/>
      <c r="L56" s="550"/>
      <c r="M56" s="552"/>
      <c r="N56" s="2037"/>
      <c r="O56" s="2037"/>
      <c r="P56" s="2033"/>
      <c r="Q56" s="2033"/>
      <c r="R56" s="1872"/>
      <c r="S56" s="1872"/>
      <c r="T56" s="1872"/>
      <c r="U56" s="1872"/>
      <c r="V56" s="1872"/>
      <c r="W56" s="1872"/>
      <c r="X56" s="1872"/>
      <c r="Y56" s="1872"/>
      <c r="Z56" s="1872"/>
      <c r="AA56" s="1872"/>
      <c r="AB56" s="1872"/>
      <c r="AC56" s="1872"/>
    </row>
    <row r="57" spans="1:29">
      <c r="A57" s="564" t="s">
        <v>517</v>
      </c>
      <c r="B57" s="565" t="s">
        <v>474</v>
      </c>
      <c r="C57" s="604">
        <f>C9</f>
        <v>0</v>
      </c>
      <c r="D57" s="498"/>
      <c r="E57" s="498"/>
      <c r="F57" s="498"/>
      <c r="G57" s="498"/>
      <c r="H57" s="498"/>
      <c r="I57" s="498"/>
      <c r="J57" s="498"/>
      <c r="K57" s="566"/>
      <c r="L57" s="567"/>
      <c r="M57" s="568"/>
      <c r="N57" s="2039"/>
      <c r="O57" s="2039"/>
      <c r="P57" s="2040"/>
      <c r="Q57" s="2033"/>
      <c r="R57" s="2020"/>
      <c r="S57" s="2020"/>
      <c r="T57" s="2020"/>
      <c r="U57" s="2020"/>
      <c r="V57" s="2020"/>
      <c r="W57" s="2020"/>
      <c r="X57" s="2020"/>
      <c r="Y57" s="2020"/>
      <c r="Z57" s="2020"/>
      <c r="AA57" s="2020"/>
      <c r="AB57" s="2020"/>
      <c r="AC57" s="2020"/>
    </row>
    <row r="58" spans="1:29" ht="15.75" thickBot="1">
      <c r="A58" s="569"/>
      <c r="B58" s="570"/>
      <c r="C58" s="571"/>
      <c r="D58" s="571"/>
      <c r="E58" s="571"/>
      <c r="F58" s="571"/>
      <c r="G58" s="571"/>
      <c r="H58" s="571"/>
      <c r="I58" s="571"/>
      <c r="J58" s="571"/>
      <c r="K58" s="571"/>
      <c r="L58" s="571"/>
      <c r="M58" s="572"/>
      <c r="N58" s="2041"/>
      <c r="O58" s="2041"/>
      <c r="P58" s="2040"/>
      <c r="Q58" s="2033"/>
      <c r="R58" s="2020"/>
      <c r="S58" s="2020"/>
      <c r="T58" s="2020"/>
      <c r="U58" s="2020"/>
      <c r="V58" s="2020"/>
      <c r="W58" s="2020"/>
      <c r="X58" s="2020"/>
      <c r="Y58" s="2020"/>
      <c r="Z58" s="2020"/>
      <c r="AA58" s="2020"/>
      <c r="AB58" s="2020"/>
      <c r="AC58" s="2020"/>
    </row>
    <row r="59" spans="1:29" ht="27.75" thickTop="1">
      <c r="A59" s="569"/>
      <c r="B59" s="573" t="s">
        <v>477</v>
      </c>
      <c r="C59" s="574" t="s">
        <v>676</v>
      </c>
      <c r="D59" s="574" t="s">
        <v>677</v>
      </c>
      <c r="E59" s="574" t="s">
        <v>678</v>
      </c>
      <c r="F59" s="574" t="s">
        <v>679</v>
      </c>
      <c r="G59" s="574" t="s">
        <v>680</v>
      </c>
      <c r="H59" s="574" t="s">
        <v>681</v>
      </c>
      <c r="I59" s="574" t="s">
        <v>682</v>
      </c>
      <c r="J59" s="574"/>
      <c r="K59" s="575"/>
      <c r="L59" s="576"/>
      <c r="M59" s="577"/>
      <c r="N59" s="2039"/>
      <c r="O59" s="2039"/>
      <c r="P59" s="2040"/>
      <c r="Q59" s="2033"/>
      <c r="R59" s="2020"/>
      <c r="S59" s="2020"/>
      <c r="T59" s="2020"/>
      <c r="U59" s="2020"/>
      <c r="V59" s="2020"/>
      <c r="W59" s="2020"/>
      <c r="X59" s="2020"/>
      <c r="Y59" s="2020"/>
      <c r="Z59" s="2020"/>
      <c r="AA59" s="2020"/>
      <c r="AB59" s="2020"/>
      <c r="AC59" s="2020"/>
    </row>
    <row r="60" spans="1:29" ht="15.75" thickBot="1">
      <c r="A60" s="569"/>
      <c r="B60" s="578"/>
      <c r="C60" s="579" t="s">
        <v>14</v>
      </c>
      <c r="D60" s="579" t="s">
        <v>15</v>
      </c>
      <c r="E60" s="579">
        <v>100</v>
      </c>
      <c r="F60" s="579">
        <f>E60-$K10</f>
        <v>100</v>
      </c>
      <c r="G60" s="579">
        <f>F60-$K10</f>
        <v>100</v>
      </c>
      <c r="H60" s="579">
        <f>G60-$K10</f>
        <v>100</v>
      </c>
      <c r="I60" s="579">
        <f>H60-$K10</f>
        <v>100</v>
      </c>
      <c r="J60" s="579"/>
      <c r="K60" s="579"/>
      <c r="L60" s="579"/>
      <c r="M60" s="580"/>
      <c r="N60" s="2041"/>
      <c r="O60" s="2041"/>
      <c r="P60" s="2040"/>
      <c r="Q60" s="2033"/>
      <c r="R60" s="2020"/>
      <c r="S60" s="2020"/>
      <c r="T60" s="2020"/>
      <c r="U60" s="2020"/>
      <c r="V60" s="2020"/>
      <c r="W60" s="2020"/>
      <c r="X60" s="2020"/>
      <c r="Y60" s="2020"/>
      <c r="Z60" s="2020"/>
      <c r="AA60" s="2020"/>
      <c r="AB60" s="2020"/>
      <c r="AC60" s="2020"/>
    </row>
    <row r="61" spans="1:29" ht="15.75" thickTop="1">
      <c r="A61" s="569"/>
      <c r="B61" s="581" t="s">
        <v>478</v>
      </c>
      <c r="C61" s="582" t="str">
        <f>C62&amp;"（含）"&amp;"-"&amp;D62</f>
        <v>（含）-</v>
      </c>
      <c r="D61" s="582" t="str">
        <f t="shared" ref="D61:L61" si="14">D62&amp;"（含）"&amp;"-"&amp;E62</f>
        <v>（含）-</v>
      </c>
      <c r="E61" s="582" t="str">
        <f t="shared" si="14"/>
        <v>（含）-</v>
      </c>
      <c r="F61" s="582" t="str">
        <f t="shared" si="14"/>
        <v>（含）-</v>
      </c>
      <c r="G61" s="582" t="str">
        <f t="shared" si="14"/>
        <v>（含）-</v>
      </c>
      <c r="H61" s="582" t="str">
        <f t="shared" si="14"/>
        <v>（含）-</v>
      </c>
      <c r="I61" s="582" t="str">
        <f t="shared" si="14"/>
        <v>（含）-</v>
      </c>
      <c r="J61" s="582" t="str">
        <f t="shared" si="14"/>
        <v>（含）-</v>
      </c>
      <c r="K61" s="582" t="str">
        <f t="shared" si="14"/>
        <v>（含）-</v>
      </c>
      <c r="L61" s="582" t="str">
        <f t="shared" si="14"/>
        <v>（含）-</v>
      </c>
      <c r="M61" s="455" t="str">
        <f>M62&amp;"（含）"&amp;"-"&amp;P62</f>
        <v>（含）-</v>
      </c>
      <c r="N61" s="2041"/>
      <c r="O61" s="2041"/>
      <c r="P61" s="2040"/>
      <c r="Q61" s="2033"/>
      <c r="R61" s="2020"/>
      <c r="S61" s="2020"/>
      <c r="T61" s="2020"/>
      <c r="U61" s="2020"/>
      <c r="V61" s="2020"/>
      <c r="W61" s="2020"/>
      <c r="X61" s="2020"/>
      <c r="Y61" s="2020"/>
      <c r="Z61" s="2020"/>
      <c r="AA61" s="2020"/>
      <c r="AB61" s="2020"/>
      <c r="AC61" s="2020"/>
    </row>
    <row r="62" spans="1:29" ht="15">
      <c r="A62" s="569"/>
      <c r="B62" s="583"/>
      <c r="C62" s="441"/>
      <c r="D62" s="441"/>
      <c r="E62" s="441"/>
      <c r="F62" s="441"/>
      <c r="G62" s="441"/>
      <c r="H62" s="441"/>
      <c r="I62" s="441"/>
      <c r="J62" s="441"/>
      <c r="K62" s="584"/>
      <c r="L62" s="585"/>
      <c r="M62" s="586"/>
      <c r="N62" s="2039"/>
      <c r="O62" s="2039"/>
      <c r="P62" s="2040"/>
      <c r="Q62" s="2033"/>
      <c r="R62" s="2020"/>
      <c r="S62" s="2020"/>
      <c r="T62" s="2020"/>
      <c r="U62" s="2020"/>
      <c r="V62" s="2020"/>
      <c r="W62" s="2020"/>
      <c r="X62" s="2020"/>
      <c r="Y62" s="2020"/>
      <c r="Z62" s="2020"/>
      <c r="AA62" s="2020"/>
      <c r="AB62" s="2020"/>
      <c r="AC62" s="2020"/>
    </row>
    <row r="63" spans="1:29" ht="15.75" thickBot="1">
      <c r="A63" s="569"/>
      <c r="B63" s="570"/>
      <c r="C63" s="579">
        <v>100</v>
      </c>
      <c r="D63" s="579">
        <f t="shared" ref="D63:M63" si="15">C63-$K11</f>
        <v>100</v>
      </c>
      <c r="E63" s="579">
        <f t="shared" si="15"/>
        <v>100</v>
      </c>
      <c r="F63" s="579">
        <f t="shared" si="15"/>
        <v>100</v>
      </c>
      <c r="G63" s="579">
        <f t="shared" si="15"/>
        <v>100</v>
      </c>
      <c r="H63" s="579">
        <f t="shared" si="15"/>
        <v>100</v>
      </c>
      <c r="I63" s="579">
        <f t="shared" si="15"/>
        <v>100</v>
      </c>
      <c r="J63" s="579">
        <f t="shared" si="15"/>
        <v>100</v>
      </c>
      <c r="K63" s="579">
        <f t="shared" si="15"/>
        <v>100</v>
      </c>
      <c r="L63" s="579">
        <f t="shared" si="15"/>
        <v>100</v>
      </c>
      <c r="M63" s="580">
        <f t="shared" si="15"/>
        <v>100</v>
      </c>
      <c r="N63" s="2041"/>
      <c r="O63" s="2041"/>
      <c r="P63" s="2040"/>
      <c r="Q63" s="2033"/>
      <c r="R63" s="2020"/>
      <c r="S63" s="2020"/>
      <c r="T63" s="2020"/>
      <c r="U63" s="2020"/>
      <c r="V63" s="2020"/>
      <c r="W63" s="2020"/>
      <c r="X63" s="2020"/>
      <c r="Y63" s="2020"/>
      <c r="Z63" s="2020"/>
      <c r="AA63" s="2020"/>
      <c r="AB63" s="2020"/>
      <c r="AC63" s="2020"/>
    </row>
    <row r="64" spans="1:29" s="1227" customFormat="1" ht="15.75" thickTop="1">
      <c r="A64" s="587"/>
      <c r="B64" s="573">
        <f>B12</f>
        <v>111</v>
      </c>
      <c r="C64" s="588"/>
      <c r="D64" s="588"/>
      <c r="E64" s="588"/>
      <c r="F64" s="588"/>
      <c r="G64" s="588"/>
      <c r="H64" s="589"/>
      <c r="I64" s="589"/>
      <c r="J64" s="589"/>
      <c r="K64" s="589"/>
      <c r="L64" s="590"/>
      <c r="M64" s="591"/>
      <c r="N64" s="2042"/>
      <c r="O64" s="2042"/>
      <c r="P64" s="2043"/>
      <c r="Q64" s="2044"/>
      <c r="R64" s="2045"/>
      <c r="S64" s="2045"/>
      <c r="T64" s="2045"/>
      <c r="U64" s="2045"/>
      <c r="V64" s="2045"/>
      <c r="W64" s="2045"/>
      <c r="X64" s="2045"/>
      <c r="Y64" s="2045"/>
      <c r="Z64" s="2045"/>
      <c r="AA64" s="2045"/>
      <c r="AB64" s="2045"/>
      <c r="AC64" s="2045"/>
    </row>
    <row r="65" spans="1:29" s="1227" customFormat="1" ht="15.75" thickBot="1">
      <c r="A65" s="587"/>
      <c r="B65" s="578"/>
      <c r="C65" s="592"/>
      <c r="D65" s="571"/>
      <c r="E65" s="571"/>
      <c r="F65" s="571"/>
      <c r="G65" s="571"/>
      <c r="H65" s="571"/>
      <c r="I65" s="571"/>
      <c r="J65" s="571"/>
      <c r="K65" s="571"/>
      <c r="L65" s="571"/>
      <c r="M65" s="572"/>
      <c r="N65" s="2041"/>
      <c r="O65" s="2041"/>
      <c r="P65" s="2043"/>
      <c r="Q65" s="2044"/>
      <c r="R65" s="2045"/>
      <c r="S65" s="2045"/>
      <c r="T65" s="2045"/>
      <c r="U65" s="2045"/>
      <c r="V65" s="2045"/>
      <c r="W65" s="2045"/>
      <c r="X65" s="2045"/>
      <c r="Y65" s="2045"/>
      <c r="Z65" s="2045"/>
      <c r="AA65" s="2045"/>
      <c r="AB65" s="2045"/>
      <c r="AC65" s="2045"/>
    </row>
    <row r="66" spans="1:29" s="1227" customFormat="1" ht="15.75" thickTop="1">
      <c r="A66" s="587"/>
      <c r="B66" s="573">
        <f>B13</f>
        <v>111</v>
      </c>
      <c r="C66" s="588"/>
      <c r="D66" s="588"/>
      <c r="E66" s="588"/>
      <c r="F66" s="588"/>
      <c r="G66" s="588"/>
      <c r="H66" s="589"/>
      <c r="I66" s="589"/>
      <c r="J66" s="589"/>
      <c r="K66" s="589"/>
      <c r="L66" s="590"/>
      <c r="M66" s="591"/>
      <c r="N66" s="2042"/>
      <c r="O66" s="2042"/>
      <c r="P66" s="2046"/>
      <c r="Q66" s="2047"/>
      <c r="R66" s="2045"/>
      <c r="S66" s="2045"/>
      <c r="T66" s="2045"/>
      <c r="U66" s="2045"/>
      <c r="V66" s="2045"/>
      <c r="W66" s="2045"/>
      <c r="X66" s="2045"/>
      <c r="Y66" s="2045"/>
      <c r="Z66" s="2045"/>
      <c r="AA66" s="2045"/>
      <c r="AB66" s="2045"/>
      <c r="AC66" s="2045"/>
    </row>
    <row r="67" spans="1:29" s="1227" customFormat="1" ht="15.75" thickBot="1">
      <c r="A67" s="587"/>
      <c r="B67" s="578"/>
      <c r="C67" s="592"/>
      <c r="D67" s="571"/>
      <c r="E67" s="571"/>
      <c r="F67" s="571"/>
      <c r="G67" s="592"/>
      <c r="H67" s="593"/>
      <c r="I67" s="593"/>
      <c r="J67" s="593"/>
      <c r="K67" s="593"/>
      <c r="L67" s="593"/>
      <c r="M67" s="594"/>
      <c r="N67" s="2042"/>
      <c r="O67" s="2042"/>
      <c r="P67" s="2043"/>
      <c r="Q67" s="2044"/>
      <c r="R67" s="2045"/>
      <c r="S67" s="2045"/>
      <c r="T67" s="2045"/>
      <c r="U67" s="2045"/>
      <c r="V67" s="2045"/>
      <c r="W67" s="2045"/>
      <c r="X67" s="2045"/>
      <c r="Y67" s="2045"/>
      <c r="Z67" s="2045"/>
      <c r="AA67" s="2045"/>
      <c r="AB67" s="2045"/>
      <c r="AC67" s="2045"/>
    </row>
    <row r="68" spans="1:29" s="1227" customFormat="1" ht="15.75" thickTop="1">
      <c r="A68" s="587"/>
      <c r="B68" s="581">
        <f>B14</f>
        <v>111</v>
      </c>
      <c r="C68" s="561"/>
      <c r="D68" s="561"/>
      <c r="E68" s="561"/>
      <c r="F68" s="561"/>
      <c r="G68" s="561"/>
      <c r="H68" s="595"/>
      <c r="I68" s="595"/>
      <c r="J68" s="595"/>
      <c r="K68" s="595"/>
      <c r="L68" s="596"/>
      <c r="M68" s="597"/>
      <c r="N68" s="2042"/>
      <c r="O68" s="2042"/>
      <c r="P68" s="2048"/>
      <c r="Q68" s="2044"/>
      <c r="R68" s="2045"/>
      <c r="S68" s="2045"/>
      <c r="T68" s="2045"/>
      <c r="U68" s="2045"/>
      <c r="V68" s="2045"/>
      <c r="W68" s="2045"/>
      <c r="X68" s="2045"/>
      <c r="Y68" s="2045"/>
      <c r="Z68" s="2045"/>
      <c r="AA68" s="2045"/>
      <c r="AB68" s="2045"/>
      <c r="AC68" s="2045"/>
    </row>
    <row r="69" spans="1:29" s="1227" customFormat="1" ht="15.75" thickBot="1">
      <c r="A69" s="598"/>
      <c r="B69" s="599"/>
      <c r="C69" s="600"/>
      <c r="D69" s="600"/>
      <c r="E69" s="600"/>
      <c r="F69" s="600"/>
      <c r="G69" s="600"/>
      <c r="H69" s="601"/>
      <c r="I69" s="601"/>
      <c r="J69" s="601"/>
      <c r="K69" s="601"/>
      <c r="L69" s="601"/>
      <c r="M69" s="602"/>
      <c r="N69" s="2042"/>
      <c r="O69" s="2042"/>
      <c r="P69" s="2043"/>
      <c r="Q69" s="2044"/>
      <c r="R69" s="2045"/>
      <c r="S69" s="2045"/>
      <c r="T69" s="2045"/>
      <c r="U69" s="2045"/>
      <c r="V69" s="2045"/>
      <c r="W69" s="2045"/>
      <c r="X69" s="2045"/>
      <c r="Y69" s="2045"/>
      <c r="Z69" s="2045"/>
      <c r="AA69" s="2045"/>
      <c r="AB69" s="2045"/>
      <c r="AC69" s="2045"/>
    </row>
    <row r="70" spans="1:29">
      <c r="A70" s="564" t="s">
        <v>479</v>
      </c>
      <c r="B70" s="565" t="s">
        <v>525</v>
      </c>
      <c r="C70" s="603" t="s">
        <v>519</v>
      </c>
      <c r="D70" s="603" t="s">
        <v>520</v>
      </c>
      <c r="E70" s="603" t="s">
        <v>521</v>
      </c>
      <c r="F70" s="603" t="s">
        <v>522</v>
      </c>
      <c r="G70" s="603" t="s">
        <v>523</v>
      </c>
      <c r="H70" s="604"/>
      <c r="I70" s="604"/>
      <c r="J70" s="604"/>
      <c r="K70" s="605"/>
      <c r="L70" s="606"/>
      <c r="M70" s="607"/>
      <c r="N70" s="2039"/>
      <c r="O70" s="2039"/>
      <c r="P70" s="2049"/>
      <c r="Q70" s="2033"/>
      <c r="R70" s="2020"/>
      <c r="S70" s="2020"/>
      <c r="T70" s="2020"/>
      <c r="U70" s="2020"/>
      <c r="V70" s="2020"/>
      <c r="W70" s="2020"/>
      <c r="X70" s="2020"/>
      <c r="Y70" s="2020"/>
      <c r="Z70" s="2020"/>
      <c r="AA70" s="2020"/>
      <c r="AB70" s="2020"/>
      <c r="AC70" s="2020"/>
    </row>
    <row r="71" spans="1:29" ht="15.75" thickBot="1">
      <c r="A71" s="569"/>
      <c r="B71" s="578"/>
      <c r="C71" s="579">
        <v>100</v>
      </c>
      <c r="D71" s="579">
        <f>C71-$K15</f>
        <v>100</v>
      </c>
      <c r="E71" s="579">
        <f>D71-$K15</f>
        <v>100</v>
      </c>
      <c r="F71" s="579">
        <f>E71-$K15</f>
        <v>100</v>
      </c>
      <c r="G71" s="579">
        <f>F71-$K15</f>
        <v>100</v>
      </c>
      <c r="H71" s="579"/>
      <c r="I71" s="579"/>
      <c r="J71" s="579"/>
      <c r="K71" s="579"/>
      <c r="L71" s="579"/>
      <c r="M71" s="580"/>
      <c r="N71" s="2041"/>
      <c r="O71" s="2041"/>
      <c r="P71" s="2040"/>
      <c r="Q71" s="2033"/>
      <c r="R71" s="2020"/>
      <c r="S71" s="2020"/>
      <c r="T71" s="2020"/>
      <c r="U71" s="2020"/>
      <c r="V71" s="2020"/>
      <c r="W71" s="2020"/>
      <c r="X71" s="2020"/>
      <c r="Y71" s="2020"/>
      <c r="Z71" s="2020"/>
      <c r="AA71" s="2020"/>
      <c r="AB71" s="2020"/>
      <c r="AC71" s="2020"/>
    </row>
    <row r="72" spans="1:29" ht="15.75" thickTop="1">
      <c r="A72" s="569"/>
      <c r="B72" s="573" t="s">
        <v>526</v>
      </c>
      <c r="C72" s="608" t="s">
        <v>519</v>
      </c>
      <c r="D72" s="608" t="s">
        <v>520</v>
      </c>
      <c r="E72" s="608" t="s">
        <v>521</v>
      </c>
      <c r="F72" s="608" t="s">
        <v>522</v>
      </c>
      <c r="G72" s="608" t="s">
        <v>523</v>
      </c>
      <c r="H72" s="574"/>
      <c r="I72" s="574"/>
      <c r="J72" s="574"/>
      <c r="K72" s="575"/>
      <c r="L72" s="576"/>
      <c r="M72" s="577"/>
      <c r="N72" s="2039"/>
      <c r="O72" s="2039"/>
      <c r="P72" s="2040"/>
      <c r="Q72" s="2033"/>
      <c r="R72" s="2020"/>
      <c r="S72" s="2020"/>
      <c r="T72" s="2020"/>
      <c r="U72" s="2020"/>
      <c r="V72" s="2020"/>
      <c r="W72" s="2020"/>
      <c r="X72" s="2020"/>
      <c r="Y72" s="2020"/>
      <c r="Z72" s="2020"/>
      <c r="AA72" s="2020"/>
      <c r="AB72" s="2020"/>
      <c r="AC72" s="2020"/>
    </row>
    <row r="73" spans="1:29" ht="15.75" thickBot="1">
      <c r="A73" s="569"/>
      <c r="B73" s="578"/>
      <c r="C73" s="579">
        <v>100</v>
      </c>
      <c r="D73" s="579">
        <f>C73-$K17</f>
        <v>100</v>
      </c>
      <c r="E73" s="579">
        <f>D73-$K17</f>
        <v>100</v>
      </c>
      <c r="F73" s="579">
        <f>E73-$K17</f>
        <v>100</v>
      </c>
      <c r="G73" s="579">
        <f>F73-$K17</f>
        <v>100</v>
      </c>
      <c r="H73" s="579"/>
      <c r="I73" s="579"/>
      <c r="J73" s="579"/>
      <c r="K73" s="579"/>
      <c r="L73" s="579"/>
      <c r="M73" s="580"/>
      <c r="N73" s="2041"/>
      <c r="O73" s="2041"/>
      <c r="P73" s="2040"/>
      <c r="Q73" s="2033"/>
      <c r="R73" s="2020"/>
      <c r="S73" s="2020"/>
      <c r="T73" s="2020"/>
      <c r="U73" s="2020"/>
      <c r="V73" s="2020"/>
      <c r="W73" s="2020"/>
      <c r="X73" s="2020"/>
      <c r="Y73" s="2020"/>
      <c r="Z73" s="2020"/>
      <c r="AA73" s="2020"/>
      <c r="AB73" s="2020"/>
      <c r="AC73" s="2020"/>
    </row>
    <row r="74" spans="1:29" ht="15.75" thickTop="1">
      <c r="A74" s="569"/>
      <c r="B74" s="1778" t="s">
        <v>2485</v>
      </c>
      <c r="C74" s="608" t="s">
        <v>519</v>
      </c>
      <c r="D74" s="608" t="s">
        <v>520</v>
      </c>
      <c r="E74" s="608" t="s">
        <v>521</v>
      </c>
      <c r="F74" s="608" t="s">
        <v>522</v>
      </c>
      <c r="G74" s="608" t="s">
        <v>523</v>
      </c>
      <c r="H74" s="574"/>
      <c r="I74" s="574"/>
      <c r="J74" s="574"/>
      <c r="K74" s="575"/>
      <c r="L74" s="576"/>
      <c r="M74" s="577"/>
      <c r="N74" s="2039"/>
      <c r="O74" s="2039"/>
      <c r="P74" s="2040"/>
      <c r="Q74" s="2033"/>
      <c r="R74" s="2020"/>
      <c r="S74" s="2020"/>
      <c r="T74" s="2020"/>
      <c r="U74" s="2020"/>
      <c r="V74" s="2020"/>
      <c r="W74" s="2020"/>
      <c r="X74" s="2020"/>
      <c r="Y74" s="2020"/>
      <c r="Z74" s="2020"/>
      <c r="AA74" s="2020"/>
      <c r="AB74" s="2020"/>
      <c r="AC74" s="2020"/>
    </row>
    <row r="75" spans="1:29" ht="15.75" thickBot="1">
      <c r="A75" s="569"/>
      <c r="B75" s="578"/>
      <c r="C75" s="579">
        <v>100</v>
      </c>
      <c r="D75" s="579">
        <f>C75-$K19</f>
        <v>100</v>
      </c>
      <c r="E75" s="579">
        <f>D75-$K19</f>
        <v>100</v>
      </c>
      <c r="F75" s="579">
        <f>E75-$K19</f>
        <v>100</v>
      </c>
      <c r="G75" s="579">
        <f>F75-$K19</f>
        <v>100</v>
      </c>
      <c r="H75" s="579"/>
      <c r="I75" s="579"/>
      <c r="J75" s="579"/>
      <c r="K75" s="579"/>
      <c r="L75" s="579"/>
      <c r="M75" s="580"/>
      <c r="N75" s="2041"/>
      <c r="O75" s="2041"/>
      <c r="P75" s="2040"/>
      <c r="Q75" s="2033"/>
      <c r="R75" s="2020"/>
      <c r="S75" s="2020"/>
      <c r="T75" s="2020"/>
      <c r="U75" s="2020"/>
      <c r="V75" s="2020"/>
      <c r="W75" s="2020"/>
      <c r="X75" s="2020"/>
      <c r="Y75" s="2020"/>
      <c r="Z75" s="2020"/>
      <c r="AA75" s="2020"/>
      <c r="AB75" s="2020"/>
      <c r="AC75" s="2020"/>
    </row>
    <row r="76" spans="1:29" ht="15.75" thickTop="1">
      <c r="A76" s="569"/>
      <c r="B76" s="2463" t="s">
        <v>2486</v>
      </c>
      <c r="C76" s="2464" t="s">
        <v>2487</v>
      </c>
      <c r="D76" s="2464" t="s">
        <v>2488</v>
      </c>
      <c r="E76" s="2464" t="s">
        <v>2489</v>
      </c>
      <c r="F76" s="2464" t="s">
        <v>2490</v>
      </c>
      <c r="G76" s="2464" t="s">
        <v>2491</v>
      </c>
      <c r="H76" s="835"/>
      <c r="I76" s="835"/>
      <c r="J76" s="835"/>
      <c r="K76" s="835"/>
      <c r="L76" s="835"/>
      <c r="M76" s="459"/>
      <c r="N76" s="2041"/>
      <c r="O76" s="2041"/>
      <c r="P76" s="2040"/>
      <c r="Q76" s="2033"/>
      <c r="R76" s="2020"/>
      <c r="S76" s="2020"/>
      <c r="T76" s="2020"/>
      <c r="U76" s="2020"/>
      <c r="V76" s="2020"/>
      <c r="W76" s="2020"/>
      <c r="X76" s="2020"/>
      <c r="Y76" s="2020"/>
      <c r="Z76" s="2020"/>
      <c r="AA76" s="2020"/>
      <c r="AB76" s="2020"/>
      <c r="AC76" s="2020"/>
    </row>
    <row r="77" spans="1:29" ht="15.75" thickBot="1">
      <c r="A77" s="569"/>
      <c r="B77" s="581"/>
      <c r="C77" s="579">
        <v>100</v>
      </c>
      <c r="D77" s="579">
        <f>C77-$K21</f>
        <v>100</v>
      </c>
      <c r="E77" s="579">
        <f>D77-$K21</f>
        <v>100</v>
      </c>
      <c r="F77" s="579">
        <f>E77-$K21</f>
        <v>100</v>
      </c>
      <c r="G77" s="579">
        <f>F77-$K21</f>
        <v>100</v>
      </c>
      <c r="H77" s="579"/>
      <c r="I77" s="579"/>
      <c r="J77" s="579"/>
      <c r="K77" s="579"/>
      <c r="L77" s="579"/>
      <c r="M77" s="580"/>
      <c r="N77" s="2041"/>
      <c r="O77" s="2041"/>
      <c r="P77" s="2040"/>
      <c r="Q77" s="2033"/>
      <c r="R77" s="2020"/>
      <c r="S77" s="2020"/>
      <c r="T77" s="2020"/>
      <c r="U77" s="2020"/>
      <c r="V77" s="2020"/>
      <c r="W77" s="2020"/>
      <c r="X77" s="2020"/>
      <c r="Y77" s="2020"/>
      <c r="Z77" s="2020"/>
      <c r="AA77" s="2020"/>
      <c r="AB77" s="2020"/>
      <c r="AC77" s="2020"/>
    </row>
    <row r="78" spans="1:29" ht="15.75" thickTop="1">
      <c r="A78" s="569"/>
      <c r="B78" s="573" t="s">
        <v>723</v>
      </c>
      <c r="C78" s="608" t="s">
        <v>519</v>
      </c>
      <c r="D78" s="608" t="s">
        <v>520</v>
      </c>
      <c r="E78" s="608" t="s">
        <v>521</v>
      </c>
      <c r="F78" s="608" t="s">
        <v>522</v>
      </c>
      <c r="G78" s="608" t="s">
        <v>523</v>
      </c>
      <c r="H78" s="574"/>
      <c r="I78" s="574"/>
      <c r="J78" s="574"/>
      <c r="K78" s="575"/>
      <c r="L78" s="576"/>
      <c r="M78" s="577"/>
      <c r="N78" s="2039"/>
      <c r="O78" s="2039"/>
      <c r="P78" s="2040"/>
      <c r="Q78" s="2033"/>
      <c r="R78" s="2020"/>
      <c r="S78" s="2020"/>
      <c r="T78" s="2020"/>
      <c r="U78" s="2020"/>
      <c r="V78" s="2020"/>
      <c r="W78" s="2020"/>
      <c r="X78" s="2020"/>
      <c r="Y78" s="2020"/>
      <c r="Z78" s="2020"/>
      <c r="AA78" s="2020"/>
      <c r="AB78" s="2020"/>
      <c r="AC78" s="2020"/>
    </row>
    <row r="79" spans="1:29" ht="15.75" thickBot="1">
      <c r="A79" s="569"/>
      <c r="B79" s="578"/>
      <c r="C79" s="579">
        <v>100</v>
      </c>
      <c r="D79" s="579">
        <f>C79-$K23</f>
        <v>100</v>
      </c>
      <c r="E79" s="579">
        <f>D79-$K23</f>
        <v>100</v>
      </c>
      <c r="F79" s="579">
        <f>E79-$K23</f>
        <v>100</v>
      </c>
      <c r="G79" s="579">
        <f>F79-$K23</f>
        <v>100</v>
      </c>
      <c r="H79" s="579"/>
      <c r="I79" s="579"/>
      <c r="J79" s="579"/>
      <c r="K79" s="579"/>
      <c r="L79" s="579"/>
      <c r="M79" s="580"/>
      <c r="N79" s="2041"/>
      <c r="O79" s="2041"/>
      <c r="P79" s="2040"/>
      <c r="Q79" s="2033"/>
      <c r="R79" s="2020"/>
      <c r="S79" s="2020"/>
      <c r="T79" s="2020"/>
      <c r="U79" s="2020"/>
      <c r="V79" s="2020"/>
      <c r="W79" s="2020"/>
      <c r="X79" s="2020"/>
      <c r="Y79" s="2020"/>
      <c r="Z79" s="2020"/>
      <c r="AA79" s="2020"/>
      <c r="AB79" s="2020"/>
      <c r="AC79" s="2020"/>
    </row>
    <row r="80" spans="1:29" s="1108" customFormat="1" ht="15.75" thickTop="1">
      <c r="A80" s="609"/>
      <c r="B80" s="573">
        <f>B25</f>
        <v>111</v>
      </c>
      <c r="C80" s="588"/>
      <c r="D80" s="588"/>
      <c r="E80" s="588"/>
      <c r="F80" s="588"/>
      <c r="G80" s="588"/>
      <c r="H80" s="588"/>
      <c r="I80" s="588"/>
      <c r="J80" s="588"/>
      <c r="K80" s="588"/>
      <c r="L80" s="790"/>
      <c r="M80" s="791"/>
      <c r="N80" s="2037"/>
      <c r="O80" s="2037"/>
      <c r="P80" s="2040"/>
      <c r="Q80" s="2033"/>
      <c r="R80" s="1872"/>
      <c r="S80" s="1872"/>
      <c r="T80" s="1872"/>
      <c r="U80" s="1872"/>
      <c r="V80" s="1872"/>
      <c r="W80" s="1872"/>
      <c r="X80" s="1872"/>
      <c r="Y80" s="1872"/>
      <c r="Z80" s="1872"/>
      <c r="AA80" s="1872"/>
      <c r="AB80" s="1872"/>
      <c r="AC80" s="1872"/>
    </row>
    <row r="81" spans="1:29" s="1108" customFormat="1" ht="15.75" thickBot="1">
      <c r="A81" s="609"/>
      <c r="B81" s="578"/>
      <c r="C81" s="592"/>
      <c r="D81" s="571"/>
      <c r="E81" s="571"/>
      <c r="F81" s="571"/>
      <c r="G81" s="571"/>
      <c r="H81" s="571"/>
      <c r="I81" s="571"/>
      <c r="J81" s="571"/>
      <c r="K81" s="571"/>
      <c r="L81" s="571"/>
      <c r="M81" s="572"/>
      <c r="N81" s="2041"/>
      <c r="O81" s="2041"/>
      <c r="P81" s="2040"/>
      <c r="Q81" s="2033"/>
      <c r="R81" s="1872"/>
      <c r="S81" s="1872"/>
      <c r="T81" s="1872"/>
      <c r="U81" s="1872"/>
      <c r="V81" s="1872"/>
      <c r="W81" s="1872"/>
      <c r="X81" s="1872"/>
      <c r="Y81" s="1872"/>
      <c r="Z81" s="1872"/>
      <c r="AA81" s="1872"/>
      <c r="AB81" s="1872"/>
      <c r="AC81" s="1872"/>
    </row>
    <row r="82" spans="1:29" s="1108" customFormat="1" ht="15.75" thickTop="1">
      <c r="A82" s="609"/>
      <c r="B82" s="573">
        <f>B26</f>
        <v>111</v>
      </c>
      <c r="C82" s="588"/>
      <c r="D82" s="588"/>
      <c r="E82" s="588"/>
      <c r="F82" s="588"/>
      <c r="G82" s="588"/>
      <c r="H82" s="588"/>
      <c r="I82" s="588"/>
      <c r="J82" s="588"/>
      <c r="K82" s="588"/>
      <c r="L82" s="790"/>
      <c r="M82" s="791"/>
      <c r="N82" s="2037"/>
      <c r="O82" s="2037"/>
      <c r="P82" s="2040"/>
      <c r="Q82" s="2033"/>
      <c r="R82" s="1872"/>
      <c r="S82" s="1872"/>
      <c r="T82" s="1872"/>
      <c r="U82" s="1872"/>
      <c r="V82" s="1872"/>
      <c r="W82" s="1872"/>
      <c r="X82" s="1872"/>
      <c r="Y82" s="1872"/>
      <c r="Z82" s="1872"/>
      <c r="AA82" s="1872"/>
      <c r="AB82" s="1872"/>
      <c r="AC82" s="1872"/>
    </row>
    <row r="83" spans="1:29" s="1108" customFormat="1" ht="15.75" thickBot="1">
      <c r="A83" s="609"/>
      <c r="B83" s="578"/>
      <c r="C83" s="592"/>
      <c r="D83" s="571"/>
      <c r="E83" s="571"/>
      <c r="F83" s="571"/>
      <c r="G83" s="571"/>
      <c r="H83" s="571"/>
      <c r="I83" s="571"/>
      <c r="J83" s="571"/>
      <c r="K83" s="571"/>
      <c r="L83" s="571"/>
      <c r="M83" s="572"/>
      <c r="N83" s="2041"/>
      <c r="O83" s="2041"/>
      <c r="P83" s="2040"/>
      <c r="Q83" s="2033"/>
      <c r="R83" s="1872"/>
      <c r="S83" s="1872"/>
      <c r="T83" s="1872"/>
      <c r="U83" s="1872"/>
      <c r="V83" s="1872"/>
      <c r="W83" s="1872"/>
      <c r="X83" s="1872"/>
      <c r="Y83" s="1872"/>
      <c r="Z83" s="1872"/>
      <c r="AA83" s="1872"/>
      <c r="AB83" s="1872"/>
      <c r="AC83" s="1872"/>
    </row>
    <row r="84" spans="1:29" s="1227" customFormat="1" ht="15.75" thickTop="1">
      <c r="A84" s="587"/>
      <c r="B84" s="573">
        <f>B27</f>
        <v>111</v>
      </c>
      <c r="C84" s="588"/>
      <c r="D84" s="588"/>
      <c r="E84" s="588"/>
      <c r="F84" s="588"/>
      <c r="G84" s="588"/>
      <c r="H84" s="588"/>
      <c r="I84" s="588"/>
      <c r="J84" s="588"/>
      <c r="K84" s="588"/>
      <c r="L84" s="790"/>
      <c r="M84" s="791"/>
      <c r="N84" s="2042"/>
      <c r="O84" s="2042"/>
      <c r="P84" s="2043"/>
      <c r="Q84" s="2044"/>
      <c r="R84" s="2045"/>
      <c r="S84" s="2045"/>
      <c r="T84" s="2045"/>
      <c r="U84" s="2045"/>
      <c r="V84" s="2045"/>
      <c r="W84" s="2045"/>
      <c r="X84" s="2045"/>
      <c r="Y84" s="2045"/>
      <c r="Z84" s="2045"/>
      <c r="AA84" s="2045"/>
      <c r="AB84" s="2045"/>
      <c r="AC84" s="2045"/>
    </row>
    <row r="85" spans="1:29" s="1227" customFormat="1" ht="15.75" thickBot="1">
      <c r="A85" s="587"/>
      <c r="B85" s="578"/>
      <c r="C85" s="592"/>
      <c r="D85" s="571"/>
      <c r="E85" s="571"/>
      <c r="F85" s="571"/>
      <c r="G85" s="571"/>
      <c r="H85" s="571"/>
      <c r="I85" s="571"/>
      <c r="J85" s="571"/>
      <c r="K85" s="571"/>
      <c r="L85" s="571"/>
      <c r="M85" s="572"/>
      <c r="N85" s="2042"/>
      <c r="O85" s="2042"/>
      <c r="P85" s="2043"/>
      <c r="Q85" s="2044"/>
      <c r="R85" s="2045"/>
      <c r="S85" s="2045"/>
      <c r="T85" s="2045"/>
      <c r="U85" s="2045"/>
      <c r="V85" s="2045"/>
      <c r="W85" s="2045"/>
      <c r="X85" s="2045"/>
      <c r="Y85" s="2045"/>
      <c r="Z85" s="2045"/>
      <c r="AA85" s="2045"/>
      <c r="AB85" s="2045"/>
      <c r="AC85" s="2045"/>
    </row>
    <row r="86" spans="1:29" ht="15.75" thickTop="1">
      <c r="A86" s="569"/>
      <c r="B86" s="581">
        <f>B28</f>
        <v>111</v>
      </c>
      <c r="C86" s="561"/>
      <c r="D86" s="561"/>
      <c r="E86" s="561"/>
      <c r="F86" s="561"/>
      <c r="G86" s="622"/>
      <c r="H86" s="622"/>
      <c r="I86" s="622"/>
      <c r="J86" s="622"/>
      <c r="K86" s="623"/>
      <c r="L86" s="624"/>
      <c r="M86" s="625"/>
      <c r="N86" s="2039"/>
      <c r="O86" s="2039"/>
      <c r="P86" s="2040"/>
      <c r="Q86" s="2033"/>
      <c r="R86" s="2020"/>
      <c r="S86" s="2020"/>
      <c r="T86" s="2020"/>
      <c r="U86" s="2020"/>
      <c r="V86" s="2020"/>
      <c r="W86" s="2020"/>
      <c r="X86" s="2020"/>
      <c r="Y86" s="2020"/>
      <c r="Z86" s="2020"/>
      <c r="AA86" s="2020"/>
      <c r="AB86" s="2020"/>
      <c r="AC86" s="2020"/>
    </row>
    <row r="87" spans="1:29" ht="15.75" thickBot="1">
      <c r="A87" s="793"/>
      <c r="B87" s="599"/>
      <c r="C87" s="600"/>
      <c r="D87" s="600"/>
      <c r="E87" s="600"/>
      <c r="F87" s="600"/>
      <c r="G87" s="626"/>
      <c r="H87" s="626"/>
      <c r="I87" s="626"/>
      <c r="J87" s="626"/>
      <c r="K87" s="626"/>
      <c r="L87" s="626"/>
      <c r="M87" s="627"/>
      <c r="N87" s="2041"/>
      <c r="O87" s="2041"/>
      <c r="P87" s="2040"/>
      <c r="Q87" s="2033"/>
      <c r="R87" s="2020"/>
      <c r="S87" s="2020"/>
      <c r="T87" s="2020"/>
      <c r="U87" s="2020"/>
      <c r="V87" s="2020"/>
      <c r="W87" s="2020"/>
      <c r="X87" s="2020"/>
      <c r="Y87" s="2020"/>
      <c r="Z87" s="2020"/>
      <c r="AA87" s="2020"/>
      <c r="AB87" s="2020"/>
      <c r="AC87" s="2020"/>
    </row>
    <row r="88" spans="1:29">
      <c r="A88" s="564" t="s">
        <v>491</v>
      </c>
      <c r="B88" s="565" t="s">
        <v>686</v>
      </c>
      <c r="C88" s="498"/>
      <c r="D88" s="498"/>
      <c r="E88" s="498"/>
      <c r="F88" s="498"/>
      <c r="G88" s="498"/>
      <c r="H88" s="498"/>
      <c r="I88" s="498"/>
      <c r="J88" s="498"/>
      <c r="K88" s="566"/>
      <c r="L88" s="567"/>
      <c r="M88" s="568"/>
      <c r="N88" s="2039"/>
      <c r="O88" s="2039"/>
      <c r="P88" s="2040"/>
      <c r="Q88" s="2033"/>
      <c r="R88" s="2020"/>
      <c r="S88" s="2020"/>
      <c r="T88" s="2020"/>
      <c r="U88" s="2020"/>
      <c r="V88" s="2020"/>
      <c r="W88" s="2020"/>
      <c r="X88" s="2020"/>
      <c r="Y88" s="2020"/>
      <c r="Z88" s="2020"/>
      <c r="AA88" s="2020"/>
      <c r="AB88" s="2020"/>
      <c r="AC88" s="2020"/>
    </row>
    <row r="89" spans="1:29" ht="15.75" thickBot="1">
      <c r="A89" s="569"/>
      <c r="B89" s="578"/>
      <c r="C89" s="579">
        <v>100</v>
      </c>
      <c r="D89" s="579">
        <f t="shared" ref="D89:M89" si="16">C89-$K29</f>
        <v>100</v>
      </c>
      <c r="E89" s="579">
        <f t="shared" si="16"/>
        <v>100</v>
      </c>
      <c r="F89" s="579">
        <f t="shared" si="16"/>
        <v>100</v>
      </c>
      <c r="G89" s="579">
        <f t="shared" si="16"/>
        <v>100</v>
      </c>
      <c r="H89" s="579">
        <f t="shared" si="16"/>
        <v>100</v>
      </c>
      <c r="I89" s="579">
        <f t="shared" si="16"/>
        <v>100</v>
      </c>
      <c r="J89" s="579">
        <f t="shared" si="16"/>
        <v>100</v>
      </c>
      <c r="K89" s="579">
        <f t="shared" si="16"/>
        <v>100</v>
      </c>
      <c r="L89" s="579">
        <f t="shared" si="16"/>
        <v>100</v>
      </c>
      <c r="M89" s="580">
        <f t="shared" si="16"/>
        <v>100</v>
      </c>
      <c r="N89" s="2041"/>
      <c r="O89" s="2041"/>
      <c r="P89" s="2040"/>
      <c r="Q89" s="2033"/>
      <c r="R89" s="2020"/>
      <c r="S89" s="2020"/>
      <c r="T89" s="2020"/>
      <c r="U89" s="2020"/>
      <c r="V89" s="2020"/>
      <c r="W89" s="2020"/>
      <c r="X89" s="2020"/>
      <c r="Y89" s="2020"/>
      <c r="Z89" s="2020"/>
      <c r="AA89" s="2020"/>
      <c r="AB89" s="2020"/>
      <c r="AC89" s="2020"/>
    </row>
    <row r="90" spans="1:29" ht="15.75" thickTop="1">
      <c r="A90" s="569"/>
      <c r="B90" s="573" t="s">
        <v>687</v>
      </c>
      <c r="C90" s="608" t="str">
        <f>C91&amp;"(含)"&amp;"-"&amp;D91</f>
        <v>(含)-</v>
      </c>
      <c r="D90" s="608" t="str">
        <f t="shared" ref="D90:L90" si="17">D91&amp;"(含)"&amp;"-"&amp;E91</f>
        <v>(含)-</v>
      </c>
      <c r="E90" s="608" t="str">
        <f t="shared" si="17"/>
        <v>(含)-</v>
      </c>
      <c r="F90" s="608" t="str">
        <f t="shared" si="17"/>
        <v>(含)-</v>
      </c>
      <c r="G90" s="608" t="str">
        <f t="shared" si="17"/>
        <v>(含)-</v>
      </c>
      <c r="H90" s="608" t="str">
        <f t="shared" si="17"/>
        <v>(含)-</v>
      </c>
      <c r="I90" s="608" t="str">
        <f t="shared" si="17"/>
        <v>(含)-</v>
      </c>
      <c r="J90" s="608" t="str">
        <f t="shared" si="17"/>
        <v>(含)-</v>
      </c>
      <c r="K90" s="608" t="str">
        <f t="shared" si="17"/>
        <v>(含)-</v>
      </c>
      <c r="L90" s="608" t="str">
        <f t="shared" si="17"/>
        <v>(含)-</v>
      </c>
      <c r="M90" s="611" t="str">
        <f>M91&amp;"(含)"&amp;"-"&amp;P91</f>
        <v>(含)-</v>
      </c>
      <c r="N90" s="2037"/>
      <c r="O90" s="2037"/>
      <c r="P90" s="2040"/>
      <c r="Q90" s="2033"/>
      <c r="R90" s="2020"/>
      <c r="S90" s="2020"/>
      <c r="T90" s="2020"/>
      <c r="U90" s="2020"/>
      <c r="V90" s="2020"/>
      <c r="W90" s="2020"/>
      <c r="X90" s="2020"/>
      <c r="Y90" s="2020"/>
      <c r="Z90" s="2020"/>
      <c r="AA90" s="2020"/>
      <c r="AB90" s="2020"/>
      <c r="AC90" s="2020"/>
    </row>
    <row r="91" spans="1:29" s="1227" customFormat="1">
      <c r="A91" s="628"/>
      <c r="B91" s="629"/>
      <c r="C91" s="630"/>
      <c r="D91" s="630"/>
      <c r="E91" s="630"/>
      <c r="F91" s="630"/>
      <c r="G91" s="630"/>
      <c r="H91" s="630"/>
      <c r="I91" s="630"/>
      <c r="J91" s="631"/>
      <c r="K91" s="631"/>
      <c r="L91" s="632"/>
      <c r="M91" s="633"/>
      <c r="N91" s="2042"/>
      <c r="O91" s="2042"/>
      <c r="P91" s="2043"/>
      <c r="Q91" s="2044"/>
      <c r="R91" s="2045"/>
      <c r="S91" s="2045"/>
      <c r="T91" s="2045"/>
      <c r="U91" s="2045"/>
      <c r="V91" s="2045"/>
      <c r="W91" s="2045"/>
      <c r="X91" s="2045"/>
      <c r="Y91" s="2045"/>
      <c r="Z91" s="2045"/>
      <c r="AA91" s="2045"/>
      <c r="AB91" s="2045"/>
      <c r="AC91" s="2045"/>
    </row>
    <row r="92" spans="1:29" s="1227" customFormat="1" ht="15.75" thickBot="1">
      <c r="A92" s="587"/>
      <c r="B92" s="578"/>
      <c r="C92" s="592"/>
      <c r="D92" s="571"/>
      <c r="E92" s="571"/>
      <c r="F92" s="571"/>
      <c r="G92" s="571"/>
      <c r="H92" s="571"/>
      <c r="I92" s="571"/>
      <c r="J92" s="571"/>
      <c r="K92" s="571"/>
      <c r="L92" s="571"/>
      <c r="M92" s="572"/>
      <c r="N92" s="2041"/>
      <c r="O92" s="2041"/>
      <c r="P92" s="2043"/>
      <c r="Q92" s="2044"/>
      <c r="R92" s="2045"/>
      <c r="S92" s="2045"/>
      <c r="T92" s="2045"/>
      <c r="U92" s="2045"/>
      <c r="V92" s="2045"/>
      <c r="W92" s="2045"/>
      <c r="X92" s="2045"/>
      <c r="Y92" s="2045"/>
      <c r="Z92" s="2045"/>
      <c r="AA92" s="2045"/>
      <c r="AB92" s="2045"/>
      <c r="AC92" s="2045"/>
    </row>
    <row r="93" spans="1:29" ht="15" thickTop="1">
      <c r="A93" s="635"/>
      <c r="B93" s="573" t="s">
        <v>688</v>
      </c>
      <c r="C93" s="588"/>
      <c r="D93" s="588"/>
      <c r="E93" s="618"/>
      <c r="F93" s="618"/>
      <c r="G93" s="618"/>
      <c r="H93" s="618"/>
      <c r="I93" s="618"/>
      <c r="J93" s="618"/>
      <c r="K93" s="619"/>
      <c r="L93" s="620"/>
      <c r="M93" s="621"/>
      <c r="N93" s="2039"/>
      <c r="O93" s="2039"/>
      <c r="P93" s="2040"/>
      <c r="Q93" s="2033"/>
      <c r="R93" s="2020"/>
      <c r="S93" s="2020"/>
      <c r="T93" s="2020"/>
      <c r="U93" s="2020"/>
      <c r="V93" s="2020"/>
      <c r="W93" s="2020"/>
      <c r="X93" s="2020"/>
      <c r="Y93" s="2020"/>
      <c r="Z93" s="2020"/>
      <c r="AA93" s="2020"/>
      <c r="AB93" s="2020"/>
      <c r="AC93" s="2020"/>
    </row>
    <row r="94" spans="1:29" ht="15.75" thickBot="1">
      <c r="A94" s="569"/>
      <c r="B94" s="578"/>
      <c r="C94" s="579">
        <v>100</v>
      </c>
      <c r="D94" s="579">
        <f t="shared" ref="D94:M94" si="18">C94-$K31</f>
        <v>100</v>
      </c>
      <c r="E94" s="579">
        <f t="shared" si="18"/>
        <v>100</v>
      </c>
      <c r="F94" s="579">
        <f t="shared" si="18"/>
        <v>100</v>
      </c>
      <c r="G94" s="579">
        <f t="shared" si="18"/>
        <v>100</v>
      </c>
      <c r="H94" s="579">
        <f t="shared" si="18"/>
        <v>100</v>
      </c>
      <c r="I94" s="579">
        <f t="shared" si="18"/>
        <v>100</v>
      </c>
      <c r="J94" s="579">
        <f t="shared" si="18"/>
        <v>100</v>
      </c>
      <c r="K94" s="579">
        <f t="shared" si="18"/>
        <v>100</v>
      </c>
      <c r="L94" s="579">
        <f t="shared" si="18"/>
        <v>100</v>
      </c>
      <c r="M94" s="580">
        <f t="shared" si="18"/>
        <v>100</v>
      </c>
      <c r="N94" s="2041"/>
      <c r="O94" s="2041"/>
      <c r="P94" s="2040"/>
      <c r="Q94" s="2033"/>
      <c r="R94" s="2020"/>
      <c r="S94" s="2020"/>
      <c r="T94" s="2020"/>
      <c r="U94" s="2020"/>
      <c r="V94" s="2020"/>
      <c r="W94" s="2020"/>
      <c r="X94" s="2020"/>
      <c r="Y94" s="2020"/>
      <c r="Z94" s="2020"/>
      <c r="AA94" s="2020"/>
      <c r="AB94" s="2020"/>
      <c r="AC94" s="2020"/>
    </row>
    <row r="95" spans="1:29" ht="15" thickTop="1">
      <c r="A95" s="635"/>
      <c r="B95" s="573" t="s">
        <v>690</v>
      </c>
      <c r="C95" s="588"/>
      <c r="D95" s="588"/>
      <c r="E95" s="588"/>
      <c r="F95" s="618"/>
      <c r="G95" s="618"/>
      <c r="H95" s="618"/>
      <c r="I95" s="618"/>
      <c r="J95" s="618"/>
      <c r="K95" s="619"/>
      <c r="L95" s="620"/>
      <c r="M95" s="621"/>
      <c r="N95" s="2039"/>
      <c r="O95" s="2039"/>
      <c r="P95" s="2040"/>
      <c r="Q95" s="2033"/>
      <c r="R95" s="2020"/>
      <c r="S95" s="2020"/>
      <c r="T95" s="2020"/>
      <c r="U95" s="2020"/>
      <c r="V95" s="2020"/>
      <c r="W95" s="2020"/>
      <c r="X95" s="2020"/>
      <c r="Y95" s="2020"/>
      <c r="Z95" s="2020"/>
      <c r="AA95" s="2020"/>
      <c r="AB95" s="2020"/>
      <c r="AC95" s="2020"/>
    </row>
    <row r="96" spans="1:29" ht="15.75" thickBot="1">
      <c r="A96" s="569"/>
      <c r="B96" s="578"/>
      <c r="C96" s="579">
        <v>100</v>
      </c>
      <c r="D96" s="579">
        <f t="shared" ref="D96:M96" si="19">C96-$K32</f>
        <v>100</v>
      </c>
      <c r="E96" s="579">
        <f t="shared" si="19"/>
        <v>100</v>
      </c>
      <c r="F96" s="579">
        <f t="shared" si="19"/>
        <v>100</v>
      </c>
      <c r="G96" s="579">
        <f t="shared" si="19"/>
        <v>100</v>
      </c>
      <c r="H96" s="579">
        <f t="shared" si="19"/>
        <v>100</v>
      </c>
      <c r="I96" s="579">
        <f t="shared" si="19"/>
        <v>100</v>
      </c>
      <c r="J96" s="579">
        <f t="shared" si="19"/>
        <v>100</v>
      </c>
      <c r="K96" s="579">
        <f t="shared" si="19"/>
        <v>100</v>
      </c>
      <c r="L96" s="579">
        <f t="shared" si="19"/>
        <v>100</v>
      </c>
      <c r="M96" s="580">
        <f t="shared" si="19"/>
        <v>100</v>
      </c>
      <c r="N96" s="2041"/>
      <c r="O96" s="2041"/>
      <c r="P96" s="2040"/>
      <c r="Q96" s="2033"/>
      <c r="R96" s="2020"/>
      <c r="S96" s="2020"/>
      <c r="T96" s="2020"/>
      <c r="U96" s="2020"/>
      <c r="V96" s="2020"/>
      <c r="W96" s="2020"/>
      <c r="X96" s="2020"/>
      <c r="Y96" s="2020"/>
      <c r="Z96" s="2020"/>
      <c r="AA96" s="2020"/>
      <c r="AB96" s="2020"/>
      <c r="AC96" s="2020"/>
    </row>
    <row r="97" spans="1:29" ht="15" thickTop="1">
      <c r="A97" s="635"/>
      <c r="B97" s="573" t="s">
        <v>691</v>
      </c>
      <c r="C97" s="608" t="str">
        <f>C98&amp;"(含)"&amp;"-"&amp;D98</f>
        <v>0.5(含)-0.6</v>
      </c>
      <c r="D97" s="608" t="str">
        <f>D98&amp;"(含)"&amp;"-"&amp;E98</f>
        <v>0.6(含)-0.7</v>
      </c>
      <c r="E97" s="608" t="str">
        <f>E98&amp;"(含)"&amp;"-"&amp;F98</f>
        <v>0.7(含)-0.8</v>
      </c>
      <c r="F97" s="608" t="str">
        <f>F98&amp;"(含)"&amp;"-"&amp;G98</f>
        <v>0.8(含)-0.9</v>
      </c>
      <c r="G97" s="608" t="str">
        <f>G98&amp;"(含)"&amp;"-"&amp;ROUND(H98,0)</f>
        <v>0.9(含)-1</v>
      </c>
      <c r="H97" s="608"/>
      <c r="I97" s="618"/>
      <c r="J97" s="618"/>
      <c r="K97" s="619"/>
      <c r="L97" s="620"/>
      <c r="M97" s="621"/>
      <c r="N97" s="2039"/>
      <c r="O97" s="2039"/>
      <c r="P97" s="2040"/>
      <c r="Q97" s="2033"/>
      <c r="R97" s="2020"/>
      <c r="S97" s="2020"/>
      <c r="T97" s="2020"/>
      <c r="U97" s="2020"/>
      <c r="V97" s="2020"/>
      <c r="W97" s="2020"/>
      <c r="X97" s="2020"/>
      <c r="Y97" s="2020"/>
      <c r="Z97" s="2020"/>
      <c r="AA97" s="2020"/>
      <c r="AB97" s="2020"/>
      <c r="AC97" s="2020"/>
    </row>
    <row r="98" spans="1:29">
      <c r="A98" s="635"/>
      <c r="B98" s="581"/>
      <c r="C98" s="794">
        <v>0.5</v>
      </c>
      <c r="D98" s="794">
        <v>0.6</v>
      </c>
      <c r="E98" s="794">
        <v>0.7</v>
      </c>
      <c r="F98" s="794">
        <v>0.8</v>
      </c>
      <c r="G98" s="794">
        <v>0.9</v>
      </c>
      <c r="H98" s="794">
        <v>1.0001</v>
      </c>
      <c r="I98" s="805"/>
      <c r="J98" s="805"/>
      <c r="K98" s="806"/>
      <c r="L98" s="807"/>
      <c r="M98" s="808"/>
      <c r="N98" s="2039"/>
      <c r="O98" s="2039"/>
      <c r="P98" s="2040"/>
      <c r="Q98" s="2033"/>
      <c r="R98" s="2020"/>
      <c r="S98" s="2020"/>
      <c r="T98" s="2020"/>
      <c r="U98" s="2020"/>
      <c r="V98" s="2020"/>
      <c r="W98" s="2020"/>
      <c r="X98" s="2020"/>
      <c r="Y98" s="2020"/>
      <c r="Z98" s="2020"/>
      <c r="AA98" s="2020"/>
      <c r="AB98" s="2020"/>
      <c r="AC98" s="2020"/>
    </row>
    <row r="99" spans="1:29" ht="15.75" thickBot="1">
      <c r="A99" s="569"/>
      <c r="B99" s="578"/>
      <c r="C99" s="612">
        <v>100</v>
      </c>
      <c r="D99" s="579">
        <f>C99+$K33</f>
        <v>100</v>
      </c>
      <c r="E99" s="579">
        <f t="shared" ref="E99:M99" si="20">D99+$K33</f>
        <v>100</v>
      </c>
      <c r="F99" s="579">
        <f t="shared" si="20"/>
        <v>100</v>
      </c>
      <c r="G99" s="579">
        <f t="shared" si="20"/>
        <v>100</v>
      </c>
      <c r="H99" s="579">
        <f t="shared" si="20"/>
        <v>100</v>
      </c>
      <c r="I99" s="579">
        <f t="shared" si="20"/>
        <v>100</v>
      </c>
      <c r="J99" s="579">
        <f t="shared" si="20"/>
        <v>100</v>
      </c>
      <c r="K99" s="579">
        <f t="shared" si="20"/>
        <v>100</v>
      </c>
      <c r="L99" s="579">
        <f t="shared" si="20"/>
        <v>100</v>
      </c>
      <c r="M99" s="579">
        <f t="shared" si="20"/>
        <v>100</v>
      </c>
      <c r="N99" s="2041"/>
      <c r="O99" s="2041"/>
      <c r="P99" s="2040"/>
      <c r="Q99" s="2033"/>
      <c r="R99" s="2020"/>
      <c r="S99" s="2020"/>
      <c r="T99" s="2020"/>
      <c r="U99" s="2020"/>
      <c r="V99" s="2020"/>
      <c r="W99" s="2020"/>
      <c r="X99" s="2020"/>
      <c r="Y99" s="2020"/>
      <c r="Z99" s="2020"/>
      <c r="AA99" s="2020"/>
      <c r="AB99" s="2020"/>
      <c r="AC99" s="2020"/>
    </row>
    <row r="100" spans="1:29" s="1227" customFormat="1" ht="15" thickTop="1">
      <c r="A100" s="628"/>
      <c r="B100" s="573" t="s">
        <v>692</v>
      </c>
      <c r="C100" s="588"/>
      <c r="D100" s="588"/>
      <c r="E100" s="588"/>
      <c r="F100" s="588"/>
      <c r="G100" s="588"/>
      <c r="H100" s="618"/>
      <c r="I100" s="618"/>
      <c r="J100" s="618"/>
      <c r="K100" s="619"/>
      <c r="L100" s="620"/>
      <c r="M100" s="621"/>
      <c r="N100" s="2042"/>
      <c r="O100" s="2042"/>
      <c r="P100" s="2043"/>
      <c r="Q100" s="2044"/>
      <c r="R100" s="2045"/>
      <c r="S100" s="2045"/>
      <c r="T100" s="2045"/>
      <c r="U100" s="2045"/>
      <c r="V100" s="2045"/>
      <c r="W100" s="2045"/>
      <c r="X100" s="2045"/>
      <c r="Y100" s="2045"/>
      <c r="Z100" s="2045"/>
      <c r="AA100" s="2045"/>
      <c r="AB100" s="2045"/>
      <c r="AC100" s="2045"/>
    </row>
    <row r="101" spans="1:29" s="1227" customFormat="1" ht="15.75" thickBot="1">
      <c r="A101" s="587"/>
      <c r="B101" s="578"/>
      <c r="C101" s="579">
        <v>100</v>
      </c>
      <c r="D101" s="579">
        <f>C101-$K34</f>
        <v>100</v>
      </c>
      <c r="E101" s="579">
        <f t="shared" ref="E101:M101" si="21">D101-$K34</f>
        <v>100</v>
      </c>
      <c r="F101" s="579">
        <f t="shared" si="21"/>
        <v>100</v>
      </c>
      <c r="G101" s="579">
        <f t="shared" si="21"/>
        <v>100</v>
      </c>
      <c r="H101" s="579">
        <f t="shared" si="21"/>
        <v>100</v>
      </c>
      <c r="I101" s="579">
        <f t="shared" si="21"/>
        <v>100</v>
      </c>
      <c r="J101" s="579">
        <f t="shared" si="21"/>
        <v>100</v>
      </c>
      <c r="K101" s="579">
        <f t="shared" si="21"/>
        <v>100</v>
      </c>
      <c r="L101" s="579">
        <f t="shared" si="21"/>
        <v>100</v>
      </c>
      <c r="M101" s="579">
        <f t="shared" si="21"/>
        <v>100</v>
      </c>
      <c r="N101" s="2042"/>
      <c r="O101" s="2042"/>
      <c r="P101" s="2043"/>
      <c r="Q101" s="2044"/>
      <c r="R101" s="2045"/>
      <c r="S101" s="2045"/>
      <c r="T101" s="2045"/>
      <c r="U101" s="2045"/>
      <c r="V101" s="2045"/>
      <c r="W101" s="2045"/>
      <c r="X101" s="2045"/>
      <c r="Y101" s="2045"/>
      <c r="Z101" s="2045"/>
      <c r="AA101" s="2045"/>
      <c r="AB101" s="2045"/>
      <c r="AC101" s="2045"/>
    </row>
    <row r="102" spans="1:29" ht="15" thickTop="1">
      <c r="A102" s="635"/>
      <c r="B102" s="1778" t="s">
        <v>2484</v>
      </c>
      <c r="C102" s="588"/>
      <c r="D102" s="588"/>
      <c r="E102" s="588"/>
      <c r="F102" s="588"/>
      <c r="G102" s="588"/>
      <c r="H102" s="618"/>
      <c r="I102" s="618"/>
      <c r="J102" s="618"/>
      <c r="K102" s="619"/>
      <c r="L102" s="620"/>
      <c r="M102" s="621"/>
      <c r="N102" s="2039"/>
      <c r="O102" s="2039"/>
      <c r="P102" s="2040"/>
      <c r="Q102" s="2033"/>
      <c r="R102" s="2020"/>
      <c r="S102" s="2020"/>
      <c r="T102" s="2020"/>
      <c r="U102" s="2020"/>
      <c r="V102" s="2020"/>
      <c r="W102" s="2020"/>
      <c r="X102" s="2020"/>
      <c r="Y102" s="2020"/>
      <c r="Z102" s="2020"/>
      <c r="AA102" s="2020"/>
      <c r="AB102" s="2020"/>
      <c r="AC102" s="2020"/>
    </row>
    <row r="103" spans="1:29" ht="15.75" thickBot="1">
      <c r="A103" s="569"/>
      <c r="B103" s="578"/>
      <c r="C103" s="579">
        <v>100</v>
      </c>
      <c r="D103" s="579">
        <f t="shared" ref="D103:M103" si="22">C103-$K35</f>
        <v>100</v>
      </c>
      <c r="E103" s="579">
        <f t="shared" si="22"/>
        <v>100</v>
      </c>
      <c r="F103" s="579">
        <f t="shared" si="22"/>
        <v>100</v>
      </c>
      <c r="G103" s="579">
        <f t="shared" si="22"/>
        <v>100</v>
      </c>
      <c r="H103" s="579">
        <f t="shared" si="22"/>
        <v>100</v>
      </c>
      <c r="I103" s="579">
        <f t="shared" si="22"/>
        <v>100</v>
      </c>
      <c r="J103" s="579">
        <f t="shared" si="22"/>
        <v>100</v>
      </c>
      <c r="K103" s="579">
        <f t="shared" si="22"/>
        <v>100</v>
      </c>
      <c r="L103" s="579">
        <f t="shared" si="22"/>
        <v>100</v>
      </c>
      <c r="M103" s="580">
        <f t="shared" si="22"/>
        <v>100</v>
      </c>
      <c r="N103" s="2041"/>
      <c r="O103" s="2041"/>
      <c r="P103" s="2040"/>
      <c r="Q103" s="2033"/>
      <c r="R103" s="2020"/>
      <c r="S103" s="2020"/>
      <c r="T103" s="2020"/>
      <c r="U103" s="2020"/>
      <c r="V103" s="2020"/>
      <c r="W103" s="2020"/>
      <c r="X103" s="2020"/>
      <c r="Y103" s="2020"/>
      <c r="Z103" s="2020"/>
      <c r="AA103" s="2020"/>
      <c r="AB103" s="2020"/>
      <c r="AC103" s="2020"/>
    </row>
    <row r="104" spans="1:29" ht="15" thickTop="1">
      <c r="A104" s="635"/>
      <c r="B104" s="573" t="s">
        <v>694</v>
      </c>
      <c r="C104" s="588"/>
      <c r="D104" s="588"/>
      <c r="E104" s="588"/>
      <c r="F104" s="588"/>
      <c r="G104" s="588"/>
      <c r="H104" s="618"/>
      <c r="I104" s="618"/>
      <c r="J104" s="618"/>
      <c r="K104" s="619"/>
      <c r="L104" s="620"/>
      <c r="M104" s="621"/>
      <c r="N104" s="2039"/>
      <c r="O104" s="2039"/>
      <c r="P104" s="2040"/>
      <c r="Q104" s="2033"/>
      <c r="R104" s="2020"/>
      <c r="S104" s="2020"/>
      <c r="T104" s="2020"/>
      <c r="U104" s="2020"/>
      <c r="V104" s="2020"/>
      <c r="W104" s="2020"/>
      <c r="X104" s="2020"/>
      <c r="Y104" s="2020"/>
      <c r="Z104" s="2020"/>
      <c r="AA104" s="2020"/>
      <c r="AB104" s="2020"/>
      <c r="AC104" s="2020"/>
    </row>
    <row r="105" spans="1:29" ht="15.75" thickBot="1">
      <c r="A105" s="569"/>
      <c r="B105" s="578"/>
      <c r="C105" s="579">
        <v>100</v>
      </c>
      <c r="D105" s="579">
        <f>C105-$K36</f>
        <v>100</v>
      </c>
      <c r="E105" s="579">
        <f>D105-$K36</f>
        <v>100</v>
      </c>
      <c r="F105" s="579">
        <f>E105-$K36</f>
        <v>100</v>
      </c>
      <c r="G105" s="579">
        <f>F105-$K36</f>
        <v>100</v>
      </c>
      <c r="H105" s="579"/>
      <c r="I105" s="579"/>
      <c r="J105" s="579"/>
      <c r="K105" s="579"/>
      <c r="L105" s="579"/>
      <c r="M105" s="580"/>
      <c r="N105" s="2041"/>
      <c r="O105" s="2041"/>
      <c r="P105" s="2040"/>
      <c r="Q105" s="2033"/>
      <c r="R105" s="2020"/>
      <c r="S105" s="2020"/>
      <c r="T105" s="2020"/>
      <c r="U105" s="2020"/>
      <c r="V105" s="2020"/>
      <c r="W105" s="2020"/>
      <c r="X105" s="2020"/>
      <c r="Y105" s="2020"/>
      <c r="Z105" s="2020"/>
      <c r="AA105" s="2020"/>
      <c r="AB105" s="2020"/>
      <c r="AC105" s="2020"/>
    </row>
    <row r="106" spans="1:29" ht="27.75" thickTop="1">
      <c r="A106" s="635"/>
      <c r="B106" s="817" t="s">
        <v>730</v>
      </c>
      <c r="C106" s="608" t="s">
        <v>519</v>
      </c>
      <c r="D106" s="608" t="s">
        <v>520</v>
      </c>
      <c r="E106" s="608" t="s">
        <v>521</v>
      </c>
      <c r="F106" s="608" t="s">
        <v>522</v>
      </c>
      <c r="G106" s="608" t="s">
        <v>523</v>
      </c>
      <c r="H106" s="574"/>
      <c r="I106" s="574"/>
      <c r="J106" s="574"/>
      <c r="K106" s="575"/>
      <c r="L106" s="576"/>
      <c r="M106" s="577"/>
      <c r="N106" s="2041"/>
      <c r="O106" s="2041"/>
      <c r="P106" s="2080"/>
      <c r="Q106" s="2081"/>
      <c r="R106" s="2020"/>
      <c r="S106" s="2020"/>
      <c r="T106" s="2020"/>
      <c r="U106" s="2020"/>
      <c r="V106" s="2020"/>
      <c r="W106" s="2020"/>
      <c r="X106" s="2020"/>
      <c r="Y106" s="2020"/>
      <c r="Z106" s="2020"/>
      <c r="AA106" s="2020"/>
      <c r="AB106" s="2020"/>
      <c r="AC106" s="2020"/>
    </row>
    <row r="107" spans="1:29" ht="15.75" thickBot="1">
      <c r="A107" s="569"/>
      <c r="B107" s="578"/>
      <c r="C107" s="612">
        <v>100</v>
      </c>
      <c r="D107" s="579">
        <f t="shared" ref="D107:M107" si="23">C107-$K37</f>
        <v>100</v>
      </c>
      <c r="E107" s="579">
        <f t="shared" si="23"/>
        <v>100</v>
      </c>
      <c r="F107" s="579">
        <f t="shared" si="23"/>
        <v>100</v>
      </c>
      <c r="G107" s="579">
        <f t="shared" si="23"/>
        <v>100</v>
      </c>
      <c r="H107" s="579">
        <f t="shared" si="23"/>
        <v>100</v>
      </c>
      <c r="I107" s="579">
        <f t="shared" si="23"/>
        <v>100</v>
      </c>
      <c r="J107" s="579">
        <f t="shared" si="23"/>
        <v>100</v>
      </c>
      <c r="K107" s="579">
        <f t="shared" si="23"/>
        <v>100</v>
      </c>
      <c r="L107" s="579">
        <f t="shared" si="23"/>
        <v>100</v>
      </c>
      <c r="M107" s="579">
        <f t="shared" si="23"/>
        <v>100</v>
      </c>
      <c r="N107" s="2041"/>
      <c r="O107" s="2041"/>
      <c r="P107" s="2040"/>
      <c r="Q107" s="2033"/>
      <c r="R107" s="2020"/>
      <c r="S107" s="2020"/>
      <c r="T107" s="2020"/>
      <c r="U107" s="2020"/>
      <c r="V107" s="2020"/>
      <c r="W107" s="2020"/>
      <c r="X107" s="2020"/>
      <c r="Y107" s="2020"/>
      <c r="Z107" s="2020"/>
      <c r="AA107" s="2020"/>
      <c r="AB107" s="2020"/>
      <c r="AC107" s="2020"/>
    </row>
    <row r="108" spans="1:29" s="1227" customFormat="1" ht="15" thickTop="1">
      <c r="A108" s="628"/>
      <c r="B108" s="573">
        <f>B38</f>
        <v>111</v>
      </c>
      <c r="C108" s="588"/>
      <c r="D108" s="588"/>
      <c r="E108" s="588"/>
      <c r="F108" s="588"/>
      <c r="G108" s="588"/>
      <c r="H108" s="589"/>
      <c r="I108" s="589"/>
      <c r="J108" s="589"/>
      <c r="K108" s="589"/>
      <c r="L108" s="590"/>
      <c r="M108" s="591"/>
      <c r="N108" s="2042"/>
      <c r="O108" s="2042"/>
      <c r="P108" s="2043"/>
      <c r="Q108" s="2044"/>
      <c r="R108" s="2045"/>
      <c r="S108" s="2045"/>
      <c r="T108" s="2045"/>
      <c r="U108" s="2045"/>
      <c r="V108" s="2045"/>
      <c r="W108" s="2045"/>
      <c r="X108" s="2045"/>
      <c r="Y108" s="2045"/>
      <c r="Z108" s="2045"/>
      <c r="AA108" s="2045"/>
      <c r="AB108" s="2045"/>
      <c r="AC108" s="2045"/>
    </row>
    <row r="109" spans="1:29" s="1227" customFormat="1" ht="15.75" thickBot="1">
      <c r="A109" s="587"/>
      <c r="B109" s="570"/>
      <c r="C109" s="592"/>
      <c r="D109" s="571"/>
      <c r="E109" s="571"/>
      <c r="F109" s="571"/>
      <c r="G109" s="592"/>
      <c r="H109" s="593"/>
      <c r="I109" s="593"/>
      <c r="J109" s="593"/>
      <c r="K109" s="593"/>
      <c r="L109" s="593"/>
      <c r="M109" s="594"/>
      <c r="N109" s="2042"/>
      <c r="O109" s="2042"/>
      <c r="P109" s="2043"/>
      <c r="Q109" s="2044"/>
      <c r="R109" s="2045"/>
      <c r="S109" s="2045"/>
      <c r="T109" s="2045"/>
      <c r="U109" s="2045"/>
      <c r="V109" s="2045"/>
      <c r="W109" s="2045"/>
      <c r="X109" s="2045"/>
      <c r="Y109" s="2045"/>
      <c r="Z109" s="2045"/>
      <c r="AA109" s="2045"/>
      <c r="AB109" s="2045"/>
      <c r="AC109" s="2045"/>
    </row>
    <row r="110" spans="1:29" ht="15" thickTop="1">
      <c r="A110" s="635"/>
      <c r="B110" s="573">
        <f>B39</f>
        <v>111</v>
      </c>
      <c r="C110" s="588"/>
      <c r="D110" s="588"/>
      <c r="E110" s="588"/>
      <c r="F110" s="588"/>
      <c r="G110" s="588"/>
      <c r="H110" s="589"/>
      <c r="I110" s="589"/>
      <c r="J110" s="589"/>
      <c r="K110" s="589"/>
      <c r="L110" s="590"/>
      <c r="M110" s="591"/>
      <c r="N110" s="2039"/>
      <c r="O110" s="2039"/>
      <c r="P110" s="2040"/>
      <c r="Q110" s="2033"/>
      <c r="R110" s="2020"/>
      <c r="S110" s="2020"/>
      <c r="T110" s="2020"/>
      <c r="U110" s="2020"/>
      <c r="V110" s="2020"/>
      <c r="W110" s="2020"/>
      <c r="X110" s="2020"/>
      <c r="Y110" s="2020"/>
      <c r="Z110" s="2020"/>
      <c r="AA110" s="2020"/>
      <c r="AB110" s="2020"/>
      <c r="AC110" s="2020"/>
    </row>
    <row r="111" spans="1:29" ht="15.75" thickBot="1">
      <c r="A111" s="569"/>
      <c r="B111" s="578"/>
      <c r="C111" s="592"/>
      <c r="D111" s="571"/>
      <c r="E111" s="571"/>
      <c r="F111" s="571"/>
      <c r="G111" s="592"/>
      <c r="H111" s="593"/>
      <c r="I111" s="593"/>
      <c r="J111" s="593"/>
      <c r="K111" s="593"/>
      <c r="L111" s="593"/>
      <c r="M111" s="594"/>
      <c r="N111" s="2041"/>
      <c r="O111" s="2041"/>
      <c r="P111" s="2040"/>
      <c r="Q111" s="2033"/>
      <c r="R111" s="2020"/>
      <c r="S111" s="2020"/>
      <c r="T111" s="2020"/>
      <c r="U111" s="2020"/>
      <c r="V111" s="2020"/>
      <c r="W111" s="2020"/>
      <c r="X111" s="2020"/>
      <c r="Y111" s="2020"/>
      <c r="Z111" s="2020"/>
      <c r="AA111" s="2020"/>
      <c r="AB111" s="2020"/>
      <c r="AC111" s="2020"/>
    </row>
    <row r="112" spans="1:29" ht="15" thickTop="1">
      <c r="A112" s="635"/>
      <c r="B112" s="581">
        <f>B40</f>
        <v>111</v>
      </c>
      <c r="C112" s="561"/>
      <c r="D112" s="561"/>
      <c r="E112" s="561"/>
      <c r="F112" s="561"/>
      <c r="G112" s="622"/>
      <c r="H112" s="622"/>
      <c r="I112" s="622"/>
      <c r="J112" s="622"/>
      <c r="K112" s="561"/>
      <c r="L112" s="562"/>
      <c r="M112" s="625"/>
      <c r="N112" s="2039"/>
      <c r="O112" s="2039"/>
      <c r="P112" s="2040"/>
      <c r="Q112" s="2033"/>
      <c r="R112" s="2020"/>
      <c r="S112" s="2020"/>
      <c r="T112" s="2020"/>
      <c r="U112" s="2020"/>
      <c r="V112" s="2020"/>
      <c r="W112" s="2020"/>
      <c r="X112" s="2020"/>
      <c r="Y112" s="2020"/>
      <c r="Z112" s="2020"/>
      <c r="AA112" s="2020"/>
      <c r="AB112" s="2020"/>
      <c r="AC112" s="2020"/>
    </row>
    <row r="113" spans="1:29" ht="15.75" thickBot="1">
      <c r="A113" s="793"/>
      <c r="B113" s="599"/>
      <c r="C113" s="600"/>
      <c r="D113" s="600"/>
      <c r="E113" s="600"/>
      <c r="F113" s="600"/>
      <c r="G113" s="626"/>
      <c r="H113" s="626"/>
      <c r="I113" s="626"/>
      <c r="J113" s="626"/>
      <c r="K113" s="626"/>
      <c r="L113" s="626"/>
      <c r="M113" s="627"/>
      <c r="N113" s="2041"/>
      <c r="O113" s="2041"/>
      <c r="P113" s="2040"/>
      <c r="Q113" s="2033"/>
      <c r="R113" s="2020"/>
      <c r="S113" s="2020"/>
      <c r="T113" s="2020"/>
      <c r="U113" s="2020"/>
      <c r="V113" s="2020"/>
      <c r="W113" s="2020"/>
      <c r="X113" s="2020"/>
      <c r="Y113" s="2020"/>
      <c r="Z113" s="2020"/>
      <c r="AA113" s="2020"/>
      <c r="AB113" s="2020"/>
      <c r="AC113" s="2020"/>
    </row>
    <row r="114" spans="1:29">
      <c r="A114" s="2054"/>
      <c r="B114" s="2054"/>
      <c r="C114" s="2054"/>
      <c r="D114" s="2054"/>
      <c r="E114" s="2054"/>
      <c r="F114" s="2054"/>
      <c r="G114" s="2054"/>
      <c r="H114" s="2054"/>
      <c r="I114" s="2054"/>
      <c r="J114" s="2054"/>
      <c r="K114" s="2055"/>
      <c r="L114" s="2056"/>
      <c r="M114" s="2054"/>
      <c r="N114" s="2054"/>
      <c r="O114" s="2054"/>
      <c r="P114" s="2054"/>
      <c r="Q114" s="2054"/>
      <c r="R114" s="2054"/>
      <c r="S114" s="2054"/>
      <c r="T114" s="2054"/>
      <c r="U114" s="2054"/>
      <c r="V114" s="2054"/>
      <c r="W114" s="2054"/>
      <c r="X114" s="2054"/>
      <c r="Y114" s="2054"/>
      <c r="Z114" s="2054"/>
      <c r="AA114" s="2054"/>
      <c r="AB114" s="2054"/>
      <c r="AC114" s="2054"/>
    </row>
    <row r="115" spans="1:29">
      <c r="A115" s="2054"/>
      <c r="B115" s="2054"/>
      <c r="C115" s="2054"/>
      <c r="D115" s="2054"/>
      <c r="E115" s="2054"/>
      <c r="F115" s="2054"/>
      <c r="G115" s="2054"/>
      <c r="H115" s="2054"/>
      <c r="I115" s="2054"/>
      <c r="J115" s="2054"/>
      <c r="K115" s="2055"/>
      <c r="L115" s="2056"/>
      <c r="M115" s="2054"/>
      <c r="N115" s="2054"/>
      <c r="O115" s="2054"/>
      <c r="P115" s="2054"/>
      <c r="Q115" s="2054"/>
      <c r="R115" s="2054"/>
      <c r="S115" s="2054"/>
      <c r="T115" s="2054"/>
      <c r="U115" s="2054"/>
      <c r="V115" s="2054"/>
      <c r="W115" s="2054"/>
      <c r="X115" s="2054"/>
      <c r="Y115" s="2054"/>
      <c r="Z115" s="2054"/>
      <c r="AA115" s="2054"/>
      <c r="AB115" s="2054"/>
      <c r="AC115" s="2054"/>
    </row>
    <row r="116" spans="1:29">
      <c r="A116" s="2054"/>
      <c r="B116" s="2054"/>
      <c r="C116" s="2054"/>
      <c r="D116" s="2054"/>
      <c r="E116" s="2054"/>
      <c r="F116" s="2054"/>
      <c r="G116" s="2054"/>
      <c r="H116" s="2054"/>
      <c r="I116" s="2054"/>
      <c r="J116" s="2054"/>
      <c r="K116" s="2055"/>
      <c r="L116" s="2056"/>
      <c r="M116" s="2054"/>
      <c r="N116" s="2054"/>
      <c r="O116" s="2054"/>
      <c r="P116" s="2054"/>
      <c r="Q116" s="2054"/>
      <c r="R116" s="2054"/>
      <c r="S116" s="2054"/>
      <c r="T116" s="2054"/>
      <c r="U116" s="2054"/>
      <c r="V116" s="2054"/>
      <c r="W116" s="2054"/>
      <c r="X116" s="2054"/>
      <c r="Y116" s="2054"/>
      <c r="Z116" s="2054"/>
      <c r="AA116" s="2054"/>
      <c r="AB116" s="2054"/>
      <c r="AC116" s="2054"/>
    </row>
    <row r="117" spans="1:29">
      <c r="A117" s="2054"/>
      <c r="B117" s="2054"/>
      <c r="C117" s="2054"/>
      <c r="D117" s="2054"/>
      <c r="E117" s="2054"/>
      <c r="F117" s="2054"/>
      <c r="G117" s="2054"/>
      <c r="H117" s="2054"/>
      <c r="I117" s="2054"/>
      <c r="J117" s="2054"/>
      <c r="K117" s="2055"/>
      <c r="L117" s="2056"/>
      <c r="M117" s="2054"/>
      <c r="N117" s="2054"/>
      <c r="O117" s="2054"/>
      <c r="P117" s="2054"/>
      <c r="Q117" s="2054"/>
      <c r="R117" s="2054"/>
      <c r="S117" s="2054"/>
      <c r="T117" s="2054"/>
      <c r="U117" s="2054"/>
      <c r="V117" s="2054"/>
      <c r="W117" s="2054"/>
      <c r="X117" s="2054"/>
      <c r="Y117" s="2054"/>
      <c r="Z117" s="2054"/>
      <c r="AA117" s="2054"/>
      <c r="AB117" s="2054"/>
      <c r="AC117" s="2054"/>
    </row>
    <row r="118" spans="1:29">
      <c r="A118" s="2054"/>
      <c r="B118" s="2054"/>
      <c r="C118" s="2054"/>
      <c r="D118" s="2054"/>
      <c r="E118" s="2054"/>
      <c r="F118" s="2054"/>
      <c r="G118" s="2054"/>
      <c r="H118" s="2054"/>
      <c r="I118" s="2054"/>
      <c r="J118" s="2054"/>
      <c r="K118" s="2055"/>
      <c r="L118" s="2056"/>
      <c r="M118" s="2054"/>
      <c r="N118" s="2054"/>
      <c r="O118" s="2054"/>
      <c r="P118" s="2054"/>
      <c r="Q118" s="2054"/>
      <c r="R118" s="2054"/>
      <c r="S118" s="2054"/>
      <c r="T118" s="2054"/>
      <c r="U118" s="2054"/>
      <c r="V118" s="2054"/>
      <c r="W118" s="2054"/>
      <c r="X118" s="2054"/>
      <c r="Y118" s="2054"/>
      <c r="Z118" s="2054"/>
      <c r="AA118" s="2054"/>
      <c r="AB118" s="2054"/>
      <c r="AC118" s="2054"/>
    </row>
    <row r="119" spans="1:29">
      <c r="A119" s="2054"/>
      <c r="B119" s="2054"/>
      <c r="C119" s="2054"/>
      <c r="D119" s="2054"/>
      <c r="E119" s="2054"/>
      <c r="F119" s="2054"/>
      <c r="G119" s="2054"/>
      <c r="H119" s="2054"/>
      <c r="I119" s="2054"/>
      <c r="J119" s="2054"/>
      <c r="K119" s="2055"/>
      <c r="L119" s="2056"/>
      <c r="M119" s="2054"/>
      <c r="N119" s="2054"/>
      <c r="O119" s="2054"/>
      <c r="P119" s="2054"/>
      <c r="Q119" s="2054"/>
      <c r="R119" s="2054"/>
      <c r="S119" s="2054"/>
      <c r="T119" s="2054"/>
      <c r="U119" s="2054"/>
      <c r="V119" s="2054"/>
      <c r="W119" s="2054"/>
      <c r="X119" s="2054"/>
      <c r="Y119" s="2054"/>
      <c r="Z119" s="2054"/>
      <c r="AA119" s="2054"/>
      <c r="AB119" s="2054"/>
      <c r="AC119" s="2054"/>
    </row>
    <row r="120" spans="1:29">
      <c r="A120" s="2054"/>
      <c r="B120" s="2054"/>
      <c r="C120" s="2054"/>
      <c r="D120" s="2054"/>
      <c r="E120" s="2054"/>
      <c r="F120" s="2054"/>
      <c r="G120" s="2054"/>
      <c r="H120" s="2054"/>
      <c r="I120" s="2054"/>
      <c r="J120" s="2054"/>
      <c r="K120" s="2055"/>
      <c r="L120" s="2056"/>
      <c r="M120" s="2054"/>
      <c r="N120" s="2054"/>
      <c r="O120" s="2054"/>
      <c r="P120" s="2054"/>
      <c r="Q120" s="2054"/>
      <c r="R120" s="2054"/>
      <c r="S120" s="2054"/>
      <c r="T120" s="2054"/>
      <c r="U120" s="2054"/>
      <c r="V120" s="2054"/>
      <c r="W120" s="2054"/>
      <c r="X120" s="2054"/>
      <c r="Y120" s="2054"/>
      <c r="Z120" s="2054"/>
      <c r="AA120" s="2054"/>
      <c r="AB120" s="2054"/>
      <c r="AC120" s="2054"/>
    </row>
    <row r="121" spans="1:29">
      <c r="A121" s="2054"/>
      <c r="B121" s="2054"/>
      <c r="C121" s="2054"/>
      <c r="D121" s="2054"/>
      <c r="E121" s="2054"/>
      <c r="F121" s="2054"/>
      <c r="G121" s="2054"/>
      <c r="H121" s="2054"/>
      <c r="I121" s="2054"/>
      <c r="J121" s="2054"/>
      <c r="K121" s="2055"/>
      <c r="L121" s="2056"/>
      <c r="M121" s="2054"/>
      <c r="N121" s="2054"/>
      <c r="O121" s="2054"/>
      <c r="P121" s="2054"/>
      <c r="Q121" s="2054"/>
      <c r="R121" s="2054"/>
      <c r="S121" s="2054"/>
      <c r="T121" s="2054"/>
      <c r="U121" s="2054"/>
      <c r="V121" s="2054"/>
      <c r="W121" s="2054"/>
      <c r="X121" s="2054"/>
      <c r="Y121" s="2054"/>
      <c r="Z121" s="2054"/>
      <c r="AA121" s="2054"/>
      <c r="AB121" s="2054"/>
      <c r="AC121" s="2054"/>
    </row>
    <row r="122" spans="1:29">
      <c r="A122" s="2054"/>
      <c r="B122" s="2054"/>
      <c r="C122" s="2054"/>
      <c r="D122" s="2054"/>
      <c r="E122" s="2054"/>
      <c r="F122" s="2054"/>
      <c r="G122" s="2054"/>
      <c r="H122" s="2054"/>
      <c r="I122" s="2054"/>
      <c r="J122" s="2054"/>
      <c r="K122" s="2055"/>
      <c r="L122" s="2056"/>
      <c r="M122" s="2054"/>
      <c r="N122" s="2054"/>
      <c r="O122" s="2054"/>
      <c r="P122" s="2054"/>
      <c r="Q122" s="2054"/>
      <c r="R122" s="2054"/>
      <c r="S122" s="2054"/>
      <c r="T122" s="2054"/>
      <c r="U122" s="2054"/>
      <c r="V122" s="2054"/>
      <c r="W122" s="2054"/>
      <c r="X122" s="2054"/>
      <c r="Y122" s="2054"/>
      <c r="Z122" s="2054"/>
      <c r="AA122" s="2054"/>
      <c r="AB122" s="2054"/>
      <c r="AC122" s="2054"/>
    </row>
    <row r="123" spans="1:29">
      <c r="A123" s="2054"/>
      <c r="B123" s="2054"/>
      <c r="C123" s="2054"/>
      <c r="D123" s="2054"/>
      <c r="E123" s="2054"/>
      <c r="F123" s="2054"/>
      <c r="G123" s="2054"/>
      <c r="H123" s="2054"/>
      <c r="I123" s="2054"/>
      <c r="J123" s="2054"/>
      <c r="K123" s="2055"/>
      <c r="L123" s="2056"/>
      <c r="M123" s="2054"/>
      <c r="N123" s="2054"/>
      <c r="O123" s="2054"/>
      <c r="P123" s="2054"/>
      <c r="Q123" s="2054"/>
      <c r="R123" s="2054"/>
      <c r="S123" s="2054"/>
      <c r="T123" s="2054"/>
      <c r="U123" s="2054"/>
      <c r="V123" s="2054"/>
      <c r="W123" s="2054"/>
      <c r="X123" s="2054"/>
      <c r="Y123" s="2054"/>
      <c r="Z123" s="2054"/>
      <c r="AA123" s="2054"/>
      <c r="AB123" s="2054"/>
      <c r="AC123" s="2054"/>
    </row>
    <row r="124" spans="1:29">
      <c r="A124" s="2054"/>
      <c r="B124" s="2054"/>
      <c r="C124" s="2054"/>
      <c r="D124" s="2054"/>
      <c r="E124" s="2054"/>
      <c r="F124" s="2054"/>
      <c r="G124" s="2054"/>
      <c r="H124" s="2054"/>
      <c r="I124" s="2054"/>
      <c r="J124" s="2054"/>
      <c r="K124" s="2055"/>
      <c r="L124" s="2056"/>
      <c r="M124" s="2054"/>
      <c r="N124" s="2054"/>
      <c r="O124" s="2054"/>
      <c r="P124" s="2054"/>
      <c r="Q124" s="2054"/>
      <c r="R124" s="2054"/>
      <c r="S124" s="2054"/>
      <c r="T124" s="2054"/>
      <c r="U124" s="2054"/>
      <c r="V124" s="2054"/>
      <c r="W124" s="2054"/>
      <c r="X124" s="2054"/>
      <c r="Y124" s="2054"/>
      <c r="Z124" s="2054"/>
      <c r="AA124" s="2054"/>
      <c r="AB124" s="2054"/>
      <c r="AC124" s="2054"/>
    </row>
    <row r="125" spans="1:29">
      <c r="A125" s="2054"/>
      <c r="B125" s="2054"/>
      <c r="C125" s="2054"/>
      <c r="D125" s="2054"/>
      <c r="E125" s="2054"/>
      <c r="F125" s="2054"/>
      <c r="G125" s="2054"/>
      <c r="H125" s="2054"/>
      <c r="I125" s="2054"/>
      <c r="J125" s="2054"/>
      <c r="K125" s="2055"/>
      <c r="L125" s="2056"/>
      <c r="M125" s="2054"/>
      <c r="N125" s="2054"/>
      <c r="O125" s="2054"/>
      <c r="P125" s="2054"/>
      <c r="Q125" s="2054"/>
      <c r="R125" s="2054"/>
      <c r="S125" s="2054"/>
      <c r="T125" s="2054"/>
      <c r="U125" s="2054"/>
      <c r="V125" s="2054"/>
      <c r="W125" s="2054"/>
      <c r="X125" s="2054"/>
      <c r="Y125" s="2054"/>
      <c r="Z125" s="2054"/>
      <c r="AA125" s="2054"/>
      <c r="AB125" s="2054"/>
      <c r="AC125" s="2054"/>
    </row>
    <row r="126" spans="1:29">
      <c r="A126" s="2054"/>
      <c r="B126" s="2054"/>
      <c r="C126" s="2054"/>
      <c r="D126" s="2054"/>
      <c r="E126" s="2054"/>
      <c r="F126" s="2054"/>
      <c r="G126" s="2054"/>
      <c r="H126" s="2054"/>
      <c r="I126" s="2054"/>
      <c r="J126" s="2054"/>
      <c r="K126" s="2055"/>
      <c r="L126" s="2056"/>
      <c r="M126" s="2054"/>
      <c r="N126" s="2054"/>
      <c r="O126" s="2054"/>
      <c r="P126" s="2054"/>
      <c r="Q126" s="2054"/>
      <c r="R126" s="2054"/>
      <c r="S126" s="2054"/>
      <c r="T126" s="2054"/>
      <c r="U126" s="2054"/>
      <c r="V126" s="2054"/>
      <c r="W126" s="2054"/>
      <c r="X126" s="2054"/>
      <c r="Y126" s="2054"/>
      <c r="Z126" s="2054"/>
      <c r="AA126" s="2054"/>
      <c r="AB126" s="2054"/>
      <c r="AC126" s="2054"/>
    </row>
    <row r="127" spans="1:29">
      <c r="A127" s="2054"/>
      <c r="B127" s="2054"/>
      <c r="C127" s="2054"/>
      <c r="D127" s="2054"/>
      <c r="E127" s="2054"/>
      <c r="F127" s="2054"/>
      <c r="G127" s="2054"/>
      <c r="H127" s="2054"/>
      <c r="I127" s="2054"/>
      <c r="J127" s="2054"/>
      <c r="K127" s="2055"/>
      <c r="L127" s="2056"/>
      <c r="M127" s="2054"/>
      <c r="N127" s="2054"/>
      <c r="O127" s="2054"/>
      <c r="P127" s="2054"/>
      <c r="Q127" s="2054"/>
      <c r="R127" s="2054"/>
      <c r="S127" s="2054"/>
      <c r="T127" s="2054"/>
      <c r="U127" s="2054"/>
      <c r="V127" s="2054"/>
      <c r="W127" s="2054"/>
      <c r="X127" s="2054"/>
      <c r="Y127" s="2054"/>
      <c r="Z127" s="2054"/>
      <c r="AA127" s="2054"/>
      <c r="AB127" s="2054"/>
      <c r="AC127" s="2054"/>
    </row>
    <row r="128" spans="1:29">
      <c r="A128" s="2054"/>
      <c r="B128" s="2054"/>
      <c r="C128" s="2054"/>
      <c r="D128" s="2054"/>
      <c r="E128" s="2054"/>
      <c r="F128" s="2054"/>
      <c r="G128" s="2054"/>
      <c r="H128" s="2054"/>
      <c r="I128" s="2054"/>
      <c r="J128" s="2054"/>
      <c r="K128" s="2055"/>
      <c r="L128" s="2056"/>
      <c r="M128" s="2054"/>
      <c r="N128" s="2054"/>
      <c r="O128" s="2054"/>
      <c r="P128" s="2054"/>
      <c r="Q128" s="2054"/>
      <c r="R128" s="2054"/>
      <c r="S128" s="2054"/>
      <c r="T128" s="2054"/>
      <c r="U128" s="2054"/>
      <c r="V128" s="2054"/>
      <c r="W128" s="2054"/>
      <c r="X128" s="2054"/>
      <c r="Y128" s="2054"/>
      <c r="Z128" s="2054"/>
      <c r="AA128" s="2054"/>
      <c r="AB128" s="2054"/>
      <c r="AC128" s="2054"/>
    </row>
    <row r="129" spans="1:29">
      <c r="A129" s="2054"/>
      <c r="B129" s="2054"/>
      <c r="C129" s="2054"/>
      <c r="D129" s="2054"/>
      <c r="E129" s="2054"/>
      <c r="F129" s="2054"/>
      <c r="G129" s="2054"/>
      <c r="H129" s="2054"/>
      <c r="I129" s="2054"/>
      <c r="J129" s="2054"/>
      <c r="K129" s="2055"/>
      <c r="L129" s="2056"/>
      <c r="M129" s="2054"/>
      <c r="N129" s="2054"/>
      <c r="O129" s="2054"/>
      <c r="P129" s="2054"/>
      <c r="Q129" s="2054"/>
      <c r="R129" s="2054"/>
      <c r="S129" s="2054"/>
      <c r="T129" s="2054"/>
      <c r="U129" s="2054"/>
      <c r="V129" s="2054"/>
      <c r="W129" s="2054"/>
      <c r="X129" s="2054"/>
      <c r="Y129" s="2054"/>
      <c r="Z129" s="2054"/>
      <c r="AA129" s="2054"/>
      <c r="AB129" s="2054"/>
      <c r="AC129" s="2054"/>
    </row>
    <row r="130" spans="1:29">
      <c r="A130" s="2054"/>
      <c r="B130" s="2054"/>
      <c r="C130" s="2054"/>
      <c r="D130" s="2054"/>
      <c r="E130" s="2054"/>
      <c r="F130" s="2054"/>
      <c r="G130" s="2054"/>
      <c r="H130" s="2054"/>
      <c r="I130" s="2054"/>
      <c r="J130" s="2054"/>
      <c r="K130" s="2055"/>
      <c r="L130" s="2056"/>
      <c r="M130" s="2054"/>
      <c r="N130" s="2054"/>
      <c r="O130" s="2054"/>
      <c r="P130" s="2054"/>
      <c r="Q130" s="2054"/>
      <c r="R130" s="2054"/>
      <c r="S130" s="2054"/>
      <c r="T130" s="2054"/>
      <c r="U130" s="2054"/>
      <c r="V130" s="2054"/>
      <c r="W130" s="2054"/>
      <c r="X130" s="2054"/>
      <c r="Y130" s="2054"/>
      <c r="Z130" s="2054"/>
      <c r="AA130" s="2054"/>
      <c r="AB130" s="2054"/>
      <c r="AC130" s="2054"/>
    </row>
    <row r="131" spans="1:29">
      <c r="A131" s="2054"/>
      <c r="B131" s="2054"/>
      <c r="C131" s="2054"/>
      <c r="D131" s="2054"/>
      <c r="E131" s="2054"/>
      <c r="F131" s="2054"/>
      <c r="G131" s="2054"/>
      <c r="H131" s="2054"/>
      <c r="I131" s="2054"/>
      <c r="J131" s="2054"/>
      <c r="K131" s="2055"/>
      <c r="L131" s="2056"/>
      <c r="M131" s="2054"/>
      <c r="N131" s="2054"/>
      <c r="O131" s="2054"/>
      <c r="P131" s="2054"/>
      <c r="Q131" s="2054"/>
      <c r="R131" s="2054"/>
      <c r="S131" s="2054"/>
      <c r="T131" s="2054"/>
      <c r="U131" s="2054"/>
      <c r="V131" s="2054"/>
      <c r="W131" s="2054"/>
      <c r="X131" s="2054"/>
      <c r="Y131" s="2054"/>
      <c r="Z131" s="2054"/>
      <c r="AA131" s="2054"/>
      <c r="AB131" s="2054"/>
      <c r="AC131" s="2054"/>
    </row>
    <row r="132" spans="1:29">
      <c r="A132" s="2054"/>
      <c r="B132" s="2054"/>
      <c r="C132" s="2054"/>
      <c r="D132" s="2054"/>
      <c r="E132" s="2054"/>
      <c r="F132" s="2054"/>
      <c r="G132" s="2054"/>
      <c r="H132" s="2054"/>
      <c r="I132" s="2054"/>
      <c r="J132" s="2054"/>
      <c r="K132" s="2055"/>
      <c r="L132" s="2056"/>
      <c r="M132" s="2054"/>
      <c r="N132" s="2054"/>
      <c r="O132" s="2054"/>
      <c r="P132" s="2054"/>
      <c r="Q132" s="2054"/>
      <c r="R132" s="2054"/>
      <c r="S132" s="2054"/>
      <c r="T132" s="2054"/>
      <c r="U132" s="2054"/>
      <c r="V132" s="2054"/>
      <c r="W132" s="2054"/>
      <c r="X132" s="2054"/>
      <c r="Y132" s="2054"/>
      <c r="Z132" s="2054"/>
      <c r="AA132" s="2054"/>
      <c r="AB132" s="2054"/>
      <c r="AC132" s="2054"/>
    </row>
    <row r="133" spans="1:29">
      <c r="A133" s="2054"/>
      <c r="B133" s="2054"/>
      <c r="C133" s="2054"/>
      <c r="D133" s="2054"/>
      <c r="E133" s="2054"/>
      <c r="F133" s="2054"/>
      <c r="G133" s="2054"/>
      <c r="H133" s="2054"/>
      <c r="I133" s="2054"/>
      <c r="J133" s="2054"/>
      <c r="K133" s="2055"/>
      <c r="L133" s="2056"/>
      <c r="M133" s="2054"/>
      <c r="N133" s="2054"/>
      <c r="O133" s="2054"/>
      <c r="P133" s="2054"/>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54"/>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c r="N236" s="2054"/>
      <c r="O236" s="2054"/>
      <c r="P236" s="2054"/>
      <c r="Q236" s="2054"/>
      <c r="R236" s="2054"/>
      <c r="S236" s="2054"/>
      <c r="T236" s="2054"/>
      <c r="U236" s="2054"/>
      <c r="V236" s="2054"/>
      <c r="W236" s="2054"/>
      <c r="X236" s="2054"/>
      <c r="Y236" s="2054"/>
      <c r="Z236" s="2054"/>
      <c r="AA236" s="2054"/>
      <c r="AB236" s="2054"/>
      <c r="AC236" s="20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225" customWidth="1"/>
    <col min="2" max="2" width="15.75" style="1225" customWidth="1"/>
    <col min="3" max="3" width="14.375" style="1225" customWidth="1"/>
    <col min="4" max="4" width="12.25" style="1225" customWidth="1"/>
    <col min="5" max="5" width="14.3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658</v>
      </c>
      <c r="B1" s="823"/>
      <c r="C1" s="404" t="s">
        <v>731</v>
      </c>
      <c r="D1" s="749"/>
      <c r="E1" s="406"/>
      <c r="F1" s="2672"/>
      <c r="G1" s="1489" t="s">
        <v>732</v>
      </c>
      <c r="H1" s="406"/>
      <c r="I1" s="406"/>
      <c r="J1" s="406"/>
      <c r="K1" s="407"/>
      <c r="L1" s="1450"/>
      <c r="M1" s="1451"/>
      <c r="N1" s="1451"/>
      <c r="O1" s="1451"/>
      <c r="P1" s="1452"/>
      <c r="Q1" s="1452"/>
      <c r="R1" s="1452"/>
      <c r="S1" s="1452"/>
      <c r="T1" s="1452"/>
      <c r="U1" s="1452"/>
      <c r="V1" s="1452"/>
      <c r="W1" s="1452"/>
      <c r="X1" s="1452"/>
      <c r="Y1" s="1452"/>
      <c r="Z1" s="1452"/>
      <c r="AA1" s="1452"/>
      <c r="AB1" s="1452"/>
      <c r="AC1" s="1453"/>
    </row>
    <row r="2" spans="1:29" s="1224" customFormat="1" ht="28.5" customHeight="1">
      <c r="A2" s="323" t="s">
        <v>733</v>
      </c>
      <c r="B2" s="750" t="e">
        <f>IF(B37="元/平方米",ROUND(B3*D3/10000,0),ROUND(F3*C39/10000,0))</f>
        <v>#DIV/0!</v>
      </c>
      <c r="C2" s="2002"/>
      <c r="D2" s="2002"/>
      <c r="E2" s="2003"/>
      <c r="F2" s="2004"/>
      <c r="G2" s="2003"/>
      <c r="H2" s="2003"/>
      <c r="I2" s="2003"/>
      <c r="J2" s="2003"/>
      <c r="K2" s="2005"/>
      <c r="L2" s="2006"/>
      <c r="M2" s="2007"/>
      <c r="N2" s="2007"/>
      <c r="O2" s="2007"/>
      <c r="P2" s="1452"/>
      <c r="Q2" s="1452"/>
      <c r="R2" s="1452"/>
      <c r="S2" s="1452"/>
      <c r="T2" s="1452"/>
      <c r="U2" s="1452"/>
      <c r="V2" s="1452"/>
      <c r="W2" s="1452"/>
      <c r="X2" s="1452"/>
      <c r="Y2" s="1452"/>
      <c r="Z2" s="1452"/>
      <c r="AA2" s="1452"/>
      <c r="AB2" s="1452"/>
      <c r="AC2" s="1453"/>
    </row>
    <row r="3" spans="1:29" s="1224" customFormat="1" ht="28.5" customHeight="1" thickBot="1">
      <c r="A3" s="409" t="s">
        <v>734</v>
      </c>
      <c r="B3" s="410" t="e">
        <f>IF(B37="元/平方米",C39,ROUND(B2*10000/D3,0))</f>
        <v>#DIV/0!</v>
      </c>
      <c r="C3" s="752" t="s">
        <v>735</v>
      </c>
      <c r="D3" s="751">
        <f>SUMIF('数据-汇总表'!$C19:$C33,D1,'数据-汇总表'!$E19:$E33)</f>
        <v>0</v>
      </c>
      <c r="E3" s="1730" t="s">
        <v>2008</v>
      </c>
      <c r="F3" s="751">
        <f>SUMIF('数据-取费表'!A5:A15,D1,'数据-取费表'!AH5:AH15)</f>
        <v>0</v>
      </c>
      <c r="G3" s="2003"/>
      <c r="H3" s="2003"/>
      <c r="I3" s="2003"/>
      <c r="J3" s="2003"/>
      <c r="K3" s="2005"/>
      <c r="L3" s="2006"/>
      <c r="M3" s="2007"/>
      <c r="N3" s="2007"/>
      <c r="O3" s="2007"/>
      <c r="P3" s="1452"/>
      <c r="Q3" s="1452"/>
      <c r="R3" s="1452"/>
      <c r="S3" s="1452"/>
      <c r="T3" s="1452"/>
      <c r="U3" s="1452"/>
      <c r="V3" s="1452"/>
      <c r="W3" s="1452"/>
      <c r="X3" s="1452"/>
      <c r="Y3" s="1452"/>
      <c r="Z3" s="1452"/>
      <c r="AA3" s="1452"/>
      <c r="AB3" s="1454"/>
      <c r="AC3" s="328"/>
    </row>
    <row r="4" spans="1:29" ht="15">
      <c r="A4" s="412" t="s">
        <v>736</v>
      </c>
      <c r="B4" s="413"/>
      <c r="C4" s="3384" t="s">
        <v>737</v>
      </c>
      <c r="D4" s="3385"/>
      <c r="E4" s="3384" t="s">
        <v>738</v>
      </c>
      <c r="F4" s="3385"/>
      <c r="G4" s="3384" t="s">
        <v>739</v>
      </c>
      <c r="H4" s="3385"/>
      <c r="I4" s="3384" t="s">
        <v>740</v>
      </c>
      <c r="J4" s="3385"/>
      <c r="K4" s="414" t="s">
        <v>741</v>
      </c>
      <c r="L4" s="2008"/>
      <c r="M4" s="2009"/>
      <c r="N4" s="2009"/>
      <c r="O4" s="2009"/>
      <c r="P4" s="3386" t="s">
        <v>742</v>
      </c>
      <c r="Q4" s="3387"/>
      <c r="R4" s="3392" t="s">
        <v>738</v>
      </c>
      <c r="S4" s="3393"/>
      <c r="T4" s="3392" t="s">
        <v>739</v>
      </c>
      <c r="U4" s="3393"/>
      <c r="V4" s="3379" t="s">
        <v>740</v>
      </c>
      <c r="W4" s="3379"/>
      <c r="X4" s="1455"/>
      <c r="Y4" s="3392" t="s">
        <v>742</v>
      </c>
      <c r="Z4" s="3393"/>
      <c r="AA4" s="3381" t="s">
        <v>738</v>
      </c>
      <c r="AB4" s="3382" t="s">
        <v>739</v>
      </c>
      <c r="AC4" s="3381" t="s">
        <v>740</v>
      </c>
    </row>
    <row r="5" spans="1:29" ht="15">
      <c r="A5" s="415"/>
      <c r="B5" s="416"/>
      <c r="C5" s="3400" t="s">
        <v>2841</v>
      </c>
      <c r="D5" s="3401"/>
      <c r="E5" s="3400" t="s">
        <v>2842</v>
      </c>
      <c r="F5" s="3401"/>
      <c r="G5" s="3400" t="s">
        <v>2843</v>
      </c>
      <c r="H5" s="3401"/>
      <c r="I5" s="3400" t="s">
        <v>2844</v>
      </c>
      <c r="J5" s="3401"/>
      <c r="K5" s="414"/>
      <c r="L5" s="2008"/>
      <c r="M5" s="2009"/>
      <c r="N5" s="2009"/>
      <c r="O5" s="2009"/>
      <c r="P5" s="3388"/>
      <c r="Q5" s="3389"/>
      <c r="R5" s="3394"/>
      <c r="S5" s="3395"/>
      <c r="T5" s="3394"/>
      <c r="U5" s="3395"/>
      <c r="V5" s="3379"/>
      <c r="W5" s="3379"/>
      <c r="X5" s="1455"/>
      <c r="Y5" s="3394"/>
      <c r="Z5" s="3395"/>
      <c r="AA5" s="3382"/>
      <c r="AB5" s="3382"/>
      <c r="AC5" s="3382"/>
    </row>
    <row r="6" spans="1:29" ht="15.75" thickBot="1">
      <c r="A6" s="417"/>
      <c r="B6" s="418"/>
      <c r="C6" s="3398" t="s">
        <v>2845</v>
      </c>
      <c r="D6" s="3399"/>
      <c r="E6" s="3402" t="s">
        <v>2845</v>
      </c>
      <c r="F6" s="3403"/>
      <c r="G6" s="3398" t="s">
        <v>2845</v>
      </c>
      <c r="H6" s="3399"/>
      <c r="I6" s="3398" t="s">
        <v>2845</v>
      </c>
      <c r="J6" s="3399"/>
      <c r="K6" s="414" t="s">
        <v>468</v>
      </c>
      <c r="L6" s="2008"/>
      <c r="M6" s="2009"/>
      <c r="N6" s="2009"/>
      <c r="O6" s="2009"/>
      <c r="P6" s="3390"/>
      <c r="Q6" s="3391"/>
      <c r="R6" s="3394"/>
      <c r="S6" s="3395"/>
      <c r="T6" s="3396"/>
      <c r="U6" s="3397"/>
      <c r="V6" s="3379"/>
      <c r="W6" s="3379"/>
      <c r="X6" s="1455"/>
      <c r="Y6" s="3396"/>
      <c r="Z6" s="3397"/>
      <c r="AA6" s="3383"/>
      <c r="AB6" s="3383"/>
      <c r="AC6" s="3383"/>
    </row>
    <row r="7" spans="1:29" s="1108" customFormat="1" ht="15.75" thickBot="1">
      <c r="A7" s="2777"/>
      <c r="B7" s="2784" t="s">
        <v>469</v>
      </c>
      <c r="C7" s="419">
        <f>'数据-取费表'!B2</f>
        <v>43240</v>
      </c>
      <c r="D7" s="420">
        <v>100</v>
      </c>
      <c r="E7" s="421"/>
      <c r="F7" s="422">
        <f>SUMIF(48:48,YEAR(E7)&amp;"-"&amp;MONTH(E7),49:49)</f>
        <v>0</v>
      </c>
      <c r="G7" s="423"/>
      <c r="H7" s="420">
        <f>SUMIF(48:48,YEAR(G7)&amp;"-"&amp;MONTH(G7),49:49)</f>
        <v>0</v>
      </c>
      <c r="I7" s="423"/>
      <c r="J7" s="420">
        <f>SUMIF(48:48,YEAR(I7)&amp;"-"&amp;MONTH(I7),49:49)</f>
        <v>0</v>
      </c>
      <c r="K7" s="424"/>
      <c r="L7" s="2010"/>
      <c r="M7" s="2011"/>
      <c r="N7" s="2011"/>
      <c r="O7" s="2011"/>
      <c r="P7" s="3409" t="s">
        <v>470</v>
      </c>
      <c r="Q7" s="3411"/>
      <c r="R7" s="1456" t="s">
        <v>8</v>
      </c>
      <c r="S7" s="1457">
        <f t="shared" ref="S7:S14" si="0">F7</f>
        <v>0</v>
      </c>
      <c r="T7" s="1456" t="s">
        <v>8</v>
      </c>
      <c r="U7" s="1457">
        <f t="shared" ref="U7:U14" si="1">H7</f>
        <v>0</v>
      </c>
      <c r="V7" s="1456" t="s">
        <v>8</v>
      </c>
      <c r="W7" s="1457">
        <f t="shared" ref="W7:W14" si="2">J7</f>
        <v>0</v>
      </c>
      <c r="X7" s="1458"/>
      <c r="Y7" s="3409" t="s">
        <v>470</v>
      </c>
      <c r="Z7" s="3410"/>
      <c r="AA7" s="1459" t="e">
        <f>D7/F7</f>
        <v>#DIV/0!</v>
      </c>
      <c r="AB7" s="1459" t="e">
        <f>D7/H7</f>
        <v>#DIV/0!</v>
      </c>
      <c r="AC7" s="1459" t="e">
        <f>D7/J7</f>
        <v>#DIV/0!</v>
      </c>
    </row>
    <row r="8" spans="1:29" s="1108" customFormat="1" ht="15.75" thickBot="1">
      <c r="A8" s="2778"/>
      <c r="B8" s="2785" t="s">
        <v>471</v>
      </c>
      <c r="C8" s="425" t="s">
        <v>516</v>
      </c>
      <c r="D8" s="420">
        <v>100</v>
      </c>
      <c r="E8" s="425"/>
      <c r="F8" s="422">
        <f>SUMIF(51:51,E8,52:52)-SUMIF(51:51,C8,52:52)+100</f>
        <v>0</v>
      </c>
      <c r="G8" s="425"/>
      <c r="H8" s="420">
        <f>SUMIF(51:51,G8,52:52)-SUMIF(51:51,C8,52:52)+100</f>
        <v>0</v>
      </c>
      <c r="I8" s="425"/>
      <c r="J8" s="420">
        <f>SUMIF(51:51,I8,52:52)-SUMIF(51:51,C8,52:52)+100</f>
        <v>0</v>
      </c>
      <c r="K8" s="424"/>
      <c r="L8" s="2010"/>
      <c r="M8" s="2011"/>
      <c r="N8" s="2011"/>
      <c r="O8" s="2011"/>
      <c r="P8" s="3409" t="s">
        <v>473</v>
      </c>
      <c r="Q8" s="3410"/>
      <c r="R8" s="1456" t="s">
        <v>8</v>
      </c>
      <c r="S8" s="1457">
        <f t="shared" si="0"/>
        <v>0</v>
      </c>
      <c r="T8" s="1456" t="s">
        <v>8</v>
      </c>
      <c r="U8" s="1457">
        <f t="shared" si="1"/>
        <v>0</v>
      </c>
      <c r="V8" s="1456" t="s">
        <v>8</v>
      </c>
      <c r="W8" s="1457">
        <f t="shared" si="2"/>
        <v>0</v>
      </c>
      <c r="X8" s="1458"/>
      <c r="Y8" s="3409" t="s">
        <v>473</v>
      </c>
      <c r="Z8" s="3410"/>
      <c r="AA8" s="1459" t="e">
        <f t="shared" ref="AA8:AA36" si="3">D8/F8</f>
        <v>#DIV/0!</v>
      </c>
      <c r="AB8" s="1459" t="e">
        <f t="shared" ref="AB8:AB36" si="4">D8/H8</f>
        <v>#DIV/0!</v>
      </c>
      <c r="AC8" s="1459" t="e">
        <f t="shared" ref="AC8:AC36" si="5">D8/J8</f>
        <v>#DIV/0!</v>
      </c>
    </row>
    <row r="9" spans="1:29" s="1108" customFormat="1" ht="15">
      <c r="A9" s="2779"/>
      <c r="B9" s="2786" t="s">
        <v>2684</v>
      </c>
      <c r="C9" s="757"/>
      <c r="D9" s="158">
        <v>100</v>
      </c>
      <c r="E9" s="760"/>
      <c r="F9" s="158">
        <f>SUMIF(53:53,E9,54:54)-SUMIF(53:53,C9,54:54)+100</f>
        <v>100</v>
      </c>
      <c r="G9" s="758"/>
      <c r="H9" s="158">
        <f>SUMIF(53:53,G9,54:54)-SUMIF(53:53,C9,54:54)+100</f>
        <v>100</v>
      </c>
      <c r="I9" s="758"/>
      <c r="J9" s="158">
        <f>SUMIF(53:53,I9,54:54)-SUMIF(53:53,C9,54:54)+100</f>
        <v>100</v>
      </c>
      <c r="K9" s="424"/>
      <c r="L9" s="2010"/>
      <c r="M9" s="2011"/>
      <c r="N9" s="2011"/>
      <c r="O9" s="2012"/>
      <c r="P9" s="3378" t="s">
        <v>475</v>
      </c>
      <c r="Q9" s="1049" t="str">
        <f t="shared" ref="Q9:Q14" si="6">B9</f>
        <v>用途</v>
      </c>
      <c r="R9" s="1456" t="s">
        <v>8</v>
      </c>
      <c r="S9" s="1457">
        <f t="shared" si="0"/>
        <v>100</v>
      </c>
      <c r="T9" s="1456" t="s">
        <v>8</v>
      </c>
      <c r="U9" s="1457">
        <f t="shared" si="1"/>
        <v>100</v>
      </c>
      <c r="V9" s="1456" t="s">
        <v>8</v>
      </c>
      <c r="W9" s="1457">
        <f t="shared" si="2"/>
        <v>100</v>
      </c>
      <c r="X9" s="1458"/>
      <c r="Y9" s="3324" t="s">
        <v>476</v>
      </c>
      <c r="Z9" s="1048" t="str">
        <f t="shared" ref="Z9:Z14" si="7">Q9</f>
        <v>用途</v>
      </c>
      <c r="AA9" s="1459">
        <f t="shared" si="3"/>
        <v>1</v>
      </c>
      <c r="AB9" s="1459">
        <f t="shared" si="4"/>
        <v>1</v>
      </c>
      <c r="AC9" s="1459">
        <f t="shared" si="5"/>
        <v>1</v>
      </c>
    </row>
    <row r="10" spans="1:29" s="1226" customFormat="1" ht="27">
      <c r="A10" s="2780"/>
      <c r="B10" s="2785" t="s">
        <v>2685</v>
      </c>
      <c r="C10" s="761"/>
      <c r="D10" s="159">
        <v>100</v>
      </c>
      <c r="E10" s="761"/>
      <c r="F10" s="159">
        <f>SUMIF(55:55,E10,56:56)-SUMIF(55:55,C10,56:56)+100</f>
        <v>100</v>
      </c>
      <c r="G10" s="762"/>
      <c r="H10" s="159">
        <f>SUMIF(55:55,G10,56:56)-SUMIF(55:55,C10,56:56)+100</f>
        <v>100</v>
      </c>
      <c r="I10" s="761"/>
      <c r="J10" s="159">
        <f>SUMIF(55:55,I10,56:56)-SUMIF(55:55,C10,56:56)+100</f>
        <v>100</v>
      </c>
      <c r="K10" s="484"/>
      <c r="L10" s="2013"/>
      <c r="M10" s="2053"/>
      <c r="N10" s="2053"/>
      <c r="O10" s="2014"/>
      <c r="P10" s="3378"/>
      <c r="Q10" s="1049" t="str">
        <f t="shared" si="6"/>
        <v>土地使用年限（年）</v>
      </c>
      <c r="R10" s="1456" t="s">
        <v>8</v>
      </c>
      <c r="S10" s="1457">
        <f t="shared" si="0"/>
        <v>100</v>
      </c>
      <c r="T10" s="1456" t="s">
        <v>8</v>
      </c>
      <c r="U10" s="1457">
        <f t="shared" si="1"/>
        <v>100</v>
      </c>
      <c r="V10" s="1456" t="s">
        <v>8</v>
      </c>
      <c r="W10" s="1457">
        <f t="shared" si="2"/>
        <v>100</v>
      </c>
      <c r="X10" s="1458"/>
      <c r="Y10" s="3324"/>
      <c r="Z10" s="1048" t="str">
        <f t="shared" si="7"/>
        <v>土地使用年限（年）</v>
      </c>
      <c r="AA10" s="1459">
        <f t="shared" si="3"/>
        <v>1</v>
      </c>
      <c r="AB10" s="1459">
        <f t="shared" si="4"/>
        <v>1</v>
      </c>
      <c r="AC10" s="1459">
        <f t="shared" si="5"/>
        <v>1</v>
      </c>
    </row>
    <row r="11" spans="1:29" ht="15">
      <c r="A11" s="2782"/>
      <c r="B11" s="2788">
        <v>111</v>
      </c>
      <c r="C11" s="428"/>
      <c r="D11" s="159">
        <v>100</v>
      </c>
      <c r="E11" s="428"/>
      <c r="F11" s="159">
        <f>SUMIF(57:57,E11,58:58)-SUMIF(57:57,C11,58:58)+100</f>
        <v>100</v>
      </c>
      <c r="G11" s="428"/>
      <c r="H11" s="159">
        <f>SUMIF(57:57,G11,58:58)-SUMIF(57:57,C11,58:58)+100</f>
        <v>100</v>
      </c>
      <c r="I11" s="428"/>
      <c r="J11" s="159">
        <f>SUMIF(57:57,I11,58:58)-SUMIF(57:57,C11,58:58)+100</f>
        <v>100</v>
      </c>
      <c r="K11" s="481"/>
      <c r="L11" s="2015"/>
      <c r="M11" s="2009"/>
      <c r="N11" s="2009"/>
      <c r="O11" s="2016"/>
      <c r="P11" s="3378"/>
      <c r="Q11" s="1049">
        <f t="shared" si="6"/>
        <v>111</v>
      </c>
      <c r="R11" s="1456" t="s">
        <v>8</v>
      </c>
      <c r="S11" s="1457">
        <f t="shared" si="0"/>
        <v>100</v>
      </c>
      <c r="T11" s="1456" t="s">
        <v>8</v>
      </c>
      <c r="U11" s="1457">
        <f t="shared" si="1"/>
        <v>100</v>
      </c>
      <c r="V11" s="1456" t="s">
        <v>8</v>
      </c>
      <c r="W11" s="1457">
        <f t="shared" si="2"/>
        <v>100</v>
      </c>
      <c r="X11" s="1458"/>
      <c r="Y11" s="3324"/>
      <c r="Z11" s="1048">
        <f t="shared" si="7"/>
        <v>111</v>
      </c>
      <c r="AA11" s="1459">
        <f t="shared" si="3"/>
        <v>1</v>
      </c>
      <c r="AB11" s="1459">
        <f t="shared" si="4"/>
        <v>1</v>
      </c>
      <c r="AC11" s="1459">
        <f t="shared" si="5"/>
        <v>1</v>
      </c>
    </row>
    <row r="12" spans="1:29" s="1108" customFormat="1" ht="15">
      <c r="A12" s="2782"/>
      <c r="B12" s="2788">
        <v>111</v>
      </c>
      <c r="C12" s="428"/>
      <c r="D12" s="438">
        <v>100</v>
      </c>
      <c r="E12" s="428"/>
      <c r="F12" s="159">
        <f>SUMIF(59:59,E12,60:60)-SUMIF(59:59,C12,60:60)+100</f>
        <v>100</v>
      </c>
      <c r="G12" s="428"/>
      <c r="H12" s="159">
        <f>SUMIF(59:59,G12,60:60)-SUMIF(59:59,C12,60:60)+100</f>
        <v>100</v>
      </c>
      <c r="I12" s="428"/>
      <c r="J12" s="159">
        <f>SUMIF(59:59,I12,60:60)-SUMIF(59:59,C12,60:60)+100</f>
        <v>100</v>
      </c>
      <c r="K12" s="481"/>
      <c r="L12" s="2010"/>
      <c r="M12" s="2011"/>
      <c r="N12" s="2011"/>
      <c r="O12" s="2012"/>
      <c r="P12" s="3378"/>
      <c r="Q12" s="1049">
        <f t="shared" si="6"/>
        <v>111</v>
      </c>
      <c r="R12" s="1456" t="s">
        <v>8</v>
      </c>
      <c r="S12" s="1457">
        <f t="shared" si="0"/>
        <v>100</v>
      </c>
      <c r="T12" s="1456" t="s">
        <v>8</v>
      </c>
      <c r="U12" s="1457">
        <f t="shared" si="1"/>
        <v>100</v>
      </c>
      <c r="V12" s="1456" t="s">
        <v>8</v>
      </c>
      <c r="W12" s="1457">
        <f t="shared" si="2"/>
        <v>100</v>
      </c>
      <c r="X12" s="1458"/>
      <c r="Y12" s="3324"/>
      <c r="Z12" s="1048">
        <f t="shared" si="7"/>
        <v>111</v>
      </c>
      <c r="AA12" s="1459">
        <f>D12/F12</f>
        <v>1</v>
      </c>
      <c r="AB12" s="1459">
        <f>D12/H12</f>
        <v>1</v>
      </c>
      <c r="AC12" s="1459">
        <f>D12/J12</f>
        <v>1</v>
      </c>
    </row>
    <row r="13" spans="1:29" ht="15.75" thickBot="1">
      <c r="A13" s="2783"/>
      <c r="B13" s="2789">
        <v>111</v>
      </c>
      <c r="C13" s="439"/>
      <c r="D13" s="440">
        <v>100</v>
      </c>
      <c r="E13" s="428"/>
      <c r="F13" s="159">
        <f>SUMIF(61:61,E13,62:62)-SUMIF(61:61,C13,62:62)+100</f>
        <v>100</v>
      </c>
      <c r="G13" s="428"/>
      <c r="H13" s="440">
        <f>SUMIF(61:61,G13,62:62)-SUMIF(61:61,C13,62:62)+100</f>
        <v>100</v>
      </c>
      <c r="I13" s="428"/>
      <c r="J13" s="440">
        <f>SUMIF(61:61,I13,62:62)-SUMIF(61:61,C13,62:62)+100</f>
        <v>100</v>
      </c>
      <c r="K13" s="481"/>
      <c r="L13" s="2017"/>
      <c r="M13" s="2009"/>
      <c r="N13" s="2009"/>
      <c r="O13" s="2016"/>
      <c r="P13" s="3378"/>
      <c r="Q13" s="1049">
        <f t="shared" si="6"/>
        <v>111</v>
      </c>
      <c r="R13" s="1456" t="s">
        <v>8</v>
      </c>
      <c r="S13" s="1457">
        <f t="shared" si="0"/>
        <v>100</v>
      </c>
      <c r="T13" s="1456" t="s">
        <v>8</v>
      </c>
      <c r="U13" s="1457">
        <f t="shared" si="1"/>
        <v>100</v>
      </c>
      <c r="V13" s="1456" t="s">
        <v>8</v>
      </c>
      <c r="W13" s="1457">
        <f t="shared" si="2"/>
        <v>100</v>
      </c>
      <c r="X13" s="1458"/>
      <c r="Y13" s="3324"/>
      <c r="Z13" s="1048">
        <f t="shared" si="7"/>
        <v>111</v>
      </c>
      <c r="AA13" s="1459">
        <f t="shared" si="3"/>
        <v>1</v>
      </c>
      <c r="AB13" s="1459">
        <f t="shared" si="4"/>
        <v>1</v>
      </c>
      <c r="AC13" s="1459">
        <f t="shared" si="5"/>
        <v>1</v>
      </c>
    </row>
    <row r="14" spans="1:29" ht="71.25">
      <c r="A14" s="2775" t="s">
        <v>2682</v>
      </c>
      <c r="B14" s="447" t="s">
        <v>483</v>
      </c>
      <c r="C14" s="821" t="str">
        <f>IF(B1="工业",估价对象房地状况!G4,估价对象房地状况!C6)</f>
        <v>233路、平湖k166路；大云镇客运站；嘉善南站；1高速、1省道</v>
      </c>
      <c r="D14" s="449">
        <v>100</v>
      </c>
      <c r="E14" s="450"/>
      <c r="F14" s="451">
        <f>SUMIF(63:63,E15,64:64)-SUMIF(63:63,C15,64:64)+100</f>
        <v>100</v>
      </c>
      <c r="G14" s="452"/>
      <c r="H14" s="449">
        <f>SUMIF(63:63,G15,64:64)-SUMIF(63:63,C15,64:64)+100</f>
        <v>100</v>
      </c>
      <c r="I14" s="450"/>
      <c r="J14" s="449">
        <f>SUMIF(63:63,I15,64:64)-SUMIF(63:63,C15,64:64)+100</f>
        <v>100</v>
      </c>
      <c r="K14" s="798"/>
      <c r="L14" s="2017"/>
      <c r="M14" s="2009"/>
      <c r="N14" s="2009"/>
      <c r="O14" s="2016"/>
      <c r="P14" s="3412" t="s">
        <v>480</v>
      </c>
      <c r="Q14" s="1460" t="str">
        <f t="shared" si="6"/>
        <v>交通便捷度</v>
      </c>
      <c r="R14" s="1461" t="s">
        <v>8</v>
      </c>
      <c r="S14" s="1462">
        <f t="shared" si="0"/>
        <v>100</v>
      </c>
      <c r="T14" s="1461" t="s">
        <v>8</v>
      </c>
      <c r="U14" s="1462">
        <f t="shared" si="1"/>
        <v>100</v>
      </c>
      <c r="V14" s="1461" t="s">
        <v>8</v>
      </c>
      <c r="W14" s="1462">
        <f t="shared" si="2"/>
        <v>100</v>
      </c>
      <c r="X14" s="1455"/>
      <c r="Y14" s="3412" t="s">
        <v>480</v>
      </c>
      <c r="Z14" s="1463" t="str">
        <f t="shared" si="7"/>
        <v>交通便捷度</v>
      </c>
      <c r="AA14" s="1464">
        <f t="shared" si="3"/>
        <v>1</v>
      </c>
      <c r="AB14" s="1464">
        <f t="shared" si="4"/>
        <v>1</v>
      </c>
      <c r="AC14" s="1464">
        <f t="shared" si="5"/>
        <v>1</v>
      </c>
    </row>
    <row r="15" spans="1:29" ht="15">
      <c r="A15" s="415"/>
      <c r="B15" s="824"/>
      <c r="C15" s="476"/>
      <c r="D15" s="455"/>
      <c r="E15" s="476"/>
      <c r="F15" s="457"/>
      <c r="G15" s="476"/>
      <c r="H15" s="459"/>
      <c r="I15" s="476"/>
      <c r="J15" s="455"/>
      <c r="K15" s="799"/>
      <c r="L15" s="2017"/>
      <c r="M15" s="2009"/>
      <c r="N15" s="2009"/>
      <c r="O15" s="2016"/>
      <c r="P15" s="3413"/>
      <c r="Q15" s="1460"/>
      <c r="R15" s="1461"/>
      <c r="S15" s="1462"/>
      <c r="T15" s="1461"/>
      <c r="U15" s="1462"/>
      <c r="V15" s="1461"/>
      <c r="W15" s="1462"/>
      <c r="X15" s="1455"/>
      <c r="Y15" s="3413"/>
      <c r="Z15" s="1463"/>
      <c r="AA15" s="1464">
        <v>1</v>
      </c>
      <c r="AB15" s="1464">
        <v>1</v>
      </c>
      <c r="AC15" s="1464">
        <v>1</v>
      </c>
    </row>
    <row r="16" spans="1:29" ht="28.5">
      <c r="A16" s="415"/>
      <c r="B16" s="2469" t="s">
        <v>2474</v>
      </c>
      <c r="C16" s="772" t="str">
        <f>IF(B1="工业",估价对象房地状况!G5,估价对象房地状况!C7)</f>
        <v>医院、学校、银行、餐饮</v>
      </c>
      <c r="D16" s="465">
        <v>100</v>
      </c>
      <c r="E16" s="472"/>
      <c r="F16" s="471">
        <f>SUMIF(65:65,E17,66:66)-SUMIF(65:65,C17,66:66)+100</f>
        <v>100</v>
      </c>
      <c r="G16" s="472"/>
      <c r="H16" s="465">
        <f>SUMIF(65:65,G17,66:66)-SUMIF(65:65,C17,66:66)+100</f>
        <v>100</v>
      </c>
      <c r="I16" s="470"/>
      <c r="J16" s="465">
        <f>SUMIF(65:65,I17,66:66)-SUMIF(65:65,C17,66:66)+100</f>
        <v>100</v>
      </c>
      <c r="K16" s="798"/>
      <c r="L16" s="2017"/>
      <c r="M16" s="2009"/>
      <c r="N16" s="2009"/>
      <c r="O16" s="2016"/>
      <c r="P16" s="3413"/>
      <c r="Q16" s="1460" t="str">
        <f>B16</f>
        <v>公共配套设施</v>
      </c>
      <c r="R16" s="1461" t="s">
        <v>8</v>
      </c>
      <c r="S16" s="1462">
        <f>F16</f>
        <v>100</v>
      </c>
      <c r="T16" s="1461" t="s">
        <v>8</v>
      </c>
      <c r="U16" s="1462">
        <f>H16</f>
        <v>100</v>
      </c>
      <c r="V16" s="1461" t="s">
        <v>8</v>
      </c>
      <c r="W16" s="1462">
        <f>J16</f>
        <v>100</v>
      </c>
      <c r="X16" s="1455"/>
      <c r="Y16" s="3413"/>
      <c r="Z16" s="1463" t="str">
        <f>Q16</f>
        <v>公共配套设施</v>
      </c>
      <c r="AA16" s="1464">
        <f t="shared" si="3"/>
        <v>1</v>
      </c>
      <c r="AB16" s="1464">
        <f t="shared" si="4"/>
        <v>1</v>
      </c>
      <c r="AC16" s="1464">
        <f t="shared" si="5"/>
        <v>1</v>
      </c>
    </row>
    <row r="17" spans="1:29" ht="15">
      <c r="A17" s="415"/>
      <c r="B17" s="466"/>
      <c r="C17" s="773"/>
      <c r="D17" s="455"/>
      <c r="E17" s="476"/>
      <c r="F17" s="457"/>
      <c r="G17" s="476"/>
      <c r="H17" s="455"/>
      <c r="I17" s="476"/>
      <c r="J17" s="455"/>
      <c r="K17" s="799"/>
      <c r="L17" s="2017"/>
      <c r="M17" s="2009"/>
      <c r="N17" s="2009"/>
      <c r="O17" s="2016"/>
      <c r="P17" s="3413"/>
      <c r="Q17" s="1460"/>
      <c r="R17" s="1461"/>
      <c r="S17" s="1462"/>
      <c r="T17" s="1461"/>
      <c r="U17" s="1462"/>
      <c r="V17" s="1461"/>
      <c r="W17" s="1462"/>
      <c r="X17" s="1455"/>
      <c r="Y17" s="3413"/>
      <c r="Z17" s="1463"/>
      <c r="AA17" s="1464">
        <v>1</v>
      </c>
      <c r="AB17" s="1464">
        <v>1</v>
      </c>
      <c r="AC17" s="1464">
        <v>1</v>
      </c>
    </row>
    <row r="18" spans="1:29" ht="15">
      <c r="A18" s="415"/>
      <c r="B18" s="2457" t="s">
        <v>2486</v>
      </c>
      <c r="C18" s="772" t="str">
        <f>IF(B1="工业",估价对象房地状况!G6,估价对象房地状况!C8)</f>
        <v>六通</v>
      </c>
      <c r="D18" s="459">
        <v>100</v>
      </c>
      <c r="E18" s="472"/>
      <c r="F18" s="471">
        <f>SUMIF(67:67,E19,68:68)-SUMIF(67:67,C19,68:68)+100</f>
        <v>100</v>
      </c>
      <c r="G18" s="472"/>
      <c r="H18" s="465">
        <f>SUMIF(67:67,G19,68:68)-SUMIF(67:67,C19,68:68)+100</f>
        <v>100</v>
      </c>
      <c r="I18" s="470"/>
      <c r="J18" s="465">
        <f>SUMIF(67:67,I19,68:68)-SUMIF(67:67,C19,68:68)+100</f>
        <v>100</v>
      </c>
      <c r="K18" s="798"/>
      <c r="L18" s="2017"/>
      <c r="M18" s="2009"/>
      <c r="N18" s="2009"/>
      <c r="O18" s="2016"/>
      <c r="P18" s="3413"/>
      <c r="Q18" s="2445" t="str">
        <f>B18</f>
        <v>基础设施水平</v>
      </c>
      <c r="R18" s="1461" t="s">
        <v>8</v>
      </c>
      <c r="S18" s="1462">
        <f>F18</f>
        <v>100</v>
      </c>
      <c r="T18" s="1461" t="s">
        <v>8</v>
      </c>
      <c r="U18" s="1462">
        <f>H18</f>
        <v>100</v>
      </c>
      <c r="V18" s="1461" t="s">
        <v>8</v>
      </c>
      <c r="W18" s="1462">
        <f>J18</f>
        <v>100</v>
      </c>
      <c r="X18" s="2447"/>
      <c r="Y18" s="3413"/>
      <c r="Z18" s="2446" t="str">
        <f>Q18</f>
        <v>基础设施水平</v>
      </c>
      <c r="AA18" s="1464">
        <f>D18/F18</f>
        <v>1</v>
      </c>
      <c r="AB18" s="1464">
        <f>D18/H18</f>
        <v>1</v>
      </c>
      <c r="AC18" s="1464">
        <f>D18/J18</f>
        <v>1</v>
      </c>
    </row>
    <row r="19" spans="1:29" ht="15">
      <c r="A19" s="415"/>
      <c r="B19" s="478"/>
      <c r="C19" s="773"/>
      <c r="D19" s="459"/>
      <c r="E19" s="476"/>
      <c r="F19" s="457"/>
      <c r="G19" s="476"/>
      <c r="H19" s="455"/>
      <c r="I19" s="476"/>
      <c r="J19" s="455"/>
      <c r="K19" s="2468"/>
      <c r="L19" s="2017"/>
      <c r="M19" s="2009"/>
      <c r="N19" s="2009"/>
      <c r="O19" s="2016"/>
      <c r="P19" s="3413"/>
      <c r="Q19" s="2445"/>
      <c r="R19" s="1461"/>
      <c r="S19" s="1462"/>
      <c r="T19" s="1461"/>
      <c r="U19" s="1462"/>
      <c r="V19" s="1461"/>
      <c r="W19" s="1462"/>
      <c r="X19" s="2447"/>
      <c r="Y19" s="3413"/>
      <c r="Z19" s="2446"/>
      <c r="AA19" s="1464">
        <v>1</v>
      </c>
      <c r="AB19" s="1464">
        <v>1</v>
      </c>
      <c r="AC19" s="1464">
        <v>1</v>
      </c>
    </row>
    <row r="20" spans="1:29" ht="15">
      <c r="A20" s="415"/>
      <c r="B20" s="460" t="s">
        <v>743</v>
      </c>
      <c r="C20" s="772" t="str">
        <f>IF(B1="工业",估价对象房地状况!G7,估价对象房地状况!C9)</f>
        <v>六生河</v>
      </c>
      <c r="D20" s="465">
        <v>100</v>
      </c>
      <c r="E20" s="462"/>
      <c r="F20" s="463">
        <f>SUMIF(69:69,E21,70:70)-SUMIF(69:69,C21,70:70)+100</f>
        <v>100</v>
      </c>
      <c r="G20" s="464"/>
      <c r="H20" s="459">
        <f>SUMIF(69:69,G21,70:70)-SUMIF(69:69,C21,70:70)+100</f>
        <v>100</v>
      </c>
      <c r="I20" s="462"/>
      <c r="J20" s="459">
        <f>SUMIF(69:69,I21,70:70)-SUMIF(69:69,C21,70:70)+100</f>
        <v>100</v>
      </c>
      <c r="K20" s="798"/>
      <c r="L20" s="2017"/>
      <c r="M20" s="2009"/>
      <c r="N20" s="2009"/>
      <c r="O20" s="2016"/>
      <c r="P20" s="3413"/>
      <c r="Q20" s="1460" t="str">
        <f>B20</f>
        <v>自然及人文环境</v>
      </c>
      <c r="R20" s="1461" t="s">
        <v>8</v>
      </c>
      <c r="S20" s="1462">
        <f>F20</f>
        <v>100</v>
      </c>
      <c r="T20" s="1461" t="s">
        <v>8</v>
      </c>
      <c r="U20" s="1462">
        <f>H20</f>
        <v>100</v>
      </c>
      <c r="V20" s="1461" t="s">
        <v>8</v>
      </c>
      <c r="W20" s="1462">
        <f>J20</f>
        <v>100</v>
      </c>
      <c r="X20" s="1455"/>
      <c r="Y20" s="3413"/>
      <c r="Z20" s="1463" t="str">
        <f>Q20</f>
        <v>自然及人文环境</v>
      </c>
      <c r="AA20" s="1464">
        <f t="shared" si="3"/>
        <v>1</v>
      </c>
      <c r="AB20" s="1464">
        <f t="shared" si="4"/>
        <v>1</v>
      </c>
      <c r="AC20" s="1464">
        <f t="shared" si="5"/>
        <v>1</v>
      </c>
    </row>
    <row r="21" spans="1:29" ht="15">
      <c r="A21" s="415"/>
      <c r="B21" s="466"/>
      <c r="C21" s="476"/>
      <c r="D21" s="455"/>
      <c r="E21" s="476"/>
      <c r="F21" s="457"/>
      <c r="G21" s="476"/>
      <c r="H21" s="455"/>
      <c r="I21" s="476"/>
      <c r="J21" s="455"/>
      <c r="K21" s="799"/>
      <c r="L21" s="2017"/>
      <c r="M21" s="2009"/>
      <c r="N21" s="2009"/>
      <c r="O21" s="2016"/>
      <c r="P21" s="3413"/>
      <c r="Q21" s="1460"/>
      <c r="R21" s="1461"/>
      <c r="S21" s="1462"/>
      <c r="T21" s="1461"/>
      <c r="U21" s="1462"/>
      <c r="V21" s="1461"/>
      <c r="W21" s="1462"/>
      <c r="X21" s="1455"/>
      <c r="Y21" s="3413"/>
      <c r="Z21" s="1463"/>
      <c r="AA21" s="1464">
        <v>1</v>
      </c>
      <c r="AB21" s="1464">
        <v>1</v>
      </c>
      <c r="AC21" s="1464">
        <v>1</v>
      </c>
    </row>
    <row r="22" spans="1:29" ht="15">
      <c r="A22" s="415"/>
      <c r="B22" s="460" t="s">
        <v>744</v>
      </c>
      <c r="C22" s="483"/>
      <c r="D22" s="459">
        <v>100</v>
      </c>
      <c r="E22" s="483"/>
      <c r="F22" s="475">
        <f>SUMIF(71:71,E22,72:72)-SUMIF(71:71,C22,72:72)+100</f>
        <v>100</v>
      </c>
      <c r="G22" s="483"/>
      <c r="H22" s="440">
        <f>SUMIF(71:71,G22,72:72)-SUMIF(71:71,C22,72:72)+100</f>
        <v>100</v>
      </c>
      <c r="I22" s="483"/>
      <c r="J22" s="440">
        <f>SUMIF(71:71,I22,72:72)-SUMIF(71:71,C22,72:72)+100</f>
        <v>100</v>
      </c>
      <c r="K22" s="484"/>
      <c r="L22" s="2017"/>
      <c r="M22" s="2009"/>
      <c r="N22" s="2009"/>
      <c r="O22" s="2016"/>
      <c r="P22" s="3413"/>
      <c r="Q22" s="1460" t="str">
        <f>B22</f>
        <v>楼层</v>
      </c>
      <c r="R22" s="1461" t="s">
        <v>8</v>
      </c>
      <c r="S22" s="1462">
        <f>F22</f>
        <v>100</v>
      </c>
      <c r="T22" s="1461" t="s">
        <v>8</v>
      </c>
      <c r="U22" s="1462">
        <f>H22</f>
        <v>100</v>
      </c>
      <c r="V22" s="1461" t="s">
        <v>8</v>
      </c>
      <c r="W22" s="1462">
        <f>J22</f>
        <v>100</v>
      </c>
      <c r="X22" s="1455"/>
      <c r="Y22" s="3413"/>
      <c r="Z22" s="1463" t="str">
        <f>Q22</f>
        <v>楼层</v>
      </c>
      <c r="AA22" s="1464">
        <f t="shared" si="3"/>
        <v>1</v>
      </c>
      <c r="AB22" s="1464">
        <f t="shared" si="4"/>
        <v>1</v>
      </c>
      <c r="AC22" s="1464">
        <f t="shared" si="5"/>
        <v>1</v>
      </c>
    </row>
    <row r="23" spans="1:29" ht="15">
      <c r="A23" s="415"/>
      <c r="B23" s="825">
        <v>111</v>
      </c>
      <c r="C23" s="428"/>
      <c r="D23" s="440">
        <v>100</v>
      </c>
      <c r="E23" s="428"/>
      <c r="F23" s="475">
        <f>SUMIF(73:73,E23,74:74)-SUMIF(73:73,C23,74:74)+100</f>
        <v>100</v>
      </c>
      <c r="G23" s="428"/>
      <c r="H23" s="440">
        <f>SUMIF(73:73,G23,74:74)-SUMIF(73:73,C23,74:74)+100</f>
        <v>100</v>
      </c>
      <c r="I23" s="428"/>
      <c r="J23" s="440">
        <f>SUMIF(73:73,I23,74:74)-SUMIF(73:73,C23,74:74)+100</f>
        <v>100</v>
      </c>
      <c r="K23" s="481"/>
      <c r="L23" s="2017"/>
      <c r="M23" s="2009"/>
      <c r="N23" s="2009"/>
      <c r="O23" s="2016"/>
      <c r="P23" s="3413"/>
      <c r="Q23" s="1460">
        <f>B23</f>
        <v>111</v>
      </c>
      <c r="R23" s="1461" t="s">
        <v>8</v>
      </c>
      <c r="S23" s="1462">
        <f>F23</f>
        <v>100</v>
      </c>
      <c r="T23" s="1461" t="s">
        <v>8</v>
      </c>
      <c r="U23" s="1462">
        <f>H23</f>
        <v>100</v>
      </c>
      <c r="V23" s="1461" t="s">
        <v>8</v>
      </c>
      <c r="W23" s="1462">
        <f>J23</f>
        <v>100</v>
      </c>
      <c r="X23" s="1455"/>
      <c r="Y23" s="3413"/>
      <c r="Z23" s="1463">
        <f>Q23</f>
        <v>111</v>
      </c>
      <c r="AA23" s="1464">
        <f t="shared" si="3"/>
        <v>1</v>
      </c>
      <c r="AB23" s="1464">
        <f t="shared" si="4"/>
        <v>1</v>
      </c>
      <c r="AC23" s="1464">
        <f t="shared" si="5"/>
        <v>1</v>
      </c>
    </row>
    <row r="24" spans="1:29" ht="15">
      <c r="A24" s="415"/>
      <c r="B24" s="825">
        <v>111</v>
      </c>
      <c r="C24" s="428"/>
      <c r="D24" s="440">
        <v>100</v>
      </c>
      <c r="E24" s="428"/>
      <c r="F24" s="475">
        <f>SUMIF(75:75,E24,76:76)-SUMIF(75:75,C24,76:76)+100</f>
        <v>100</v>
      </c>
      <c r="G24" s="428"/>
      <c r="H24" s="440">
        <f>SUMIF(75:75,G24,76:76)-SUMIF(75:75,C24,76:76)+100</f>
        <v>100</v>
      </c>
      <c r="I24" s="428"/>
      <c r="J24" s="440">
        <f>SUMIF(75:75,I24,76:76)-SUMIF(75:75,C24,76:76)+100</f>
        <v>100</v>
      </c>
      <c r="K24" s="481"/>
      <c r="L24" s="2017"/>
      <c r="M24" s="2009"/>
      <c r="N24" s="2009"/>
      <c r="O24" s="2016"/>
      <c r="P24" s="3413"/>
      <c r="Q24" s="1460">
        <f t="shared" ref="Q24:Q36" si="8">B24</f>
        <v>111</v>
      </c>
      <c r="R24" s="1461" t="s">
        <v>8</v>
      </c>
      <c r="S24" s="1462">
        <f>F24</f>
        <v>100</v>
      </c>
      <c r="T24" s="1461" t="s">
        <v>8</v>
      </c>
      <c r="U24" s="1462">
        <f>H24</f>
        <v>100</v>
      </c>
      <c r="V24" s="1461" t="s">
        <v>8</v>
      </c>
      <c r="W24" s="1462">
        <f>J24</f>
        <v>100</v>
      </c>
      <c r="X24" s="1455"/>
      <c r="Y24" s="3413"/>
      <c r="Z24" s="1463">
        <f>Q24</f>
        <v>111</v>
      </c>
      <c r="AA24" s="1464">
        <f t="shared" si="3"/>
        <v>1</v>
      </c>
      <c r="AB24" s="1464">
        <f t="shared" si="4"/>
        <v>1</v>
      </c>
      <c r="AC24" s="1464">
        <f t="shared" si="5"/>
        <v>1</v>
      </c>
    </row>
    <row r="25" spans="1:29" s="1108" customFormat="1" ht="15.75" thickBot="1">
      <c r="A25" s="477"/>
      <c r="B25" s="814">
        <v>111</v>
      </c>
      <c r="C25" s="445"/>
      <c r="D25" s="826">
        <v>100</v>
      </c>
      <c r="E25" s="811"/>
      <c r="F25" s="827">
        <f>SUMIF(77:77,E25,78:78)-SUMIF(77:77,C25,78:78)+100</f>
        <v>100</v>
      </c>
      <c r="G25" s="811"/>
      <c r="H25" s="826">
        <f>SUMIF(77:77,G25,78:78)-SUMIF(77:77,C25,78:78)+100</f>
        <v>100</v>
      </c>
      <c r="I25" s="811"/>
      <c r="J25" s="826">
        <f>SUMIF(77:77,I25,78:78)-SUMIF(77:77,C25,78:78)+100</f>
        <v>100</v>
      </c>
      <c r="K25" s="481"/>
      <c r="L25" s="2010"/>
      <c r="M25" s="2011"/>
      <c r="N25" s="2011"/>
      <c r="O25" s="2012"/>
      <c r="P25" s="3413"/>
      <c r="Q25" s="1049">
        <f t="shared" si="8"/>
        <v>111</v>
      </c>
      <c r="R25" s="1456" t="s">
        <v>8</v>
      </c>
      <c r="S25" s="1457">
        <f>F25</f>
        <v>100</v>
      </c>
      <c r="T25" s="1456" t="s">
        <v>8</v>
      </c>
      <c r="U25" s="1457">
        <f>H25</f>
        <v>100</v>
      </c>
      <c r="V25" s="1456" t="s">
        <v>8</v>
      </c>
      <c r="W25" s="1457">
        <f>J25</f>
        <v>100</v>
      </c>
      <c r="X25" s="1458"/>
      <c r="Y25" s="3413"/>
      <c r="Z25" s="1048">
        <f>Q25</f>
        <v>111</v>
      </c>
      <c r="AA25" s="1464">
        <f>D25/F25</f>
        <v>1</v>
      </c>
      <c r="AB25" s="1464">
        <f>D25/H25</f>
        <v>1</v>
      </c>
      <c r="AC25" s="1464">
        <f>D25/J25</f>
        <v>1</v>
      </c>
    </row>
    <row r="26" spans="1:29" ht="15">
      <c r="A26" s="2772" t="s">
        <v>2683</v>
      </c>
      <c r="B26" s="147" t="s">
        <v>745</v>
      </c>
      <c r="C26" s="828">
        <f>B1</f>
        <v>0</v>
      </c>
      <c r="D26" s="455">
        <v>100</v>
      </c>
      <c r="E26" s="476"/>
      <c r="F26" s="457">
        <f>SUMIF(79:79,E26,80:80)-SUMIF(79:79,C26,80:80)+100</f>
        <v>100</v>
      </c>
      <c r="G26" s="476"/>
      <c r="H26" s="455">
        <f>SUMIF(79:79,G26,80:80)-SUMIF(79:79,C26,80:80)+100</f>
        <v>100</v>
      </c>
      <c r="I26" s="476"/>
      <c r="J26" s="455">
        <f>SUMIF(79:79,I26,80:80)-SUMIF(79:79,C26,80:80)+100</f>
        <v>100</v>
      </c>
      <c r="K26" s="484"/>
      <c r="L26" s="2017"/>
      <c r="M26" s="2009"/>
      <c r="N26" s="2009"/>
      <c r="O26" s="2016"/>
      <c r="P26" s="3414" t="s">
        <v>490</v>
      </c>
      <c r="Q26" s="1460" t="str">
        <f t="shared" si="8"/>
        <v>配套类型</v>
      </c>
      <c r="R26" s="1461" t="s">
        <v>8</v>
      </c>
      <c r="S26" s="1462">
        <f t="shared" ref="S26:S36" si="9">F26</f>
        <v>100</v>
      </c>
      <c r="T26" s="1461" t="s">
        <v>8</v>
      </c>
      <c r="U26" s="1462">
        <f t="shared" ref="U26:U36" si="10">H26</f>
        <v>100</v>
      </c>
      <c r="V26" s="1461" t="s">
        <v>8</v>
      </c>
      <c r="W26" s="1462">
        <f t="shared" ref="W26:W36" si="11">J26</f>
        <v>100</v>
      </c>
      <c r="X26" s="1455"/>
      <c r="Y26" s="3415" t="s">
        <v>490</v>
      </c>
      <c r="Z26" s="1463" t="str">
        <f t="shared" ref="Z26:Z36" si="12">Q26</f>
        <v>配套类型</v>
      </c>
      <c r="AA26" s="1464">
        <f t="shared" si="3"/>
        <v>1</v>
      </c>
      <c r="AB26" s="1464">
        <f t="shared" si="4"/>
        <v>1</v>
      </c>
      <c r="AC26" s="1464">
        <f t="shared" si="5"/>
        <v>1</v>
      </c>
    </row>
    <row r="27" spans="1:29" s="1227" customFormat="1" ht="15">
      <c r="A27" s="829"/>
      <c r="B27" s="482" t="s">
        <v>746</v>
      </c>
      <c r="C27" s="830"/>
      <c r="D27" s="159">
        <v>100</v>
      </c>
      <c r="E27" s="830"/>
      <c r="F27" s="475">
        <f>SUMIF(81:81,E27,82:82)-SUMIF(81:81,C27,82:82)+100</f>
        <v>100</v>
      </c>
      <c r="G27" s="830"/>
      <c r="H27" s="440">
        <f>SUMIF(81:81,G27,82:82)-SUMIF(81:81,C27,82:82)+100</f>
        <v>100</v>
      </c>
      <c r="I27" s="830"/>
      <c r="J27" s="440">
        <f>SUMIF(81:81,I27,82:82)-SUMIF(81:81,C27,82:82)+100</f>
        <v>100</v>
      </c>
      <c r="K27" s="481"/>
      <c r="L27" s="2015"/>
      <c r="M27" s="2046"/>
      <c r="N27" s="2046"/>
      <c r="O27" s="2018"/>
      <c r="P27" s="3415"/>
      <c r="Q27" s="1493" t="str">
        <f t="shared" si="8"/>
        <v>项目停车位配比</v>
      </c>
      <c r="R27" s="1465" t="s">
        <v>8</v>
      </c>
      <c r="S27" s="1466">
        <f t="shared" si="9"/>
        <v>100</v>
      </c>
      <c r="T27" s="1465" t="s">
        <v>8</v>
      </c>
      <c r="U27" s="1466">
        <f t="shared" si="10"/>
        <v>100</v>
      </c>
      <c r="V27" s="1465" t="s">
        <v>8</v>
      </c>
      <c r="W27" s="1466">
        <f t="shared" si="11"/>
        <v>100</v>
      </c>
      <c r="X27" s="1467"/>
      <c r="Y27" s="3415"/>
      <c r="Z27" s="1468" t="str">
        <f t="shared" si="12"/>
        <v>项目停车位配比</v>
      </c>
      <c r="AA27" s="1464">
        <f t="shared" si="3"/>
        <v>1</v>
      </c>
      <c r="AB27" s="1464">
        <f t="shared" si="4"/>
        <v>1</v>
      </c>
      <c r="AC27" s="1464">
        <f t="shared" si="5"/>
        <v>1</v>
      </c>
    </row>
    <row r="28" spans="1:29" ht="15">
      <c r="A28" s="831"/>
      <c r="B28" s="482" t="s">
        <v>747</v>
      </c>
      <c r="C28" s="474"/>
      <c r="D28" s="440">
        <v>100</v>
      </c>
      <c r="E28" s="474"/>
      <c r="F28" s="475">
        <f>SUMIF(83:83,E28,84:84)-SUMIF(83:83,C28,84:84)+100</f>
        <v>100</v>
      </c>
      <c r="G28" s="474"/>
      <c r="H28" s="440">
        <f>SUMIF(83:83,G28,84:84)-SUMIF(83:83,C28,84:84)+100</f>
        <v>100</v>
      </c>
      <c r="I28" s="474"/>
      <c r="J28" s="440">
        <f>SUMIF(83:83,I28,84:84)-SUMIF(83:83,C28,84:84)+100</f>
        <v>100</v>
      </c>
      <c r="K28" s="484"/>
      <c r="L28" s="2017"/>
      <c r="M28" s="2009"/>
      <c r="N28" s="2009"/>
      <c r="O28" s="2016"/>
      <c r="P28" s="3415"/>
      <c r="Q28" s="1460" t="str">
        <f t="shared" si="8"/>
        <v>公共部分装修</v>
      </c>
      <c r="R28" s="1461" t="s">
        <v>8</v>
      </c>
      <c r="S28" s="1462">
        <f t="shared" si="9"/>
        <v>100</v>
      </c>
      <c r="T28" s="1461" t="s">
        <v>8</v>
      </c>
      <c r="U28" s="1462">
        <f t="shared" si="10"/>
        <v>100</v>
      </c>
      <c r="V28" s="1461" t="s">
        <v>8</v>
      </c>
      <c r="W28" s="1462">
        <f t="shared" si="11"/>
        <v>100</v>
      </c>
      <c r="X28" s="1455"/>
      <c r="Y28" s="3415"/>
      <c r="Z28" s="1463" t="str">
        <f t="shared" si="12"/>
        <v>公共部分装修</v>
      </c>
      <c r="AA28" s="1464">
        <f t="shared" si="3"/>
        <v>1</v>
      </c>
      <c r="AB28" s="1464">
        <f t="shared" si="4"/>
        <v>1</v>
      </c>
      <c r="AC28" s="1464">
        <f t="shared" si="5"/>
        <v>1</v>
      </c>
    </row>
    <row r="29" spans="1:29" ht="15">
      <c r="A29" s="831"/>
      <c r="B29" s="482" t="s">
        <v>748</v>
      </c>
      <c r="C29" s="780"/>
      <c r="D29" s="440">
        <v>100</v>
      </c>
      <c r="E29" s="783"/>
      <c r="F29" s="475" t="e">
        <f>LOOKUP(E29,86:86,87:87)-LOOKUP(C29,86:86,87:87)+100</f>
        <v>#N/A</v>
      </c>
      <c r="G29" s="783"/>
      <c r="H29" s="475" t="e">
        <f>LOOKUP(G29,86:86,87:87)-LOOKUP(C29,86:86,87:87)+100</f>
        <v>#N/A</v>
      </c>
      <c r="I29" s="783"/>
      <c r="J29" s="440" t="e">
        <f>LOOKUP(I29,86:86,87:87)-LOOKUP(C29,86:86,87:87)+100</f>
        <v>#N/A</v>
      </c>
      <c r="K29" s="484"/>
      <c r="L29" s="2017"/>
      <c r="M29" s="2009"/>
      <c r="N29" s="2009"/>
      <c r="O29" s="2016"/>
      <c r="P29" s="3415"/>
      <c r="Q29" s="1460" t="str">
        <f t="shared" si="8"/>
        <v>成新率</v>
      </c>
      <c r="R29" s="1461" t="s">
        <v>8</v>
      </c>
      <c r="S29" s="1462" t="e">
        <f t="shared" si="9"/>
        <v>#N/A</v>
      </c>
      <c r="T29" s="1461" t="s">
        <v>8</v>
      </c>
      <c r="U29" s="1462" t="e">
        <f t="shared" si="10"/>
        <v>#N/A</v>
      </c>
      <c r="V29" s="1461" t="s">
        <v>8</v>
      </c>
      <c r="W29" s="1462" t="e">
        <f t="shared" si="11"/>
        <v>#N/A</v>
      </c>
      <c r="X29" s="1455"/>
      <c r="Y29" s="3415"/>
      <c r="Z29" s="1463" t="str">
        <f t="shared" si="12"/>
        <v>成新率</v>
      </c>
      <c r="AA29" s="1464" t="e">
        <f t="shared" si="3"/>
        <v>#N/A</v>
      </c>
      <c r="AB29" s="1464" t="e">
        <f t="shared" si="4"/>
        <v>#N/A</v>
      </c>
      <c r="AC29" s="1464" t="e">
        <f t="shared" si="5"/>
        <v>#N/A</v>
      </c>
    </row>
    <row r="30" spans="1:29" ht="15">
      <c r="A30" s="831"/>
      <c r="B30" s="482" t="s">
        <v>749</v>
      </c>
      <c r="C30" s="832"/>
      <c r="D30" s="440">
        <v>100</v>
      </c>
      <c r="E30" s="832"/>
      <c r="F30" s="475">
        <f>SUMIF(88:88,E30,89:89)-SUMIF(88:88,C30,89:89)+100</f>
        <v>100</v>
      </c>
      <c r="G30" s="832"/>
      <c r="H30" s="440">
        <f>SUMIF(88:88,E30,89:89)-SUMIF(88:88,C30,89:89)+100</f>
        <v>100</v>
      </c>
      <c r="I30" s="832"/>
      <c r="J30" s="440">
        <f>SUMIF(88:88,E30,89:89)-SUMIF(88:88,C30,89:89)+100</f>
        <v>100</v>
      </c>
      <c r="K30" s="484"/>
      <c r="L30" s="2017"/>
      <c r="M30" s="2009"/>
      <c r="N30" s="2009"/>
      <c r="O30" s="2016"/>
      <c r="P30" s="3415"/>
      <c r="Q30" s="1460" t="str">
        <f t="shared" si="8"/>
        <v>物业等级</v>
      </c>
      <c r="R30" s="1461" t="s">
        <v>8</v>
      </c>
      <c r="S30" s="1462">
        <f t="shared" si="9"/>
        <v>100</v>
      </c>
      <c r="T30" s="1461" t="s">
        <v>8</v>
      </c>
      <c r="U30" s="1462">
        <f t="shared" si="10"/>
        <v>100</v>
      </c>
      <c r="V30" s="1461" t="s">
        <v>8</v>
      </c>
      <c r="W30" s="1462">
        <f t="shared" si="11"/>
        <v>100</v>
      </c>
      <c r="X30" s="1455"/>
      <c r="Y30" s="3415"/>
      <c r="Z30" s="1463" t="str">
        <f t="shared" si="12"/>
        <v>物业等级</v>
      </c>
      <c r="AA30" s="1464">
        <f t="shared" si="3"/>
        <v>1</v>
      </c>
      <c r="AB30" s="1464">
        <f t="shared" si="4"/>
        <v>1</v>
      </c>
      <c r="AC30" s="1464">
        <f t="shared" si="5"/>
        <v>1</v>
      </c>
    </row>
    <row r="31" spans="1:29" s="1108" customFormat="1" ht="15">
      <c r="A31" s="833"/>
      <c r="B31" s="482" t="s">
        <v>750</v>
      </c>
      <c r="C31" s="780"/>
      <c r="D31" s="159">
        <v>100</v>
      </c>
      <c r="E31" s="780"/>
      <c r="F31" s="475" t="e">
        <f>LOOKUP(E31,91:91,92:92)-LOOKUP(C31,91:91,92:92)+100</f>
        <v>#N/A</v>
      </c>
      <c r="G31" s="780"/>
      <c r="H31" s="440" t="e">
        <f>LOOKUP(G31,91:91,92:92)-LOOKUP(C31,91:91,92:92)+100</f>
        <v>#N/A</v>
      </c>
      <c r="I31" s="780"/>
      <c r="J31" s="440" t="e">
        <f>LOOKUP(I31,91:91,92:92)-LOOKUP(C31,91:91,92:92)+100</f>
        <v>#N/A</v>
      </c>
      <c r="K31" s="484"/>
      <c r="L31" s="2010"/>
      <c r="M31" s="2011"/>
      <c r="N31" s="2011"/>
      <c r="O31" s="2012"/>
      <c r="P31" s="3415"/>
      <c r="Q31" s="1049" t="str">
        <f t="shared" si="8"/>
        <v>停车位面积</v>
      </c>
      <c r="R31" s="1456" t="s">
        <v>8</v>
      </c>
      <c r="S31" s="1457" t="e">
        <f t="shared" si="9"/>
        <v>#N/A</v>
      </c>
      <c r="T31" s="1456" t="s">
        <v>8</v>
      </c>
      <c r="U31" s="1457" t="e">
        <f t="shared" si="10"/>
        <v>#N/A</v>
      </c>
      <c r="V31" s="1456" t="s">
        <v>8</v>
      </c>
      <c r="W31" s="1457" t="e">
        <f t="shared" si="11"/>
        <v>#N/A</v>
      </c>
      <c r="X31" s="1458"/>
      <c r="Y31" s="3415"/>
      <c r="Z31" s="1048" t="str">
        <f t="shared" si="12"/>
        <v>停车位面积</v>
      </c>
      <c r="AA31" s="1459" t="e">
        <f t="shared" si="3"/>
        <v>#N/A</v>
      </c>
      <c r="AB31" s="1459" t="e">
        <f t="shared" si="4"/>
        <v>#N/A</v>
      </c>
      <c r="AC31" s="1459" t="e">
        <f t="shared" si="5"/>
        <v>#N/A</v>
      </c>
    </row>
    <row r="32" spans="1:29" ht="15">
      <c r="A32" s="831"/>
      <c r="B32" s="482" t="s">
        <v>751</v>
      </c>
      <c r="C32" s="474"/>
      <c r="D32" s="440">
        <v>100</v>
      </c>
      <c r="E32" s="474"/>
      <c r="F32" s="475">
        <f>SUMIF(93:93,E32,94:94)-SUMIF(93:93,C32,94:94)+100</f>
        <v>100</v>
      </c>
      <c r="G32" s="474"/>
      <c r="H32" s="440">
        <f>SUMIF(93:93,G32,94:94)-SUMIF(93:93,C32,94:94)+100</f>
        <v>100</v>
      </c>
      <c r="I32" s="474"/>
      <c r="J32" s="440">
        <f>SUMIF(93:93,I32,94:94)-SUMIF(93:93,C32,94:94)+100</f>
        <v>100</v>
      </c>
      <c r="K32" s="484"/>
      <c r="L32" s="2017"/>
      <c r="M32" s="2009"/>
      <c r="N32" s="2009"/>
      <c r="O32" s="2016"/>
      <c r="P32" s="3415" t="s">
        <v>490</v>
      </c>
      <c r="Q32" s="1460" t="str">
        <f t="shared" si="8"/>
        <v>车位类型</v>
      </c>
      <c r="R32" s="1461" t="s">
        <v>8</v>
      </c>
      <c r="S32" s="1462">
        <f t="shared" si="9"/>
        <v>100</v>
      </c>
      <c r="T32" s="1461" t="s">
        <v>8</v>
      </c>
      <c r="U32" s="1462">
        <f t="shared" si="10"/>
        <v>100</v>
      </c>
      <c r="V32" s="1461" t="s">
        <v>8</v>
      </c>
      <c r="W32" s="1462">
        <f t="shared" si="11"/>
        <v>100</v>
      </c>
      <c r="X32" s="1455"/>
      <c r="Y32" s="3415" t="s">
        <v>490</v>
      </c>
      <c r="Z32" s="1463" t="str">
        <f t="shared" si="12"/>
        <v>车位类型</v>
      </c>
      <c r="AA32" s="1464">
        <f t="shared" si="3"/>
        <v>1</v>
      </c>
      <c r="AB32" s="1464">
        <f t="shared" si="4"/>
        <v>1</v>
      </c>
      <c r="AC32" s="1464">
        <f t="shared" si="5"/>
        <v>1</v>
      </c>
    </row>
    <row r="33" spans="1:29" ht="15">
      <c r="A33" s="831"/>
      <c r="B33" s="482" t="s">
        <v>752</v>
      </c>
      <c r="C33" s="474"/>
      <c r="D33" s="440">
        <v>100</v>
      </c>
      <c r="E33" s="474"/>
      <c r="F33" s="475">
        <f>SUMIF(95:95,E33,96:96)-SUMIF(95:95,C33,96:96)+100</f>
        <v>100</v>
      </c>
      <c r="G33" s="474"/>
      <c r="H33" s="440">
        <f>SUMIF(95:95,G33,96:96)-SUMIF(95:95,C33,96:96)+100</f>
        <v>100</v>
      </c>
      <c r="I33" s="474"/>
      <c r="J33" s="440">
        <f>SUMIF(95:95,I33,96:96)-SUMIF(95:95,C33,96:96)+100</f>
        <v>100</v>
      </c>
      <c r="K33" s="484"/>
      <c r="L33" s="2017"/>
      <c r="M33" s="2009"/>
      <c r="N33" s="2009"/>
      <c r="O33" s="2016"/>
      <c r="P33" s="3415"/>
      <c r="Q33" s="1460" t="str">
        <f t="shared" si="8"/>
        <v>是否直接入户</v>
      </c>
      <c r="R33" s="1461" t="s">
        <v>8</v>
      </c>
      <c r="S33" s="1462">
        <f t="shared" si="9"/>
        <v>100</v>
      </c>
      <c r="T33" s="1461" t="s">
        <v>8</v>
      </c>
      <c r="U33" s="1462">
        <f t="shared" si="10"/>
        <v>100</v>
      </c>
      <c r="V33" s="1461" t="s">
        <v>8</v>
      </c>
      <c r="W33" s="1462">
        <f t="shared" si="11"/>
        <v>100</v>
      </c>
      <c r="X33" s="1455"/>
      <c r="Y33" s="3415"/>
      <c r="Z33" s="1463" t="str">
        <f t="shared" si="12"/>
        <v>是否直接入户</v>
      </c>
      <c r="AA33" s="1464">
        <f t="shared" si="3"/>
        <v>1</v>
      </c>
      <c r="AB33" s="1464">
        <f t="shared" si="4"/>
        <v>1</v>
      </c>
      <c r="AC33" s="1464">
        <f t="shared" si="5"/>
        <v>1</v>
      </c>
    </row>
    <row r="34" spans="1:29" ht="15">
      <c r="A34" s="831"/>
      <c r="B34" s="825">
        <v>111</v>
      </c>
      <c r="C34" s="428"/>
      <c r="D34" s="440">
        <v>100</v>
      </c>
      <c r="E34" s="428"/>
      <c r="F34" s="475">
        <f>SUMIF(97:97,E34,98:98)-SUMIF(97:97,C34,98:98)+100</f>
        <v>100</v>
      </c>
      <c r="G34" s="428"/>
      <c r="H34" s="440">
        <f>SUMIF(97:97,G34,98:98)-SUMIF(97:97,C34,98:98)+100</f>
        <v>100</v>
      </c>
      <c r="I34" s="428"/>
      <c r="J34" s="440">
        <f>SUMIF(97:97,I34,98:98)-SUMIF(97:97,C34,98:98)+100</f>
        <v>100</v>
      </c>
      <c r="K34" s="481"/>
      <c r="L34" s="2017"/>
      <c r="M34" s="2009"/>
      <c r="N34" s="2009"/>
      <c r="O34" s="2016"/>
      <c r="P34" s="3415"/>
      <c r="Q34" s="1460">
        <f t="shared" si="8"/>
        <v>111</v>
      </c>
      <c r="R34" s="1461" t="s">
        <v>8</v>
      </c>
      <c r="S34" s="1462">
        <f t="shared" si="9"/>
        <v>100</v>
      </c>
      <c r="T34" s="1461" t="s">
        <v>8</v>
      </c>
      <c r="U34" s="1462">
        <f t="shared" si="10"/>
        <v>100</v>
      </c>
      <c r="V34" s="1461" t="s">
        <v>8</v>
      </c>
      <c r="W34" s="1462">
        <f t="shared" si="11"/>
        <v>100</v>
      </c>
      <c r="X34" s="1455"/>
      <c r="Y34" s="3415"/>
      <c r="Z34" s="1463">
        <f t="shared" si="12"/>
        <v>111</v>
      </c>
      <c r="AA34" s="1464">
        <f t="shared" si="3"/>
        <v>1</v>
      </c>
      <c r="AB34" s="1464">
        <f t="shared" si="4"/>
        <v>1</v>
      </c>
      <c r="AC34" s="1464">
        <f t="shared" si="5"/>
        <v>1</v>
      </c>
    </row>
    <row r="35" spans="1:29" s="1227" customFormat="1" ht="15">
      <c r="A35" s="829"/>
      <c r="B35" s="825">
        <v>111</v>
      </c>
      <c r="C35" s="428"/>
      <c r="D35" s="440">
        <v>100</v>
      </c>
      <c r="E35" s="428"/>
      <c r="F35" s="475">
        <f>SUMIF(99:99,E35,100:100)-SUMIF(99:99,C35,100:100)+100</f>
        <v>100</v>
      </c>
      <c r="G35" s="428"/>
      <c r="H35" s="440">
        <f>SUMIF(99:99,G35,100:100)-SUMIF(99:99,C35,100:100)+100</f>
        <v>100</v>
      </c>
      <c r="I35" s="428"/>
      <c r="J35" s="440">
        <f>SUMIF(99:99,I35,100:100)-SUMIF(99:99,C35,100:100)+100</f>
        <v>100</v>
      </c>
      <c r="K35" s="481"/>
      <c r="L35" s="2015"/>
      <c r="M35" s="2046"/>
      <c r="N35" s="2046"/>
      <c r="O35" s="2018"/>
      <c r="P35" s="3415"/>
      <c r="Q35" s="1493">
        <f t="shared" si="8"/>
        <v>111</v>
      </c>
      <c r="R35" s="1465" t="s">
        <v>8</v>
      </c>
      <c r="S35" s="1466">
        <f t="shared" si="9"/>
        <v>100</v>
      </c>
      <c r="T35" s="1465" t="s">
        <v>8</v>
      </c>
      <c r="U35" s="1466">
        <f t="shared" si="10"/>
        <v>100</v>
      </c>
      <c r="V35" s="1465" t="s">
        <v>8</v>
      </c>
      <c r="W35" s="1466">
        <f t="shared" si="11"/>
        <v>100</v>
      </c>
      <c r="X35" s="1467"/>
      <c r="Y35" s="3415"/>
      <c r="Z35" s="1468">
        <f t="shared" si="12"/>
        <v>111</v>
      </c>
      <c r="AA35" s="1464">
        <f t="shared" si="3"/>
        <v>1</v>
      </c>
      <c r="AB35" s="1464">
        <f t="shared" si="4"/>
        <v>1</v>
      </c>
      <c r="AC35" s="1464">
        <f t="shared" si="5"/>
        <v>1</v>
      </c>
    </row>
    <row r="36" spans="1:29" ht="15.75" thickBot="1">
      <c r="A36" s="834"/>
      <c r="B36" s="814">
        <v>111</v>
      </c>
      <c r="C36" s="439"/>
      <c r="D36" s="440">
        <v>100</v>
      </c>
      <c r="E36" s="428"/>
      <c r="F36" s="475">
        <f>SUMIF(101:101,E36,102:102)-SUMIF(101:101,C36,102:102)+100</f>
        <v>100</v>
      </c>
      <c r="G36" s="428"/>
      <c r="H36" s="440">
        <f>SUMIF(101:101,G36,102:102)-SUMIF(101:101,C36,102:102)+100</f>
        <v>100</v>
      </c>
      <c r="I36" s="428"/>
      <c r="J36" s="440">
        <f>SUMIF(101:101,I36,102:102)-SUMIF(101:101,C36,102:102)+100</f>
        <v>100</v>
      </c>
      <c r="K36" s="481"/>
      <c r="L36" s="2017"/>
      <c r="M36" s="2009"/>
      <c r="N36" s="2009"/>
      <c r="O36" s="2016"/>
      <c r="P36" s="3415"/>
      <c r="Q36" s="1460">
        <f t="shared" si="8"/>
        <v>111</v>
      </c>
      <c r="R36" s="1461" t="s">
        <v>8</v>
      </c>
      <c r="S36" s="1462">
        <f t="shared" si="9"/>
        <v>100</v>
      </c>
      <c r="T36" s="1461" t="s">
        <v>8</v>
      </c>
      <c r="U36" s="1462">
        <f t="shared" si="10"/>
        <v>100</v>
      </c>
      <c r="V36" s="1461" t="s">
        <v>8</v>
      </c>
      <c r="W36" s="1462">
        <f t="shared" si="11"/>
        <v>100</v>
      </c>
      <c r="X36" s="1455"/>
      <c r="Y36" s="3415"/>
      <c r="Z36" s="1463">
        <f t="shared" si="12"/>
        <v>111</v>
      </c>
      <c r="AA36" s="1464">
        <f t="shared" si="3"/>
        <v>1</v>
      </c>
      <c r="AB36" s="1464">
        <f t="shared" si="4"/>
        <v>1</v>
      </c>
      <c r="AC36" s="1464">
        <f t="shared" si="5"/>
        <v>1</v>
      </c>
    </row>
    <row r="37" spans="1:29" ht="15">
      <c r="A37" s="1728" t="s">
        <v>2009</v>
      </c>
      <c r="B37" s="1729" t="s">
        <v>2010</v>
      </c>
      <c r="C37" s="2492" t="s">
        <v>1</v>
      </c>
      <c r="D37" s="2493"/>
      <c r="E37" s="2494"/>
      <c r="F37" s="2495"/>
      <c r="G37" s="2496"/>
      <c r="H37" s="2497"/>
      <c r="I37" s="2494"/>
      <c r="J37" s="2497"/>
      <c r="K37" s="1499"/>
      <c r="L37" s="2019"/>
      <c r="M37" s="2020"/>
      <c r="N37" s="2009"/>
      <c r="O37" s="2020"/>
      <c r="P37" s="3378" t="str">
        <f>A37</f>
        <v>成交单价</v>
      </c>
      <c r="Q37" s="3378"/>
      <c r="R37" s="3489">
        <f>E37</f>
        <v>0</v>
      </c>
      <c r="S37" s="3489"/>
      <c r="T37" s="3489">
        <f>G37</f>
        <v>0</v>
      </c>
      <c r="U37" s="3489"/>
      <c r="V37" s="3489">
        <f>I37</f>
        <v>0</v>
      </c>
      <c r="W37" s="3489"/>
      <c r="X37" s="1447"/>
      <c r="Y37" s="1469"/>
      <c r="Z37" s="1447"/>
      <c r="AA37" s="1447"/>
      <c r="AB37" s="1447"/>
      <c r="AC37" s="1447"/>
    </row>
    <row r="38" spans="1:29" ht="15.75" thickBot="1">
      <c r="A38" s="515" t="s">
        <v>2688</v>
      </c>
      <c r="B38" s="788"/>
      <c r="C38" s="2498" t="e">
        <f>R39</f>
        <v>#DIV/0!</v>
      </c>
      <c r="D38" s="2499"/>
      <c r="E38" s="2500" t="e">
        <f>R38</f>
        <v>#DIV/0!</v>
      </c>
      <c r="F38" s="2500"/>
      <c r="G38" s="2498" t="e">
        <f>T38</f>
        <v>#DIV/0!</v>
      </c>
      <c r="H38" s="2499"/>
      <c r="I38" s="2500" t="e">
        <f>V38</f>
        <v>#DIV/0!</v>
      </c>
      <c r="J38" s="2499"/>
      <c r="K38" s="1500"/>
      <c r="L38" s="2019"/>
      <c r="M38" s="2020"/>
      <c r="N38" s="2020"/>
      <c r="O38" s="2020"/>
      <c r="P38" s="3378" t="str">
        <f>A38</f>
        <v>比较价格（元/平方米）</v>
      </c>
      <c r="Q38" s="3378"/>
      <c r="R38" s="3489" t="e">
        <f>IF(F1="售价",ROUND(PRODUCT(R37,AA7:AA36),0),ROUND(PRODUCT(R37,AA7:AA36),1))</f>
        <v>#DIV/0!</v>
      </c>
      <c r="S38" s="3489"/>
      <c r="T38" s="3489" t="e">
        <f>IF(F1="售价",ROUND(PRODUCT(T37,AB7:AB36),0),ROUND(PRODUCT(T37,AB7:AB36),1))</f>
        <v>#DIV/0!</v>
      </c>
      <c r="U38" s="3489"/>
      <c r="V38" s="3489" t="e">
        <f>IF(F1="售价",ROUND(PRODUCT(V37,AC7:AC36),0),ROUND(PRODUCT(V37,AC7:AC36),1))</f>
        <v>#DIV/0!</v>
      </c>
      <c r="W38" s="3489"/>
      <c r="X38" s="1447"/>
      <c r="Y38" s="1447"/>
      <c r="Z38" s="1447"/>
      <c r="AA38" s="1447"/>
      <c r="AB38" s="1447"/>
      <c r="AC38" s="1447"/>
    </row>
    <row r="39" spans="1:29" ht="15.75" thickBot="1">
      <c r="A39" s="521" t="s">
        <v>2847</v>
      </c>
      <c r="B39" s="522"/>
      <c r="C39" s="2501" t="e">
        <f>R39</f>
        <v>#DIV/0!</v>
      </c>
      <c r="D39" s="2501"/>
      <c r="E39" s="2501"/>
      <c r="F39" s="2501"/>
      <c r="G39" s="2501"/>
      <c r="H39" s="2501"/>
      <c r="I39" s="2501"/>
      <c r="J39" s="2501"/>
      <c r="K39" s="1501"/>
      <c r="L39" s="2019"/>
      <c r="M39" s="2020"/>
      <c r="N39" s="2020"/>
      <c r="O39" s="2020"/>
      <c r="P39" s="3375" t="str">
        <f>A39</f>
        <v>估价对象XX用房的比较价格（楼面单价，元/平方米）</v>
      </c>
      <c r="Q39" s="3376"/>
      <c r="R39" s="3488" t="e">
        <f>IF(F1="售价",ROUND(AVERAGE(R38:V38),0),ROUND(AVERAGE(R38:V38),1))</f>
        <v>#DIV/0!</v>
      </c>
      <c r="S39" s="3488"/>
      <c r="T39" s="3488"/>
      <c r="U39" s="3488"/>
      <c r="V39" s="3488"/>
      <c r="W39" s="3488"/>
      <c r="X39" s="1447"/>
      <c r="Y39" s="1447"/>
      <c r="Z39" s="1447"/>
      <c r="AA39" s="1447"/>
      <c r="AB39" s="1447"/>
      <c r="AC39" s="1447"/>
    </row>
    <row r="40" spans="1:29">
      <c r="A40" s="2020"/>
      <c r="B40" s="2020"/>
      <c r="C40" s="2020"/>
      <c r="D40" s="2020"/>
      <c r="E40" s="2020"/>
      <c r="F40" s="2020"/>
      <c r="G40" s="2023"/>
      <c r="H40" s="2020"/>
      <c r="I40" s="2020"/>
      <c r="J40" s="2020"/>
      <c r="K40" s="2024"/>
      <c r="L40" s="2025"/>
      <c r="M40" s="2020"/>
      <c r="N40" s="2020"/>
      <c r="O40" s="2020"/>
      <c r="P40" s="2020"/>
      <c r="Q40" s="2020"/>
      <c r="R40" s="2020"/>
      <c r="S40" s="2020"/>
      <c r="T40" s="2020"/>
      <c r="U40" s="2020"/>
      <c r="V40" s="2020"/>
      <c r="W40" s="2020"/>
      <c r="X40" s="2020"/>
      <c r="Y40" s="2020"/>
      <c r="Z40" s="2020"/>
      <c r="AA40" s="2020"/>
      <c r="AB40" s="2020"/>
      <c r="AC40" s="2020"/>
    </row>
    <row r="41" spans="1:29">
      <c r="A41" s="2020"/>
      <c r="B41" s="2020"/>
      <c r="C41" s="2020"/>
      <c r="D41" s="2020"/>
      <c r="E41" s="2020"/>
      <c r="F41" s="2020"/>
      <c r="G41" s="2020"/>
      <c r="H41" s="2020"/>
      <c r="I41" s="2020"/>
      <c r="J41" s="2020"/>
      <c r="K41" s="2024"/>
      <c r="L41" s="2025"/>
      <c r="M41" s="2020"/>
      <c r="N41" s="2020"/>
      <c r="O41" s="2020"/>
      <c r="P41" s="2020"/>
      <c r="Q41" s="2020"/>
      <c r="R41" s="2020"/>
      <c r="S41" s="2020"/>
      <c r="T41" s="2020"/>
      <c r="U41" s="2020"/>
      <c r="V41" s="2020"/>
      <c r="W41" s="2020"/>
      <c r="X41" s="2020"/>
      <c r="Y41" s="2020"/>
      <c r="Z41" s="2020"/>
      <c r="AA41" s="2020"/>
      <c r="AB41" s="2020"/>
      <c r="AC41" s="2020"/>
    </row>
    <row r="42" spans="1:29" ht="13.5" customHeight="1">
      <c r="A42" s="2020"/>
      <c r="B42" s="2020"/>
      <c r="C42" s="524" t="s">
        <v>497</v>
      </c>
      <c r="D42" s="525"/>
      <c r="E42" s="526" t="e">
        <f>IF(E37&lt;E38,E38/E37-1,E37/E38-1)</f>
        <v>#DIV/0!</v>
      </c>
      <c r="F42" s="527" t="e">
        <f>IF(OR(E42&gt;=0.3,E42&lt;=-0.3),"超过30%","")</f>
        <v>#DIV/0!</v>
      </c>
      <c r="G42" s="526" t="e">
        <f>IF(G37&lt;G38,G38/G37-1,G37/G38-1)</f>
        <v>#DIV/0!</v>
      </c>
      <c r="H42" s="527" t="e">
        <f>IF(OR(G42&gt;=0.3,G42&lt;=-0.3),"超过30%","")</f>
        <v>#DIV/0!</v>
      </c>
      <c r="I42" s="526" t="e">
        <f>IF(I37&lt;I38,I38/I37-1,I37/I38-1)</f>
        <v>#DIV/0!</v>
      </c>
      <c r="J42" s="527" t="e">
        <f>IF(OR(I42&gt;=0.3,I42&lt;=-0.3),"超过30%","")</f>
        <v>#DIV/0!</v>
      </c>
      <c r="K42" s="2024"/>
      <c r="L42" s="2025"/>
      <c r="M42" s="2020"/>
      <c r="N42" s="2020"/>
      <c r="O42" s="2020"/>
      <c r="P42" s="2020"/>
      <c r="Q42" s="2020"/>
      <c r="R42" s="2020"/>
      <c r="S42" s="2020"/>
      <c r="T42" s="2020"/>
      <c r="U42" s="2020"/>
      <c r="V42" s="2020"/>
      <c r="W42" s="2020"/>
      <c r="X42" s="2020"/>
      <c r="Y42" s="2020"/>
      <c r="Z42" s="2020"/>
      <c r="AA42" s="2020"/>
      <c r="AB42" s="2020"/>
      <c r="AC42" s="2020"/>
    </row>
    <row r="43" spans="1:29" ht="13.5" customHeight="1">
      <c r="A43" s="2020"/>
      <c r="B43" s="2020"/>
      <c r="C43" s="524" t="s">
        <v>498</v>
      </c>
      <c r="D43" s="528"/>
      <c r="E43" s="526" t="e">
        <f>IF(E38&lt;G38,G38/E38-1,E38/G38-1)</f>
        <v>#DIV/0!</v>
      </c>
      <c r="F43" s="527" t="e">
        <f>IF(OR(E43&gt;=0.2,E43&lt;=-0.2),"超过20%","")</f>
        <v>#DIV/0!</v>
      </c>
      <c r="G43" s="526" t="e">
        <f>IF(G38&lt;I38,I38/G38-1,G38/I38-1)</f>
        <v>#DIV/0!</v>
      </c>
      <c r="H43" s="527" t="e">
        <f>IF(OR(G43&gt;=0.2,G43&lt;=-0.2),"超过20%","")</f>
        <v>#DIV/0!</v>
      </c>
      <c r="I43" s="526" t="e">
        <f>IF(I38&lt;E38,E38/I38-1,I38/E38-1)</f>
        <v>#DIV/0!</v>
      </c>
      <c r="J43" s="527" t="e">
        <f>IF(OR(I43&gt;=0.2,I43&lt;=-0.2),"超过20%","")</f>
        <v>#DIV/0!</v>
      </c>
      <c r="K43" s="2024"/>
      <c r="L43" s="2025"/>
      <c r="M43" s="2020"/>
      <c r="N43" s="2020"/>
      <c r="O43" s="2020"/>
      <c r="P43" s="2020"/>
      <c r="Q43" s="2020"/>
      <c r="R43" s="2020"/>
      <c r="S43" s="2020"/>
      <c r="T43" s="2020"/>
      <c r="U43" s="2020"/>
      <c r="V43" s="2020"/>
      <c r="W43" s="2020"/>
      <c r="X43" s="2020"/>
      <c r="Y43" s="2020"/>
      <c r="Z43" s="2020"/>
      <c r="AA43" s="2020"/>
      <c r="AB43" s="2020"/>
      <c r="AC43" s="2020"/>
    </row>
    <row r="44" spans="1:29" s="1233" customFormat="1" ht="13.5" customHeight="1">
      <c r="A44" s="2021"/>
      <c r="B44" s="2021"/>
      <c r="C44" s="524" t="s">
        <v>499</v>
      </c>
      <c r="D44" s="528"/>
      <c r="E44" s="526" t="e">
        <f>IF(E37&lt;G37,G37/E37-1,E37/G37-1)</f>
        <v>#DIV/0!</v>
      </c>
      <c r="F44" s="527" t="e">
        <f>IF(OR(E44&gt;=0.3,E44&lt;=-0.3),"超过30%","")</f>
        <v>#DIV/0!</v>
      </c>
      <c r="G44" s="526" t="e">
        <f>IF(G37&lt;I37,I37/G37-1,G37/I37-1)</f>
        <v>#DIV/0!</v>
      </c>
      <c r="H44" s="527" t="e">
        <f>IF(OR(G44&gt;=0.3,G44&lt;=-0.3),"超过30%","")</f>
        <v>#DIV/0!</v>
      </c>
      <c r="I44" s="526" t="e">
        <f>IF(I37&lt;E37,E37/I37-1,I37/E37-1)</f>
        <v>#DIV/0!</v>
      </c>
      <c r="J44" s="527" t="e">
        <f>IF(OR(I44&gt;=0.3,I44&lt;=-0.3),"超过30%","")</f>
        <v>#DIV/0!</v>
      </c>
      <c r="K44" s="2027"/>
      <c r="L44" s="2028"/>
      <c r="M44" s="2021"/>
      <c r="N44" s="2021"/>
      <c r="O44" s="2021"/>
      <c r="P44" s="2021"/>
      <c r="Q44" s="2021"/>
      <c r="R44" s="2021"/>
      <c r="S44" s="2021"/>
      <c r="T44" s="2021"/>
      <c r="U44" s="2021"/>
      <c r="V44" s="2021"/>
      <c r="W44" s="2021"/>
      <c r="X44" s="2021"/>
      <c r="Y44" s="2021"/>
      <c r="Z44" s="2021"/>
      <c r="AA44" s="2021"/>
      <c r="AB44" s="2021"/>
      <c r="AC44" s="2021"/>
    </row>
    <row r="45" spans="1:29" s="1233" customFormat="1">
      <c r="A45" s="2021"/>
      <c r="B45" s="2022"/>
      <c r="C45" s="2026"/>
      <c r="D45" s="2021"/>
      <c r="E45" s="2021"/>
      <c r="F45" s="2021"/>
      <c r="G45" s="2021"/>
      <c r="H45" s="2021"/>
      <c r="I45" s="2021"/>
      <c r="J45" s="2021"/>
      <c r="K45" s="2027"/>
      <c r="L45" s="2028"/>
      <c r="M45" s="2021"/>
      <c r="N45" s="2021"/>
      <c r="O45" s="2021"/>
      <c r="P45" s="2021"/>
      <c r="Q45" s="2021"/>
      <c r="R45" s="2021"/>
      <c r="S45" s="2021"/>
      <c r="T45" s="2021"/>
      <c r="U45" s="2021"/>
      <c r="V45" s="2021"/>
      <c r="W45" s="2021"/>
      <c r="X45" s="2021"/>
      <c r="Y45" s="2021"/>
      <c r="Z45" s="2021"/>
      <c r="AA45" s="2021"/>
      <c r="AB45" s="2021"/>
      <c r="AC45" s="2021"/>
    </row>
    <row r="46" spans="1:29">
      <c r="A46" s="2020"/>
      <c r="B46" s="2022"/>
      <c r="C46" s="2026"/>
      <c r="D46" s="2020"/>
      <c r="E46" s="2020"/>
      <c r="F46" s="2020"/>
      <c r="G46" s="2020"/>
      <c r="H46" s="2020"/>
      <c r="I46" s="2020"/>
      <c r="J46" s="2020"/>
      <c r="K46" s="2024"/>
      <c r="L46" s="2025"/>
      <c r="M46" s="2020"/>
      <c r="N46" s="2020"/>
      <c r="O46" s="2020"/>
      <c r="P46" s="2020"/>
      <c r="Q46" s="2020"/>
      <c r="R46" s="2020"/>
      <c r="S46" s="2020"/>
      <c r="T46" s="2020"/>
      <c r="U46" s="2020"/>
      <c r="V46" s="2020"/>
      <c r="W46" s="2020"/>
      <c r="X46" s="2020"/>
      <c r="Y46" s="2020"/>
      <c r="Z46" s="2020"/>
      <c r="AA46" s="2020"/>
      <c r="AB46" s="2020"/>
      <c r="AC46" s="2020"/>
    </row>
    <row r="47" spans="1:29" ht="21.75" thickBot="1">
      <c r="A47" s="1472" t="s">
        <v>514</v>
      </c>
      <c r="B47" s="1447"/>
      <c r="C47" s="2032"/>
      <c r="D47" s="2032"/>
      <c r="E47" s="2032"/>
      <c r="F47" s="2097"/>
      <c r="G47" s="2097"/>
      <c r="H47" s="2032"/>
      <c r="I47" s="2032"/>
      <c r="J47" s="2032"/>
      <c r="K47" s="2098"/>
      <c r="L47" s="2099"/>
      <c r="M47" s="2032"/>
      <c r="N47" s="2032"/>
      <c r="O47" s="2032"/>
      <c r="P47" s="2032"/>
      <c r="Q47" s="2033"/>
      <c r="R47" s="2020"/>
      <c r="S47" s="2020"/>
      <c r="T47" s="2020"/>
      <c r="U47" s="2020"/>
      <c r="V47" s="2020"/>
      <c r="W47" s="2020"/>
      <c r="X47" s="2020"/>
      <c r="Y47" s="2020"/>
      <c r="Z47" s="2020"/>
      <c r="AA47" s="2020"/>
      <c r="AB47" s="2020"/>
      <c r="AC47" s="2020"/>
    </row>
    <row r="48" spans="1:29" s="1235" customFormat="1" ht="15">
      <c r="A48" s="545" t="s">
        <v>469</v>
      </c>
      <c r="B48" s="546"/>
      <c r="C48" s="2667" t="str">
        <f>YEAR(C7)&amp;"-"&amp;MONTH(C7)</f>
        <v>2018-5</v>
      </c>
      <c r="D48" s="2669">
        <f>EDATE(C48,-1)</f>
        <v>43191</v>
      </c>
      <c r="E48" s="2669">
        <f t="shared" ref="E48:O48" si="13">EDATE(D48,-1)</f>
        <v>43160</v>
      </c>
      <c r="F48" s="2669">
        <f t="shared" si="13"/>
        <v>43132</v>
      </c>
      <c r="G48" s="2669">
        <f t="shared" si="13"/>
        <v>43101</v>
      </c>
      <c r="H48" s="2669">
        <f t="shared" si="13"/>
        <v>43070</v>
      </c>
      <c r="I48" s="2669">
        <f t="shared" si="13"/>
        <v>43040</v>
      </c>
      <c r="J48" s="2669">
        <f t="shared" si="13"/>
        <v>43009</v>
      </c>
      <c r="K48" s="2669">
        <f t="shared" si="13"/>
        <v>42979</v>
      </c>
      <c r="L48" s="2669">
        <f t="shared" si="13"/>
        <v>42948</v>
      </c>
      <c r="M48" s="2669">
        <f t="shared" si="13"/>
        <v>42917</v>
      </c>
      <c r="N48" s="2669">
        <f t="shared" si="13"/>
        <v>42887</v>
      </c>
      <c r="O48" s="2669">
        <f t="shared" si="13"/>
        <v>42856</v>
      </c>
      <c r="P48" s="2035"/>
      <c r="Q48" s="2036"/>
      <c r="R48" s="2036"/>
      <c r="S48" s="2036"/>
      <c r="T48" s="2036"/>
      <c r="U48" s="2036"/>
      <c r="V48" s="2036"/>
      <c r="W48" s="2036"/>
      <c r="X48" s="2036"/>
      <c r="Y48" s="2036"/>
      <c r="Z48" s="2036"/>
      <c r="AA48" s="2036"/>
      <c r="AB48" s="2036"/>
      <c r="AC48" s="2036"/>
    </row>
    <row r="49" spans="1:29" s="1108" customFormat="1" ht="15">
      <c r="A49" s="547"/>
      <c r="B49" s="548"/>
      <c r="C49" s="2668">
        <v>100</v>
      </c>
      <c r="D49" s="550"/>
      <c r="E49" s="550"/>
      <c r="F49" s="550"/>
      <c r="G49" s="550"/>
      <c r="H49" s="550"/>
      <c r="I49" s="550"/>
      <c r="J49" s="550"/>
      <c r="K49" s="550"/>
      <c r="L49" s="550"/>
      <c r="M49" s="551"/>
      <c r="N49" s="550"/>
      <c r="O49" s="552"/>
      <c r="P49" s="2033"/>
      <c r="Q49" s="1872"/>
      <c r="R49" s="1872"/>
      <c r="S49" s="1872"/>
      <c r="T49" s="1872"/>
      <c r="U49" s="1872"/>
      <c r="V49" s="1872"/>
      <c r="W49" s="1872"/>
      <c r="X49" s="1872"/>
      <c r="Y49" s="1872"/>
      <c r="Z49" s="1872"/>
      <c r="AA49" s="1872"/>
      <c r="AB49" s="1872"/>
      <c r="AC49" s="1872"/>
    </row>
    <row r="50" spans="1:29" s="1108" customFormat="1" ht="15.75" thickBot="1">
      <c r="A50" s="553" t="s">
        <v>515</v>
      </c>
      <c r="B50" s="554"/>
      <c r="C50" s="555"/>
      <c r="D50" s="556"/>
      <c r="E50" s="556"/>
      <c r="F50" s="556"/>
      <c r="G50" s="556"/>
      <c r="H50" s="556"/>
      <c r="I50" s="556"/>
      <c r="J50" s="556"/>
      <c r="K50" s="556"/>
      <c r="L50" s="556"/>
      <c r="M50" s="557"/>
      <c r="N50" s="556"/>
      <c r="O50" s="558"/>
      <c r="P50" s="2033"/>
      <c r="Q50" s="2033"/>
      <c r="R50" s="1872"/>
      <c r="S50" s="1872"/>
      <c r="T50" s="1872"/>
      <c r="U50" s="1872"/>
      <c r="V50" s="1872"/>
      <c r="W50" s="1872"/>
      <c r="X50" s="1872"/>
      <c r="Y50" s="1872"/>
      <c r="Z50" s="1872"/>
      <c r="AA50" s="1872"/>
      <c r="AB50" s="1872"/>
      <c r="AC50" s="1872"/>
    </row>
    <row r="51" spans="1:29" s="1108" customFormat="1" ht="15">
      <c r="A51" s="559" t="s">
        <v>471</v>
      </c>
      <c r="B51" s="548"/>
      <c r="C51" s="560" t="s">
        <v>516</v>
      </c>
      <c r="D51" s="561"/>
      <c r="E51" s="561"/>
      <c r="F51" s="561"/>
      <c r="G51" s="561"/>
      <c r="H51" s="561"/>
      <c r="I51" s="561"/>
      <c r="J51" s="561"/>
      <c r="K51" s="561"/>
      <c r="L51" s="562"/>
      <c r="M51" s="563"/>
      <c r="N51" s="2037"/>
      <c r="O51" s="2037"/>
      <c r="P51" s="2038"/>
      <c r="Q51" s="2033"/>
      <c r="R51" s="1872"/>
      <c r="S51" s="1872"/>
      <c r="T51" s="1872"/>
      <c r="U51" s="1872"/>
      <c r="V51" s="1872"/>
      <c r="W51" s="1872"/>
      <c r="X51" s="1872"/>
      <c r="Y51" s="1872"/>
      <c r="Z51" s="1872"/>
      <c r="AA51" s="1872"/>
      <c r="AB51" s="1872"/>
      <c r="AC51" s="1872"/>
    </row>
    <row r="52" spans="1:29" s="1108" customFormat="1" ht="15.75" thickBot="1">
      <c r="A52" s="559"/>
      <c r="B52" s="548"/>
      <c r="C52" s="549">
        <v>100</v>
      </c>
      <c r="D52" s="550"/>
      <c r="E52" s="550"/>
      <c r="F52" s="550"/>
      <c r="G52" s="550"/>
      <c r="H52" s="550"/>
      <c r="I52" s="550"/>
      <c r="J52" s="550"/>
      <c r="K52" s="550"/>
      <c r="L52" s="550"/>
      <c r="M52" s="552"/>
      <c r="N52" s="2037"/>
      <c r="O52" s="2037"/>
      <c r="P52" s="2033"/>
      <c r="Q52" s="2033"/>
      <c r="R52" s="1872"/>
      <c r="S52" s="1872"/>
      <c r="T52" s="1872"/>
      <c r="U52" s="1872"/>
      <c r="V52" s="1872"/>
      <c r="W52" s="1872"/>
      <c r="X52" s="1872"/>
      <c r="Y52" s="1872"/>
      <c r="Z52" s="1872"/>
      <c r="AA52" s="1872"/>
      <c r="AB52" s="1872"/>
      <c r="AC52" s="1872"/>
    </row>
    <row r="53" spans="1:29">
      <c r="A53" s="564" t="s">
        <v>517</v>
      </c>
      <c r="B53" s="565" t="s">
        <v>474</v>
      </c>
      <c r="C53" s="604">
        <f>C9</f>
        <v>0</v>
      </c>
      <c r="D53" s="498"/>
      <c r="E53" s="498"/>
      <c r="F53" s="498"/>
      <c r="G53" s="498"/>
      <c r="H53" s="498"/>
      <c r="I53" s="498"/>
      <c r="J53" s="498"/>
      <c r="K53" s="566"/>
      <c r="L53" s="567"/>
      <c r="M53" s="568"/>
      <c r="N53" s="2039"/>
      <c r="O53" s="2039"/>
      <c r="P53" s="2040"/>
      <c r="Q53" s="2033"/>
      <c r="R53" s="2020"/>
      <c r="S53" s="2020"/>
      <c r="T53" s="2020"/>
      <c r="U53" s="2020"/>
      <c r="V53" s="2020"/>
      <c r="W53" s="2020"/>
      <c r="X53" s="2020"/>
      <c r="Y53" s="2020"/>
      <c r="Z53" s="2020"/>
      <c r="AA53" s="2020"/>
      <c r="AB53" s="2020"/>
      <c r="AC53" s="2020"/>
    </row>
    <row r="54" spans="1:29" ht="15.75" thickBot="1">
      <c r="A54" s="569"/>
      <c r="B54" s="570"/>
      <c r="C54" s="571"/>
      <c r="D54" s="571"/>
      <c r="E54" s="571"/>
      <c r="F54" s="571"/>
      <c r="G54" s="571"/>
      <c r="H54" s="571"/>
      <c r="I54" s="571"/>
      <c r="J54" s="571"/>
      <c r="K54" s="571"/>
      <c r="L54" s="571"/>
      <c r="M54" s="572"/>
      <c r="N54" s="2041"/>
      <c r="O54" s="2041"/>
      <c r="P54" s="2040"/>
      <c r="Q54" s="2033"/>
      <c r="R54" s="2020"/>
      <c r="S54" s="2020"/>
      <c r="T54" s="2020"/>
      <c r="U54" s="2020"/>
      <c r="V54" s="2020"/>
      <c r="W54" s="2020"/>
      <c r="X54" s="2020"/>
      <c r="Y54" s="2020"/>
      <c r="Z54" s="2020"/>
      <c r="AA54" s="2020"/>
      <c r="AB54" s="2020"/>
      <c r="AC54" s="2020"/>
    </row>
    <row r="55" spans="1:29" ht="27.75" thickTop="1">
      <c r="A55" s="569"/>
      <c r="B55" s="573" t="s">
        <v>477</v>
      </c>
      <c r="C55" s="574" t="s">
        <v>676</v>
      </c>
      <c r="D55" s="574" t="s">
        <v>677</v>
      </c>
      <c r="E55" s="574" t="s">
        <v>678</v>
      </c>
      <c r="F55" s="574" t="s">
        <v>679</v>
      </c>
      <c r="G55" s="574" t="s">
        <v>680</v>
      </c>
      <c r="H55" s="574" t="s">
        <v>681</v>
      </c>
      <c r="I55" s="574" t="s">
        <v>682</v>
      </c>
      <c r="J55" s="574"/>
      <c r="K55" s="575"/>
      <c r="L55" s="576"/>
      <c r="M55" s="577"/>
      <c r="N55" s="2039"/>
      <c r="O55" s="2039"/>
      <c r="P55" s="2040"/>
      <c r="Q55" s="2033"/>
      <c r="R55" s="2020"/>
      <c r="S55" s="2020"/>
      <c r="T55" s="2020"/>
      <c r="U55" s="2020"/>
      <c r="V55" s="2020"/>
      <c r="W55" s="2020"/>
      <c r="X55" s="2020"/>
      <c r="Y55" s="2020"/>
      <c r="Z55" s="2020"/>
      <c r="AA55" s="2020"/>
      <c r="AB55" s="2020"/>
      <c r="AC55" s="2020"/>
    </row>
    <row r="56" spans="1:29" ht="15.75" thickBot="1">
      <c r="A56" s="569"/>
      <c r="B56" s="578"/>
      <c r="C56" s="579" t="s">
        <v>14</v>
      </c>
      <c r="D56" s="579" t="s">
        <v>15</v>
      </c>
      <c r="E56" s="579">
        <v>100</v>
      </c>
      <c r="F56" s="579">
        <f>E56-$K10</f>
        <v>100</v>
      </c>
      <c r="G56" s="579">
        <f>F56-$K10</f>
        <v>100</v>
      </c>
      <c r="H56" s="579">
        <f>G56-$K10</f>
        <v>100</v>
      </c>
      <c r="I56" s="579">
        <f>H56-$K10</f>
        <v>100</v>
      </c>
      <c r="J56" s="579"/>
      <c r="K56" s="579"/>
      <c r="L56" s="579"/>
      <c r="M56" s="580"/>
      <c r="N56" s="2041"/>
      <c r="O56" s="2041"/>
      <c r="P56" s="2040"/>
      <c r="Q56" s="2033"/>
      <c r="R56" s="2020"/>
      <c r="S56" s="2020"/>
      <c r="T56" s="2020"/>
      <c r="U56" s="2020"/>
      <c r="V56" s="2020"/>
      <c r="W56" s="2020"/>
      <c r="X56" s="2020"/>
      <c r="Y56" s="2020"/>
      <c r="Z56" s="2020"/>
      <c r="AA56" s="2020"/>
      <c r="AB56" s="2020"/>
      <c r="AC56" s="2020"/>
    </row>
    <row r="57" spans="1:29" ht="15.75" thickTop="1">
      <c r="A57" s="569"/>
      <c r="B57" s="835">
        <f>B11</f>
        <v>111</v>
      </c>
      <c r="C57" s="441"/>
      <c r="D57" s="441"/>
      <c r="E57" s="441"/>
      <c r="F57" s="441"/>
      <c r="G57" s="441"/>
      <c r="H57" s="441"/>
      <c r="I57" s="441"/>
      <c r="J57" s="441"/>
      <c r="K57" s="584"/>
      <c r="L57" s="585"/>
      <c r="M57" s="586"/>
      <c r="N57" s="2039"/>
      <c r="O57" s="2039"/>
      <c r="P57" s="2040"/>
      <c r="Q57" s="2033"/>
      <c r="R57" s="2020"/>
      <c r="S57" s="2020"/>
      <c r="T57" s="2020"/>
      <c r="U57" s="2020"/>
      <c r="V57" s="2020"/>
      <c r="W57" s="2020"/>
      <c r="X57" s="2020"/>
      <c r="Y57" s="2020"/>
      <c r="Z57" s="2020"/>
      <c r="AA57" s="2020"/>
      <c r="AB57" s="2020"/>
      <c r="AC57" s="2020"/>
    </row>
    <row r="58" spans="1:29" ht="15.75" thickBot="1">
      <c r="A58" s="569"/>
      <c r="B58" s="570"/>
      <c r="C58" s="592"/>
      <c r="D58" s="571"/>
      <c r="E58" s="571"/>
      <c r="F58" s="571"/>
      <c r="G58" s="571"/>
      <c r="H58" s="571"/>
      <c r="I58" s="571"/>
      <c r="J58" s="571"/>
      <c r="K58" s="571"/>
      <c r="L58" s="571"/>
      <c r="M58" s="572"/>
      <c r="N58" s="2041"/>
      <c r="O58" s="2041"/>
      <c r="P58" s="2040"/>
      <c r="Q58" s="2033"/>
      <c r="R58" s="2020"/>
      <c r="S58" s="2020"/>
      <c r="T58" s="2020"/>
      <c r="U58" s="2020"/>
      <c r="V58" s="2020"/>
      <c r="W58" s="2020"/>
      <c r="X58" s="2020"/>
      <c r="Y58" s="2020"/>
      <c r="Z58" s="2020"/>
      <c r="AA58" s="2020"/>
      <c r="AB58" s="2020"/>
      <c r="AC58" s="2020"/>
    </row>
    <row r="59" spans="1:29" s="1227" customFormat="1" ht="15.75" thickTop="1">
      <c r="A59" s="587"/>
      <c r="B59" s="573">
        <f>B12</f>
        <v>111</v>
      </c>
      <c r="C59" s="441"/>
      <c r="D59" s="441"/>
      <c r="E59" s="441"/>
      <c r="F59" s="441"/>
      <c r="G59" s="588"/>
      <c r="H59" s="589"/>
      <c r="I59" s="589"/>
      <c r="J59" s="589"/>
      <c r="K59" s="589"/>
      <c r="L59" s="590"/>
      <c r="M59" s="591"/>
      <c r="N59" s="2042"/>
      <c r="O59" s="2042"/>
      <c r="P59" s="2043"/>
      <c r="Q59" s="2044"/>
      <c r="R59" s="2045"/>
      <c r="S59" s="2045"/>
      <c r="T59" s="2045"/>
      <c r="U59" s="2045"/>
      <c r="V59" s="2045"/>
      <c r="W59" s="2045"/>
      <c r="X59" s="2045"/>
      <c r="Y59" s="2045"/>
      <c r="Z59" s="2045"/>
      <c r="AA59" s="2045"/>
      <c r="AB59" s="2045"/>
      <c r="AC59" s="2045"/>
    </row>
    <row r="60" spans="1:29" s="1227" customFormat="1" ht="15.75" thickBot="1">
      <c r="A60" s="587"/>
      <c r="B60" s="578"/>
      <c r="C60" s="592"/>
      <c r="D60" s="571"/>
      <c r="E60" s="571"/>
      <c r="F60" s="571"/>
      <c r="G60" s="571"/>
      <c r="H60" s="571"/>
      <c r="I60" s="571"/>
      <c r="J60" s="571"/>
      <c r="K60" s="571"/>
      <c r="L60" s="571"/>
      <c r="M60" s="572"/>
      <c r="N60" s="2041"/>
      <c r="O60" s="2041"/>
      <c r="P60" s="2043"/>
      <c r="Q60" s="2044"/>
      <c r="R60" s="2045"/>
      <c r="S60" s="2045"/>
      <c r="T60" s="2045"/>
      <c r="U60" s="2045"/>
      <c r="V60" s="2045"/>
      <c r="W60" s="2045"/>
      <c r="X60" s="2045"/>
      <c r="Y60" s="2045"/>
      <c r="Z60" s="2045"/>
      <c r="AA60" s="2045"/>
      <c r="AB60" s="2045"/>
      <c r="AC60" s="2045"/>
    </row>
    <row r="61" spans="1:29" s="1227" customFormat="1" ht="15.75" thickTop="1">
      <c r="A61" s="587"/>
      <c r="B61" s="573">
        <f>B13</f>
        <v>111</v>
      </c>
      <c r="C61" s="588"/>
      <c r="D61" s="588"/>
      <c r="E61" s="588"/>
      <c r="F61" s="588"/>
      <c r="G61" s="588"/>
      <c r="H61" s="589"/>
      <c r="I61" s="589"/>
      <c r="J61" s="589"/>
      <c r="K61" s="589"/>
      <c r="L61" s="590"/>
      <c r="M61" s="591"/>
      <c r="N61" s="2042"/>
      <c r="O61" s="2042"/>
      <c r="P61" s="2046"/>
      <c r="Q61" s="2047"/>
      <c r="R61" s="2045"/>
      <c r="S61" s="2045"/>
      <c r="T61" s="2045"/>
      <c r="U61" s="2045"/>
      <c r="V61" s="2045"/>
      <c r="W61" s="2045"/>
      <c r="X61" s="2045"/>
      <c r="Y61" s="2045"/>
      <c r="Z61" s="2045"/>
      <c r="AA61" s="2045"/>
      <c r="AB61" s="2045"/>
      <c r="AC61" s="2045"/>
    </row>
    <row r="62" spans="1:29" s="1227" customFormat="1" ht="15.75" thickBot="1">
      <c r="A62" s="587"/>
      <c r="B62" s="578"/>
      <c r="C62" s="592"/>
      <c r="D62" s="592"/>
      <c r="E62" s="592"/>
      <c r="F62" s="592"/>
      <c r="G62" s="592"/>
      <c r="H62" s="593"/>
      <c r="I62" s="593"/>
      <c r="J62" s="593"/>
      <c r="K62" s="593"/>
      <c r="L62" s="593"/>
      <c r="M62" s="594"/>
      <c r="N62" s="2042"/>
      <c r="O62" s="2042"/>
      <c r="P62" s="2043"/>
      <c r="Q62" s="2044"/>
      <c r="R62" s="2045"/>
      <c r="S62" s="2045"/>
      <c r="T62" s="2045"/>
      <c r="U62" s="2045"/>
      <c r="V62" s="2045"/>
      <c r="W62" s="2045"/>
      <c r="X62" s="2045"/>
      <c r="Y62" s="2045"/>
      <c r="Z62" s="2045"/>
      <c r="AA62" s="2045"/>
      <c r="AB62" s="2045"/>
      <c r="AC62" s="2045"/>
    </row>
    <row r="63" spans="1:29" ht="15" thickTop="1">
      <c r="A63" s="564" t="s">
        <v>479</v>
      </c>
      <c r="B63" s="565" t="s">
        <v>526</v>
      </c>
      <c r="C63" s="603" t="s">
        <v>519</v>
      </c>
      <c r="D63" s="603" t="s">
        <v>520</v>
      </c>
      <c r="E63" s="603" t="s">
        <v>521</v>
      </c>
      <c r="F63" s="603" t="s">
        <v>522</v>
      </c>
      <c r="G63" s="603" t="s">
        <v>523</v>
      </c>
      <c r="H63" s="604"/>
      <c r="I63" s="604"/>
      <c r="J63" s="604"/>
      <c r="K63" s="605"/>
      <c r="L63" s="606"/>
      <c r="M63" s="607"/>
      <c r="N63" s="2039"/>
      <c r="O63" s="2039"/>
      <c r="P63" s="2049"/>
      <c r="Q63" s="2033"/>
      <c r="R63" s="2020"/>
      <c r="S63" s="2020"/>
      <c r="T63" s="2020"/>
      <c r="U63" s="2020"/>
      <c r="V63" s="2020"/>
      <c r="W63" s="2020"/>
      <c r="X63" s="2020"/>
      <c r="Y63" s="2020"/>
      <c r="Z63" s="2020"/>
      <c r="AA63" s="2020"/>
      <c r="AB63" s="2020"/>
      <c r="AC63" s="2020"/>
    </row>
    <row r="64" spans="1:29" ht="15.75" thickBot="1">
      <c r="A64" s="569"/>
      <c r="B64" s="578"/>
      <c r="C64" s="579">
        <v>100</v>
      </c>
      <c r="D64" s="579">
        <f>C64-$K14</f>
        <v>100</v>
      </c>
      <c r="E64" s="579">
        <f>D64-$K14</f>
        <v>100</v>
      </c>
      <c r="F64" s="579">
        <f>E64-$K14</f>
        <v>100</v>
      </c>
      <c r="G64" s="579">
        <f>F64-$K14</f>
        <v>100</v>
      </c>
      <c r="H64" s="579"/>
      <c r="I64" s="579"/>
      <c r="J64" s="579"/>
      <c r="K64" s="579"/>
      <c r="L64" s="579"/>
      <c r="M64" s="580"/>
      <c r="N64" s="2041"/>
      <c r="O64" s="2041"/>
      <c r="P64" s="2040"/>
      <c r="Q64" s="2033"/>
      <c r="R64" s="2020"/>
      <c r="S64" s="2020"/>
      <c r="T64" s="2020"/>
      <c r="U64" s="2020"/>
      <c r="V64" s="2020"/>
      <c r="W64" s="2020"/>
      <c r="X64" s="2020"/>
      <c r="Y64" s="2020"/>
      <c r="Z64" s="2020"/>
      <c r="AA64" s="2020"/>
      <c r="AB64" s="2020"/>
      <c r="AC64" s="2020"/>
    </row>
    <row r="65" spans="1:29" ht="15.75" thickTop="1">
      <c r="A65" s="569"/>
      <c r="B65" s="1778" t="s">
        <v>2485</v>
      </c>
      <c r="C65" s="608" t="s">
        <v>519</v>
      </c>
      <c r="D65" s="608" t="s">
        <v>520</v>
      </c>
      <c r="E65" s="608" t="s">
        <v>521</v>
      </c>
      <c r="F65" s="608" t="s">
        <v>522</v>
      </c>
      <c r="G65" s="608" t="s">
        <v>523</v>
      </c>
      <c r="H65" s="574"/>
      <c r="I65" s="574"/>
      <c r="J65" s="574"/>
      <c r="K65" s="575"/>
      <c r="L65" s="576"/>
      <c r="M65" s="577"/>
      <c r="N65" s="2039"/>
      <c r="O65" s="2039"/>
      <c r="P65" s="2040"/>
      <c r="Q65" s="2033"/>
      <c r="R65" s="2020"/>
      <c r="S65" s="2020"/>
      <c r="T65" s="2020"/>
      <c r="U65" s="2020"/>
      <c r="V65" s="2020"/>
      <c r="W65" s="2020"/>
      <c r="X65" s="2020"/>
      <c r="Y65" s="2020"/>
      <c r="Z65" s="2020"/>
      <c r="AA65" s="2020"/>
      <c r="AB65" s="2020"/>
      <c r="AC65" s="2020"/>
    </row>
    <row r="66" spans="1:29" ht="15.75" thickBot="1">
      <c r="A66" s="569"/>
      <c r="B66" s="578"/>
      <c r="C66" s="579">
        <v>100</v>
      </c>
      <c r="D66" s="579">
        <f>C66-$K16</f>
        <v>100</v>
      </c>
      <c r="E66" s="579">
        <f>D66-$K16</f>
        <v>100</v>
      </c>
      <c r="F66" s="579">
        <f>E66-$K16</f>
        <v>100</v>
      </c>
      <c r="G66" s="579">
        <f>F66-$K16</f>
        <v>100</v>
      </c>
      <c r="H66" s="579"/>
      <c r="I66" s="579"/>
      <c r="J66" s="579"/>
      <c r="K66" s="579"/>
      <c r="L66" s="579"/>
      <c r="M66" s="580"/>
      <c r="N66" s="2041"/>
      <c r="O66" s="2041"/>
      <c r="P66" s="2040"/>
      <c r="Q66" s="2033"/>
      <c r="R66" s="2020"/>
      <c r="S66" s="2020"/>
      <c r="T66" s="2020"/>
      <c r="U66" s="2020"/>
      <c r="V66" s="2020"/>
      <c r="W66" s="2020"/>
      <c r="X66" s="2020"/>
      <c r="Y66" s="2020"/>
      <c r="Z66" s="2020"/>
      <c r="AA66" s="2020"/>
      <c r="AB66" s="2020"/>
      <c r="AC66" s="2020"/>
    </row>
    <row r="67" spans="1:29" ht="15.75" thickTop="1">
      <c r="A67" s="569"/>
      <c r="B67" s="2463" t="s">
        <v>2486</v>
      </c>
      <c r="C67" s="2464" t="s">
        <v>2487</v>
      </c>
      <c r="D67" s="2464" t="s">
        <v>2488</v>
      </c>
      <c r="E67" s="2464" t="s">
        <v>2489</v>
      </c>
      <c r="F67" s="2464" t="s">
        <v>2490</v>
      </c>
      <c r="G67" s="2464" t="s">
        <v>2491</v>
      </c>
      <c r="H67" s="574"/>
      <c r="I67" s="574"/>
      <c r="J67" s="574"/>
      <c r="K67" s="574"/>
      <c r="L67" s="574"/>
      <c r="M67" s="2467"/>
      <c r="N67" s="2041"/>
      <c r="O67" s="2041"/>
      <c r="P67" s="2040"/>
      <c r="Q67" s="2033"/>
      <c r="R67" s="2020"/>
      <c r="S67" s="2020"/>
      <c r="T67" s="2020"/>
      <c r="U67" s="2020"/>
      <c r="V67" s="2020"/>
      <c r="W67" s="2020"/>
      <c r="X67" s="2020"/>
      <c r="Y67" s="2020"/>
      <c r="Z67" s="2020"/>
      <c r="AA67" s="2020"/>
      <c r="AB67" s="2020"/>
      <c r="AC67" s="2020"/>
    </row>
    <row r="68" spans="1:29" ht="15.75" thickBot="1">
      <c r="A68" s="569"/>
      <c r="B68" s="581"/>
      <c r="C68" s="579">
        <v>100</v>
      </c>
      <c r="D68" s="579">
        <f>C68-$K18</f>
        <v>100</v>
      </c>
      <c r="E68" s="579">
        <f>D68-$K18</f>
        <v>100</v>
      </c>
      <c r="F68" s="579">
        <f>E68-$K18</f>
        <v>100</v>
      </c>
      <c r="G68" s="579">
        <f>F68-$K18</f>
        <v>100</v>
      </c>
      <c r="H68" s="835"/>
      <c r="I68" s="835"/>
      <c r="J68" s="835"/>
      <c r="K68" s="835"/>
      <c r="L68" s="835"/>
      <c r="M68" s="459"/>
      <c r="N68" s="2041"/>
      <c r="O68" s="2041"/>
      <c r="P68" s="2040"/>
      <c r="Q68" s="2033"/>
      <c r="R68" s="2020"/>
      <c r="S68" s="2020"/>
      <c r="T68" s="2020"/>
      <c r="U68" s="2020"/>
      <c r="V68" s="2020"/>
      <c r="W68" s="2020"/>
      <c r="X68" s="2020"/>
      <c r="Y68" s="2020"/>
      <c r="Z68" s="2020"/>
      <c r="AA68" s="2020"/>
      <c r="AB68" s="2020"/>
      <c r="AC68" s="2020"/>
    </row>
    <row r="69" spans="1:29" ht="15.75" thickTop="1">
      <c r="A69" s="569"/>
      <c r="B69" s="573" t="s">
        <v>683</v>
      </c>
      <c r="C69" s="608" t="s">
        <v>519</v>
      </c>
      <c r="D69" s="608" t="s">
        <v>520</v>
      </c>
      <c r="E69" s="608" t="s">
        <v>521</v>
      </c>
      <c r="F69" s="608" t="s">
        <v>522</v>
      </c>
      <c r="G69" s="608" t="s">
        <v>523</v>
      </c>
      <c r="H69" s="574"/>
      <c r="I69" s="574"/>
      <c r="J69" s="574"/>
      <c r="K69" s="575"/>
      <c r="L69" s="576"/>
      <c r="M69" s="577"/>
      <c r="N69" s="2039"/>
      <c r="O69" s="2039"/>
      <c r="P69" s="2040"/>
      <c r="Q69" s="2033"/>
      <c r="R69" s="2020"/>
      <c r="S69" s="2020"/>
      <c r="T69" s="2020"/>
      <c r="U69" s="2020"/>
      <c r="V69" s="2020"/>
      <c r="W69" s="2020"/>
      <c r="X69" s="2020"/>
      <c r="Y69" s="2020"/>
      <c r="Z69" s="2020"/>
      <c r="AA69" s="2020"/>
      <c r="AB69" s="2020"/>
      <c r="AC69" s="2020"/>
    </row>
    <row r="70" spans="1:29" ht="15.75" thickBot="1">
      <c r="A70" s="569"/>
      <c r="B70" s="578"/>
      <c r="C70" s="579">
        <v>100</v>
      </c>
      <c r="D70" s="579">
        <f>C70-$K20</f>
        <v>100</v>
      </c>
      <c r="E70" s="579">
        <f>D70-$K20</f>
        <v>100</v>
      </c>
      <c r="F70" s="579">
        <f>E70-$K20</f>
        <v>100</v>
      </c>
      <c r="G70" s="579">
        <f>F70-$K20</f>
        <v>100</v>
      </c>
      <c r="H70" s="579"/>
      <c r="I70" s="579"/>
      <c r="J70" s="579"/>
      <c r="K70" s="579"/>
      <c r="L70" s="579"/>
      <c r="M70" s="580"/>
      <c r="N70" s="2041"/>
      <c r="O70" s="2041"/>
      <c r="P70" s="2040"/>
      <c r="Q70" s="2033"/>
      <c r="R70" s="2020"/>
      <c r="S70" s="2020"/>
      <c r="T70" s="2020"/>
      <c r="U70" s="2020"/>
      <c r="V70" s="2020"/>
      <c r="W70" s="2020"/>
      <c r="X70" s="2020"/>
      <c r="Y70" s="2020"/>
      <c r="Z70" s="2020"/>
      <c r="AA70" s="2020"/>
      <c r="AB70" s="2020"/>
      <c r="AC70" s="2020"/>
    </row>
    <row r="71" spans="1:29" ht="15.75" thickTop="1">
      <c r="A71" s="569"/>
      <c r="B71" s="573" t="s">
        <v>684</v>
      </c>
      <c r="C71" s="588"/>
      <c r="D71" s="588"/>
      <c r="E71" s="588"/>
      <c r="F71" s="588"/>
      <c r="G71" s="588"/>
      <c r="H71" s="618"/>
      <c r="I71" s="618"/>
      <c r="J71" s="618"/>
      <c r="K71" s="619"/>
      <c r="L71" s="620"/>
      <c r="M71" s="621"/>
      <c r="N71" s="2039"/>
      <c r="O71" s="2039"/>
      <c r="P71" s="2040"/>
      <c r="Q71" s="2033"/>
      <c r="R71" s="2020"/>
      <c r="S71" s="2020"/>
      <c r="T71" s="2020"/>
      <c r="U71" s="2020"/>
      <c r="V71" s="2020"/>
      <c r="W71" s="2020"/>
      <c r="X71" s="2020"/>
      <c r="Y71" s="2020"/>
      <c r="Z71" s="2020"/>
      <c r="AA71" s="2020"/>
      <c r="AB71" s="2020"/>
      <c r="AC71" s="2020"/>
    </row>
    <row r="72" spans="1:29" ht="15.75" thickBot="1">
      <c r="A72" s="569"/>
      <c r="B72" s="578"/>
      <c r="C72" s="579">
        <v>100</v>
      </c>
      <c r="D72" s="579">
        <f>C72-$K22</f>
        <v>100</v>
      </c>
      <c r="E72" s="579">
        <f>D72-$K22</f>
        <v>100</v>
      </c>
      <c r="F72" s="579">
        <f>E72-$K22</f>
        <v>100</v>
      </c>
      <c r="G72" s="579">
        <f>F72-$K22</f>
        <v>100</v>
      </c>
      <c r="H72" s="579"/>
      <c r="I72" s="579"/>
      <c r="J72" s="579"/>
      <c r="K72" s="579"/>
      <c r="L72" s="579"/>
      <c r="M72" s="580"/>
      <c r="N72" s="2041"/>
      <c r="O72" s="2041"/>
      <c r="P72" s="2040"/>
      <c r="Q72" s="2033"/>
      <c r="R72" s="2020"/>
      <c r="S72" s="2020"/>
      <c r="T72" s="2020"/>
      <c r="U72" s="2020"/>
      <c r="V72" s="2020"/>
      <c r="W72" s="2020"/>
      <c r="X72" s="2020"/>
      <c r="Y72" s="2020"/>
      <c r="Z72" s="2020"/>
      <c r="AA72" s="2020"/>
      <c r="AB72" s="2020"/>
      <c r="AC72" s="2020"/>
    </row>
    <row r="73" spans="1:29" s="1108" customFormat="1" ht="15.75" thickTop="1">
      <c r="A73" s="609"/>
      <c r="B73" s="573">
        <f>B23</f>
        <v>111</v>
      </c>
      <c r="C73" s="441"/>
      <c r="D73" s="441"/>
      <c r="E73" s="441"/>
      <c r="F73" s="441"/>
      <c r="G73" s="588"/>
      <c r="H73" s="588"/>
      <c r="I73" s="588"/>
      <c r="J73" s="588"/>
      <c r="K73" s="588"/>
      <c r="L73" s="790"/>
      <c r="M73" s="791"/>
      <c r="N73" s="2037"/>
      <c r="O73" s="2037"/>
      <c r="P73" s="2040"/>
      <c r="Q73" s="2033"/>
      <c r="R73" s="1872"/>
      <c r="S73" s="1872"/>
      <c r="T73" s="1872"/>
      <c r="U73" s="1872"/>
      <c r="V73" s="1872"/>
      <c r="W73" s="1872"/>
      <c r="X73" s="1872"/>
      <c r="Y73" s="1872"/>
      <c r="Z73" s="1872"/>
      <c r="AA73" s="1872"/>
      <c r="AB73" s="1872"/>
      <c r="AC73" s="1872"/>
    </row>
    <row r="74" spans="1:29" s="1108" customFormat="1" ht="15.75" thickBot="1">
      <c r="A74" s="609"/>
      <c r="B74" s="578"/>
      <c r="C74" s="592"/>
      <c r="D74" s="571"/>
      <c r="E74" s="571"/>
      <c r="F74" s="571"/>
      <c r="G74" s="571"/>
      <c r="H74" s="571"/>
      <c r="I74" s="571"/>
      <c r="J74" s="571"/>
      <c r="K74" s="571"/>
      <c r="L74" s="571"/>
      <c r="M74" s="572"/>
      <c r="N74" s="2041"/>
      <c r="O74" s="2041"/>
      <c r="P74" s="2040"/>
      <c r="Q74" s="2033"/>
      <c r="R74" s="1872"/>
      <c r="S74" s="1872"/>
      <c r="T74" s="1872"/>
      <c r="U74" s="1872"/>
      <c r="V74" s="1872"/>
      <c r="W74" s="1872"/>
      <c r="X74" s="1872"/>
      <c r="Y74" s="1872"/>
      <c r="Z74" s="1872"/>
      <c r="AA74" s="1872"/>
      <c r="AB74" s="1872"/>
      <c r="AC74" s="1872"/>
    </row>
    <row r="75" spans="1:29" s="1108" customFormat="1" ht="15.75" thickTop="1">
      <c r="A75" s="609"/>
      <c r="B75" s="573">
        <f>B24</f>
        <v>111</v>
      </c>
      <c r="C75" s="441"/>
      <c r="D75" s="441"/>
      <c r="E75" s="441"/>
      <c r="F75" s="441"/>
      <c r="G75" s="588"/>
      <c r="H75" s="588"/>
      <c r="I75" s="588"/>
      <c r="J75" s="588"/>
      <c r="K75" s="588"/>
      <c r="L75" s="588"/>
      <c r="M75" s="791"/>
      <c r="N75" s="2037"/>
      <c r="O75" s="2037"/>
      <c r="P75" s="2040"/>
      <c r="Q75" s="2033"/>
      <c r="R75" s="1872"/>
      <c r="S75" s="1872"/>
      <c r="T75" s="1872"/>
      <c r="U75" s="1872"/>
      <c r="V75" s="1872"/>
      <c r="W75" s="1872"/>
      <c r="X75" s="1872"/>
      <c r="Y75" s="1872"/>
      <c r="Z75" s="1872"/>
      <c r="AA75" s="1872"/>
      <c r="AB75" s="1872"/>
      <c r="AC75" s="1872"/>
    </row>
    <row r="76" spans="1:29" s="1108" customFormat="1" ht="15.75" thickBot="1">
      <c r="A76" s="609"/>
      <c r="B76" s="578"/>
      <c r="C76" s="592"/>
      <c r="D76" s="571"/>
      <c r="E76" s="571"/>
      <c r="F76" s="571"/>
      <c r="G76" s="571"/>
      <c r="H76" s="571"/>
      <c r="I76" s="571"/>
      <c r="J76" s="571"/>
      <c r="K76" s="571"/>
      <c r="L76" s="571"/>
      <c r="M76" s="572"/>
      <c r="N76" s="2041"/>
      <c r="O76" s="2041"/>
      <c r="P76" s="2040"/>
      <c r="Q76" s="2033"/>
      <c r="R76" s="1872"/>
      <c r="S76" s="1872"/>
      <c r="T76" s="1872"/>
      <c r="U76" s="1872"/>
      <c r="V76" s="1872"/>
      <c r="W76" s="1872"/>
      <c r="X76" s="1872"/>
      <c r="Y76" s="1872"/>
      <c r="Z76" s="1872"/>
      <c r="AA76" s="1872"/>
      <c r="AB76" s="1872"/>
      <c r="AC76" s="1872"/>
    </row>
    <row r="77" spans="1:29" s="1227" customFormat="1" ht="15.75" thickTop="1">
      <c r="A77" s="587"/>
      <c r="B77" s="573">
        <f>B25</f>
        <v>111</v>
      </c>
      <c r="C77" s="588"/>
      <c r="D77" s="588"/>
      <c r="E77" s="588"/>
      <c r="F77" s="588"/>
      <c r="G77" s="588"/>
      <c r="H77" s="589"/>
      <c r="I77" s="589"/>
      <c r="J77" s="589"/>
      <c r="K77" s="589"/>
      <c r="L77" s="590"/>
      <c r="M77" s="591"/>
      <c r="N77" s="2042"/>
      <c r="O77" s="2042"/>
      <c r="P77" s="2043"/>
      <c r="Q77" s="2044"/>
      <c r="R77" s="2045"/>
      <c r="S77" s="2045"/>
      <c r="T77" s="2045"/>
      <c r="U77" s="2045"/>
      <c r="V77" s="2045"/>
      <c r="W77" s="2045"/>
      <c r="X77" s="2045"/>
      <c r="Y77" s="2045"/>
      <c r="Z77" s="2045"/>
      <c r="AA77" s="2045"/>
      <c r="AB77" s="2045"/>
      <c r="AC77" s="2045"/>
    </row>
    <row r="78" spans="1:29" s="1227" customFormat="1" ht="15.75" thickBot="1">
      <c r="A78" s="587"/>
      <c r="B78" s="578"/>
      <c r="C78" s="592"/>
      <c r="D78" s="592"/>
      <c r="E78" s="592"/>
      <c r="F78" s="592"/>
      <c r="G78" s="571"/>
      <c r="H78" s="571"/>
      <c r="I78" s="571"/>
      <c r="J78" s="571"/>
      <c r="K78" s="571"/>
      <c r="L78" s="571"/>
      <c r="M78" s="572"/>
      <c r="N78" s="2042"/>
      <c r="O78" s="2042"/>
      <c r="P78" s="2043"/>
      <c r="Q78" s="2044"/>
      <c r="R78" s="2045"/>
      <c r="S78" s="2045"/>
      <c r="T78" s="2045"/>
      <c r="U78" s="2045"/>
      <c r="V78" s="2045"/>
      <c r="W78" s="2045"/>
      <c r="X78" s="2045"/>
      <c r="Y78" s="2045"/>
      <c r="Z78" s="2045"/>
      <c r="AA78" s="2045"/>
      <c r="AB78" s="2045"/>
      <c r="AC78" s="2045"/>
    </row>
    <row r="79" spans="1:29" ht="27.75" thickTop="1">
      <c r="A79" s="564" t="s">
        <v>491</v>
      </c>
      <c r="B79" s="565" t="s">
        <v>753</v>
      </c>
      <c r="C79" s="604">
        <f>C26</f>
        <v>0</v>
      </c>
      <c r="D79" s="498"/>
      <c r="E79" s="498"/>
      <c r="F79" s="498"/>
      <c r="G79" s="498"/>
      <c r="H79" s="498"/>
      <c r="I79" s="498"/>
      <c r="J79" s="498"/>
      <c r="K79" s="566"/>
      <c r="L79" s="567"/>
      <c r="M79" s="568"/>
      <c r="N79" s="2039"/>
      <c r="O79" s="2039"/>
      <c r="P79" s="2040"/>
      <c r="Q79" s="2033"/>
      <c r="R79" s="2020"/>
      <c r="S79" s="2020"/>
      <c r="T79" s="2020"/>
      <c r="U79" s="2020"/>
      <c r="V79" s="2020"/>
      <c r="W79" s="2020"/>
      <c r="X79" s="2020"/>
      <c r="Y79" s="2020"/>
      <c r="Z79" s="2020"/>
      <c r="AA79" s="2020"/>
      <c r="AB79" s="2020"/>
      <c r="AC79" s="2020"/>
    </row>
    <row r="80" spans="1:29" ht="15.75" thickBot="1">
      <c r="A80" s="569"/>
      <c r="B80" s="578"/>
      <c r="C80" s="579">
        <v>100</v>
      </c>
      <c r="D80" s="579">
        <f t="shared" ref="D80:M80" si="14">C80-$K26</f>
        <v>100</v>
      </c>
      <c r="E80" s="579">
        <f t="shared" si="14"/>
        <v>100</v>
      </c>
      <c r="F80" s="579">
        <f t="shared" si="14"/>
        <v>100</v>
      </c>
      <c r="G80" s="579">
        <f t="shared" si="14"/>
        <v>100</v>
      </c>
      <c r="H80" s="579">
        <f t="shared" si="14"/>
        <v>100</v>
      </c>
      <c r="I80" s="579">
        <f t="shared" si="14"/>
        <v>100</v>
      </c>
      <c r="J80" s="579">
        <f t="shared" si="14"/>
        <v>100</v>
      </c>
      <c r="K80" s="579">
        <f t="shared" si="14"/>
        <v>100</v>
      </c>
      <c r="L80" s="579">
        <f t="shared" si="14"/>
        <v>100</v>
      </c>
      <c r="M80" s="580">
        <f t="shared" si="14"/>
        <v>100</v>
      </c>
      <c r="N80" s="2041"/>
      <c r="O80" s="2041"/>
      <c r="P80" s="2040"/>
      <c r="Q80" s="2033"/>
      <c r="R80" s="2020"/>
      <c r="S80" s="2020"/>
      <c r="T80" s="2020"/>
      <c r="U80" s="2020"/>
      <c r="V80" s="2020"/>
      <c r="W80" s="2020"/>
      <c r="X80" s="2020"/>
      <c r="Y80" s="2020"/>
      <c r="Z80" s="2020"/>
      <c r="AA80" s="2020"/>
      <c r="AB80" s="2020"/>
      <c r="AC80" s="2020"/>
    </row>
    <row r="81" spans="1:29" ht="15.75" thickTop="1">
      <c r="A81" s="569"/>
      <c r="B81" s="573" t="s">
        <v>754</v>
      </c>
      <c r="C81" s="836"/>
      <c r="D81" s="836"/>
      <c r="E81" s="836"/>
      <c r="F81" s="836"/>
      <c r="G81" s="836"/>
      <c r="H81" s="836"/>
      <c r="I81" s="836"/>
      <c r="J81" s="836"/>
      <c r="K81" s="837"/>
      <c r="L81" s="838"/>
      <c r="M81" s="839"/>
      <c r="N81" s="2037"/>
      <c r="O81" s="2037"/>
      <c r="P81" s="2040"/>
      <c r="Q81" s="2033"/>
      <c r="R81" s="2020"/>
      <c r="S81" s="2020"/>
      <c r="T81" s="2020"/>
      <c r="U81" s="2020"/>
      <c r="V81" s="2020"/>
      <c r="W81" s="2020"/>
      <c r="X81" s="2020"/>
      <c r="Y81" s="2020"/>
      <c r="Z81" s="2020"/>
      <c r="AA81" s="2020"/>
      <c r="AB81" s="2020"/>
      <c r="AC81" s="2020"/>
    </row>
    <row r="82" spans="1:29" s="1227" customFormat="1" ht="15.75" thickBot="1">
      <c r="A82" s="587"/>
      <c r="B82" s="578"/>
      <c r="C82" s="592"/>
      <c r="D82" s="571"/>
      <c r="E82" s="571"/>
      <c r="F82" s="571"/>
      <c r="G82" s="571"/>
      <c r="H82" s="571"/>
      <c r="I82" s="571"/>
      <c r="J82" s="571"/>
      <c r="K82" s="571"/>
      <c r="L82" s="571"/>
      <c r="M82" s="572"/>
      <c r="N82" s="2041"/>
      <c r="O82" s="2041"/>
      <c r="P82" s="2043"/>
      <c r="Q82" s="2044"/>
      <c r="R82" s="2045"/>
      <c r="S82" s="2045"/>
      <c r="T82" s="2045"/>
      <c r="U82" s="2045"/>
      <c r="V82" s="2045"/>
      <c r="W82" s="2045"/>
      <c r="X82" s="2045"/>
      <c r="Y82" s="2045"/>
      <c r="Z82" s="2045"/>
      <c r="AA82" s="2045"/>
      <c r="AB82" s="2045"/>
      <c r="AC82" s="2045"/>
    </row>
    <row r="83" spans="1:29" ht="15" thickTop="1">
      <c r="A83" s="635"/>
      <c r="B83" s="573" t="s">
        <v>690</v>
      </c>
      <c r="C83" s="588"/>
      <c r="D83" s="588"/>
      <c r="E83" s="618"/>
      <c r="F83" s="618"/>
      <c r="G83" s="618"/>
      <c r="H83" s="618"/>
      <c r="I83" s="618"/>
      <c r="J83" s="618"/>
      <c r="K83" s="619"/>
      <c r="L83" s="620"/>
      <c r="M83" s="621"/>
      <c r="N83" s="2039"/>
      <c r="O83" s="2039"/>
      <c r="P83" s="2040"/>
      <c r="Q83" s="2033"/>
      <c r="R83" s="2020"/>
      <c r="S83" s="2020"/>
      <c r="T83" s="2020"/>
      <c r="U83" s="2020"/>
      <c r="V83" s="2020"/>
      <c r="W83" s="2020"/>
      <c r="X83" s="2020"/>
      <c r="Y83" s="2020"/>
      <c r="Z83" s="2020"/>
      <c r="AA83" s="2020"/>
      <c r="AB83" s="2020"/>
      <c r="AC83" s="2020"/>
    </row>
    <row r="84" spans="1:29" ht="15.75" thickBot="1">
      <c r="A84" s="569"/>
      <c r="B84" s="578"/>
      <c r="C84" s="579">
        <v>100</v>
      </c>
      <c r="D84" s="579">
        <f t="shared" ref="D84:M84" si="15">C84-$K28</f>
        <v>100</v>
      </c>
      <c r="E84" s="579">
        <f t="shared" si="15"/>
        <v>100</v>
      </c>
      <c r="F84" s="579">
        <f t="shared" si="15"/>
        <v>100</v>
      </c>
      <c r="G84" s="579">
        <f t="shared" si="15"/>
        <v>100</v>
      </c>
      <c r="H84" s="579">
        <f t="shared" si="15"/>
        <v>100</v>
      </c>
      <c r="I84" s="579">
        <f t="shared" si="15"/>
        <v>100</v>
      </c>
      <c r="J84" s="579">
        <f t="shared" si="15"/>
        <v>100</v>
      </c>
      <c r="K84" s="579">
        <f t="shared" si="15"/>
        <v>100</v>
      </c>
      <c r="L84" s="579">
        <f t="shared" si="15"/>
        <v>100</v>
      </c>
      <c r="M84" s="580">
        <f t="shared" si="15"/>
        <v>100</v>
      </c>
      <c r="N84" s="2041"/>
      <c r="O84" s="2041"/>
      <c r="P84" s="2040"/>
      <c r="Q84" s="2033"/>
      <c r="R84" s="2020"/>
      <c r="S84" s="2020"/>
      <c r="T84" s="2020"/>
      <c r="U84" s="2020"/>
      <c r="V84" s="2020"/>
      <c r="W84" s="2020"/>
      <c r="X84" s="2020"/>
      <c r="Y84" s="2020"/>
      <c r="Z84" s="2020"/>
      <c r="AA84" s="2020"/>
      <c r="AB84" s="2020"/>
      <c r="AC84" s="2020"/>
    </row>
    <row r="85" spans="1:29" ht="15" thickTop="1">
      <c r="A85" s="635"/>
      <c r="B85" s="573" t="s">
        <v>755</v>
      </c>
      <c r="C85" s="608" t="str">
        <f>C86&amp;"(含)"&amp;"-"&amp;D86</f>
        <v>0.5(含)-0.6</v>
      </c>
      <c r="D85" s="608" t="str">
        <f>D86&amp;"(含)"&amp;"-"&amp;E86</f>
        <v>0.6(含)-0.7</v>
      </c>
      <c r="E85" s="608" t="str">
        <f>E86&amp;"(含)"&amp;"-"&amp;F86</f>
        <v>0.7(含)-0.8</v>
      </c>
      <c r="F85" s="608" t="str">
        <f>F86&amp;"(含)"&amp;"-"&amp;G86</f>
        <v>0.8(含)-0.9</v>
      </c>
      <c r="G85" s="608" t="str">
        <f>G86&amp;"(含)"&amp;"-"&amp;ROUND(H86,0)</f>
        <v>0.9(含)-1</v>
      </c>
      <c r="H85" s="608"/>
      <c r="I85" s="618"/>
      <c r="J85" s="618"/>
      <c r="K85" s="619"/>
      <c r="L85" s="620"/>
      <c r="M85" s="621"/>
      <c r="N85" s="2039"/>
      <c r="O85" s="2039"/>
      <c r="P85" s="2040"/>
      <c r="Q85" s="2033"/>
      <c r="R85" s="2020"/>
      <c r="S85" s="2020"/>
      <c r="T85" s="2020"/>
      <c r="U85" s="2020"/>
      <c r="V85" s="2020"/>
      <c r="W85" s="2020"/>
      <c r="X85" s="2020"/>
      <c r="Y85" s="2020"/>
      <c r="Z85" s="2020"/>
      <c r="AA85" s="2020"/>
      <c r="AB85" s="2020"/>
      <c r="AC85" s="2020"/>
    </row>
    <row r="86" spans="1:29">
      <c r="A86" s="635"/>
      <c r="B86" s="581"/>
      <c r="C86" s="794">
        <v>0.5</v>
      </c>
      <c r="D86" s="794">
        <v>0.6</v>
      </c>
      <c r="E86" s="794">
        <v>0.7</v>
      </c>
      <c r="F86" s="794">
        <v>0.8</v>
      </c>
      <c r="G86" s="794">
        <v>0.9</v>
      </c>
      <c r="H86" s="794">
        <v>1.0001</v>
      </c>
      <c r="I86" s="805"/>
      <c r="J86" s="805"/>
      <c r="K86" s="806"/>
      <c r="L86" s="807"/>
      <c r="M86" s="808"/>
      <c r="N86" s="2039"/>
      <c r="O86" s="2039"/>
      <c r="P86" s="2040"/>
      <c r="Q86" s="2033"/>
      <c r="R86" s="2020"/>
      <c r="S86" s="2020"/>
      <c r="T86" s="2020"/>
      <c r="U86" s="2020"/>
      <c r="V86" s="2020"/>
      <c r="W86" s="2020"/>
      <c r="X86" s="2020"/>
      <c r="Y86" s="2020"/>
      <c r="Z86" s="2020"/>
      <c r="AA86" s="2020"/>
      <c r="AB86" s="2020"/>
      <c r="AC86" s="2020"/>
    </row>
    <row r="87" spans="1:29" ht="15.75" thickBot="1">
      <c r="A87" s="569"/>
      <c r="B87" s="578"/>
      <c r="C87" s="612">
        <v>100</v>
      </c>
      <c r="D87" s="579">
        <f>C87+$K$29</f>
        <v>100</v>
      </c>
      <c r="E87" s="579">
        <f t="shared" ref="E87:M87" si="16">D87+$K$29</f>
        <v>100</v>
      </c>
      <c r="F87" s="579">
        <f t="shared" si="16"/>
        <v>100</v>
      </c>
      <c r="G87" s="579">
        <f t="shared" si="16"/>
        <v>100</v>
      </c>
      <c r="H87" s="579">
        <f t="shared" si="16"/>
        <v>100</v>
      </c>
      <c r="I87" s="579">
        <f t="shared" si="16"/>
        <v>100</v>
      </c>
      <c r="J87" s="579">
        <f t="shared" si="16"/>
        <v>100</v>
      </c>
      <c r="K87" s="579">
        <f t="shared" si="16"/>
        <v>100</v>
      </c>
      <c r="L87" s="579">
        <f t="shared" si="16"/>
        <v>100</v>
      </c>
      <c r="M87" s="579">
        <f t="shared" si="16"/>
        <v>100</v>
      </c>
      <c r="N87" s="2041"/>
      <c r="O87" s="2041"/>
      <c r="P87" s="2040"/>
      <c r="Q87" s="2033"/>
      <c r="R87" s="2020"/>
      <c r="S87" s="2020"/>
      <c r="T87" s="2020"/>
      <c r="U87" s="2020"/>
      <c r="V87" s="2020"/>
      <c r="W87" s="2020"/>
      <c r="X87" s="2020"/>
      <c r="Y87" s="2020"/>
      <c r="Z87" s="2020"/>
      <c r="AA87" s="2020"/>
      <c r="AB87" s="2020"/>
      <c r="AC87" s="2020"/>
    </row>
    <row r="88" spans="1:29" ht="15" thickTop="1">
      <c r="A88" s="635"/>
      <c r="B88" s="581" t="s">
        <v>756</v>
      </c>
      <c r="C88" s="498"/>
      <c r="D88" s="498"/>
      <c r="E88" s="498"/>
      <c r="F88" s="498"/>
      <c r="G88" s="498"/>
      <c r="H88" s="498"/>
      <c r="I88" s="498"/>
      <c r="J88" s="498"/>
      <c r="K88" s="566"/>
      <c r="L88" s="567"/>
      <c r="M88" s="568"/>
      <c r="N88" s="2039"/>
      <c r="O88" s="2039"/>
      <c r="P88" s="2040"/>
      <c r="Q88" s="2033"/>
      <c r="R88" s="2020"/>
      <c r="S88" s="2020"/>
      <c r="T88" s="2020"/>
      <c r="U88" s="2020"/>
      <c r="V88" s="2020"/>
      <c r="W88" s="2020"/>
      <c r="X88" s="2020"/>
      <c r="Y88" s="2020"/>
      <c r="Z88" s="2020"/>
      <c r="AA88" s="2020"/>
      <c r="AB88" s="2020"/>
      <c r="AC88" s="2020"/>
    </row>
    <row r="89" spans="1:29" ht="15.75" thickBot="1">
      <c r="A89" s="569"/>
      <c r="B89" s="578"/>
      <c r="C89" s="612">
        <v>100</v>
      </c>
      <c r="D89" s="579">
        <f t="shared" ref="D89:M89" si="17">C89+$K30</f>
        <v>100</v>
      </c>
      <c r="E89" s="579">
        <f t="shared" si="17"/>
        <v>100</v>
      </c>
      <c r="F89" s="579">
        <f t="shared" si="17"/>
        <v>100</v>
      </c>
      <c r="G89" s="579">
        <f t="shared" si="17"/>
        <v>100</v>
      </c>
      <c r="H89" s="579">
        <f t="shared" si="17"/>
        <v>100</v>
      </c>
      <c r="I89" s="579">
        <f t="shared" si="17"/>
        <v>100</v>
      </c>
      <c r="J89" s="579">
        <f t="shared" si="17"/>
        <v>100</v>
      </c>
      <c r="K89" s="579">
        <f t="shared" si="17"/>
        <v>100</v>
      </c>
      <c r="L89" s="579">
        <f t="shared" si="17"/>
        <v>100</v>
      </c>
      <c r="M89" s="579">
        <f t="shared" si="17"/>
        <v>100</v>
      </c>
      <c r="N89" s="2041"/>
      <c r="O89" s="2041"/>
      <c r="P89" s="2040"/>
      <c r="Q89" s="2033"/>
      <c r="R89" s="2020"/>
      <c r="S89" s="2020"/>
      <c r="T89" s="2020"/>
      <c r="U89" s="2020"/>
      <c r="V89" s="2020"/>
      <c r="W89" s="2020"/>
      <c r="X89" s="2020"/>
      <c r="Y89" s="2020"/>
      <c r="Z89" s="2020"/>
      <c r="AA89" s="2020"/>
      <c r="AB89" s="2020"/>
      <c r="AC89" s="2020"/>
    </row>
    <row r="90" spans="1:29" s="1227" customFormat="1" ht="15" thickTop="1">
      <c r="A90" s="628"/>
      <c r="B90" s="573" t="s">
        <v>757</v>
      </c>
      <c r="C90" s="608" t="str">
        <f>C91&amp;"(含)"&amp;"-"&amp;D91</f>
        <v>(含)-</v>
      </c>
      <c r="D90" s="608" t="str">
        <f t="shared" ref="D90:L90" si="18">D91&amp;"(含)"&amp;"-"&amp;E91</f>
        <v>(含)-</v>
      </c>
      <c r="E90" s="608" t="str">
        <f t="shared" si="18"/>
        <v>(含)-</v>
      </c>
      <c r="F90" s="608" t="str">
        <f t="shared" si="18"/>
        <v>(含)-</v>
      </c>
      <c r="G90" s="608" t="str">
        <f t="shared" si="18"/>
        <v>(含)-</v>
      </c>
      <c r="H90" s="608" t="str">
        <f t="shared" si="18"/>
        <v>(含)-</v>
      </c>
      <c r="I90" s="608" t="str">
        <f t="shared" si="18"/>
        <v>(含)-</v>
      </c>
      <c r="J90" s="608" t="str">
        <f t="shared" si="18"/>
        <v>(含)-</v>
      </c>
      <c r="K90" s="608" t="str">
        <f t="shared" si="18"/>
        <v>(含)-</v>
      </c>
      <c r="L90" s="608" t="str">
        <f t="shared" si="18"/>
        <v>(含)-</v>
      </c>
      <c r="M90" s="611" t="str">
        <f>M91&amp;"(含)"&amp;"-"&amp;P91</f>
        <v>(含)-</v>
      </c>
      <c r="N90" s="2042"/>
      <c r="O90" s="2042"/>
      <c r="P90" s="2043"/>
      <c r="Q90" s="2044"/>
      <c r="R90" s="2045"/>
      <c r="S90" s="2045"/>
      <c r="T90" s="2045"/>
      <c r="U90" s="2045"/>
      <c r="V90" s="2045"/>
      <c r="W90" s="2045"/>
      <c r="X90" s="2045"/>
      <c r="Y90" s="2045"/>
      <c r="Z90" s="2045"/>
      <c r="AA90" s="2045"/>
      <c r="AB90" s="2045"/>
      <c r="AC90" s="2045"/>
    </row>
    <row r="91" spans="1:29" s="1227" customFormat="1">
      <c r="A91" s="628"/>
      <c r="B91" s="581"/>
      <c r="C91" s="630"/>
      <c r="D91" s="630"/>
      <c r="E91" s="630"/>
      <c r="F91" s="630"/>
      <c r="G91" s="630"/>
      <c r="H91" s="630"/>
      <c r="I91" s="630"/>
      <c r="J91" s="631"/>
      <c r="K91" s="631"/>
      <c r="L91" s="632"/>
      <c r="M91" s="633"/>
      <c r="N91" s="2042"/>
      <c r="O91" s="2042"/>
      <c r="P91" s="2043"/>
      <c r="Q91" s="2044"/>
      <c r="R91" s="2045"/>
      <c r="S91" s="2045"/>
      <c r="T91" s="2045"/>
      <c r="U91" s="2045"/>
      <c r="V91" s="2045"/>
      <c r="W91" s="2045"/>
      <c r="X91" s="2045"/>
      <c r="Y91" s="2045"/>
      <c r="Z91" s="2045"/>
      <c r="AA91" s="2045"/>
      <c r="AB91" s="2045"/>
      <c r="AC91" s="2045"/>
    </row>
    <row r="92" spans="1:29" s="1227" customFormat="1" ht="15.75" thickBot="1">
      <c r="A92" s="587"/>
      <c r="B92" s="578"/>
      <c r="C92" s="592"/>
      <c r="D92" s="571"/>
      <c r="E92" s="571"/>
      <c r="F92" s="571"/>
      <c r="G92" s="571"/>
      <c r="H92" s="571"/>
      <c r="I92" s="571"/>
      <c r="J92" s="571"/>
      <c r="K92" s="571"/>
      <c r="L92" s="571"/>
      <c r="M92" s="572"/>
      <c r="N92" s="2042"/>
      <c r="O92" s="2042"/>
      <c r="P92" s="2043"/>
      <c r="Q92" s="2044"/>
      <c r="R92" s="2045"/>
      <c r="S92" s="2045"/>
      <c r="T92" s="2045"/>
      <c r="U92" s="2045"/>
      <c r="V92" s="2045"/>
      <c r="W92" s="2045"/>
      <c r="X92" s="2045"/>
      <c r="Y92" s="2045"/>
      <c r="Z92" s="2045"/>
      <c r="AA92" s="2045"/>
      <c r="AB92" s="2045"/>
      <c r="AC92" s="2045"/>
    </row>
    <row r="93" spans="1:29" ht="15" thickTop="1">
      <c r="A93" s="635"/>
      <c r="B93" s="573" t="s">
        <v>758</v>
      </c>
      <c r="C93" s="588"/>
      <c r="D93" s="588"/>
      <c r="E93" s="618"/>
      <c r="F93" s="618"/>
      <c r="G93" s="618"/>
      <c r="H93" s="618"/>
      <c r="I93" s="618"/>
      <c r="J93" s="618"/>
      <c r="K93" s="619"/>
      <c r="L93" s="620"/>
      <c r="M93" s="621"/>
      <c r="N93" s="2039"/>
      <c r="O93" s="2039"/>
      <c r="P93" s="2040"/>
      <c r="Q93" s="2033"/>
      <c r="R93" s="2020"/>
      <c r="S93" s="2020"/>
      <c r="T93" s="2020"/>
      <c r="U93" s="2020"/>
      <c r="V93" s="2020"/>
      <c r="W93" s="2020"/>
      <c r="X93" s="2020"/>
      <c r="Y93" s="2020"/>
      <c r="Z93" s="2020"/>
      <c r="AA93" s="2020"/>
      <c r="AB93" s="2020"/>
      <c r="AC93" s="2020"/>
    </row>
    <row r="94" spans="1:29" ht="15.75" thickBot="1">
      <c r="A94" s="569"/>
      <c r="B94" s="578"/>
      <c r="C94" s="579">
        <v>100</v>
      </c>
      <c r="D94" s="579">
        <f t="shared" ref="D94:M94" si="19">C94-$K32</f>
        <v>100</v>
      </c>
      <c r="E94" s="579">
        <f t="shared" si="19"/>
        <v>100</v>
      </c>
      <c r="F94" s="579">
        <f t="shared" si="19"/>
        <v>100</v>
      </c>
      <c r="G94" s="579">
        <f t="shared" si="19"/>
        <v>100</v>
      </c>
      <c r="H94" s="579">
        <f t="shared" si="19"/>
        <v>100</v>
      </c>
      <c r="I94" s="579">
        <f t="shared" si="19"/>
        <v>100</v>
      </c>
      <c r="J94" s="579">
        <f t="shared" si="19"/>
        <v>100</v>
      </c>
      <c r="K94" s="579">
        <f t="shared" si="19"/>
        <v>100</v>
      </c>
      <c r="L94" s="579">
        <f t="shared" si="19"/>
        <v>100</v>
      </c>
      <c r="M94" s="580">
        <f t="shared" si="19"/>
        <v>100</v>
      </c>
      <c r="N94" s="2041"/>
      <c r="O94" s="2041"/>
      <c r="P94" s="2040"/>
      <c r="Q94" s="2033"/>
      <c r="R94" s="2020"/>
      <c r="S94" s="2020"/>
      <c r="T94" s="2020"/>
      <c r="U94" s="2020"/>
      <c r="V94" s="2020"/>
      <c r="W94" s="2020"/>
      <c r="X94" s="2020"/>
      <c r="Y94" s="2020"/>
      <c r="Z94" s="2020"/>
      <c r="AA94" s="2020"/>
      <c r="AB94" s="2020"/>
      <c r="AC94" s="2020"/>
    </row>
    <row r="95" spans="1:29" ht="15" thickTop="1">
      <c r="A95" s="635"/>
      <c r="B95" s="573" t="s">
        <v>759</v>
      </c>
      <c r="C95" s="498"/>
      <c r="D95" s="498"/>
      <c r="E95" s="498"/>
      <c r="F95" s="498"/>
      <c r="G95" s="498"/>
      <c r="H95" s="498"/>
      <c r="I95" s="498"/>
      <c r="J95" s="498"/>
      <c r="K95" s="566"/>
      <c r="L95" s="567"/>
      <c r="M95" s="568"/>
      <c r="N95" s="2039"/>
      <c r="O95" s="2039"/>
      <c r="P95" s="2040"/>
      <c r="Q95" s="2033"/>
      <c r="R95" s="2020"/>
      <c r="S95" s="2020"/>
      <c r="T95" s="2020"/>
      <c r="U95" s="2020"/>
      <c r="V95" s="2020"/>
      <c r="W95" s="2020"/>
      <c r="X95" s="2020"/>
      <c r="Y95" s="2020"/>
      <c r="Z95" s="2020"/>
      <c r="AA95" s="2020"/>
      <c r="AB95" s="2020"/>
      <c r="AC95" s="2020"/>
    </row>
    <row r="96" spans="1:29" ht="15.75" thickBot="1">
      <c r="A96" s="569"/>
      <c r="B96" s="578"/>
      <c r="C96" s="579">
        <v>100</v>
      </c>
      <c r="D96" s="579">
        <f>C96-$K33</f>
        <v>100</v>
      </c>
      <c r="E96" s="579">
        <f>D96-$K33</f>
        <v>100</v>
      </c>
      <c r="F96" s="579">
        <f>E96-$K33</f>
        <v>100</v>
      </c>
      <c r="G96" s="579">
        <f>F96-$K33</f>
        <v>100</v>
      </c>
      <c r="H96" s="579"/>
      <c r="I96" s="579"/>
      <c r="J96" s="579"/>
      <c r="K96" s="579"/>
      <c r="L96" s="579"/>
      <c r="M96" s="580"/>
      <c r="N96" s="2041"/>
      <c r="O96" s="2041"/>
      <c r="P96" s="2040"/>
      <c r="Q96" s="2033"/>
      <c r="R96" s="2020"/>
      <c r="S96" s="2020"/>
      <c r="T96" s="2020"/>
      <c r="U96" s="2020"/>
      <c r="V96" s="2020"/>
      <c r="W96" s="2020"/>
      <c r="X96" s="2020"/>
      <c r="Y96" s="2020"/>
      <c r="Z96" s="2020"/>
      <c r="AA96" s="2020"/>
      <c r="AB96" s="2020"/>
      <c r="AC96" s="2020"/>
    </row>
    <row r="97" spans="1:29" ht="15" thickTop="1">
      <c r="A97" s="635"/>
      <c r="B97" s="817">
        <f>B34</f>
        <v>111</v>
      </c>
      <c r="C97" s="441"/>
      <c r="D97" s="441"/>
      <c r="E97" s="441"/>
      <c r="F97" s="441"/>
      <c r="G97" s="588"/>
      <c r="H97" s="589"/>
      <c r="I97" s="589"/>
      <c r="J97" s="589"/>
      <c r="K97" s="589"/>
      <c r="L97" s="590"/>
      <c r="M97" s="591"/>
      <c r="N97" s="2041"/>
      <c r="O97" s="2041"/>
      <c r="P97" s="2080"/>
      <c r="Q97" s="2081"/>
      <c r="R97" s="2020"/>
      <c r="S97" s="2020"/>
      <c r="T97" s="2020"/>
      <c r="U97" s="2020"/>
      <c r="V97" s="2020"/>
      <c r="W97" s="2020"/>
      <c r="X97" s="2020"/>
      <c r="Y97" s="2020"/>
      <c r="Z97" s="2020"/>
      <c r="AA97" s="2020"/>
      <c r="AB97" s="2020"/>
      <c r="AC97" s="2020"/>
    </row>
    <row r="98" spans="1:29" ht="15.75" thickBot="1">
      <c r="A98" s="569"/>
      <c r="B98" s="578"/>
      <c r="C98" s="592"/>
      <c r="D98" s="571"/>
      <c r="E98" s="571"/>
      <c r="F98" s="571"/>
      <c r="G98" s="592"/>
      <c r="H98" s="593"/>
      <c r="I98" s="593"/>
      <c r="J98" s="593"/>
      <c r="K98" s="593"/>
      <c r="L98" s="593"/>
      <c r="M98" s="594"/>
      <c r="N98" s="2041"/>
      <c r="O98" s="2041"/>
      <c r="P98" s="2040"/>
      <c r="Q98" s="2033"/>
      <c r="R98" s="2020"/>
      <c r="S98" s="2020"/>
      <c r="T98" s="2020"/>
      <c r="U98" s="2020"/>
      <c r="V98" s="2020"/>
      <c r="W98" s="2020"/>
      <c r="X98" s="2020"/>
      <c r="Y98" s="2020"/>
      <c r="Z98" s="2020"/>
      <c r="AA98" s="2020"/>
      <c r="AB98" s="2020"/>
      <c r="AC98" s="2020"/>
    </row>
    <row r="99" spans="1:29" s="1227" customFormat="1" ht="15" thickTop="1">
      <c r="A99" s="628"/>
      <c r="B99" s="573">
        <f>B35</f>
        <v>111</v>
      </c>
      <c r="C99" s="441"/>
      <c r="D99" s="441"/>
      <c r="E99" s="441"/>
      <c r="F99" s="441"/>
      <c r="G99" s="588"/>
      <c r="H99" s="589"/>
      <c r="I99" s="589"/>
      <c r="J99" s="589"/>
      <c r="K99" s="589"/>
      <c r="L99" s="590"/>
      <c r="M99" s="591"/>
      <c r="N99" s="2042"/>
      <c r="O99" s="2042"/>
      <c r="P99" s="2043"/>
      <c r="Q99" s="2044"/>
      <c r="R99" s="2045"/>
      <c r="S99" s="2045"/>
      <c r="T99" s="2045"/>
      <c r="U99" s="2045"/>
      <c r="V99" s="2045"/>
      <c r="W99" s="2045"/>
      <c r="X99" s="2045"/>
      <c r="Y99" s="2045"/>
      <c r="Z99" s="2045"/>
      <c r="AA99" s="2045"/>
      <c r="AB99" s="2045"/>
      <c r="AC99" s="2045"/>
    </row>
    <row r="100" spans="1:29" s="1227" customFormat="1" ht="15.75" thickBot="1">
      <c r="A100" s="587"/>
      <c r="B100" s="570"/>
      <c r="C100" s="592"/>
      <c r="D100" s="571"/>
      <c r="E100" s="571"/>
      <c r="F100" s="571"/>
      <c r="G100" s="592"/>
      <c r="H100" s="593"/>
      <c r="I100" s="593"/>
      <c r="J100" s="593"/>
      <c r="K100" s="593"/>
      <c r="L100" s="593"/>
      <c r="M100" s="594"/>
      <c r="N100" s="2042"/>
      <c r="O100" s="2042"/>
      <c r="P100" s="2043"/>
      <c r="Q100" s="2044"/>
      <c r="R100" s="2045"/>
      <c r="S100" s="2045"/>
      <c r="T100" s="2045"/>
      <c r="U100" s="2045"/>
      <c r="V100" s="2045"/>
      <c r="W100" s="2045"/>
      <c r="X100" s="2045"/>
      <c r="Y100" s="2045"/>
      <c r="Z100" s="2045"/>
      <c r="AA100" s="2045"/>
      <c r="AB100" s="2045"/>
      <c r="AC100" s="2045"/>
    </row>
    <row r="101" spans="1:29" ht="15" thickTop="1">
      <c r="A101" s="635"/>
      <c r="B101" s="573">
        <f>B36</f>
        <v>111</v>
      </c>
      <c r="C101" s="588"/>
      <c r="D101" s="588"/>
      <c r="E101" s="588"/>
      <c r="F101" s="588"/>
      <c r="G101" s="588"/>
      <c r="H101" s="589"/>
      <c r="I101" s="589"/>
      <c r="J101" s="589"/>
      <c r="K101" s="589"/>
      <c r="L101" s="590"/>
      <c r="M101" s="591"/>
      <c r="N101" s="2039"/>
      <c r="O101" s="2039"/>
      <c r="P101" s="2040"/>
      <c r="Q101" s="2033"/>
      <c r="R101" s="2020"/>
      <c r="S101" s="2020"/>
      <c r="T101" s="2020"/>
      <c r="U101" s="2020"/>
      <c r="V101" s="2020"/>
      <c r="W101" s="2020"/>
      <c r="X101" s="2020"/>
      <c r="Y101" s="2020"/>
      <c r="Z101" s="2020"/>
      <c r="AA101" s="2020"/>
      <c r="AB101" s="2020"/>
      <c r="AC101" s="2020"/>
    </row>
    <row r="102" spans="1:29" ht="15.75" thickBot="1">
      <c r="A102" s="569"/>
      <c r="B102" s="578"/>
      <c r="C102" s="592"/>
      <c r="D102" s="592"/>
      <c r="E102" s="592"/>
      <c r="F102" s="592"/>
      <c r="G102" s="592"/>
      <c r="H102" s="593"/>
      <c r="I102" s="593"/>
      <c r="J102" s="593"/>
      <c r="K102" s="593"/>
      <c r="L102" s="593"/>
      <c r="M102" s="594"/>
      <c r="N102" s="2041"/>
      <c r="O102" s="2041"/>
      <c r="P102" s="2040"/>
      <c r="Q102" s="2033"/>
      <c r="R102" s="2020"/>
      <c r="S102" s="2020"/>
      <c r="T102" s="2020"/>
      <c r="U102" s="2020"/>
      <c r="V102" s="2020"/>
      <c r="W102" s="2020"/>
      <c r="X102" s="2020"/>
      <c r="Y102" s="2020"/>
      <c r="Z102" s="2020"/>
      <c r="AA102" s="2020"/>
      <c r="AB102" s="2020"/>
      <c r="AC102" s="2020"/>
    </row>
    <row r="103" spans="1:29" ht="15" thickTop="1">
      <c r="A103" s="2054"/>
      <c r="B103" s="2054"/>
      <c r="C103" s="2054"/>
      <c r="D103" s="2054"/>
      <c r="E103" s="2054"/>
      <c r="F103" s="2054"/>
      <c r="G103" s="2054"/>
      <c r="H103" s="2054"/>
      <c r="I103" s="2054"/>
      <c r="J103" s="2054"/>
      <c r="K103" s="2055"/>
      <c r="L103" s="2056"/>
      <c r="M103" s="2054"/>
      <c r="N103" s="2054"/>
      <c r="O103" s="2054"/>
      <c r="P103" s="2054"/>
      <c r="Q103" s="2054"/>
      <c r="R103" s="2054"/>
      <c r="S103" s="2054"/>
      <c r="T103" s="2054"/>
      <c r="U103" s="2054"/>
      <c r="V103" s="2054"/>
      <c r="W103" s="2054"/>
      <c r="X103" s="2054"/>
      <c r="Y103" s="2054"/>
      <c r="Z103" s="2054"/>
      <c r="AA103" s="2054"/>
      <c r="AB103" s="2054"/>
      <c r="AC103" s="2054"/>
    </row>
    <row r="104" spans="1:29">
      <c r="A104" s="2054"/>
      <c r="B104" s="2054"/>
      <c r="C104" s="2054"/>
      <c r="D104" s="2054"/>
      <c r="E104" s="2054"/>
      <c r="F104" s="2054"/>
      <c r="G104" s="2054"/>
      <c r="H104" s="2054"/>
      <c r="I104" s="2054"/>
      <c r="J104" s="2054"/>
      <c r="K104" s="2055"/>
      <c r="L104" s="2056"/>
      <c r="M104" s="2054"/>
      <c r="N104" s="2054"/>
      <c r="O104" s="2054"/>
      <c r="P104" s="2054"/>
      <c r="Q104" s="2054"/>
      <c r="R104" s="2054"/>
      <c r="S104" s="2054"/>
      <c r="T104" s="2054"/>
      <c r="U104" s="2054"/>
      <c r="V104" s="2054"/>
      <c r="W104" s="2054"/>
      <c r="X104" s="2054"/>
      <c r="Y104" s="2054"/>
      <c r="Z104" s="2054"/>
      <c r="AA104" s="2054"/>
      <c r="AB104" s="2054"/>
      <c r="AC104" s="2054"/>
    </row>
    <row r="105" spans="1:29">
      <c r="A105" s="2054"/>
      <c r="B105" s="2054"/>
      <c r="C105" s="2054"/>
      <c r="D105" s="2054"/>
      <c r="E105" s="2054"/>
      <c r="F105" s="2054"/>
      <c r="G105" s="2054"/>
      <c r="H105" s="2054"/>
      <c r="I105" s="2054"/>
      <c r="J105" s="2054"/>
      <c r="K105" s="2055"/>
      <c r="L105" s="2056"/>
      <c r="M105" s="2054"/>
      <c r="N105" s="2054"/>
      <c r="O105" s="2054"/>
      <c r="P105" s="2054"/>
      <c r="Q105" s="2054"/>
      <c r="R105" s="2054"/>
      <c r="S105" s="2054"/>
      <c r="T105" s="2054"/>
      <c r="U105" s="2054"/>
      <c r="V105" s="2054"/>
      <c r="W105" s="2054"/>
      <c r="X105" s="2054"/>
      <c r="Y105" s="2054"/>
      <c r="Z105" s="2054"/>
      <c r="AA105" s="2054"/>
      <c r="AB105" s="2054"/>
      <c r="AC105" s="2054"/>
    </row>
    <row r="106" spans="1:29">
      <c r="A106" s="2054"/>
      <c r="B106" s="2054"/>
      <c r="C106" s="2054"/>
      <c r="D106" s="2054"/>
      <c r="E106" s="2054"/>
      <c r="F106" s="2054"/>
      <c r="G106" s="2054"/>
      <c r="H106" s="2054"/>
      <c r="I106" s="2054"/>
      <c r="J106" s="2054"/>
      <c r="K106" s="2055"/>
      <c r="L106" s="2056"/>
      <c r="M106" s="2054"/>
      <c r="N106" s="2054"/>
      <c r="O106" s="2054"/>
      <c r="P106" s="2054"/>
      <c r="Q106" s="2054"/>
      <c r="R106" s="2054"/>
      <c r="S106" s="2054"/>
      <c r="T106" s="2054"/>
      <c r="U106" s="2054"/>
      <c r="V106" s="2054"/>
      <c r="W106" s="2054"/>
      <c r="X106" s="2054"/>
      <c r="Y106" s="2054"/>
      <c r="Z106" s="2054"/>
      <c r="AA106" s="2054"/>
      <c r="AB106" s="2054"/>
      <c r="AC106" s="2054"/>
    </row>
    <row r="107" spans="1:29">
      <c r="A107" s="2054"/>
      <c r="B107" s="2054"/>
      <c r="C107" s="2054"/>
      <c r="D107" s="2054"/>
      <c r="E107" s="2054"/>
      <c r="F107" s="2054"/>
      <c r="G107" s="2054"/>
      <c r="H107" s="2054"/>
      <c r="I107" s="2054"/>
      <c r="J107" s="2054"/>
      <c r="K107" s="2055"/>
      <c r="L107" s="2056"/>
      <c r="M107" s="2054"/>
      <c r="N107" s="2054"/>
      <c r="O107" s="2054"/>
      <c r="P107" s="2054"/>
      <c r="Q107" s="2054"/>
      <c r="R107" s="2054"/>
      <c r="S107" s="2054"/>
      <c r="T107" s="2054"/>
      <c r="U107" s="2054"/>
      <c r="V107" s="2054"/>
      <c r="W107" s="2054"/>
      <c r="X107" s="2054"/>
      <c r="Y107" s="2054"/>
      <c r="Z107" s="2054"/>
      <c r="AA107" s="2054"/>
      <c r="AB107" s="2054"/>
      <c r="AC107" s="2054"/>
    </row>
    <row r="108" spans="1:29">
      <c r="A108" s="2054"/>
      <c r="B108" s="2054"/>
      <c r="C108" s="2054"/>
      <c r="D108" s="2054"/>
      <c r="E108" s="2054"/>
      <c r="F108" s="2054"/>
      <c r="G108" s="2054"/>
      <c r="H108" s="2054"/>
      <c r="I108" s="2054"/>
      <c r="J108" s="2054"/>
      <c r="K108" s="2055"/>
      <c r="L108" s="2056"/>
      <c r="M108" s="2054"/>
      <c r="N108" s="2054"/>
      <c r="O108" s="2054"/>
      <c r="P108" s="2054"/>
      <c r="Q108" s="2054"/>
      <c r="R108" s="2054"/>
      <c r="S108" s="2054"/>
      <c r="T108" s="2054"/>
      <c r="U108" s="2054"/>
      <c r="V108" s="2054"/>
      <c r="W108" s="2054"/>
      <c r="X108" s="2054"/>
      <c r="Y108" s="2054"/>
      <c r="Z108" s="2054"/>
      <c r="AA108" s="2054"/>
      <c r="AB108" s="2054"/>
      <c r="AC108" s="2054"/>
    </row>
    <row r="109" spans="1:29">
      <c r="A109" s="2054"/>
      <c r="B109" s="2054"/>
      <c r="C109" s="2054"/>
      <c r="D109" s="2054"/>
      <c r="E109" s="2054"/>
      <c r="F109" s="2054"/>
      <c r="G109" s="2054"/>
      <c r="H109" s="2054"/>
      <c r="I109" s="2054"/>
      <c r="J109" s="2054"/>
      <c r="K109" s="2055"/>
      <c r="L109" s="2056"/>
      <c r="M109" s="2054"/>
      <c r="N109" s="2054"/>
      <c r="O109" s="2054"/>
      <c r="P109" s="2054"/>
      <c r="Q109" s="2054"/>
      <c r="R109" s="2054"/>
      <c r="S109" s="2054"/>
      <c r="T109" s="2054"/>
      <c r="U109" s="2054"/>
      <c r="V109" s="2054"/>
      <c r="W109" s="2054"/>
      <c r="X109" s="2054"/>
      <c r="Y109" s="2054"/>
      <c r="Z109" s="2054"/>
      <c r="AA109" s="2054"/>
      <c r="AB109" s="2054"/>
      <c r="AC109" s="2054"/>
    </row>
    <row r="110" spans="1:29">
      <c r="A110" s="2054"/>
      <c r="B110" s="2054"/>
      <c r="C110" s="2054"/>
      <c r="D110" s="2054"/>
      <c r="E110" s="2054"/>
      <c r="F110" s="2054"/>
      <c r="G110" s="2054"/>
      <c r="H110" s="2054"/>
      <c r="I110" s="2054"/>
      <c r="J110" s="2054"/>
      <c r="K110" s="2055"/>
      <c r="L110" s="2056"/>
      <c r="M110" s="2054"/>
      <c r="N110" s="2054"/>
      <c r="O110" s="2054"/>
      <c r="P110" s="2054"/>
      <c r="Q110" s="2054"/>
      <c r="R110" s="2054"/>
      <c r="S110" s="2054"/>
      <c r="T110" s="2054"/>
      <c r="U110" s="2054"/>
      <c r="V110" s="2054"/>
      <c r="W110" s="2054"/>
      <c r="X110" s="2054"/>
      <c r="Y110" s="2054"/>
      <c r="Z110" s="2054"/>
      <c r="AA110" s="2054"/>
      <c r="AB110" s="2054"/>
      <c r="AC110" s="2054"/>
    </row>
    <row r="111" spans="1:29">
      <c r="A111" s="2054"/>
      <c r="B111" s="2054"/>
      <c r="C111" s="2054"/>
      <c r="D111" s="2054"/>
      <c r="E111" s="2054"/>
      <c r="F111" s="2054"/>
      <c r="G111" s="2054"/>
      <c r="H111" s="2054"/>
      <c r="I111" s="2054"/>
      <c r="J111" s="2054"/>
      <c r="K111" s="2055"/>
      <c r="L111" s="2056"/>
      <c r="M111" s="2054"/>
      <c r="N111" s="2054"/>
      <c r="O111" s="2054"/>
      <c r="P111" s="2054"/>
      <c r="Q111" s="2054"/>
      <c r="R111" s="2054"/>
      <c r="S111" s="2054"/>
      <c r="T111" s="2054"/>
      <c r="U111" s="2054"/>
      <c r="V111" s="2054"/>
      <c r="W111" s="2054"/>
      <c r="X111" s="2054"/>
      <c r="Y111" s="2054"/>
      <c r="Z111" s="2054"/>
      <c r="AA111" s="2054"/>
      <c r="AB111" s="2054"/>
      <c r="AC111" s="2054"/>
    </row>
    <row r="112" spans="1:29">
      <c r="A112" s="2054"/>
      <c r="B112" s="2054"/>
      <c r="C112" s="2054"/>
      <c r="D112" s="2054"/>
      <c r="E112" s="2054"/>
      <c r="F112" s="2054"/>
      <c r="G112" s="2054"/>
      <c r="H112" s="2054"/>
      <c r="I112" s="2054"/>
      <c r="J112" s="2054"/>
      <c r="K112" s="2055"/>
      <c r="L112" s="2056"/>
      <c r="M112" s="2054"/>
      <c r="N112" s="2054"/>
      <c r="O112" s="2054"/>
      <c r="P112" s="2054"/>
      <c r="Q112" s="2054"/>
      <c r="R112" s="2054"/>
      <c r="S112" s="2054"/>
      <c r="T112" s="2054"/>
      <c r="U112" s="2054"/>
      <c r="V112" s="2054"/>
      <c r="W112" s="2054"/>
      <c r="X112" s="2054"/>
      <c r="Y112" s="2054"/>
      <c r="Z112" s="2054"/>
      <c r="AA112" s="2054"/>
      <c r="AB112" s="2054"/>
      <c r="AC112" s="2054"/>
    </row>
    <row r="113" spans="1:29">
      <c r="A113" s="2054"/>
      <c r="B113" s="2054"/>
      <c r="C113" s="2054"/>
      <c r="D113" s="2054"/>
      <c r="E113" s="2054"/>
      <c r="F113" s="2054"/>
      <c r="G113" s="2054"/>
      <c r="H113" s="2054"/>
      <c r="I113" s="2054"/>
      <c r="J113" s="2054"/>
      <c r="K113" s="2055"/>
      <c r="L113" s="2056"/>
      <c r="M113" s="2054"/>
      <c r="N113" s="2054"/>
      <c r="O113" s="2054"/>
      <c r="P113" s="2054"/>
      <c r="Q113" s="2054"/>
      <c r="R113" s="2054"/>
      <c r="S113" s="2054"/>
      <c r="T113" s="2054"/>
      <c r="U113" s="2054"/>
      <c r="V113" s="2054"/>
      <c r="W113" s="2054"/>
      <c r="X113" s="2054"/>
      <c r="Y113" s="2054"/>
      <c r="Z113" s="2054"/>
      <c r="AA113" s="2054"/>
      <c r="AB113" s="2054"/>
      <c r="AC113" s="2054"/>
    </row>
    <row r="114" spans="1:29">
      <c r="A114" s="2054"/>
      <c r="B114" s="2054"/>
      <c r="C114" s="2054"/>
      <c r="D114" s="2054"/>
      <c r="E114" s="2054"/>
      <c r="F114" s="2054"/>
      <c r="G114" s="2054"/>
      <c r="H114" s="2054"/>
      <c r="I114" s="2054"/>
      <c r="J114" s="2054"/>
      <c r="K114" s="2055"/>
      <c r="L114" s="2056"/>
      <c r="M114" s="2054"/>
      <c r="N114" s="2054"/>
      <c r="O114" s="2054"/>
      <c r="P114" s="2054"/>
      <c r="Q114" s="2054"/>
      <c r="R114" s="2054"/>
      <c r="S114" s="2054"/>
      <c r="T114" s="2054"/>
      <c r="U114" s="2054"/>
      <c r="V114" s="2054"/>
      <c r="W114" s="2054"/>
      <c r="X114" s="2054"/>
      <c r="Y114" s="2054"/>
      <c r="Z114" s="2054"/>
      <c r="AA114" s="2054"/>
      <c r="AB114" s="2054"/>
      <c r="AC114" s="2054"/>
    </row>
    <row r="115" spans="1:29">
      <c r="A115" s="2054"/>
      <c r="B115" s="2054"/>
      <c r="C115" s="2054"/>
      <c r="D115" s="2054"/>
      <c r="E115" s="2054"/>
      <c r="F115" s="2054"/>
      <c r="G115" s="2054"/>
      <c r="H115" s="2054"/>
      <c r="I115" s="2054"/>
      <c r="J115" s="2054"/>
      <c r="K115" s="2055"/>
      <c r="L115" s="2056"/>
      <c r="M115" s="2054"/>
      <c r="N115" s="2054"/>
      <c r="O115" s="2054"/>
      <c r="P115" s="2054"/>
      <c r="Q115" s="2054"/>
      <c r="R115" s="2054"/>
      <c r="S115" s="2054"/>
      <c r="T115" s="2054"/>
      <c r="U115" s="2054"/>
      <c r="V115" s="2054"/>
      <c r="W115" s="2054"/>
      <c r="X115" s="2054"/>
      <c r="Y115" s="2054"/>
      <c r="Z115" s="2054"/>
      <c r="AA115" s="2054"/>
      <c r="AB115" s="2054"/>
      <c r="AC115" s="2054"/>
    </row>
    <row r="116" spans="1:29">
      <c r="A116" s="2054"/>
      <c r="B116" s="2054"/>
      <c r="C116" s="2054"/>
      <c r="D116" s="2054"/>
      <c r="E116" s="2054"/>
      <c r="F116" s="2054"/>
      <c r="G116" s="2054"/>
      <c r="H116" s="2054"/>
      <c r="I116" s="2054"/>
      <c r="J116" s="2054"/>
      <c r="K116" s="2055"/>
      <c r="L116" s="2056"/>
      <c r="M116" s="2054"/>
      <c r="N116" s="2054"/>
      <c r="O116" s="2054"/>
      <c r="P116" s="2054"/>
      <c r="Q116" s="2054"/>
      <c r="R116" s="2054"/>
      <c r="S116" s="2054"/>
      <c r="T116" s="2054"/>
      <c r="U116" s="2054"/>
      <c r="V116" s="2054"/>
      <c r="W116" s="2054"/>
      <c r="X116" s="2054"/>
      <c r="Y116" s="2054"/>
      <c r="Z116" s="2054"/>
      <c r="AA116" s="2054"/>
      <c r="AB116" s="2054"/>
      <c r="AC116" s="2054"/>
    </row>
    <row r="117" spans="1:29">
      <c r="A117" s="2054"/>
      <c r="B117" s="2054"/>
      <c r="C117" s="2054"/>
      <c r="D117" s="2054"/>
      <c r="E117" s="2054"/>
      <c r="F117" s="2054"/>
      <c r="G117" s="2054"/>
      <c r="H117" s="2054"/>
      <c r="I117" s="2054"/>
      <c r="J117" s="2054"/>
      <c r="K117" s="2055"/>
      <c r="L117" s="2056"/>
      <c r="M117" s="2054"/>
      <c r="N117" s="2054"/>
      <c r="O117" s="2054"/>
      <c r="P117" s="2054"/>
      <c r="Q117" s="2054"/>
      <c r="R117" s="2054"/>
      <c r="S117" s="2054"/>
      <c r="T117" s="2054"/>
      <c r="U117" s="2054"/>
      <c r="V117" s="2054"/>
      <c r="W117" s="2054"/>
      <c r="X117" s="2054"/>
      <c r="Y117" s="2054"/>
      <c r="Z117" s="2054"/>
      <c r="AA117" s="2054"/>
      <c r="AB117" s="2054"/>
      <c r="AC117" s="2054"/>
    </row>
    <row r="118" spans="1:29">
      <c r="A118" s="2054"/>
      <c r="B118" s="2054"/>
      <c r="C118" s="2054"/>
      <c r="D118" s="2054"/>
      <c r="E118" s="2054"/>
      <c r="F118" s="2054"/>
      <c r="G118" s="2054"/>
      <c r="H118" s="2054"/>
      <c r="I118" s="2054"/>
      <c r="J118" s="2054"/>
      <c r="K118" s="2055"/>
      <c r="L118" s="2056"/>
      <c r="M118" s="2054"/>
      <c r="N118" s="2054"/>
      <c r="O118" s="2054"/>
      <c r="P118" s="2054"/>
      <c r="Q118" s="2054"/>
      <c r="R118" s="2054"/>
      <c r="S118" s="2054"/>
      <c r="T118" s="2054"/>
      <c r="U118" s="2054"/>
      <c r="V118" s="2054"/>
      <c r="W118" s="2054"/>
      <c r="X118" s="2054"/>
      <c r="Y118" s="2054"/>
      <c r="Z118" s="2054"/>
      <c r="AA118" s="2054"/>
      <c r="AB118" s="2054"/>
      <c r="AC118" s="2054"/>
    </row>
    <row r="119" spans="1:29">
      <c r="A119" s="2054"/>
      <c r="B119" s="2054"/>
      <c r="C119" s="2054"/>
      <c r="D119" s="2054"/>
      <c r="E119" s="2054"/>
      <c r="F119" s="2054"/>
      <c r="G119" s="2054"/>
      <c r="H119" s="2054"/>
      <c r="I119" s="2054"/>
      <c r="J119" s="2054"/>
      <c r="K119" s="2055"/>
      <c r="L119" s="2056"/>
      <c r="M119" s="2054"/>
      <c r="N119" s="2054"/>
      <c r="O119" s="2054"/>
      <c r="P119" s="2054"/>
      <c r="Q119" s="2054"/>
      <c r="R119" s="2054"/>
      <c r="S119" s="2054"/>
      <c r="T119" s="2054"/>
      <c r="U119" s="2054"/>
      <c r="V119" s="2054"/>
      <c r="W119" s="2054"/>
      <c r="X119" s="2054"/>
      <c r="Y119" s="2054"/>
      <c r="Z119" s="2054"/>
      <c r="AA119" s="2054"/>
      <c r="AB119" s="2054"/>
      <c r="AC119" s="2054"/>
    </row>
    <row r="120" spans="1:29">
      <c r="A120" s="2054"/>
      <c r="B120" s="2054"/>
      <c r="C120" s="2054"/>
      <c r="D120" s="2054"/>
      <c r="E120" s="2054"/>
      <c r="F120" s="2054"/>
      <c r="G120" s="2054"/>
      <c r="H120" s="2054"/>
      <c r="I120" s="2054"/>
      <c r="J120" s="2054"/>
      <c r="K120" s="2055"/>
      <c r="L120" s="2056"/>
      <c r="M120" s="2054"/>
      <c r="N120" s="2054"/>
      <c r="O120" s="2054"/>
      <c r="P120" s="2054"/>
      <c r="Q120" s="2054"/>
      <c r="R120" s="2054"/>
      <c r="S120" s="2054"/>
      <c r="T120" s="2054"/>
      <c r="U120" s="2054"/>
      <c r="V120" s="2054"/>
      <c r="W120" s="2054"/>
      <c r="X120" s="2054"/>
      <c r="Y120" s="2054"/>
      <c r="Z120" s="2054"/>
      <c r="AA120" s="2054"/>
      <c r="AB120" s="2054"/>
      <c r="AC120" s="2054"/>
    </row>
    <row r="121" spans="1:29">
      <c r="A121" s="2054"/>
      <c r="B121" s="2054"/>
      <c r="C121" s="2054"/>
      <c r="D121" s="2054"/>
      <c r="E121" s="2054"/>
      <c r="F121" s="2054"/>
      <c r="G121" s="2054"/>
      <c r="H121" s="2054"/>
      <c r="I121" s="2054"/>
      <c r="J121" s="2054"/>
      <c r="K121" s="2055"/>
      <c r="L121" s="2056"/>
      <c r="M121" s="2054"/>
      <c r="N121" s="2054"/>
      <c r="O121" s="2054"/>
      <c r="P121" s="2054"/>
      <c r="Q121" s="2054"/>
      <c r="R121" s="2054"/>
      <c r="S121" s="2054"/>
      <c r="T121" s="2054"/>
      <c r="U121" s="2054"/>
      <c r="V121" s="2054"/>
      <c r="W121" s="2054"/>
      <c r="X121" s="2054"/>
      <c r="Y121" s="2054"/>
      <c r="Z121" s="2054"/>
      <c r="AA121" s="2054"/>
      <c r="AB121" s="2054"/>
      <c r="AC121" s="2054"/>
    </row>
    <row r="122" spans="1:29">
      <c r="A122" s="2054"/>
      <c r="B122" s="2054"/>
      <c r="C122" s="2054"/>
      <c r="D122" s="2054"/>
      <c r="E122" s="2054"/>
      <c r="F122" s="2054"/>
      <c r="G122" s="2054"/>
      <c r="H122" s="2054"/>
      <c r="I122" s="2054"/>
      <c r="J122" s="2054"/>
      <c r="K122" s="2055"/>
      <c r="L122" s="2056"/>
      <c r="M122" s="2054"/>
      <c r="N122" s="2054"/>
      <c r="O122" s="2054"/>
      <c r="P122" s="2054"/>
      <c r="Q122" s="2054"/>
      <c r="R122" s="2054"/>
      <c r="S122" s="2054"/>
      <c r="T122" s="2054"/>
      <c r="U122" s="2054"/>
      <c r="V122" s="2054"/>
      <c r="W122" s="2054"/>
      <c r="X122" s="2054"/>
      <c r="Y122" s="2054"/>
      <c r="Z122" s="2054"/>
      <c r="AA122" s="2054"/>
      <c r="AB122" s="2054"/>
      <c r="AC122" s="2054"/>
    </row>
    <row r="123" spans="1:29">
      <c r="A123" s="2054"/>
      <c r="B123" s="2054"/>
      <c r="C123" s="2054"/>
      <c r="D123" s="2054"/>
      <c r="E123" s="2054"/>
      <c r="F123" s="2054"/>
      <c r="G123" s="2054"/>
      <c r="H123" s="2054"/>
      <c r="I123" s="2054"/>
      <c r="J123" s="2054"/>
      <c r="K123" s="2055"/>
      <c r="L123" s="2056"/>
      <c r="M123" s="2054"/>
      <c r="N123" s="2054"/>
      <c r="O123" s="2054"/>
      <c r="P123" s="2054"/>
      <c r="Q123" s="2054"/>
      <c r="R123" s="2054"/>
      <c r="S123" s="2054"/>
      <c r="T123" s="2054"/>
      <c r="U123" s="2054"/>
      <c r="V123" s="2054"/>
      <c r="W123" s="2054"/>
      <c r="X123" s="2054"/>
      <c r="Y123" s="2054"/>
      <c r="Z123" s="2054"/>
      <c r="AA123" s="2054"/>
      <c r="AB123" s="2054"/>
      <c r="AC123" s="2054"/>
    </row>
    <row r="124" spans="1:29">
      <c r="A124" s="2054"/>
      <c r="B124" s="2054"/>
      <c r="C124" s="2054"/>
      <c r="D124" s="2054"/>
      <c r="E124" s="2054"/>
      <c r="F124" s="2054"/>
      <c r="G124" s="2054"/>
      <c r="H124" s="2054"/>
      <c r="I124" s="2054"/>
      <c r="J124" s="2054"/>
      <c r="K124" s="2055"/>
      <c r="L124" s="2056"/>
      <c r="M124" s="2054"/>
      <c r="N124" s="2054"/>
      <c r="O124" s="2054"/>
      <c r="P124" s="2054"/>
      <c r="Q124" s="2054"/>
      <c r="R124" s="2054"/>
      <c r="S124" s="2054"/>
      <c r="T124" s="2054"/>
      <c r="U124" s="2054"/>
      <c r="V124" s="2054"/>
      <c r="W124" s="2054"/>
      <c r="X124" s="2054"/>
      <c r="Y124" s="2054"/>
      <c r="Z124" s="2054"/>
      <c r="AA124" s="2054"/>
      <c r="AB124" s="2054"/>
      <c r="AC124" s="2054"/>
    </row>
    <row r="125" spans="1:29">
      <c r="A125" s="2054"/>
      <c r="B125" s="2054"/>
      <c r="C125" s="2054"/>
      <c r="D125" s="2054"/>
      <c r="E125" s="2054"/>
      <c r="F125" s="2054"/>
      <c r="G125" s="2054"/>
      <c r="H125" s="2054"/>
      <c r="I125" s="2054"/>
      <c r="J125" s="2054"/>
      <c r="K125" s="2055"/>
      <c r="L125" s="2056"/>
      <c r="M125" s="2054"/>
      <c r="N125" s="2054"/>
      <c r="O125" s="2054"/>
      <c r="P125" s="2054"/>
      <c r="Q125" s="2054"/>
      <c r="R125" s="2054"/>
      <c r="S125" s="2054"/>
      <c r="T125" s="2054"/>
      <c r="U125" s="2054"/>
      <c r="V125" s="2054"/>
      <c r="W125" s="2054"/>
      <c r="X125" s="2054"/>
      <c r="Y125" s="2054"/>
      <c r="Z125" s="2054"/>
      <c r="AA125" s="2054"/>
      <c r="AB125" s="2054"/>
      <c r="AC125" s="2054"/>
    </row>
    <row r="126" spans="1:29">
      <c r="A126" s="2054"/>
      <c r="B126" s="2054"/>
      <c r="C126" s="2054"/>
      <c r="D126" s="2054"/>
      <c r="E126" s="2054"/>
      <c r="F126" s="2054"/>
      <c r="G126" s="2054"/>
      <c r="H126" s="2054"/>
      <c r="I126" s="2054"/>
      <c r="J126" s="2054"/>
      <c r="K126" s="2055"/>
      <c r="L126" s="2056"/>
      <c r="M126" s="2054"/>
      <c r="N126" s="2054"/>
      <c r="O126" s="2054"/>
      <c r="P126" s="2054"/>
      <c r="Q126" s="2054"/>
      <c r="R126" s="2054"/>
      <c r="S126" s="2054"/>
      <c r="T126" s="2054"/>
      <c r="U126" s="2054"/>
      <c r="V126" s="2054"/>
      <c r="W126" s="2054"/>
      <c r="X126" s="2054"/>
      <c r="Y126" s="2054"/>
      <c r="Z126" s="2054"/>
      <c r="AA126" s="2054"/>
      <c r="AB126" s="2054"/>
      <c r="AC126" s="2054"/>
    </row>
    <row r="127" spans="1:29">
      <c r="A127" s="2054"/>
      <c r="B127" s="2054"/>
      <c r="C127" s="2054"/>
      <c r="D127" s="2054"/>
      <c r="E127" s="2054"/>
      <c r="F127" s="2054"/>
      <c r="G127" s="2054"/>
      <c r="H127" s="2054"/>
      <c r="I127" s="2054"/>
      <c r="J127" s="2054"/>
      <c r="K127" s="2055"/>
      <c r="L127" s="2056"/>
      <c r="M127" s="2054"/>
      <c r="N127" s="2054"/>
      <c r="O127" s="2054"/>
      <c r="P127" s="2054"/>
      <c r="Q127" s="2054"/>
      <c r="R127" s="2054"/>
      <c r="S127" s="2054"/>
      <c r="T127" s="2054"/>
      <c r="U127" s="2054"/>
      <c r="V127" s="2054"/>
      <c r="W127" s="2054"/>
      <c r="X127" s="2054"/>
      <c r="Y127" s="2054"/>
      <c r="Z127" s="2054"/>
      <c r="AA127" s="2054"/>
      <c r="AB127" s="2054"/>
      <c r="AC127" s="2054"/>
    </row>
    <row r="128" spans="1:29">
      <c r="A128" s="2054"/>
      <c r="B128" s="2054"/>
      <c r="C128" s="2054"/>
      <c r="D128" s="2054"/>
      <c r="E128" s="2054"/>
      <c r="F128" s="2054"/>
      <c r="G128" s="2054"/>
      <c r="H128" s="2054"/>
      <c r="I128" s="2054"/>
      <c r="J128" s="2054"/>
      <c r="K128" s="2055"/>
      <c r="L128" s="2056"/>
      <c r="M128" s="2054"/>
      <c r="N128" s="2054"/>
      <c r="O128" s="2054"/>
      <c r="P128" s="2054"/>
      <c r="Q128" s="2054"/>
      <c r="R128" s="2054"/>
      <c r="S128" s="2054"/>
      <c r="T128" s="2054"/>
      <c r="U128" s="2054"/>
      <c r="V128" s="2054"/>
      <c r="W128" s="2054"/>
      <c r="X128" s="2054"/>
      <c r="Y128" s="2054"/>
      <c r="Z128" s="2054"/>
      <c r="AA128" s="2054"/>
      <c r="AB128" s="2054"/>
      <c r="AC128" s="2054"/>
    </row>
    <row r="129" spans="1:29">
      <c r="A129" s="2054"/>
      <c r="B129" s="2054"/>
      <c r="C129" s="2054"/>
      <c r="D129" s="2054"/>
      <c r="E129" s="2054"/>
      <c r="F129" s="2054"/>
      <c r="G129" s="2054"/>
      <c r="H129" s="2054"/>
      <c r="I129" s="2054"/>
      <c r="J129" s="2054"/>
      <c r="K129" s="2055"/>
      <c r="L129" s="2056"/>
      <c r="M129" s="2054"/>
      <c r="N129" s="2054"/>
      <c r="O129" s="2054"/>
      <c r="P129" s="2054"/>
      <c r="Q129" s="2054"/>
      <c r="R129" s="2054"/>
      <c r="S129" s="2054"/>
      <c r="T129" s="2054"/>
      <c r="U129" s="2054"/>
      <c r="V129" s="2054"/>
      <c r="W129" s="2054"/>
      <c r="X129" s="2054"/>
      <c r="Y129" s="2054"/>
      <c r="Z129" s="2054"/>
      <c r="AA129" s="2054"/>
      <c r="AB129" s="2054"/>
      <c r="AC129" s="2054"/>
    </row>
    <row r="130" spans="1:29">
      <c r="A130" s="2054"/>
      <c r="B130" s="2054"/>
      <c r="C130" s="2054"/>
      <c r="D130" s="2054"/>
      <c r="E130" s="2054"/>
      <c r="F130" s="2054"/>
      <c r="G130" s="2054"/>
      <c r="H130" s="2054"/>
      <c r="I130" s="2054"/>
      <c r="J130" s="2054"/>
      <c r="K130" s="2055"/>
      <c r="L130" s="2056"/>
      <c r="M130" s="2054"/>
      <c r="N130" s="2054"/>
      <c r="O130" s="2054"/>
      <c r="P130" s="2054"/>
      <c r="Q130" s="2054"/>
      <c r="R130" s="2054"/>
      <c r="S130" s="2054"/>
      <c r="T130" s="2054"/>
      <c r="U130" s="2054"/>
      <c r="V130" s="2054"/>
      <c r="W130" s="2054"/>
      <c r="X130" s="2054"/>
      <c r="Y130" s="2054"/>
      <c r="Z130" s="2054"/>
      <c r="AA130" s="2054"/>
      <c r="AB130" s="2054"/>
      <c r="AC130" s="2054"/>
    </row>
    <row r="131" spans="1:29">
      <c r="A131" s="2054"/>
      <c r="B131" s="2054"/>
      <c r="C131" s="2054"/>
      <c r="D131" s="2054"/>
      <c r="E131" s="2054"/>
      <c r="F131" s="2054"/>
      <c r="G131" s="2054"/>
      <c r="H131" s="2054"/>
      <c r="I131" s="2054"/>
      <c r="J131" s="2054"/>
      <c r="K131" s="2055"/>
      <c r="L131" s="2056"/>
      <c r="M131" s="2054"/>
      <c r="N131" s="2054"/>
      <c r="O131" s="2054"/>
      <c r="P131" s="2054"/>
      <c r="Q131" s="2054"/>
      <c r="R131" s="2054"/>
      <c r="S131" s="2054"/>
      <c r="T131" s="2054"/>
      <c r="U131" s="2054"/>
      <c r="V131" s="2054"/>
      <c r="W131" s="2054"/>
      <c r="X131" s="2054"/>
      <c r="Y131" s="2054"/>
      <c r="Z131" s="2054"/>
      <c r="AA131" s="2054"/>
      <c r="AB131" s="2054"/>
      <c r="AC131" s="2054"/>
    </row>
    <row r="132" spans="1:29">
      <c r="A132" s="2054"/>
      <c r="B132" s="2054"/>
      <c r="C132" s="2054"/>
      <c r="D132" s="2054"/>
      <c r="E132" s="2054"/>
      <c r="F132" s="2054"/>
      <c r="G132" s="2054"/>
      <c r="H132" s="2054"/>
      <c r="I132" s="2054"/>
      <c r="J132" s="2054"/>
      <c r="K132" s="2055"/>
      <c r="L132" s="2056"/>
      <c r="M132" s="2054"/>
      <c r="N132" s="2054"/>
      <c r="O132" s="2054"/>
      <c r="P132" s="2054"/>
      <c r="Q132" s="2054"/>
      <c r="R132" s="2054"/>
      <c r="S132" s="2054"/>
      <c r="T132" s="2054"/>
      <c r="U132" s="2054"/>
      <c r="V132" s="2054"/>
      <c r="W132" s="2054"/>
      <c r="X132" s="2054"/>
      <c r="Y132" s="2054"/>
      <c r="Z132" s="2054"/>
      <c r="AA132" s="2054"/>
      <c r="AB132" s="2054"/>
      <c r="AC132" s="2054"/>
    </row>
    <row r="133" spans="1:29">
      <c r="A133" s="2054"/>
      <c r="B133" s="2054"/>
      <c r="C133" s="2054"/>
      <c r="D133" s="2054"/>
      <c r="E133" s="2054"/>
      <c r="F133" s="2054"/>
      <c r="G133" s="2054"/>
      <c r="H133" s="2054"/>
      <c r="I133" s="2054"/>
      <c r="J133" s="2054"/>
      <c r="K133" s="2055"/>
      <c r="L133" s="2056"/>
      <c r="M133" s="2054"/>
      <c r="N133" s="2054"/>
      <c r="O133" s="2054"/>
      <c r="P133" s="2054"/>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54"/>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225" customWidth="1"/>
    <col min="2" max="2" width="15.75" style="1225" customWidth="1"/>
    <col min="3" max="3" width="14.375" style="1225" customWidth="1"/>
    <col min="4" max="4" width="12.25" style="1225" customWidth="1"/>
    <col min="5" max="5" width="14.3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658</v>
      </c>
      <c r="B1" s="823"/>
      <c r="C1" s="404" t="s">
        <v>731</v>
      </c>
      <c r="D1" s="749"/>
      <c r="E1" s="406"/>
      <c r="F1" s="2672"/>
      <c r="G1" s="1489" t="s">
        <v>732</v>
      </c>
      <c r="H1" s="406"/>
      <c r="I1" s="406"/>
      <c r="J1" s="406"/>
      <c r="K1" s="407"/>
      <c r="L1" s="1450"/>
      <c r="M1" s="1451"/>
      <c r="N1" s="1451"/>
      <c r="O1" s="1451"/>
      <c r="P1" s="1452"/>
      <c r="Q1" s="1452"/>
      <c r="R1" s="1452"/>
      <c r="S1" s="1452"/>
      <c r="T1" s="1452"/>
      <c r="U1" s="1452"/>
      <c r="V1" s="1452"/>
      <c r="W1" s="1452"/>
      <c r="X1" s="1452"/>
      <c r="Y1" s="1452"/>
      <c r="Z1" s="1452"/>
      <c r="AA1" s="1452"/>
      <c r="AB1" s="1452"/>
      <c r="AC1" s="1453"/>
    </row>
    <row r="2" spans="1:29" s="1224" customFormat="1" ht="28.5" customHeight="1">
      <c r="A2" s="323" t="s">
        <v>733</v>
      </c>
      <c r="B2" s="750" t="e">
        <f>ROUND(B3*D3/10000,0)</f>
        <v>#DIV/0!</v>
      </c>
      <c r="C2" s="2002"/>
      <c r="D2" s="2002"/>
      <c r="E2" s="2003"/>
      <c r="F2" s="2004"/>
      <c r="G2" s="2003"/>
      <c r="H2" s="2003"/>
      <c r="I2" s="2003"/>
      <c r="J2" s="2003"/>
      <c r="K2" s="2005"/>
      <c r="L2" s="2006"/>
      <c r="M2" s="2007"/>
      <c r="N2" s="2007"/>
      <c r="O2" s="2007"/>
      <c r="P2" s="1452"/>
      <c r="Q2" s="1452"/>
      <c r="R2" s="1452"/>
      <c r="S2" s="1452"/>
      <c r="T2" s="1452"/>
      <c r="U2" s="1452"/>
      <c r="V2" s="1452"/>
      <c r="W2" s="1452"/>
      <c r="X2" s="1452"/>
      <c r="Y2" s="1452"/>
      <c r="Z2" s="1452"/>
      <c r="AA2" s="1452"/>
      <c r="AB2" s="1452"/>
      <c r="AC2" s="1453"/>
    </row>
    <row r="3" spans="1:29" s="1224" customFormat="1" ht="28.5" customHeight="1" thickBot="1">
      <c r="A3" s="409" t="s">
        <v>734</v>
      </c>
      <c r="B3" s="410" t="e">
        <f>C37</f>
        <v>#DIV/0!</v>
      </c>
      <c r="C3" s="752" t="s">
        <v>735</v>
      </c>
      <c r="D3" s="751">
        <f>SUMIF('数据-汇总表'!$C19:$C33,D1,'数据-汇总表'!$E19:$E33)</f>
        <v>0</v>
      </c>
      <c r="E3" s="2003"/>
      <c r="F3" s="2004"/>
      <c r="G3" s="2003"/>
      <c r="H3" s="2003"/>
      <c r="I3" s="2003"/>
      <c r="J3" s="2003"/>
      <c r="K3" s="2005"/>
      <c r="L3" s="2006"/>
      <c r="M3" s="2007"/>
      <c r="N3" s="2007"/>
      <c r="O3" s="2007"/>
      <c r="P3" s="1452"/>
      <c r="Q3" s="1452"/>
      <c r="R3" s="1452"/>
      <c r="S3" s="1452"/>
      <c r="T3" s="1452"/>
      <c r="U3" s="1452"/>
      <c r="V3" s="1452"/>
      <c r="W3" s="1452"/>
      <c r="X3" s="1452"/>
      <c r="Y3" s="1452"/>
      <c r="Z3" s="1452"/>
      <c r="AA3" s="1452"/>
      <c r="AB3" s="1454"/>
      <c r="AC3" s="328"/>
    </row>
    <row r="4" spans="1:29" ht="15">
      <c r="A4" s="412" t="s">
        <v>736</v>
      </c>
      <c r="B4" s="413"/>
      <c r="C4" s="3384" t="s">
        <v>737</v>
      </c>
      <c r="D4" s="3385"/>
      <c r="E4" s="3418" t="s">
        <v>738</v>
      </c>
      <c r="F4" s="3419"/>
      <c r="G4" s="3384" t="s">
        <v>739</v>
      </c>
      <c r="H4" s="3385"/>
      <c r="I4" s="3384" t="s">
        <v>740</v>
      </c>
      <c r="J4" s="3385"/>
      <c r="K4" s="414" t="s">
        <v>741</v>
      </c>
      <c r="L4" s="2008"/>
      <c r="M4" s="2009"/>
      <c r="N4" s="2009"/>
      <c r="O4" s="2009"/>
      <c r="P4" s="3386" t="s">
        <v>742</v>
      </c>
      <c r="Q4" s="3387"/>
      <c r="R4" s="3392" t="s">
        <v>738</v>
      </c>
      <c r="S4" s="3393"/>
      <c r="T4" s="3392" t="s">
        <v>739</v>
      </c>
      <c r="U4" s="3393"/>
      <c r="V4" s="3379" t="s">
        <v>740</v>
      </c>
      <c r="W4" s="3379"/>
      <c r="X4" s="1455"/>
      <c r="Y4" s="3392" t="s">
        <v>742</v>
      </c>
      <c r="Z4" s="3393"/>
      <c r="AA4" s="3381" t="s">
        <v>738</v>
      </c>
      <c r="AB4" s="3382" t="s">
        <v>739</v>
      </c>
      <c r="AC4" s="3381" t="s">
        <v>740</v>
      </c>
    </row>
    <row r="5" spans="1:29" ht="15">
      <c r="A5" s="415"/>
      <c r="B5" s="416"/>
      <c r="C5" s="3400" t="s">
        <v>2841</v>
      </c>
      <c r="D5" s="3401"/>
      <c r="E5" s="3420" t="s">
        <v>2842</v>
      </c>
      <c r="F5" s="3421"/>
      <c r="G5" s="3400" t="s">
        <v>2843</v>
      </c>
      <c r="H5" s="3401"/>
      <c r="I5" s="3400" t="s">
        <v>2844</v>
      </c>
      <c r="J5" s="3401"/>
      <c r="K5" s="414"/>
      <c r="L5" s="2008"/>
      <c r="M5" s="2009"/>
      <c r="N5" s="2009"/>
      <c r="O5" s="2009"/>
      <c r="P5" s="3388"/>
      <c r="Q5" s="3389"/>
      <c r="R5" s="3394"/>
      <c r="S5" s="3395"/>
      <c r="T5" s="3394"/>
      <c r="U5" s="3395"/>
      <c r="V5" s="3379"/>
      <c r="W5" s="3379"/>
      <c r="X5" s="1455"/>
      <c r="Y5" s="3394"/>
      <c r="Z5" s="3395"/>
      <c r="AA5" s="3382"/>
      <c r="AB5" s="3382"/>
      <c r="AC5" s="3382"/>
    </row>
    <row r="6" spans="1:29" ht="15.75" thickBot="1">
      <c r="A6" s="417"/>
      <c r="B6" s="418"/>
      <c r="C6" s="3398" t="s">
        <v>2845</v>
      </c>
      <c r="D6" s="3399"/>
      <c r="E6" s="3416" t="s">
        <v>2845</v>
      </c>
      <c r="F6" s="3417"/>
      <c r="G6" s="3398" t="s">
        <v>2845</v>
      </c>
      <c r="H6" s="3399"/>
      <c r="I6" s="3398" t="s">
        <v>2845</v>
      </c>
      <c r="J6" s="3399"/>
      <c r="K6" s="414" t="s">
        <v>468</v>
      </c>
      <c r="L6" s="2008"/>
      <c r="M6" s="2009"/>
      <c r="N6" s="2009"/>
      <c r="O6" s="2009"/>
      <c r="P6" s="3390"/>
      <c r="Q6" s="3391"/>
      <c r="R6" s="3394"/>
      <c r="S6" s="3395"/>
      <c r="T6" s="3396"/>
      <c r="U6" s="3397"/>
      <c r="V6" s="3379"/>
      <c r="W6" s="3379"/>
      <c r="X6" s="1455"/>
      <c r="Y6" s="3396"/>
      <c r="Z6" s="3397"/>
      <c r="AA6" s="3383"/>
      <c r="AB6" s="3383"/>
      <c r="AC6" s="3383"/>
    </row>
    <row r="7" spans="1:29" s="1108" customFormat="1" ht="15.75" thickBot="1">
      <c r="A7" s="2777"/>
      <c r="B7" s="2784" t="s">
        <v>469</v>
      </c>
      <c r="C7" s="419">
        <f>'数据-取费表'!B2</f>
        <v>43240</v>
      </c>
      <c r="D7" s="420">
        <v>100</v>
      </c>
      <c r="E7" s="421"/>
      <c r="F7" s="422">
        <f>SUMIF(46:46,YEAR(E7)&amp;"-"&amp;MONTH(E7),47:47)</f>
        <v>0</v>
      </c>
      <c r="G7" s="423"/>
      <c r="H7" s="420">
        <f>SUMIF(46:46,YEAR(G7)&amp;"-"&amp;MONTH(G7),47:47)</f>
        <v>0</v>
      </c>
      <c r="I7" s="423"/>
      <c r="J7" s="420">
        <f>SUMIF(46:46,YEAR(I7)&amp;"-"&amp;MONTH(I7),47:47)</f>
        <v>0</v>
      </c>
      <c r="K7" s="424"/>
      <c r="L7" s="2010"/>
      <c r="M7" s="2011"/>
      <c r="N7" s="2011"/>
      <c r="O7" s="2011"/>
      <c r="P7" s="3409" t="s">
        <v>470</v>
      </c>
      <c r="Q7" s="3411"/>
      <c r="R7" s="1456" t="s">
        <v>8</v>
      </c>
      <c r="S7" s="1457">
        <f t="shared" ref="S7:S14" si="0">F7</f>
        <v>0</v>
      </c>
      <c r="T7" s="1456" t="s">
        <v>8</v>
      </c>
      <c r="U7" s="1457">
        <f t="shared" ref="U7:U14" si="1">H7</f>
        <v>0</v>
      </c>
      <c r="V7" s="1456" t="s">
        <v>8</v>
      </c>
      <c r="W7" s="1457">
        <f t="shared" ref="W7:W14" si="2">J7</f>
        <v>0</v>
      </c>
      <c r="X7" s="1458"/>
      <c r="Y7" s="3409" t="s">
        <v>470</v>
      </c>
      <c r="Z7" s="3410"/>
      <c r="AA7" s="1459" t="e">
        <f>D7/F7</f>
        <v>#DIV/0!</v>
      </c>
      <c r="AB7" s="1459" t="e">
        <f>D7/H7</f>
        <v>#DIV/0!</v>
      </c>
      <c r="AC7" s="1459" t="e">
        <f>D7/J7</f>
        <v>#DIV/0!</v>
      </c>
    </row>
    <row r="8" spans="1:29" s="1108" customFormat="1" ht="15.75" thickBot="1">
      <c r="A8" s="2778"/>
      <c r="B8" s="2785" t="s">
        <v>471</v>
      </c>
      <c r="C8" s="425" t="s">
        <v>516</v>
      </c>
      <c r="D8" s="420">
        <v>100</v>
      </c>
      <c r="E8" s="425"/>
      <c r="F8" s="422">
        <f>SUMIF(49:49,E8,50:50)-SUMIF(49:49,C8,50:50)+100</f>
        <v>0</v>
      </c>
      <c r="G8" s="425"/>
      <c r="H8" s="420">
        <f>SUMIF(49:49,G8,50:50)-SUMIF(49:49,C8,50:50)+100</f>
        <v>0</v>
      </c>
      <c r="I8" s="425"/>
      <c r="J8" s="420">
        <f>SUMIF(49:49,I8,50:50)-SUMIF(49:49,C8,50:50)+100</f>
        <v>0</v>
      </c>
      <c r="K8" s="424"/>
      <c r="L8" s="2010"/>
      <c r="M8" s="2011"/>
      <c r="N8" s="2011"/>
      <c r="O8" s="2011"/>
      <c r="P8" s="3409" t="s">
        <v>473</v>
      </c>
      <c r="Q8" s="3410"/>
      <c r="R8" s="1456" t="s">
        <v>8</v>
      </c>
      <c r="S8" s="1457">
        <f t="shared" si="0"/>
        <v>0</v>
      </c>
      <c r="T8" s="1456" t="s">
        <v>8</v>
      </c>
      <c r="U8" s="1457">
        <f t="shared" si="1"/>
        <v>0</v>
      </c>
      <c r="V8" s="1456" t="s">
        <v>8</v>
      </c>
      <c r="W8" s="1457">
        <f t="shared" si="2"/>
        <v>0</v>
      </c>
      <c r="X8" s="1458"/>
      <c r="Y8" s="3409" t="s">
        <v>473</v>
      </c>
      <c r="Z8" s="3410"/>
      <c r="AA8" s="1459" t="e">
        <f t="shared" ref="AA8:AA34" si="3">D8/F8</f>
        <v>#DIV/0!</v>
      </c>
      <c r="AB8" s="1459" t="e">
        <f t="shared" ref="AB8:AB34" si="4">D8/H8</f>
        <v>#DIV/0!</v>
      </c>
      <c r="AC8" s="1459" t="e">
        <f t="shared" ref="AC8:AC34" si="5">D8/J8</f>
        <v>#DIV/0!</v>
      </c>
    </row>
    <row r="9" spans="1:29" s="1108" customFormat="1" ht="15">
      <c r="A9" s="2779"/>
      <c r="B9" s="2786" t="s">
        <v>2684</v>
      </c>
      <c r="C9" s="757"/>
      <c r="D9" s="158">
        <v>100</v>
      </c>
      <c r="E9" s="760"/>
      <c r="F9" s="158">
        <f>SUMIF(51:51,E9,52:52)-SUMIF(51:51,C9,52:52)+100</f>
        <v>100</v>
      </c>
      <c r="G9" s="760"/>
      <c r="H9" s="158">
        <f>SUMIF(51:51,G9,52:52)-SUMIF(51:51,C9,52:52)+100</f>
        <v>100</v>
      </c>
      <c r="I9" s="760"/>
      <c r="J9" s="158">
        <f>SUMIF(51:51,I9,52:52)-SUMIF(51:51,C9,52:52)+100</f>
        <v>100</v>
      </c>
      <c r="K9" s="424"/>
      <c r="L9" s="2010"/>
      <c r="M9" s="2011"/>
      <c r="N9" s="2011"/>
      <c r="O9" s="2012"/>
      <c r="P9" s="3378" t="s">
        <v>475</v>
      </c>
      <c r="Q9" s="1049" t="str">
        <f t="shared" ref="Q9:Q14" si="6">B9</f>
        <v>用途</v>
      </c>
      <c r="R9" s="1456" t="s">
        <v>8</v>
      </c>
      <c r="S9" s="1457">
        <f t="shared" si="0"/>
        <v>100</v>
      </c>
      <c r="T9" s="1456" t="s">
        <v>8</v>
      </c>
      <c r="U9" s="1457">
        <f t="shared" si="1"/>
        <v>100</v>
      </c>
      <c r="V9" s="1456" t="s">
        <v>8</v>
      </c>
      <c r="W9" s="1457">
        <f t="shared" si="2"/>
        <v>100</v>
      </c>
      <c r="X9" s="1458"/>
      <c r="Y9" s="3324" t="s">
        <v>476</v>
      </c>
      <c r="Z9" s="1048" t="str">
        <f t="shared" ref="Z9:Z14" si="7">Q9</f>
        <v>用途</v>
      </c>
      <c r="AA9" s="1459">
        <f t="shared" si="3"/>
        <v>1</v>
      </c>
      <c r="AB9" s="1459">
        <f t="shared" si="4"/>
        <v>1</v>
      </c>
      <c r="AC9" s="1459">
        <f t="shared" si="5"/>
        <v>1</v>
      </c>
    </row>
    <row r="10" spans="1:29" s="1226" customFormat="1" ht="27">
      <c r="A10" s="2780"/>
      <c r="B10" s="2785" t="s">
        <v>2685</v>
      </c>
      <c r="C10" s="761"/>
      <c r="D10" s="159">
        <v>100</v>
      </c>
      <c r="E10" s="761"/>
      <c r="F10" s="159">
        <f>SUMIF(53:53,E10,54:54)-SUMIF(53:53,C10,54:54)+100</f>
        <v>100</v>
      </c>
      <c r="G10" s="762"/>
      <c r="H10" s="159">
        <f>SUMIF(53:53,G10,54:54)-SUMIF(53:53,C10,54:54)+100</f>
        <v>100</v>
      </c>
      <c r="I10" s="761"/>
      <c r="J10" s="159">
        <f>SUMIF(53:53,I10,54:54)-SUMIF(53:53,C10,54:54)+100</f>
        <v>100</v>
      </c>
      <c r="K10" s="484"/>
      <c r="L10" s="2013"/>
      <c r="M10" s="2053"/>
      <c r="N10" s="2053"/>
      <c r="O10" s="2014"/>
      <c r="P10" s="3378"/>
      <c r="Q10" s="1049" t="str">
        <f t="shared" si="6"/>
        <v>土地使用年限（年）</v>
      </c>
      <c r="R10" s="1456" t="s">
        <v>8</v>
      </c>
      <c r="S10" s="1457">
        <f t="shared" si="0"/>
        <v>100</v>
      </c>
      <c r="T10" s="1456" t="s">
        <v>8</v>
      </c>
      <c r="U10" s="1457">
        <f t="shared" si="1"/>
        <v>100</v>
      </c>
      <c r="V10" s="1456" t="s">
        <v>8</v>
      </c>
      <c r="W10" s="1457">
        <f t="shared" si="2"/>
        <v>100</v>
      </c>
      <c r="X10" s="1458"/>
      <c r="Y10" s="3324"/>
      <c r="Z10" s="1048" t="str">
        <f t="shared" si="7"/>
        <v>土地使用年限（年）</v>
      </c>
      <c r="AA10" s="1459">
        <f t="shared" si="3"/>
        <v>1</v>
      </c>
      <c r="AB10" s="1459">
        <f t="shared" si="4"/>
        <v>1</v>
      </c>
      <c r="AC10" s="1459">
        <f t="shared" si="5"/>
        <v>1</v>
      </c>
    </row>
    <row r="11" spans="1:29" ht="15">
      <c r="A11" s="2782"/>
      <c r="B11" s="2788">
        <v>111</v>
      </c>
      <c r="C11" s="428"/>
      <c r="D11" s="159">
        <v>100</v>
      </c>
      <c r="E11" s="780"/>
      <c r="F11" s="159">
        <f>SUMIF(55:55,E11,56:56)-SUMIF(55:55,C11,56:56)+100</f>
        <v>100</v>
      </c>
      <c r="G11" s="780"/>
      <c r="H11" s="159">
        <f>SUMIF(55:55,G11,56:56)-SUMIF(55:55,C11,56:56)+100</f>
        <v>100</v>
      </c>
      <c r="I11" s="780"/>
      <c r="J11" s="159">
        <f>SUMIF(55:55,I11,56:56)-SUMIF(55:55,C11,56:56)+100</f>
        <v>100</v>
      </c>
      <c r="K11" s="481"/>
      <c r="L11" s="2015"/>
      <c r="M11" s="2009"/>
      <c r="N11" s="2009"/>
      <c r="O11" s="2016"/>
      <c r="P11" s="3378"/>
      <c r="Q11" s="1049">
        <f t="shared" si="6"/>
        <v>111</v>
      </c>
      <c r="R11" s="1456" t="s">
        <v>8</v>
      </c>
      <c r="S11" s="1457">
        <f t="shared" si="0"/>
        <v>100</v>
      </c>
      <c r="T11" s="1456" t="s">
        <v>8</v>
      </c>
      <c r="U11" s="1457">
        <f t="shared" si="1"/>
        <v>100</v>
      </c>
      <c r="V11" s="1456" t="s">
        <v>8</v>
      </c>
      <c r="W11" s="1457">
        <f t="shared" si="2"/>
        <v>100</v>
      </c>
      <c r="X11" s="1458"/>
      <c r="Y11" s="3324"/>
      <c r="Z11" s="1048">
        <f t="shared" si="7"/>
        <v>111</v>
      </c>
      <c r="AA11" s="1459">
        <f t="shared" si="3"/>
        <v>1</v>
      </c>
      <c r="AB11" s="1459">
        <f t="shared" si="4"/>
        <v>1</v>
      </c>
      <c r="AC11" s="1459">
        <f t="shared" si="5"/>
        <v>1</v>
      </c>
    </row>
    <row r="12" spans="1:29" s="1108" customFormat="1" ht="15">
      <c r="A12" s="2782"/>
      <c r="B12" s="2788">
        <v>111</v>
      </c>
      <c r="C12" s="428"/>
      <c r="D12" s="438">
        <v>100</v>
      </c>
      <c r="E12" s="780"/>
      <c r="F12" s="159">
        <f>SUMIF(57:57,E12,58:58)-SUMIF(57:57,C12,58:58)+100</f>
        <v>100</v>
      </c>
      <c r="G12" s="780"/>
      <c r="H12" s="159">
        <f>SUMIF(57:57,G12,58:58)-SUMIF(57:57,C12,58:58)+100</f>
        <v>100</v>
      </c>
      <c r="I12" s="780"/>
      <c r="J12" s="159">
        <f>SUMIF(57:57,I12,58:58)-SUMIF(57:57,C12,58:58)+100</f>
        <v>100</v>
      </c>
      <c r="K12" s="481"/>
      <c r="L12" s="2010"/>
      <c r="M12" s="2011"/>
      <c r="N12" s="2011"/>
      <c r="O12" s="2012"/>
      <c r="P12" s="3378"/>
      <c r="Q12" s="1049">
        <f t="shared" si="6"/>
        <v>111</v>
      </c>
      <c r="R12" s="1456" t="s">
        <v>8</v>
      </c>
      <c r="S12" s="1457">
        <f t="shared" si="0"/>
        <v>100</v>
      </c>
      <c r="T12" s="1456" t="s">
        <v>8</v>
      </c>
      <c r="U12" s="1457">
        <f t="shared" si="1"/>
        <v>100</v>
      </c>
      <c r="V12" s="1456" t="s">
        <v>8</v>
      </c>
      <c r="W12" s="1457">
        <f t="shared" si="2"/>
        <v>100</v>
      </c>
      <c r="X12" s="1458"/>
      <c r="Y12" s="3324"/>
      <c r="Z12" s="1048">
        <f t="shared" si="7"/>
        <v>111</v>
      </c>
      <c r="AA12" s="1459">
        <f>D12/F12</f>
        <v>1</v>
      </c>
      <c r="AB12" s="1459">
        <f>D12/H12</f>
        <v>1</v>
      </c>
      <c r="AC12" s="1459">
        <f>D12/J12</f>
        <v>1</v>
      </c>
    </row>
    <row r="13" spans="1:29" ht="15.75" thickBot="1">
      <c r="A13" s="2783"/>
      <c r="B13" s="2789">
        <v>111</v>
      </c>
      <c r="C13" s="439"/>
      <c r="D13" s="440">
        <v>100</v>
      </c>
      <c r="E13" s="780"/>
      <c r="F13" s="159">
        <f>SUMIF(59:59,E13,60:60)-SUMIF(59:59,C13,60:60)+100</f>
        <v>100</v>
      </c>
      <c r="G13" s="780"/>
      <c r="H13" s="440">
        <f>SUMIF(59:59,G13,60:60)-SUMIF(59:59,C13,60:60)+100</f>
        <v>100</v>
      </c>
      <c r="I13" s="780"/>
      <c r="J13" s="440">
        <f>SUMIF(59:59,I13,60:60)-SUMIF(59:59,C13,60:60)+100</f>
        <v>100</v>
      </c>
      <c r="K13" s="481"/>
      <c r="L13" s="2017"/>
      <c r="M13" s="2009"/>
      <c r="N13" s="2009"/>
      <c r="O13" s="2016"/>
      <c r="P13" s="3378"/>
      <c r="Q13" s="1049">
        <f t="shared" si="6"/>
        <v>111</v>
      </c>
      <c r="R13" s="1456" t="s">
        <v>8</v>
      </c>
      <c r="S13" s="1457">
        <f t="shared" si="0"/>
        <v>100</v>
      </c>
      <c r="T13" s="1456" t="s">
        <v>8</v>
      </c>
      <c r="U13" s="1457">
        <f t="shared" si="1"/>
        <v>100</v>
      </c>
      <c r="V13" s="1456" t="s">
        <v>8</v>
      </c>
      <c r="W13" s="1457">
        <f t="shared" si="2"/>
        <v>100</v>
      </c>
      <c r="X13" s="1458"/>
      <c r="Y13" s="3324"/>
      <c r="Z13" s="1048">
        <f t="shared" si="7"/>
        <v>111</v>
      </c>
      <c r="AA13" s="1459">
        <f t="shared" si="3"/>
        <v>1</v>
      </c>
      <c r="AB13" s="1459">
        <f t="shared" si="4"/>
        <v>1</v>
      </c>
      <c r="AC13" s="1459">
        <f t="shared" si="5"/>
        <v>1</v>
      </c>
    </row>
    <row r="14" spans="1:29" ht="71.25">
      <c r="A14" s="2775" t="s">
        <v>2682</v>
      </c>
      <c r="B14" s="146" t="s">
        <v>483</v>
      </c>
      <c r="C14" s="821" t="str">
        <f>IF(B1="工业",估价对象房地状况!G4,估价对象房地状况!C6)</f>
        <v>233路、平湖k166路；大云镇客运站；嘉善南站；1高速、1省道</v>
      </c>
      <c r="D14" s="449">
        <v>100</v>
      </c>
      <c r="E14" s="450"/>
      <c r="F14" s="451">
        <f>SUMIF(61:61,E15,62:62)-SUMIF(61:61,C15,62:62)+100</f>
        <v>100</v>
      </c>
      <c r="G14" s="452"/>
      <c r="H14" s="449">
        <f>SUMIF(61:61,G15,62:62)-SUMIF(61:61,C15,62:62)+100</f>
        <v>100</v>
      </c>
      <c r="I14" s="450"/>
      <c r="J14" s="449">
        <f>SUMIF(61:61,I15,62:62)-SUMIF(61:61,C15,62:62)+100</f>
        <v>100</v>
      </c>
      <c r="K14" s="798"/>
      <c r="L14" s="2017"/>
      <c r="M14" s="2009"/>
      <c r="N14" s="2009"/>
      <c r="O14" s="2016"/>
      <c r="P14" s="3412" t="s">
        <v>480</v>
      </c>
      <c r="Q14" s="1460" t="str">
        <f t="shared" si="6"/>
        <v>交通便捷度</v>
      </c>
      <c r="R14" s="1461" t="s">
        <v>8</v>
      </c>
      <c r="S14" s="1462">
        <f t="shared" si="0"/>
        <v>100</v>
      </c>
      <c r="T14" s="1461" t="s">
        <v>8</v>
      </c>
      <c r="U14" s="1462">
        <f t="shared" si="1"/>
        <v>100</v>
      </c>
      <c r="V14" s="1461" t="s">
        <v>8</v>
      </c>
      <c r="W14" s="1462">
        <f t="shared" si="2"/>
        <v>100</v>
      </c>
      <c r="X14" s="1455"/>
      <c r="Y14" s="3412" t="s">
        <v>480</v>
      </c>
      <c r="Z14" s="1463" t="str">
        <f t="shared" si="7"/>
        <v>交通便捷度</v>
      </c>
      <c r="AA14" s="1464">
        <f t="shared" si="3"/>
        <v>1</v>
      </c>
      <c r="AB14" s="1464">
        <f t="shared" si="4"/>
        <v>1</v>
      </c>
      <c r="AC14" s="1464">
        <f t="shared" si="5"/>
        <v>1</v>
      </c>
    </row>
    <row r="15" spans="1:29" ht="15">
      <c r="A15" s="432"/>
      <c r="B15" s="769"/>
      <c r="C15" s="476"/>
      <c r="D15" s="455"/>
      <c r="E15" s="476"/>
      <c r="F15" s="457"/>
      <c r="G15" s="476"/>
      <c r="H15" s="459"/>
      <c r="I15" s="476"/>
      <c r="J15" s="455"/>
      <c r="K15" s="799"/>
      <c r="L15" s="2017"/>
      <c r="M15" s="2009"/>
      <c r="N15" s="2009"/>
      <c r="O15" s="2016"/>
      <c r="P15" s="3413"/>
      <c r="Q15" s="1460"/>
      <c r="R15" s="1461"/>
      <c r="S15" s="1462"/>
      <c r="T15" s="1461"/>
      <c r="U15" s="1462"/>
      <c r="V15" s="1461"/>
      <c r="W15" s="1462"/>
      <c r="X15" s="1455"/>
      <c r="Y15" s="3413"/>
      <c r="Z15" s="1463"/>
      <c r="AA15" s="1464">
        <v>1</v>
      </c>
      <c r="AB15" s="1464">
        <v>1</v>
      </c>
      <c r="AC15" s="1464">
        <v>1</v>
      </c>
    </row>
    <row r="16" spans="1:29" ht="28.5">
      <c r="A16" s="432"/>
      <c r="B16" s="2469" t="s">
        <v>2474</v>
      </c>
      <c r="C16" s="772" t="str">
        <f>IF(B1="工业",估价对象房地状况!G5,估价对象房地状况!C7)</f>
        <v>医院、学校、银行、餐饮</v>
      </c>
      <c r="D16" s="465">
        <v>100</v>
      </c>
      <c r="E16" s="470"/>
      <c r="F16" s="471">
        <f>SUMIF(63:63,E17,64:64)-SUMIF(63:63,C17,64:64)+100</f>
        <v>100</v>
      </c>
      <c r="G16" s="472"/>
      <c r="H16" s="465">
        <f>SUMIF(63:63,G17,64:64)-SUMIF(63:63,C17,64:64)+100</f>
        <v>100</v>
      </c>
      <c r="I16" s="470"/>
      <c r="J16" s="465">
        <f>SUMIF(63:63,I17,64:64)-SUMIF(63:63,C17,64:64)+100</f>
        <v>100</v>
      </c>
      <c r="K16" s="798"/>
      <c r="L16" s="2017"/>
      <c r="M16" s="2009"/>
      <c r="N16" s="2009"/>
      <c r="O16" s="2016"/>
      <c r="P16" s="3413"/>
      <c r="Q16" s="1460" t="str">
        <f>B16</f>
        <v>公共配套设施</v>
      </c>
      <c r="R16" s="1461" t="s">
        <v>8</v>
      </c>
      <c r="S16" s="1462">
        <f>F16</f>
        <v>100</v>
      </c>
      <c r="T16" s="1461" t="s">
        <v>8</v>
      </c>
      <c r="U16" s="1462">
        <f>H16</f>
        <v>100</v>
      </c>
      <c r="V16" s="1461" t="s">
        <v>8</v>
      </c>
      <c r="W16" s="1462">
        <f>J16</f>
        <v>100</v>
      </c>
      <c r="X16" s="1455"/>
      <c r="Y16" s="3413"/>
      <c r="Z16" s="1463" t="str">
        <f>Q16</f>
        <v>公共配套设施</v>
      </c>
      <c r="AA16" s="1464">
        <f t="shared" si="3"/>
        <v>1</v>
      </c>
      <c r="AB16" s="1464">
        <f t="shared" si="4"/>
        <v>1</v>
      </c>
      <c r="AC16" s="1464">
        <f t="shared" si="5"/>
        <v>1</v>
      </c>
    </row>
    <row r="17" spans="1:29" ht="15">
      <c r="A17" s="432"/>
      <c r="B17" s="466"/>
      <c r="C17" s="773"/>
      <c r="D17" s="455"/>
      <c r="E17" s="476"/>
      <c r="F17" s="457"/>
      <c r="G17" s="476"/>
      <c r="H17" s="455"/>
      <c r="I17" s="476"/>
      <c r="J17" s="455"/>
      <c r="K17" s="799"/>
      <c r="L17" s="2017"/>
      <c r="M17" s="2009"/>
      <c r="N17" s="2009"/>
      <c r="O17" s="2016"/>
      <c r="P17" s="3413"/>
      <c r="Q17" s="1460"/>
      <c r="R17" s="1461"/>
      <c r="S17" s="1462"/>
      <c r="T17" s="1461"/>
      <c r="U17" s="1462"/>
      <c r="V17" s="1461"/>
      <c r="W17" s="1462"/>
      <c r="X17" s="1455"/>
      <c r="Y17" s="3413"/>
      <c r="Z17" s="1463"/>
      <c r="AA17" s="1464">
        <v>1</v>
      </c>
      <c r="AB17" s="1464">
        <v>1</v>
      </c>
      <c r="AC17" s="1464">
        <v>1</v>
      </c>
    </row>
    <row r="18" spans="1:29" ht="15">
      <c r="A18" s="432"/>
      <c r="B18" s="2457" t="s">
        <v>2486</v>
      </c>
      <c r="C18" s="772" t="str">
        <f>IF(B1="工业",估价对象房地状况!G6,估价对象房地状况!C8)</f>
        <v>六通</v>
      </c>
      <c r="D18" s="459">
        <v>100</v>
      </c>
      <c r="E18" s="462"/>
      <c r="F18" s="463">
        <f>SUMIF(65:65,E19,66:66)-SUMIF(65:65,C19,66:66)+100</f>
        <v>100</v>
      </c>
      <c r="G18" s="464"/>
      <c r="H18" s="465">
        <f>SUMIF(65:65,G19,66:66)-SUMIF(65:65,C19,66:66)+100</f>
        <v>100</v>
      </c>
      <c r="I18" s="470"/>
      <c r="J18" s="465">
        <f>SUMIF(65:65,I19,66:66)-SUMIF(65:65,C19,66:66)+100</f>
        <v>100</v>
      </c>
      <c r="K18" s="798"/>
      <c r="L18" s="2017"/>
      <c r="M18" s="2009"/>
      <c r="N18" s="2009"/>
      <c r="O18" s="2016"/>
      <c r="P18" s="3413"/>
      <c r="Q18" s="2445" t="str">
        <f>B18</f>
        <v>基础设施水平</v>
      </c>
      <c r="R18" s="1461" t="s">
        <v>8</v>
      </c>
      <c r="S18" s="1462">
        <f>F18</f>
        <v>100</v>
      </c>
      <c r="T18" s="1461" t="s">
        <v>8</v>
      </c>
      <c r="U18" s="1462">
        <f>H18</f>
        <v>100</v>
      </c>
      <c r="V18" s="1461" t="s">
        <v>8</v>
      </c>
      <c r="W18" s="1462">
        <f>J18</f>
        <v>100</v>
      </c>
      <c r="X18" s="2447"/>
      <c r="Y18" s="3413"/>
      <c r="Z18" s="2446" t="str">
        <f>Q18</f>
        <v>基础设施水平</v>
      </c>
      <c r="AA18" s="1464">
        <f>D18/F18</f>
        <v>1</v>
      </c>
      <c r="AB18" s="1464">
        <f>D18/H18</f>
        <v>1</v>
      </c>
      <c r="AC18" s="1464">
        <f>D18/J18</f>
        <v>1</v>
      </c>
    </row>
    <row r="19" spans="1:29" ht="15">
      <c r="A19" s="432"/>
      <c r="B19" s="478"/>
      <c r="C19" s="773"/>
      <c r="D19" s="459"/>
      <c r="E19" s="773"/>
      <c r="F19" s="463"/>
      <c r="G19" s="773"/>
      <c r="H19" s="455"/>
      <c r="I19" s="476"/>
      <c r="J19" s="455"/>
      <c r="K19" s="2468"/>
      <c r="L19" s="2017"/>
      <c r="M19" s="2009"/>
      <c r="N19" s="2009"/>
      <c r="O19" s="2016"/>
      <c r="P19" s="3413"/>
      <c r="Q19" s="2445"/>
      <c r="R19" s="1461"/>
      <c r="S19" s="1462"/>
      <c r="T19" s="1461"/>
      <c r="U19" s="1462"/>
      <c r="V19" s="1461"/>
      <c r="W19" s="1462"/>
      <c r="X19" s="2447"/>
      <c r="Y19" s="3413"/>
      <c r="Z19" s="2446"/>
      <c r="AA19" s="1464">
        <v>1</v>
      </c>
      <c r="AB19" s="1464">
        <v>1</v>
      </c>
      <c r="AC19" s="1464">
        <v>1</v>
      </c>
    </row>
    <row r="20" spans="1:29" ht="15">
      <c r="A20" s="432"/>
      <c r="B20" s="771" t="s">
        <v>743</v>
      </c>
      <c r="C20" s="772" t="str">
        <f>IF(B1="工业",估价对象房地状况!G7,估价对象房地状况!C9)</f>
        <v>六生河</v>
      </c>
      <c r="D20" s="465">
        <v>100</v>
      </c>
      <c r="E20" s="470"/>
      <c r="F20" s="471">
        <f>SUMIF(67:67,E21,68:68)-SUMIF(67:67,C21,68:68)+100</f>
        <v>100</v>
      </c>
      <c r="G20" s="472"/>
      <c r="H20" s="459">
        <f>SUMIF(67:67,G21,68:68)-SUMIF(67:67,C21,68:68)+100</f>
        <v>100</v>
      </c>
      <c r="I20" s="462"/>
      <c r="J20" s="459">
        <f>SUMIF(67:67,I21,68:68)-SUMIF(67:67,C21,68:68)+100</f>
        <v>100</v>
      </c>
      <c r="K20" s="798"/>
      <c r="L20" s="2017"/>
      <c r="M20" s="2009"/>
      <c r="N20" s="2009"/>
      <c r="O20" s="2016"/>
      <c r="P20" s="3413"/>
      <c r="Q20" s="1460" t="str">
        <f>B20</f>
        <v>自然及人文环境</v>
      </c>
      <c r="R20" s="1461" t="s">
        <v>8</v>
      </c>
      <c r="S20" s="1462">
        <f>F20</f>
        <v>100</v>
      </c>
      <c r="T20" s="1461" t="s">
        <v>8</v>
      </c>
      <c r="U20" s="1462">
        <f>H20</f>
        <v>100</v>
      </c>
      <c r="V20" s="1461" t="s">
        <v>8</v>
      </c>
      <c r="W20" s="1462">
        <f>J20</f>
        <v>100</v>
      </c>
      <c r="X20" s="1455"/>
      <c r="Y20" s="3413"/>
      <c r="Z20" s="1463" t="str">
        <f>Q20</f>
        <v>自然及人文环境</v>
      </c>
      <c r="AA20" s="1464">
        <f t="shared" si="3"/>
        <v>1</v>
      </c>
      <c r="AB20" s="1464">
        <f t="shared" si="4"/>
        <v>1</v>
      </c>
      <c r="AC20" s="1464">
        <f t="shared" si="5"/>
        <v>1</v>
      </c>
    </row>
    <row r="21" spans="1:29" ht="15">
      <c r="A21" s="432"/>
      <c r="B21" s="495"/>
      <c r="C21" s="476"/>
      <c r="D21" s="455"/>
      <c r="E21" s="476"/>
      <c r="F21" s="457"/>
      <c r="G21" s="476"/>
      <c r="H21" s="455"/>
      <c r="I21" s="476"/>
      <c r="J21" s="455"/>
      <c r="K21" s="799"/>
      <c r="L21" s="2017"/>
      <c r="M21" s="2009"/>
      <c r="N21" s="2009"/>
      <c r="O21" s="2016"/>
      <c r="P21" s="3413"/>
      <c r="Q21" s="1460"/>
      <c r="R21" s="1461"/>
      <c r="S21" s="1462"/>
      <c r="T21" s="1461"/>
      <c r="U21" s="1462"/>
      <c r="V21" s="1461"/>
      <c r="W21" s="1462"/>
      <c r="X21" s="1455"/>
      <c r="Y21" s="3413"/>
      <c r="Z21" s="1463"/>
      <c r="AA21" s="1464">
        <v>1</v>
      </c>
      <c r="AB21" s="1464">
        <v>1</v>
      </c>
      <c r="AC21" s="1464">
        <v>1</v>
      </c>
    </row>
    <row r="22" spans="1:29" ht="15">
      <c r="A22" s="432"/>
      <c r="B22" s="771" t="s">
        <v>744</v>
      </c>
      <c r="C22" s="483"/>
      <c r="D22" s="459">
        <v>100</v>
      </c>
      <c r="E22" s="483"/>
      <c r="F22" s="475">
        <f>SUMIF(69:69,E22,70:70)-SUMIF(69:69,C22,70:70)+100</f>
        <v>100</v>
      </c>
      <c r="G22" s="483"/>
      <c r="H22" s="440">
        <f>SUMIF(69:69,G22,70:70)-SUMIF(69:69,C22,70:70)+100</f>
        <v>100</v>
      </c>
      <c r="I22" s="483"/>
      <c r="J22" s="440">
        <f>SUMIF(69:69,I22,70:70)-SUMIF(69:69,C22,70:70)+100</f>
        <v>100</v>
      </c>
      <c r="K22" s="484"/>
      <c r="L22" s="2017"/>
      <c r="M22" s="2009"/>
      <c r="N22" s="2009"/>
      <c r="O22" s="2016"/>
      <c r="P22" s="3413"/>
      <c r="Q22" s="1460" t="str">
        <f>B22</f>
        <v>楼层</v>
      </c>
      <c r="R22" s="1461" t="s">
        <v>8</v>
      </c>
      <c r="S22" s="1462">
        <f>F22</f>
        <v>100</v>
      </c>
      <c r="T22" s="1461" t="s">
        <v>8</v>
      </c>
      <c r="U22" s="1462">
        <f>H22</f>
        <v>100</v>
      </c>
      <c r="V22" s="1461" t="s">
        <v>8</v>
      </c>
      <c r="W22" s="1462">
        <f>J22</f>
        <v>100</v>
      </c>
      <c r="X22" s="1455"/>
      <c r="Y22" s="3413"/>
      <c r="Z22" s="1463" t="str">
        <f>Q22</f>
        <v>楼层</v>
      </c>
      <c r="AA22" s="1464">
        <f t="shared" si="3"/>
        <v>1</v>
      </c>
      <c r="AB22" s="1464">
        <f t="shared" si="4"/>
        <v>1</v>
      </c>
      <c r="AC22" s="1464">
        <f t="shared" si="5"/>
        <v>1</v>
      </c>
    </row>
    <row r="23" spans="1:29" ht="15">
      <c r="A23" s="415"/>
      <c r="B23" s="437">
        <v>111</v>
      </c>
      <c r="C23" s="428"/>
      <c r="D23" s="440">
        <v>100</v>
      </c>
      <c r="E23" s="439"/>
      <c r="F23" s="475">
        <f>SUMIF(71:71,E23,72:72)-SUMIF(71:71,C23,72:72)+100</f>
        <v>100</v>
      </c>
      <c r="G23" s="439"/>
      <c r="H23" s="440">
        <f>SUMIF(71:71,G23,72:72)-SUMIF(71:71,C23,72:72)+100</f>
        <v>100</v>
      </c>
      <c r="I23" s="439"/>
      <c r="J23" s="440">
        <f>SUMIF(71:71,I23,72:72)-SUMIF(71:71,C23,72:72)+100</f>
        <v>100</v>
      </c>
      <c r="K23" s="481"/>
      <c r="L23" s="2017"/>
      <c r="M23" s="2009"/>
      <c r="N23" s="2009"/>
      <c r="O23" s="2016"/>
      <c r="P23" s="3413"/>
      <c r="Q23" s="1460">
        <f>B23</f>
        <v>111</v>
      </c>
      <c r="R23" s="1461" t="s">
        <v>8</v>
      </c>
      <c r="S23" s="1462">
        <f>F23</f>
        <v>100</v>
      </c>
      <c r="T23" s="1461" t="s">
        <v>8</v>
      </c>
      <c r="U23" s="1462">
        <f>H23</f>
        <v>100</v>
      </c>
      <c r="V23" s="1461" t="s">
        <v>8</v>
      </c>
      <c r="W23" s="1462">
        <f>J23</f>
        <v>100</v>
      </c>
      <c r="X23" s="1455"/>
      <c r="Y23" s="3413"/>
      <c r="Z23" s="1463">
        <f>Q23</f>
        <v>111</v>
      </c>
      <c r="AA23" s="1464">
        <f t="shared" si="3"/>
        <v>1</v>
      </c>
      <c r="AB23" s="1464">
        <f t="shared" si="4"/>
        <v>1</v>
      </c>
      <c r="AC23" s="1464">
        <f t="shared" si="5"/>
        <v>1</v>
      </c>
    </row>
    <row r="24" spans="1:29" ht="15">
      <c r="A24" s="432"/>
      <c r="B24" s="437">
        <v>111</v>
      </c>
      <c r="C24" s="428"/>
      <c r="D24" s="440">
        <v>100</v>
      </c>
      <c r="E24" s="439"/>
      <c r="F24" s="475">
        <f>SUMIF(73:73,E24,74:74)-SUMIF(73:73,C24,74:74)+100</f>
        <v>100</v>
      </c>
      <c r="G24" s="439"/>
      <c r="H24" s="440">
        <f>SUMIF(73:73,G24,74:74)-SUMIF(73:73,C24,74:74)+100</f>
        <v>100</v>
      </c>
      <c r="I24" s="439"/>
      <c r="J24" s="440">
        <f>SUMIF(73:73,I24,74:74)-SUMIF(73:73,C24,74:74)+100</f>
        <v>100</v>
      </c>
      <c r="K24" s="481"/>
      <c r="L24" s="2017"/>
      <c r="M24" s="2009"/>
      <c r="N24" s="2009"/>
      <c r="O24" s="2016"/>
      <c r="P24" s="3413"/>
      <c r="Q24" s="1460">
        <f t="shared" ref="Q24:Q34" si="8">B24</f>
        <v>111</v>
      </c>
      <c r="R24" s="1461" t="s">
        <v>8</v>
      </c>
      <c r="S24" s="1462">
        <f>F24</f>
        <v>100</v>
      </c>
      <c r="T24" s="1461" t="s">
        <v>8</v>
      </c>
      <c r="U24" s="1462">
        <f>H24</f>
        <v>100</v>
      </c>
      <c r="V24" s="1461" t="s">
        <v>8</v>
      </c>
      <c r="W24" s="1462">
        <f>J24</f>
        <v>100</v>
      </c>
      <c r="X24" s="1455"/>
      <c r="Y24" s="3413"/>
      <c r="Z24" s="1463">
        <f>Q24</f>
        <v>111</v>
      </c>
      <c r="AA24" s="1464">
        <f t="shared" si="3"/>
        <v>1</v>
      </c>
      <c r="AB24" s="1464">
        <f t="shared" si="4"/>
        <v>1</v>
      </c>
      <c r="AC24" s="1464">
        <f t="shared" si="5"/>
        <v>1</v>
      </c>
    </row>
    <row r="25" spans="1:29" s="1108" customFormat="1" ht="15.75" thickBot="1">
      <c r="A25" s="436"/>
      <c r="B25" s="437">
        <v>111</v>
      </c>
      <c r="C25" s="840"/>
      <c r="D25" s="841">
        <v>100</v>
      </c>
      <c r="E25" s="840"/>
      <c r="F25" s="842">
        <f>SUMIF(75:75,E25,76:76)-SUMIF(75:75,C25,76:76)+100</f>
        <v>100</v>
      </c>
      <c r="G25" s="840"/>
      <c r="H25" s="841">
        <f>SUMIF(75:75,G25,76:76)-SUMIF(75:75,C25,76:76)+100</f>
        <v>100</v>
      </c>
      <c r="I25" s="840"/>
      <c r="J25" s="841">
        <f>SUMIF(75:75,I25,76:76)-SUMIF(75:75,C25,76:76)+100</f>
        <v>100</v>
      </c>
      <c r="K25" s="481"/>
      <c r="L25" s="2010"/>
      <c r="M25" s="2011"/>
      <c r="N25" s="2011"/>
      <c r="O25" s="2012"/>
      <c r="P25" s="3413"/>
      <c r="Q25" s="1049">
        <f t="shared" si="8"/>
        <v>111</v>
      </c>
      <c r="R25" s="1456" t="s">
        <v>8</v>
      </c>
      <c r="S25" s="1457">
        <f>F25</f>
        <v>100</v>
      </c>
      <c r="T25" s="1456" t="s">
        <v>8</v>
      </c>
      <c r="U25" s="1457">
        <f>H25</f>
        <v>100</v>
      </c>
      <c r="V25" s="1456" t="s">
        <v>8</v>
      </c>
      <c r="W25" s="1457">
        <f>J25</f>
        <v>100</v>
      </c>
      <c r="X25" s="1458"/>
      <c r="Y25" s="3413"/>
      <c r="Z25" s="1048">
        <f>Q25</f>
        <v>111</v>
      </c>
      <c r="AA25" s="1464">
        <f>D25/F25</f>
        <v>1</v>
      </c>
      <c r="AB25" s="1464">
        <f>D25/H25</f>
        <v>1</v>
      </c>
      <c r="AC25" s="1464">
        <f>D25/J25</f>
        <v>1</v>
      </c>
    </row>
    <row r="26" spans="1:29" ht="15">
      <c r="A26" s="2772" t="s">
        <v>2683</v>
      </c>
      <c r="B26" s="148" t="s">
        <v>747</v>
      </c>
      <c r="C26" s="816"/>
      <c r="D26" s="497">
        <v>100</v>
      </c>
      <c r="E26" s="816"/>
      <c r="F26" s="843">
        <f>SUMIF(77:77,E26,78:78)-SUMIF(77:77,C26,78:78)+100</f>
        <v>100</v>
      </c>
      <c r="G26" s="816"/>
      <c r="H26" s="497">
        <f>SUMIF(77:77,G26,78:78)-SUMIF(77:77,C26,78:78)+100</f>
        <v>100</v>
      </c>
      <c r="I26" s="816"/>
      <c r="J26" s="497">
        <f>SUMIF(77:77,I26,78:78)-SUMIF(77:77,C26,78:78)+100</f>
        <v>100</v>
      </c>
      <c r="K26" s="484"/>
      <c r="L26" s="2017"/>
      <c r="M26" s="2009"/>
      <c r="N26" s="2009"/>
      <c r="O26" s="2016"/>
      <c r="P26" s="3414" t="s">
        <v>760</v>
      </c>
      <c r="Q26" s="1460" t="str">
        <f t="shared" si="8"/>
        <v>公共部分装修</v>
      </c>
      <c r="R26" s="1461" t="s">
        <v>8</v>
      </c>
      <c r="S26" s="1462">
        <f t="shared" ref="S26:S34" si="9">F26</f>
        <v>100</v>
      </c>
      <c r="T26" s="1461" t="s">
        <v>8</v>
      </c>
      <c r="U26" s="1462">
        <f t="shared" ref="U26:U34" si="10">H26</f>
        <v>100</v>
      </c>
      <c r="V26" s="1461" t="s">
        <v>8</v>
      </c>
      <c r="W26" s="1462">
        <f t="shared" ref="W26:W34" si="11">J26</f>
        <v>100</v>
      </c>
      <c r="X26" s="1455"/>
      <c r="Y26" s="3415" t="s">
        <v>760</v>
      </c>
      <c r="Z26" s="1463" t="str">
        <f t="shared" ref="Z26:Z34" si="12">Q26</f>
        <v>公共部分装修</v>
      </c>
      <c r="AA26" s="1464">
        <f t="shared" si="3"/>
        <v>1</v>
      </c>
      <c r="AB26" s="1464">
        <f t="shared" si="4"/>
        <v>1</v>
      </c>
      <c r="AC26" s="1464">
        <f t="shared" si="5"/>
        <v>1</v>
      </c>
    </row>
    <row r="27" spans="1:29" s="1227" customFormat="1" ht="15">
      <c r="A27" s="503"/>
      <c r="B27" s="427" t="s">
        <v>748</v>
      </c>
      <c r="C27" s="783"/>
      <c r="D27" s="159">
        <v>100</v>
      </c>
      <c r="E27" s="784"/>
      <c r="F27" s="475" t="e">
        <f>LOOKUP(E27,80:80,81:81)-LOOKUP(C27,80:80,81:81)+100</f>
        <v>#N/A</v>
      </c>
      <c r="G27" s="785"/>
      <c r="H27" s="440" t="e">
        <f>LOOKUP(G27,80:80,81:81)-LOOKUP(C27,80:80,81:81)+100</f>
        <v>#N/A</v>
      </c>
      <c r="I27" s="785"/>
      <c r="J27" s="440" t="e">
        <f>LOOKUP(I27,80:80,81:81)-LOOKUP(C27,80:80,81:81)+100</f>
        <v>#N/A</v>
      </c>
      <c r="K27" s="484"/>
      <c r="L27" s="2015"/>
      <c r="M27" s="2046"/>
      <c r="N27" s="2046"/>
      <c r="O27" s="2018"/>
      <c r="P27" s="3415"/>
      <c r="Q27" s="1493" t="str">
        <f t="shared" si="8"/>
        <v>成新率</v>
      </c>
      <c r="R27" s="1465" t="s">
        <v>8</v>
      </c>
      <c r="S27" s="1466" t="e">
        <f t="shared" si="9"/>
        <v>#N/A</v>
      </c>
      <c r="T27" s="1465" t="s">
        <v>8</v>
      </c>
      <c r="U27" s="1466" t="e">
        <f t="shared" si="10"/>
        <v>#N/A</v>
      </c>
      <c r="V27" s="1465" t="s">
        <v>8</v>
      </c>
      <c r="W27" s="1466" t="e">
        <f t="shared" si="11"/>
        <v>#N/A</v>
      </c>
      <c r="X27" s="1467"/>
      <c r="Y27" s="3415"/>
      <c r="Z27" s="1468" t="str">
        <f t="shared" si="12"/>
        <v>成新率</v>
      </c>
      <c r="AA27" s="1464" t="e">
        <f t="shared" si="3"/>
        <v>#N/A</v>
      </c>
      <c r="AB27" s="1464" t="e">
        <f t="shared" si="4"/>
        <v>#N/A</v>
      </c>
      <c r="AC27" s="1464" t="e">
        <f t="shared" si="5"/>
        <v>#N/A</v>
      </c>
    </row>
    <row r="28" spans="1:29" ht="15">
      <c r="A28" s="494"/>
      <c r="B28" s="427" t="s">
        <v>749</v>
      </c>
      <c r="C28" s="474"/>
      <c r="D28" s="440">
        <v>100</v>
      </c>
      <c r="E28" s="474"/>
      <c r="F28" s="475">
        <f>SUMIF(82:82,E28,83:83)-SUMIF(82:82,C28,83:83)+100</f>
        <v>100</v>
      </c>
      <c r="G28" s="474"/>
      <c r="H28" s="440">
        <f>SUMIF(82:82,G28,83:83)-SUMIF(82:82,C28,83:83)+100</f>
        <v>100</v>
      </c>
      <c r="I28" s="474"/>
      <c r="J28" s="440">
        <f>SUMIF(82:82,I28,83:83)-SUMIF(82:82,C28,83:83)+100</f>
        <v>100</v>
      </c>
      <c r="K28" s="484"/>
      <c r="L28" s="2017"/>
      <c r="M28" s="2009"/>
      <c r="N28" s="2009"/>
      <c r="O28" s="2016"/>
      <c r="P28" s="3415"/>
      <c r="Q28" s="1460" t="str">
        <f t="shared" si="8"/>
        <v>物业等级</v>
      </c>
      <c r="R28" s="1461" t="s">
        <v>8</v>
      </c>
      <c r="S28" s="1462">
        <f t="shared" si="9"/>
        <v>100</v>
      </c>
      <c r="T28" s="1461" t="s">
        <v>8</v>
      </c>
      <c r="U28" s="1462">
        <f t="shared" si="10"/>
        <v>100</v>
      </c>
      <c r="V28" s="1461" t="s">
        <v>8</v>
      </c>
      <c r="W28" s="1462">
        <f t="shared" si="11"/>
        <v>100</v>
      </c>
      <c r="X28" s="1455"/>
      <c r="Y28" s="3415"/>
      <c r="Z28" s="1463" t="str">
        <f t="shared" si="12"/>
        <v>物业等级</v>
      </c>
      <c r="AA28" s="1464">
        <f t="shared" si="3"/>
        <v>1</v>
      </c>
      <c r="AB28" s="1464">
        <f t="shared" si="4"/>
        <v>1</v>
      </c>
      <c r="AC28" s="1464">
        <f t="shared" si="5"/>
        <v>1</v>
      </c>
    </row>
    <row r="29" spans="1:29" ht="15">
      <c r="A29" s="494"/>
      <c r="B29" s="427" t="s">
        <v>761</v>
      </c>
      <c r="C29" s="832"/>
      <c r="D29" s="440">
        <v>100</v>
      </c>
      <c r="E29" s="832"/>
      <c r="F29" s="475">
        <f>SUMIF(84:84,E29,85:85)-SUMIF(84:84,C29,85:85)+100</f>
        <v>100</v>
      </c>
      <c r="G29" s="832"/>
      <c r="H29" s="440">
        <f>SUMIF(84:84,G29,85:85)-SUMIF(84:84,C29,85:85)+100</f>
        <v>100</v>
      </c>
      <c r="I29" s="832"/>
      <c r="J29" s="440">
        <f>SUMIF(84:84,I29,85:85)-SUMIF(84:84,C29,85:85)+100</f>
        <v>100</v>
      </c>
      <c r="K29" s="484"/>
      <c r="L29" s="2017"/>
      <c r="M29" s="2009"/>
      <c r="N29" s="2009"/>
      <c r="O29" s="2016"/>
      <c r="P29" s="3415"/>
      <c r="Q29" s="1460" t="str">
        <f t="shared" si="8"/>
        <v>有无电梯</v>
      </c>
      <c r="R29" s="1461" t="s">
        <v>8</v>
      </c>
      <c r="S29" s="1462">
        <f t="shared" si="9"/>
        <v>100</v>
      </c>
      <c r="T29" s="1461" t="s">
        <v>8</v>
      </c>
      <c r="U29" s="1462">
        <f t="shared" si="10"/>
        <v>100</v>
      </c>
      <c r="V29" s="1461" t="s">
        <v>8</v>
      </c>
      <c r="W29" s="1462">
        <f t="shared" si="11"/>
        <v>100</v>
      </c>
      <c r="X29" s="1455"/>
      <c r="Y29" s="3415"/>
      <c r="Z29" s="1463" t="str">
        <f t="shared" si="12"/>
        <v>有无电梯</v>
      </c>
      <c r="AA29" s="1464">
        <f t="shared" si="3"/>
        <v>1</v>
      </c>
      <c r="AB29" s="1464">
        <f t="shared" si="4"/>
        <v>1</v>
      </c>
      <c r="AC29" s="1464">
        <f t="shared" si="5"/>
        <v>1</v>
      </c>
    </row>
    <row r="30" spans="1:29" ht="15">
      <c r="A30" s="494"/>
      <c r="B30" s="427" t="s">
        <v>762</v>
      </c>
      <c r="C30" s="780"/>
      <c r="D30" s="440">
        <v>100</v>
      </c>
      <c r="E30" s="780"/>
      <c r="F30" s="475" t="e">
        <f>LOOKUP(E30,87:87,88:88)-LOOKUP(C30,87:87,88:88)+100</f>
        <v>#N/A</v>
      </c>
      <c r="G30" s="780"/>
      <c r="H30" s="440" t="e">
        <f>LOOKUP(G30,87:87,88:88)-LOOKUP(C30,87:87,88:88)+100</f>
        <v>#N/A</v>
      </c>
      <c r="I30" s="780"/>
      <c r="J30" s="440" t="e">
        <f>LOOKUP(I30,87:87,88:88)-LOOKUP(C30,87:87,88:88)+100</f>
        <v>#N/A</v>
      </c>
      <c r="K30" s="481"/>
      <c r="L30" s="2017"/>
      <c r="M30" s="2009"/>
      <c r="N30" s="2009"/>
      <c r="O30" s="2016"/>
      <c r="P30" s="3415"/>
      <c r="Q30" s="1460" t="str">
        <f t="shared" si="8"/>
        <v>建筑面积</v>
      </c>
      <c r="R30" s="1461" t="s">
        <v>8</v>
      </c>
      <c r="S30" s="1462" t="e">
        <f t="shared" si="9"/>
        <v>#N/A</v>
      </c>
      <c r="T30" s="1461" t="s">
        <v>8</v>
      </c>
      <c r="U30" s="1462" t="e">
        <f t="shared" si="10"/>
        <v>#N/A</v>
      </c>
      <c r="V30" s="1461" t="s">
        <v>8</v>
      </c>
      <c r="W30" s="1462" t="e">
        <f t="shared" si="11"/>
        <v>#N/A</v>
      </c>
      <c r="X30" s="1455"/>
      <c r="Y30" s="3415"/>
      <c r="Z30" s="1463" t="str">
        <f t="shared" si="12"/>
        <v>建筑面积</v>
      </c>
      <c r="AA30" s="1464" t="e">
        <f t="shared" si="3"/>
        <v>#N/A</v>
      </c>
      <c r="AB30" s="1464" t="e">
        <f t="shared" si="4"/>
        <v>#N/A</v>
      </c>
      <c r="AC30" s="1464" t="e">
        <f t="shared" si="5"/>
        <v>#N/A</v>
      </c>
    </row>
    <row r="31" spans="1:29" s="1108" customFormat="1" ht="15">
      <c r="A31" s="500"/>
      <c r="B31" s="427" t="s">
        <v>763</v>
      </c>
      <c r="C31" s="832"/>
      <c r="D31" s="159">
        <v>100</v>
      </c>
      <c r="E31" s="832"/>
      <c r="F31" s="475">
        <f>SUMIF(89:89,E31,90:90)-SUMIF(89:89,C31,90:90)+100</f>
        <v>100</v>
      </c>
      <c r="G31" s="832"/>
      <c r="H31" s="440">
        <f>SUMIF(89:89,G31,90:90)-SUMIF(89:89,C31,90:90)+100</f>
        <v>100</v>
      </c>
      <c r="I31" s="832"/>
      <c r="J31" s="440">
        <f>SUMIF(89:89,I31,90:90)-SUMIF(89:89,C31,90:90)+100</f>
        <v>100</v>
      </c>
      <c r="K31" s="484"/>
      <c r="L31" s="2010"/>
      <c r="M31" s="2011"/>
      <c r="N31" s="2011"/>
      <c r="O31" s="2012"/>
      <c r="P31" s="3415"/>
      <c r="Q31" s="1049" t="str">
        <f t="shared" si="8"/>
        <v>是否封闭</v>
      </c>
      <c r="R31" s="1456" t="s">
        <v>8</v>
      </c>
      <c r="S31" s="1457">
        <f t="shared" si="9"/>
        <v>100</v>
      </c>
      <c r="T31" s="1456" t="s">
        <v>8</v>
      </c>
      <c r="U31" s="1457">
        <f t="shared" si="10"/>
        <v>100</v>
      </c>
      <c r="V31" s="1456" t="s">
        <v>8</v>
      </c>
      <c r="W31" s="1457">
        <f t="shared" si="11"/>
        <v>100</v>
      </c>
      <c r="X31" s="1458"/>
      <c r="Y31" s="3415"/>
      <c r="Z31" s="1048" t="str">
        <f t="shared" si="12"/>
        <v>是否封闭</v>
      </c>
      <c r="AA31" s="1459">
        <f t="shared" si="3"/>
        <v>1</v>
      </c>
      <c r="AB31" s="1459">
        <f t="shared" si="4"/>
        <v>1</v>
      </c>
      <c r="AC31" s="1459">
        <f t="shared" si="5"/>
        <v>1</v>
      </c>
    </row>
    <row r="32" spans="1:29" ht="15">
      <c r="A32" s="494"/>
      <c r="B32" s="437">
        <v>111</v>
      </c>
      <c r="C32" s="428"/>
      <c r="D32" s="440">
        <v>100</v>
      </c>
      <c r="E32" s="780"/>
      <c r="F32" s="475">
        <f>SUMIF(91:91,E32,92:92)-SUMIF(91:91,C32,92:92)+100</f>
        <v>100</v>
      </c>
      <c r="G32" s="780"/>
      <c r="H32" s="440">
        <f>SUMIF(91:91,G32,92:92)-SUMIF(91:91,C32,92:92)+100</f>
        <v>100</v>
      </c>
      <c r="I32" s="780"/>
      <c r="J32" s="440">
        <f>SUMIF(91:91,I32,92:92)-SUMIF(91:91,C32,92:92)+100</f>
        <v>100</v>
      </c>
      <c r="K32" s="481"/>
      <c r="L32" s="2017"/>
      <c r="M32" s="2009"/>
      <c r="N32" s="2009"/>
      <c r="O32" s="2016"/>
      <c r="P32" s="3415" t="s">
        <v>490</v>
      </c>
      <c r="Q32" s="1460">
        <f t="shared" si="8"/>
        <v>111</v>
      </c>
      <c r="R32" s="1461" t="s">
        <v>8</v>
      </c>
      <c r="S32" s="1462">
        <f t="shared" si="9"/>
        <v>100</v>
      </c>
      <c r="T32" s="1461" t="s">
        <v>8</v>
      </c>
      <c r="U32" s="1462">
        <f t="shared" si="10"/>
        <v>100</v>
      </c>
      <c r="V32" s="1461" t="s">
        <v>8</v>
      </c>
      <c r="W32" s="1462">
        <f t="shared" si="11"/>
        <v>100</v>
      </c>
      <c r="X32" s="1455"/>
      <c r="Y32" s="3415" t="s">
        <v>490</v>
      </c>
      <c r="Z32" s="1463">
        <f t="shared" si="12"/>
        <v>111</v>
      </c>
      <c r="AA32" s="1464">
        <f t="shared" si="3"/>
        <v>1</v>
      </c>
      <c r="AB32" s="1464">
        <f t="shared" si="4"/>
        <v>1</v>
      </c>
      <c r="AC32" s="1464">
        <f t="shared" si="5"/>
        <v>1</v>
      </c>
    </row>
    <row r="33" spans="1:29" ht="15">
      <c r="A33" s="494"/>
      <c r="B33" s="437">
        <v>111</v>
      </c>
      <c r="C33" s="428"/>
      <c r="D33" s="440">
        <v>100</v>
      </c>
      <c r="E33" s="780"/>
      <c r="F33" s="475">
        <f>SUMIF(93:93,E33,94:94)-SUMIF(93:93,C33,94:94)+100</f>
        <v>100</v>
      </c>
      <c r="G33" s="780"/>
      <c r="H33" s="440">
        <f>SUMIF(93:93,G33,94:94)-SUMIF(93:93,C33,94:94)+100</f>
        <v>100</v>
      </c>
      <c r="I33" s="780"/>
      <c r="J33" s="440">
        <f>SUMIF(93:93,I33,94:94)-SUMIF(93:93,C33,94:94)+100</f>
        <v>100</v>
      </c>
      <c r="K33" s="481"/>
      <c r="L33" s="2017"/>
      <c r="M33" s="2009"/>
      <c r="N33" s="2009"/>
      <c r="O33" s="2016"/>
      <c r="P33" s="3415"/>
      <c r="Q33" s="1460">
        <f t="shared" si="8"/>
        <v>111</v>
      </c>
      <c r="R33" s="1461" t="s">
        <v>8</v>
      </c>
      <c r="S33" s="1462">
        <f t="shared" si="9"/>
        <v>100</v>
      </c>
      <c r="T33" s="1461" t="s">
        <v>8</v>
      </c>
      <c r="U33" s="1462">
        <f t="shared" si="10"/>
        <v>100</v>
      </c>
      <c r="V33" s="1461" t="s">
        <v>8</v>
      </c>
      <c r="W33" s="1462">
        <f t="shared" si="11"/>
        <v>100</v>
      </c>
      <c r="X33" s="1455"/>
      <c r="Y33" s="3415"/>
      <c r="Z33" s="1463">
        <f t="shared" si="12"/>
        <v>111</v>
      </c>
      <c r="AA33" s="1464">
        <f t="shared" si="3"/>
        <v>1</v>
      </c>
      <c r="AB33" s="1464">
        <f t="shared" si="4"/>
        <v>1</v>
      </c>
      <c r="AC33" s="1464">
        <f t="shared" si="5"/>
        <v>1</v>
      </c>
    </row>
    <row r="34" spans="1:29" ht="15.75" thickBot="1">
      <c r="A34" s="786"/>
      <c r="B34" s="444">
        <v>111</v>
      </c>
      <c r="C34" s="445"/>
      <c r="D34" s="446">
        <v>100</v>
      </c>
      <c r="E34" s="844"/>
      <c r="F34" s="766">
        <f>SUMIF(95:95,E34,96:96)-SUMIF(95:95,C34,96:96)+100</f>
        <v>100</v>
      </c>
      <c r="G34" s="844"/>
      <c r="H34" s="446">
        <f>SUMIF(95:95,G34,96:96)-SUMIF(95:95,C34,96:96)+100</f>
        <v>100</v>
      </c>
      <c r="I34" s="844"/>
      <c r="J34" s="446">
        <f>SUMIF(95:95,I34,96:96)-SUMIF(95:95,C34,96:96)+100</f>
        <v>100</v>
      </c>
      <c r="K34" s="481"/>
      <c r="L34" s="2017"/>
      <c r="M34" s="2009"/>
      <c r="N34" s="2009"/>
      <c r="O34" s="2016"/>
      <c r="P34" s="3415"/>
      <c r="Q34" s="1460">
        <f t="shared" si="8"/>
        <v>111</v>
      </c>
      <c r="R34" s="1461" t="s">
        <v>8</v>
      </c>
      <c r="S34" s="1462">
        <f t="shared" si="9"/>
        <v>100</v>
      </c>
      <c r="T34" s="1461" t="s">
        <v>8</v>
      </c>
      <c r="U34" s="1462">
        <f t="shared" si="10"/>
        <v>100</v>
      </c>
      <c r="V34" s="1461" t="s">
        <v>8</v>
      </c>
      <c r="W34" s="1462">
        <f t="shared" si="11"/>
        <v>100</v>
      </c>
      <c r="X34" s="1455"/>
      <c r="Y34" s="3415"/>
      <c r="Z34" s="1463">
        <f t="shared" si="12"/>
        <v>111</v>
      </c>
      <c r="AA34" s="1464">
        <f t="shared" si="3"/>
        <v>1</v>
      </c>
      <c r="AB34" s="1464">
        <f t="shared" si="4"/>
        <v>1</v>
      </c>
      <c r="AC34" s="1464">
        <f t="shared" si="5"/>
        <v>1</v>
      </c>
    </row>
    <row r="35" spans="1:29" ht="15">
      <c r="A35" s="507" t="s">
        <v>675</v>
      </c>
      <c r="B35" s="787"/>
      <c r="C35" s="2492" t="s">
        <v>1</v>
      </c>
      <c r="D35" s="2493"/>
      <c r="E35" s="2494"/>
      <c r="F35" s="2495"/>
      <c r="G35" s="2496"/>
      <c r="H35" s="2497"/>
      <c r="I35" s="2494"/>
      <c r="J35" s="2497"/>
      <c r="K35" s="1499"/>
      <c r="L35" s="2019"/>
      <c r="M35" s="2020"/>
      <c r="N35" s="2009"/>
      <c r="O35" s="2020"/>
      <c r="P35" s="3378" t="str">
        <f>A35</f>
        <v>成交单价（元/平方米）</v>
      </c>
      <c r="Q35" s="3378"/>
      <c r="R35" s="3489">
        <f>E35</f>
        <v>0</v>
      </c>
      <c r="S35" s="3489"/>
      <c r="T35" s="3489">
        <f>G35</f>
        <v>0</v>
      </c>
      <c r="U35" s="3489"/>
      <c r="V35" s="3489">
        <f>I35</f>
        <v>0</v>
      </c>
      <c r="W35" s="3489"/>
      <c r="X35" s="1447"/>
      <c r="Y35" s="1469"/>
      <c r="Z35" s="1447"/>
      <c r="AA35" s="1447"/>
      <c r="AB35" s="1447"/>
      <c r="AC35" s="1447"/>
    </row>
    <row r="36" spans="1:29" ht="15.75" thickBot="1">
      <c r="A36" s="515" t="s">
        <v>2688</v>
      </c>
      <c r="B36" s="788"/>
      <c r="C36" s="2498" t="e">
        <f>R37</f>
        <v>#DIV/0!</v>
      </c>
      <c r="D36" s="2499"/>
      <c r="E36" s="2500" t="e">
        <f>R36</f>
        <v>#DIV/0!</v>
      </c>
      <c r="F36" s="2500"/>
      <c r="G36" s="2498" t="e">
        <f>T36</f>
        <v>#DIV/0!</v>
      </c>
      <c r="H36" s="2499"/>
      <c r="I36" s="2500" t="e">
        <f>V36</f>
        <v>#DIV/0!</v>
      </c>
      <c r="J36" s="2499"/>
      <c r="K36" s="1500"/>
      <c r="L36" s="2019"/>
      <c r="M36" s="2020"/>
      <c r="N36" s="2009"/>
      <c r="O36" s="2020"/>
      <c r="P36" s="3378" t="str">
        <f>A36</f>
        <v>比较价格（元/平方米）</v>
      </c>
      <c r="Q36" s="3378"/>
      <c r="R36" s="3489" t="e">
        <f>IF(F1="售价",ROUND(PRODUCT(R35,AA7:AA34),0),ROUND(PRODUCT(R35,AA7:AA34),1))</f>
        <v>#DIV/0!</v>
      </c>
      <c r="S36" s="3489"/>
      <c r="T36" s="3489" t="e">
        <f>IF(F1="售价",ROUND(PRODUCT(T35,AB7:AB34),0),ROUND(PRODUCT(T35,AB7:AB34),1))</f>
        <v>#DIV/0!</v>
      </c>
      <c r="U36" s="3489"/>
      <c r="V36" s="3489" t="e">
        <f>IF(F1="售价",ROUND(PRODUCT(V35,AC7:AC34),0),ROUND(PRODUCT(V35,AC7:AC34),1))</f>
        <v>#DIV/0!</v>
      </c>
      <c r="W36" s="3489"/>
      <c r="X36" s="1447"/>
      <c r="Y36" s="1447"/>
      <c r="Z36" s="1447"/>
      <c r="AA36" s="1447"/>
      <c r="AB36" s="1447"/>
      <c r="AC36" s="1447"/>
    </row>
    <row r="37" spans="1:29" ht="15.75" thickBot="1">
      <c r="A37" s="521" t="s">
        <v>2847</v>
      </c>
      <c r="B37" s="522"/>
      <c r="C37" s="2501" t="e">
        <f>R37</f>
        <v>#DIV/0!</v>
      </c>
      <c r="D37" s="2501"/>
      <c r="E37" s="2501"/>
      <c r="F37" s="2501"/>
      <c r="G37" s="2501"/>
      <c r="H37" s="2501"/>
      <c r="I37" s="2501"/>
      <c r="J37" s="2501"/>
      <c r="K37" s="1501"/>
      <c r="L37" s="2019"/>
      <c r="M37" s="2020"/>
      <c r="N37" s="2020"/>
      <c r="O37" s="2020"/>
      <c r="P37" s="3375" t="str">
        <f>A37</f>
        <v>估价对象XX用房的比较价格（楼面单价，元/平方米）</v>
      </c>
      <c r="Q37" s="3376"/>
      <c r="R37" s="3488" t="e">
        <f>IF(F1="售价",ROUND(AVERAGE(R36:V36),0),ROUND(AVERAGE(R36:V36),1))</f>
        <v>#DIV/0!</v>
      </c>
      <c r="S37" s="3488"/>
      <c r="T37" s="3488"/>
      <c r="U37" s="3488"/>
      <c r="V37" s="3488"/>
      <c r="W37" s="3488"/>
      <c r="X37" s="1447"/>
      <c r="Y37" s="1447"/>
      <c r="Z37" s="1447"/>
      <c r="AA37" s="1447"/>
      <c r="AB37" s="1447"/>
      <c r="AC37" s="1447"/>
    </row>
    <row r="38" spans="1:29">
      <c r="A38" s="2020"/>
      <c r="B38" s="2020"/>
      <c r="C38" s="2020"/>
      <c r="D38" s="2020"/>
      <c r="E38" s="2020"/>
      <c r="F38" s="2020"/>
      <c r="G38" s="2023"/>
      <c r="H38" s="2020"/>
      <c r="I38" s="2020"/>
      <c r="J38" s="2020"/>
      <c r="K38" s="2024"/>
      <c r="L38" s="2025"/>
      <c r="M38" s="2020"/>
      <c r="N38" s="2020"/>
      <c r="O38" s="2020"/>
      <c r="P38" s="2020"/>
      <c r="Q38" s="2020"/>
      <c r="R38" s="2020"/>
      <c r="S38" s="2020"/>
      <c r="T38" s="2020"/>
      <c r="U38" s="2020"/>
      <c r="V38" s="2020"/>
      <c r="W38" s="2020"/>
      <c r="X38" s="2020"/>
      <c r="Y38" s="2020"/>
      <c r="Z38" s="2020"/>
      <c r="AA38" s="2020"/>
      <c r="AB38" s="2020"/>
      <c r="AC38" s="2020"/>
    </row>
    <row r="39" spans="1:29">
      <c r="A39" s="2020"/>
      <c r="B39" s="2020"/>
      <c r="C39" s="2020"/>
      <c r="D39" s="2020"/>
      <c r="E39" s="2020"/>
      <c r="F39" s="2020"/>
      <c r="G39" s="2020"/>
      <c r="H39" s="2020"/>
      <c r="I39" s="2020"/>
      <c r="J39" s="2020"/>
      <c r="K39" s="2024"/>
      <c r="L39" s="2025"/>
      <c r="M39" s="2020"/>
      <c r="N39" s="2020"/>
      <c r="O39" s="2020"/>
      <c r="P39" s="2020"/>
      <c r="Q39" s="2020"/>
      <c r="R39" s="2020"/>
      <c r="S39" s="2020"/>
      <c r="T39" s="2020"/>
      <c r="U39" s="2020"/>
      <c r="V39" s="2020"/>
      <c r="W39" s="2020"/>
      <c r="X39" s="2020"/>
      <c r="Y39" s="2020"/>
      <c r="Z39" s="2020"/>
      <c r="AA39" s="2020"/>
      <c r="AB39" s="2020"/>
      <c r="AC39" s="2020"/>
    </row>
    <row r="40" spans="1:29" ht="13.5" customHeight="1">
      <c r="A40" s="2020"/>
      <c r="B40" s="2020"/>
      <c r="C40" s="524" t="s">
        <v>497</v>
      </c>
      <c r="D40" s="525"/>
      <c r="E40" s="526" t="e">
        <f>IF(E35&lt;E36,E36/E35-1,E35/E36-1)</f>
        <v>#DIV/0!</v>
      </c>
      <c r="F40" s="527" t="e">
        <f>IF(OR(E40&gt;=0.3,E40&lt;=-0.3),"超过30%","")</f>
        <v>#DIV/0!</v>
      </c>
      <c r="G40" s="526" t="e">
        <f>IF(G35&lt;G36,G36/G35-1,G35/G36-1)</f>
        <v>#DIV/0!</v>
      </c>
      <c r="H40" s="527" t="e">
        <f>IF(OR(G40&gt;=0.3,G40&lt;=-0.3),"超过30%","")</f>
        <v>#DIV/0!</v>
      </c>
      <c r="I40" s="526" t="e">
        <f>IF(I35&lt;I36,I36/I35-1,I35/I36-1)</f>
        <v>#DIV/0!</v>
      </c>
      <c r="J40" s="527" t="e">
        <f>IF(OR(I40&gt;=0.3,I40&lt;=-0.3),"超过30%","")</f>
        <v>#DIV/0!</v>
      </c>
      <c r="K40" s="2024"/>
      <c r="L40" s="2025"/>
      <c r="M40" s="2020"/>
      <c r="N40" s="2020"/>
      <c r="O40" s="2020"/>
      <c r="P40" s="2020"/>
      <c r="Q40" s="2020"/>
      <c r="R40" s="2020"/>
      <c r="S40" s="2020"/>
      <c r="T40" s="2020"/>
      <c r="U40" s="2020"/>
      <c r="V40" s="2020"/>
      <c r="W40" s="2020"/>
      <c r="X40" s="2020"/>
      <c r="Y40" s="2020"/>
      <c r="Z40" s="2020"/>
      <c r="AA40" s="2020"/>
      <c r="AB40" s="2020"/>
      <c r="AC40" s="2020"/>
    </row>
    <row r="41" spans="1:29" ht="13.5" customHeight="1">
      <c r="A41" s="2020"/>
      <c r="B41" s="2020"/>
      <c r="C41" s="524" t="s">
        <v>498</v>
      </c>
      <c r="D41" s="528"/>
      <c r="E41" s="526" t="e">
        <f>IF(E36&lt;G36,G36/E36-1,E36/G36-1)</f>
        <v>#DIV/0!</v>
      </c>
      <c r="F41" s="527" t="e">
        <f>IF(OR(E41&gt;=0.2,E41&lt;=-0.2),"超过20%","")</f>
        <v>#DIV/0!</v>
      </c>
      <c r="G41" s="526" t="e">
        <f>IF(G36&lt;I36,I36/G36-1,G36/I36-1)</f>
        <v>#DIV/0!</v>
      </c>
      <c r="H41" s="527" t="e">
        <f>IF(OR(G41&gt;=0.2,G41&lt;=-0.2),"超过20%","")</f>
        <v>#DIV/0!</v>
      </c>
      <c r="I41" s="526" t="e">
        <f>IF(I36&lt;E36,E36/I36-1,I36/E36-1)</f>
        <v>#DIV/0!</v>
      </c>
      <c r="J41" s="527" t="e">
        <f>IF(OR(I41&gt;=0.2,I41&lt;=-0.2),"超过20%","")</f>
        <v>#DIV/0!</v>
      </c>
      <c r="K41" s="2024"/>
      <c r="L41" s="2025"/>
      <c r="M41" s="2020"/>
      <c r="N41" s="2020"/>
      <c r="O41" s="2020"/>
      <c r="P41" s="2020"/>
      <c r="Q41" s="2020"/>
      <c r="R41" s="2020"/>
      <c r="S41" s="2020"/>
      <c r="T41" s="2020"/>
      <c r="U41" s="2020"/>
      <c r="V41" s="2020"/>
      <c r="W41" s="2020"/>
      <c r="X41" s="2020"/>
      <c r="Y41" s="2020"/>
      <c r="Z41" s="2020"/>
      <c r="AA41" s="2020"/>
      <c r="AB41" s="2020"/>
      <c r="AC41" s="2020"/>
    </row>
    <row r="42" spans="1:29" s="1233" customFormat="1" ht="13.5" customHeight="1">
      <c r="A42" s="2021"/>
      <c r="B42" s="2021"/>
      <c r="C42" s="524" t="s">
        <v>499</v>
      </c>
      <c r="D42" s="528"/>
      <c r="E42" s="526" t="e">
        <f>IF(E35&lt;G35,G35/E35-1,E35/G35-1)</f>
        <v>#DIV/0!</v>
      </c>
      <c r="F42" s="527" t="e">
        <f>IF(OR(E42&gt;=0.3,E42&lt;=-0.3),"超过30%","")</f>
        <v>#DIV/0!</v>
      </c>
      <c r="G42" s="526" t="e">
        <f>IF(G35&lt;I35,I35/G35-1,G35/I35-1)</f>
        <v>#DIV/0!</v>
      </c>
      <c r="H42" s="527" t="e">
        <f>IF(OR(G42&gt;=0.3,G42&lt;=-0.3),"超过30%","")</f>
        <v>#DIV/0!</v>
      </c>
      <c r="I42" s="526" t="e">
        <f>IF(I35&lt;E35,E35/I35-1,I35/E35-1)</f>
        <v>#DIV/0!</v>
      </c>
      <c r="J42" s="527" t="e">
        <f>IF(OR(I42&gt;=0.3,I42&lt;=-0.3),"超过30%","")</f>
        <v>#DIV/0!</v>
      </c>
      <c r="K42" s="2027"/>
      <c r="L42" s="2028"/>
      <c r="M42" s="2021"/>
      <c r="N42" s="2021"/>
      <c r="O42" s="2021"/>
      <c r="P42" s="2021"/>
      <c r="Q42" s="2021"/>
      <c r="R42" s="2021"/>
      <c r="S42" s="2021"/>
      <c r="T42" s="2021"/>
      <c r="U42" s="2021"/>
      <c r="V42" s="2021"/>
      <c r="W42" s="2021"/>
      <c r="X42" s="2021"/>
      <c r="Y42" s="2021"/>
      <c r="Z42" s="2021"/>
      <c r="AA42" s="2021"/>
      <c r="AB42" s="2021"/>
      <c r="AC42" s="2021"/>
    </row>
    <row r="43" spans="1:29" s="1233" customFormat="1">
      <c r="A43" s="2021"/>
      <c r="B43" s="2022"/>
      <c r="C43" s="2026"/>
      <c r="D43" s="2021"/>
      <c r="E43" s="2021"/>
      <c r="F43" s="2021"/>
      <c r="G43" s="2021"/>
      <c r="H43" s="2021"/>
      <c r="I43" s="2021"/>
      <c r="J43" s="2021"/>
      <c r="K43" s="2027"/>
      <c r="L43" s="2028"/>
      <c r="M43" s="2021"/>
      <c r="N43" s="2021"/>
      <c r="O43" s="2021"/>
      <c r="P43" s="2021"/>
      <c r="Q43" s="2021"/>
      <c r="R43" s="2021"/>
      <c r="S43" s="2021"/>
      <c r="T43" s="2021"/>
      <c r="U43" s="2021"/>
      <c r="V43" s="2021"/>
      <c r="W43" s="2021"/>
      <c r="X43" s="2021"/>
      <c r="Y43" s="2021"/>
      <c r="Z43" s="2021"/>
      <c r="AA43" s="2021"/>
      <c r="AB43" s="2021"/>
      <c r="AC43" s="2021"/>
    </row>
    <row r="44" spans="1:29">
      <c r="A44" s="2020"/>
      <c r="B44" s="2022"/>
      <c r="C44" s="2026"/>
      <c r="D44" s="2020"/>
      <c r="E44" s="2020"/>
      <c r="F44" s="2020"/>
      <c r="G44" s="2020"/>
      <c r="H44" s="2020"/>
      <c r="I44" s="2020"/>
      <c r="J44" s="2020"/>
      <c r="K44" s="2024"/>
      <c r="L44" s="2025"/>
      <c r="M44" s="2020"/>
      <c r="N44" s="2020"/>
      <c r="O44" s="2020"/>
      <c r="P44" s="2020"/>
      <c r="Q44" s="2020"/>
      <c r="R44" s="2020"/>
      <c r="S44" s="2020"/>
      <c r="T44" s="2020"/>
      <c r="U44" s="2020"/>
      <c r="V44" s="2020"/>
      <c r="W44" s="2020"/>
      <c r="X44" s="2020"/>
      <c r="Y44" s="2020"/>
      <c r="Z44" s="2020"/>
      <c r="AA44" s="2020"/>
      <c r="AB44" s="2020"/>
      <c r="AC44" s="2020"/>
    </row>
    <row r="45" spans="1:29" ht="21.75" thickBot="1">
      <c r="A45" s="1472" t="s">
        <v>514</v>
      </c>
      <c r="B45" s="1447"/>
      <c r="C45" s="1471"/>
      <c r="D45" s="1471"/>
      <c r="E45" s="1471"/>
      <c r="F45" s="1473"/>
      <c r="G45" s="1473"/>
      <c r="H45" s="1471"/>
      <c r="I45" s="1471"/>
      <c r="J45" s="1471"/>
      <c r="K45" s="1474"/>
      <c r="L45" s="1470"/>
      <c r="M45" s="1471"/>
      <c r="N45" s="1471"/>
      <c r="O45" s="1471"/>
      <c r="P45" s="2032"/>
      <c r="Q45" s="2033"/>
      <c r="R45" s="2020"/>
      <c r="S45" s="2020"/>
      <c r="T45" s="2020"/>
      <c r="U45" s="2020"/>
      <c r="V45" s="2020"/>
      <c r="W45" s="2020"/>
      <c r="X45" s="2020"/>
      <c r="Y45" s="2020"/>
      <c r="Z45" s="2020"/>
      <c r="AA45" s="2020"/>
      <c r="AB45" s="2020"/>
      <c r="AC45" s="2020"/>
    </row>
    <row r="46" spans="1:29" s="1235" customFormat="1" ht="15">
      <c r="A46" s="545" t="s">
        <v>469</v>
      </c>
      <c r="B46" s="546"/>
      <c r="C46" s="2667" t="str">
        <f>YEAR(C7)&amp;"-"&amp;MONTH(C7)</f>
        <v>2018-5</v>
      </c>
      <c r="D46" s="2669">
        <f>EDATE(C46,-1)</f>
        <v>43191</v>
      </c>
      <c r="E46" s="2669">
        <f t="shared" ref="E46:O46" si="13">EDATE(D46,-1)</f>
        <v>43160</v>
      </c>
      <c r="F46" s="2669">
        <f t="shared" si="13"/>
        <v>43132</v>
      </c>
      <c r="G46" s="2669">
        <f t="shared" si="13"/>
        <v>43101</v>
      </c>
      <c r="H46" s="2669">
        <f t="shared" si="13"/>
        <v>43070</v>
      </c>
      <c r="I46" s="2669">
        <f t="shared" si="13"/>
        <v>43040</v>
      </c>
      <c r="J46" s="2669">
        <f t="shared" si="13"/>
        <v>43009</v>
      </c>
      <c r="K46" s="2669">
        <f t="shared" si="13"/>
        <v>42979</v>
      </c>
      <c r="L46" s="2669">
        <f t="shared" si="13"/>
        <v>42948</v>
      </c>
      <c r="M46" s="2669">
        <f t="shared" si="13"/>
        <v>42917</v>
      </c>
      <c r="N46" s="2669">
        <f t="shared" si="13"/>
        <v>42887</v>
      </c>
      <c r="O46" s="2669">
        <f t="shared" si="13"/>
        <v>42856</v>
      </c>
      <c r="P46" s="2035"/>
      <c r="Q46" s="2036"/>
      <c r="R46" s="2036"/>
      <c r="S46" s="2036"/>
      <c r="T46" s="2036"/>
      <c r="U46" s="2036"/>
      <c r="V46" s="2036"/>
      <c r="W46" s="2036"/>
      <c r="X46" s="2036"/>
      <c r="Y46" s="2036"/>
      <c r="Z46" s="2036"/>
      <c r="AA46" s="2036"/>
      <c r="AB46" s="2036"/>
      <c r="AC46" s="2036"/>
    </row>
    <row r="47" spans="1:29" s="1108" customFormat="1" ht="15">
      <c r="A47" s="547"/>
      <c r="B47" s="548"/>
      <c r="C47" s="549">
        <v>100</v>
      </c>
      <c r="D47" s="550"/>
      <c r="E47" s="550"/>
      <c r="F47" s="550"/>
      <c r="G47" s="550"/>
      <c r="H47" s="550"/>
      <c r="I47" s="550"/>
      <c r="J47" s="550"/>
      <c r="K47" s="550"/>
      <c r="L47" s="550"/>
      <c r="M47" s="551"/>
      <c r="N47" s="550"/>
      <c r="O47" s="552"/>
      <c r="P47" s="2033"/>
      <c r="Q47" s="1872"/>
      <c r="R47" s="1872"/>
      <c r="S47" s="1872"/>
      <c r="T47" s="1872"/>
      <c r="U47" s="1872"/>
      <c r="V47" s="1872"/>
      <c r="W47" s="1872"/>
      <c r="X47" s="1872"/>
      <c r="Y47" s="1872"/>
      <c r="Z47" s="1872"/>
      <c r="AA47" s="1872"/>
      <c r="AB47" s="1872"/>
      <c r="AC47" s="1872"/>
    </row>
    <row r="48" spans="1:29" s="1108" customFormat="1" ht="15.75" thickBot="1">
      <c r="A48" s="553" t="s">
        <v>515</v>
      </c>
      <c r="B48" s="554"/>
      <c r="C48" s="555"/>
      <c r="D48" s="556"/>
      <c r="E48" s="556"/>
      <c r="F48" s="556"/>
      <c r="G48" s="556"/>
      <c r="H48" s="556"/>
      <c r="I48" s="556"/>
      <c r="J48" s="556"/>
      <c r="K48" s="556"/>
      <c r="L48" s="556"/>
      <c r="M48" s="557"/>
      <c r="N48" s="556"/>
      <c r="O48" s="558"/>
      <c r="P48" s="2033"/>
      <c r="Q48" s="2033"/>
      <c r="R48" s="1872"/>
      <c r="S48" s="1872"/>
      <c r="T48" s="1872"/>
      <c r="U48" s="1872"/>
      <c r="V48" s="1872"/>
      <c r="W48" s="1872"/>
      <c r="X48" s="1872"/>
      <c r="Y48" s="1872"/>
      <c r="Z48" s="1872"/>
      <c r="AA48" s="1872"/>
      <c r="AB48" s="1872"/>
      <c r="AC48" s="1872"/>
    </row>
    <row r="49" spans="1:29" s="1108" customFormat="1" ht="15">
      <c r="A49" s="559" t="s">
        <v>471</v>
      </c>
      <c r="B49" s="548"/>
      <c r="C49" s="560" t="s">
        <v>516</v>
      </c>
      <c r="D49" s="561"/>
      <c r="E49" s="561"/>
      <c r="F49" s="561"/>
      <c r="G49" s="561"/>
      <c r="H49" s="561"/>
      <c r="I49" s="561"/>
      <c r="J49" s="561"/>
      <c r="K49" s="561"/>
      <c r="L49" s="562"/>
      <c r="M49" s="563"/>
      <c r="N49" s="2037"/>
      <c r="O49" s="2037"/>
      <c r="P49" s="2038"/>
      <c r="Q49" s="2033"/>
      <c r="R49" s="1872"/>
      <c r="S49" s="1872"/>
      <c r="T49" s="1872"/>
      <c r="U49" s="1872"/>
      <c r="V49" s="1872"/>
      <c r="W49" s="1872"/>
      <c r="X49" s="1872"/>
      <c r="Y49" s="1872"/>
      <c r="Z49" s="1872"/>
      <c r="AA49" s="1872"/>
      <c r="AB49" s="1872"/>
      <c r="AC49" s="1872"/>
    </row>
    <row r="50" spans="1:29" s="1108" customFormat="1" ht="15.75" thickBot="1">
      <c r="A50" s="559"/>
      <c r="B50" s="548"/>
      <c r="C50" s="549">
        <v>100</v>
      </c>
      <c r="D50" s="550"/>
      <c r="E50" s="550"/>
      <c r="F50" s="550"/>
      <c r="G50" s="550"/>
      <c r="H50" s="550"/>
      <c r="I50" s="550"/>
      <c r="J50" s="550"/>
      <c r="K50" s="550"/>
      <c r="L50" s="550"/>
      <c r="M50" s="552"/>
      <c r="N50" s="2037"/>
      <c r="O50" s="2037"/>
      <c r="P50" s="2033"/>
      <c r="Q50" s="2033"/>
      <c r="R50" s="1872"/>
      <c r="S50" s="1872"/>
      <c r="T50" s="1872"/>
      <c r="U50" s="1872"/>
      <c r="V50" s="1872"/>
      <c r="W50" s="1872"/>
      <c r="X50" s="1872"/>
      <c r="Y50" s="1872"/>
      <c r="Z50" s="1872"/>
      <c r="AA50" s="1872"/>
      <c r="AB50" s="1872"/>
      <c r="AC50" s="1872"/>
    </row>
    <row r="51" spans="1:29">
      <c r="A51" s="564" t="s">
        <v>517</v>
      </c>
      <c r="B51" s="565" t="s">
        <v>474</v>
      </c>
      <c r="C51" s="604">
        <f>C9</f>
        <v>0</v>
      </c>
      <c r="D51" s="498"/>
      <c r="E51" s="498"/>
      <c r="F51" s="498"/>
      <c r="G51" s="498"/>
      <c r="H51" s="498"/>
      <c r="I51" s="498"/>
      <c r="J51" s="498"/>
      <c r="K51" s="566"/>
      <c r="L51" s="567"/>
      <c r="M51" s="568"/>
      <c r="N51" s="2039"/>
      <c r="O51" s="2039"/>
      <c r="P51" s="2040"/>
      <c r="Q51" s="2033"/>
      <c r="R51" s="2020"/>
      <c r="S51" s="2020"/>
      <c r="T51" s="2020"/>
      <c r="U51" s="2020"/>
      <c r="V51" s="2020"/>
      <c r="W51" s="2020"/>
      <c r="X51" s="2020"/>
      <c r="Y51" s="2020"/>
      <c r="Z51" s="2020"/>
      <c r="AA51" s="2020"/>
      <c r="AB51" s="2020"/>
      <c r="AC51" s="2020"/>
    </row>
    <row r="52" spans="1:29" ht="15.75" thickBot="1">
      <c r="A52" s="569"/>
      <c r="B52" s="570"/>
      <c r="C52" s="571">
        <v>100</v>
      </c>
      <c r="D52" s="571"/>
      <c r="E52" s="571"/>
      <c r="F52" s="571"/>
      <c r="G52" s="571"/>
      <c r="H52" s="571"/>
      <c r="I52" s="571"/>
      <c r="J52" s="571"/>
      <c r="K52" s="571"/>
      <c r="L52" s="571"/>
      <c r="M52" s="572"/>
      <c r="N52" s="2041"/>
      <c r="O52" s="2041"/>
      <c r="P52" s="2040"/>
      <c r="Q52" s="2033"/>
      <c r="R52" s="2020"/>
      <c r="S52" s="2020"/>
      <c r="T52" s="2020"/>
      <c r="U52" s="2020"/>
      <c r="V52" s="2020"/>
      <c r="W52" s="2020"/>
      <c r="X52" s="2020"/>
      <c r="Y52" s="2020"/>
      <c r="Z52" s="2020"/>
      <c r="AA52" s="2020"/>
      <c r="AB52" s="2020"/>
      <c r="AC52" s="2020"/>
    </row>
    <row r="53" spans="1:29" ht="27.75" thickTop="1">
      <c r="A53" s="569"/>
      <c r="B53" s="573" t="s">
        <v>477</v>
      </c>
      <c r="C53" s="574" t="s">
        <v>676</v>
      </c>
      <c r="D53" s="574" t="s">
        <v>677</v>
      </c>
      <c r="E53" s="574" t="s">
        <v>678</v>
      </c>
      <c r="F53" s="574" t="s">
        <v>679</v>
      </c>
      <c r="G53" s="574" t="s">
        <v>680</v>
      </c>
      <c r="H53" s="574" t="s">
        <v>681</v>
      </c>
      <c r="I53" s="574" t="s">
        <v>682</v>
      </c>
      <c r="J53" s="574"/>
      <c r="K53" s="575"/>
      <c r="L53" s="576"/>
      <c r="M53" s="577"/>
      <c r="N53" s="2039"/>
      <c r="O53" s="2039"/>
      <c r="P53" s="2040"/>
      <c r="Q53" s="2033"/>
      <c r="R53" s="2020"/>
      <c r="S53" s="2020"/>
      <c r="T53" s="2020"/>
      <c r="U53" s="2020"/>
      <c r="V53" s="2020"/>
      <c r="W53" s="2020"/>
      <c r="X53" s="2020"/>
      <c r="Y53" s="2020"/>
      <c r="Z53" s="2020"/>
      <c r="AA53" s="2020"/>
      <c r="AB53" s="2020"/>
      <c r="AC53" s="2020"/>
    </row>
    <row r="54" spans="1:29" ht="15.75" thickBot="1">
      <c r="A54" s="569"/>
      <c r="B54" s="578"/>
      <c r="C54" s="579" t="s">
        <v>14</v>
      </c>
      <c r="D54" s="579" t="s">
        <v>15</v>
      </c>
      <c r="E54" s="579">
        <v>100</v>
      </c>
      <c r="F54" s="579">
        <f>E54-$K10</f>
        <v>100</v>
      </c>
      <c r="G54" s="579">
        <f>F54-$K10</f>
        <v>100</v>
      </c>
      <c r="H54" s="579">
        <f>G54-$K10</f>
        <v>100</v>
      </c>
      <c r="I54" s="579">
        <f>H54-$K10</f>
        <v>100</v>
      </c>
      <c r="J54" s="579"/>
      <c r="K54" s="579"/>
      <c r="L54" s="579"/>
      <c r="M54" s="580"/>
      <c r="N54" s="2041"/>
      <c r="O54" s="2041"/>
      <c r="P54" s="2040"/>
      <c r="Q54" s="2033"/>
      <c r="R54" s="2020"/>
      <c r="S54" s="2020"/>
      <c r="T54" s="2020"/>
      <c r="U54" s="2020"/>
      <c r="V54" s="2020"/>
      <c r="W54" s="2020"/>
      <c r="X54" s="2020"/>
      <c r="Y54" s="2020"/>
      <c r="Z54" s="2020"/>
      <c r="AA54" s="2020"/>
      <c r="AB54" s="2020"/>
      <c r="AC54" s="2020"/>
    </row>
    <row r="55" spans="1:29" ht="15.75" thickTop="1">
      <c r="A55" s="569"/>
      <c r="B55" s="835">
        <f>B11</f>
        <v>111</v>
      </c>
      <c r="C55" s="441"/>
      <c r="D55" s="441"/>
      <c r="E55" s="441"/>
      <c r="F55" s="441"/>
      <c r="G55" s="441"/>
      <c r="H55" s="441"/>
      <c r="I55" s="441"/>
      <c r="J55" s="441"/>
      <c r="K55" s="584"/>
      <c r="L55" s="585"/>
      <c r="M55" s="586"/>
      <c r="N55" s="2039"/>
      <c r="O55" s="2039"/>
      <c r="P55" s="2040"/>
      <c r="Q55" s="2033"/>
      <c r="R55" s="2020"/>
      <c r="S55" s="2020"/>
      <c r="T55" s="2020"/>
      <c r="U55" s="2020"/>
      <c r="V55" s="2020"/>
      <c r="W55" s="2020"/>
      <c r="X55" s="2020"/>
      <c r="Y55" s="2020"/>
      <c r="Z55" s="2020"/>
      <c r="AA55" s="2020"/>
      <c r="AB55" s="2020"/>
      <c r="AC55" s="2020"/>
    </row>
    <row r="56" spans="1:29" ht="15.75" thickBot="1">
      <c r="A56" s="569"/>
      <c r="B56" s="570"/>
      <c r="C56" s="592"/>
      <c r="D56" s="571"/>
      <c r="E56" s="571"/>
      <c r="F56" s="571"/>
      <c r="G56" s="571"/>
      <c r="H56" s="571"/>
      <c r="I56" s="571"/>
      <c r="J56" s="571"/>
      <c r="K56" s="571"/>
      <c r="L56" s="571"/>
      <c r="M56" s="572"/>
      <c r="N56" s="2041"/>
      <c r="O56" s="2041"/>
      <c r="P56" s="2040"/>
      <c r="Q56" s="2033"/>
      <c r="R56" s="2020"/>
      <c r="S56" s="2020"/>
      <c r="T56" s="2020"/>
      <c r="U56" s="2020"/>
      <c r="V56" s="2020"/>
      <c r="W56" s="2020"/>
      <c r="X56" s="2020"/>
      <c r="Y56" s="2020"/>
      <c r="Z56" s="2020"/>
      <c r="AA56" s="2020"/>
      <c r="AB56" s="2020"/>
      <c r="AC56" s="2020"/>
    </row>
    <row r="57" spans="1:29" s="1227" customFormat="1" ht="15.75" thickTop="1">
      <c r="A57" s="587"/>
      <c r="B57" s="573">
        <f>B12</f>
        <v>111</v>
      </c>
      <c r="C57" s="441"/>
      <c r="D57" s="441"/>
      <c r="E57" s="441"/>
      <c r="F57" s="441"/>
      <c r="G57" s="588"/>
      <c r="H57" s="589"/>
      <c r="I57" s="589"/>
      <c r="J57" s="589"/>
      <c r="K57" s="589"/>
      <c r="L57" s="590"/>
      <c r="M57" s="591"/>
      <c r="N57" s="2042"/>
      <c r="O57" s="2042"/>
      <c r="P57" s="2043"/>
      <c r="Q57" s="2044"/>
      <c r="R57" s="2045"/>
      <c r="S57" s="2045"/>
      <c r="T57" s="2045"/>
      <c r="U57" s="2045"/>
      <c r="V57" s="2045"/>
      <c r="W57" s="2045"/>
      <c r="X57" s="2045"/>
      <c r="Y57" s="2045"/>
      <c r="Z57" s="2045"/>
      <c r="AA57" s="2045"/>
      <c r="AB57" s="2045"/>
      <c r="AC57" s="2045"/>
    </row>
    <row r="58" spans="1:29" s="1227" customFormat="1" ht="15.75" thickBot="1">
      <c r="A58" s="587"/>
      <c r="B58" s="578"/>
      <c r="C58" s="592"/>
      <c r="D58" s="571"/>
      <c r="E58" s="571"/>
      <c r="F58" s="571"/>
      <c r="G58" s="571"/>
      <c r="H58" s="571"/>
      <c r="I58" s="571"/>
      <c r="J58" s="571"/>
      <c r="K58" s="571"/>
      <c r="L58" s="571"/>
      <c r="M58" s="572"/>
      <c r="N58" s="2041"/>
      <c r="O58" s="2041"/>
      <c r="P58" s="2043"/>
      <c r="Q58" s="2044"/>
      <c r="R58" s="2045"/>
      <c r="S58" s="2045"/>
      <c r="T58" s="2045"/>
      <c r="U58" s="2045"/>
      <c r="V58" s="2045"/>
      <c r="W58" s="2045"/>
      <c r="X58" s="2045"/>
      <c r="Y58" s="2045"/>
      <c r="Z58" s="2045"/>
      <c r="AA58" s="2045"/>
      <c r="AB58" s="2045"/>
      <c r="AC58" s="2045"/>
    </row>
    <row r="59" spans="1:29" s="1227" customFormat="1" ht="15.75" thickTop="1">
      <c r="A59" s="587"/>
      <c r="B59" s="573">
        <f>B13</f>
        <v>111</v>
      </c>
      <c r="C59" s="441"/>
      <c r="D59" s="441"/>
      <c r="E59" s="441"/>
      <c r="F59" s="441"/>
      <c r="G59" s="588"/>
      <c r="H59" s="589"/>
      <c r="I59" s="589"/>
      <c r="J59" s="589"/>
      <c r="K59" s="589"/>
      <c r="L59" s="590"/>
      <c r="M59" s="591"/>
      <c r="N59" s="2042"/>
      <c r="O59" s="2042"/>
      <c r="P59" s="2046"/>
      <c r="Q59" s="2047"/>
      <c r="R59" s="2045"/>
      <c r="S59" s="2045"/>
      <c r="T59" s="2045"/>
      <c r="U59" s="2045"/>
      <c r="V59" s="2045"/>
      <c r="W59" s="2045"/>
      <c r="X59" s="2045"/>
      <c r="Y59" s="2045"/>
      <c r="Z59" s="2045"/>
      <c r="AA59" s="2045"/>
      <c r="AB59" s="2045"/>
      <c r="AC59" s="2045"/>
    </row>
    <row r="60" spans="1:29" s="1227" customFormat="1" ht="15.75" thickBot="1">
      <c r="A60" s="587"/>
      <c r="B60" s="578"/>
      <c r="C60" s="592"/>
      <c r="D60" s="592"/>
      <c r="E60" s="592"/>
      <c r="F60" s="592"/>
      <c r="G60" s="592"/>
      <c r="H60" s="593"/>
      <c r="I60" s="593"/>
      <c r="J60" s="593"/>
      <c r="K60" s="593"/>
      <c r="L60" s="593"/>
      <c r="M60" s="594"/>
      <c r="N60" s="2042"/>
      <c r="O60" s="2042"/>
      <c r="P60" s="2043"/>
      <c r="Q60" s="2044"/>
      <c r="R60" s="2045"/>
      <c r="S60" s="2045"/>
      <c r="T60" s="2045"/>
      <c r="U60" s="2045"/>
      <c r="V60" s="2045"/>
      <c r="W60" s="2045"/>
      <c r="X60" s="2045"/>
      <c r="Y60" s="2045"/>
      <c r="Z60" s="2045"/>
      <c r="AA60" s="2045"/>
      <c r="AB60" s="2045"/>
      <c r="AC60" s="2045"/>
    </row>
    <row r="61" spans="1:29" ht="15" thickTop="1">
      <c r="A61" s="564" t="s">
        <v>479</v>
      </c>
      <c r="B61" s="565" t="s">
        <v>526</v>
      </c>
      <c r="C61" s="603" t="s">
        <v>519</v>
      </c>
      <c r="D61" s="603" t="s">
        <v>520</v>
      </c>
      <c r="E61" s="603" t="s">
        <v>521</v>
      </c>
      <c r="F61" s="603" t="s">
        <v>522</v>
      </c>
      <c r="G61" s="603" t="s">
        <v>523</v>
      </c>
      <c r="H61" s="604"/>
      <c r="I61" s="604"/>
      <c r="J61" s="604"/>
      <c r="K61" s="605"/>
      <c r="L61" s="606"/>
      <c r="M61" s="607"/>
      <c r="N61" s="2039"/>
      <c r="O61" s="2039"/>
      <c r="P61" s="2049"/>
      <c r="Q61" s="2033"/>
      <c r="R61" s="2020"/>
      <c r="S61" s="2020"/>
      <c r="T61" s="2020"/>
      <c r="U61" s="2020"/>
      <c r="V61" s="2020"/>
      <c r="W61" s="2020"/>
      <c r="X61" s="2020"/>
      <c r="Y61" s="2020"/>
      <c r="Z61" s="2020"/>
      <c r="AA61" s="2020"/>
      <c r="AB61" s="2020"/>
      <c r="AC61" s="2020"/>
    </row>
    <row r="62" spans="1:29" ht="15.75" thickBot="1">
      <c r="A62" s="569"/>
      <c r="B62" s="578"/>
      <c r="C62" s="579">
        <v>100</v>
      </c>
      <c r="D62" s="579">
        <f>C62-$K14</f>
        <v>100</v>
      </c>
      <c r="E62" s="579">
        <f>D62-$K14</f>
        <v>100</v>
      </c>
      <c r="F62" s="579">
        <f>E62-$K14</f>
        <v>100</v>
      </c>
      <c r="G62" s="579">
        <f>F62-$K14</f>
        <v>100</v>
      </c>
      <c r="H62" s="579"/>
      <c r="I62" s="579"/>
      <c r="J62" s="579"/>
      <c r="K62" s="579"/>
      <c r="L62" s="579"/>
      <c r="M62" s="580"/>
      <c r="N62" s="2041"/>
      <c r="O62" s="2041"/>
      <c r="P62" s="2040"/>
      <c r="Q62" s="2033"/>
      <c r="R62" s="2020"/>
      <c r="S62" s="2020"/>
      <c r="T62" s="2020"/>
      <c r="U62" s="2020"/>
      <c r="V62" s="2020"/>
      <c r="W62" s="2020"/>
      <c r="X62" s="2020"/>
      <c r="Y62" s="2020"/>
      <c r="Z62" s="2020"/>
      <c r="AA62" s="2020"/>
      <c r="AB62" s="2020"/>
      <c r="AC62" s="2020"/>
    </row>
    <row r="63" spans="1:29" ht="15.75" thickTop="1">
      <c r="A63" s="569"/>
      <c r="B63" s="1778" t="s">
        <v>2485</v>
      </c>
      <c r="C63" s="608" t="s">
        <v>519</v>
      </c>
      <c r="D63" s="608" t="s">
        <v>520</v>
      </c>
      <c r="E63" s="608" t="s">
        <v>521</v>
      </c>
      <c r="F63" s="608" t="s">
        <v>522</v>
      </c>
      <c r="G63" s="608" t="s">
        <v>523</v>
      </c>
      <c r="H63" s="574"/>
      <c r="I63" s="574"/>
      <c r="J63" s="574"/>
      <c r="K63" s="575"/>
      <c r="L63" s="576"/>
      <c r="M63" s="577"/>
      <c r="N63" s="2039"/>
      <c r="O63" s="2039"/>
      <c r="P63" s="2040"/>
      <c r="Q63" s="2033"/>
      <c r="R63" s="2020"/>
      <c r="S63" s="2020"/>
      <c r="T63" s="2020"/>
      <c r="U63" s="2020"/>
      <c r="V63" s="2020"/>
      <c r="W63" s="2020"/>
      <c r="X63" s="2020"/>
      <c r="Y63" s="2020"/>
      <c r="Z63" s="2020"/>
      <c r="AA63" s="2020"/>
      <c r="AB63" s="2020"/>
      <c r="AC63" s="2020"/>
    </row>
    <row r="64" spans="1:29" ht="15.75" thickBot="1">
      <c r="A64" s="569"/>
      <c r="B64" s="578"/>
      <c r="C64" s="579">
        <v>100</v>
      </c>
      <c r="D64" s="579">
        <f>C64-$K16</f>
        <v>100</v>
      </c>
      <c r="E64" s="579">
        <f>D64-$K16</f>
        <v>100</v>
      </c>
      <c r="F64" s="579">
        <f>E64-$K16</f>
        <v>100</v>
      </c>
      <c r="G64" s="579">
        <f>F64-$K16</f>
        <v>100</v>
      </c>
      <c r="H64" s="579"/>
      <c r="I64" s="579"/>
      <c r="J64" s="579"/>
      <c r="K64" s="579"/>
      <c r="L64" s="579"/>
      <c r="M64" s="580"/>
      <c r="N64" s="2041"/>
      <c r="O64" s="2041"/>
      <c r="P64" s="2040"/>
      <c r="Q64" s="2033"/>
      <c r="R64" s="2020"/>
      <c r="S64" s="2020"/>
      <c r="T64" s="2020"/>
      <c r="U64" s="2020"/>
      <c r="V64" s="2020"/>
      <c r="W64" s="2020"/>
      <c r="X64" s="2020"/>
      <c r="Y64" s="2020"/>
      <c r="Z64" s="2020"/>
      <c r="AA64" s="2020"/>
      <c r="AB64" s="2020"/>
      <c r="AC64" s="2020"/>
    </row>
    <row r="65" spans="1:29" ht="15.75" thickTop="1">
      <c r="A65" s="569"/>
      <c r="B65" s="2463" t="s">
        <v>2486</v>
      </c>
      <c r="C65" s="2464" t="s">
        <v>2487</v>
      </c>
      <c r="D65" s="2464" t="s">
        <v>2488</v>
      </c>
      <c r="E65" s="2464" t="s">
        <v>2489</v>
      </c>
      <c r="F65" s="2464" t="s">
        <v>2490</v>
      </c>
      <c r="G65" s="2464" t="s">
        <v>2491</v>
      </c>
      <c r="H65" s="574"/>
      <c r="I65" s="574"/>
      <c r="J65" s="574"/>
      <c r="K65" s="574"/>
      <c r="L65" s="574"/>
      <c r="M65" s="2467"/>
      <c r="N65" s="2041"/>
      <c r="O65" s="2041"/>
      <c r="P65" s="2040"/>
      <c r="Q65" s="2033"/>
      <c r="R65" s="2020"/>
      <c r="S65" s="2020"/>
      <c r="T65" s="2020"/>
      <c r="U65" s="2020"/>
      <c r="V65" s="2020"/>
      <c r="W65" s="2020"/>
      <c r="X65" s="2020"/>
      <c r="Y65" s="2020"/>
      <c r="Z65" s="2020"/>
      <c r="AA65" s="2020"/>
      <c r="AB65" s="2020"/>
      <c r="AC65" s="2020"/>
    </row>
    <row r="66" spans="1:29" ht="15.75" thickBot="1">
      <c r="A66" s="569"/>
      <c r="B66" s="581"/>
      <c r="C66" s="579">
        <v>100</v>
      </c>
      <c r="D66" s="579">
        <f>C66-$K18</f>
        <v>100</v>
      </c>
      <c r="E66" s="579">
        <f>D66-$K18</f>
        <v>100</v>
      </c>
      <c r="F66" s="579">
        <f>E66-$K18</f>
        <v>100</v>
      </c>
      <c r="G66" s="579">
        <f>F66-$K18</f>
        <v>100</v>
      </c>
      <c r="H66" s="835"/>
      <c r="I66" s="835"/>
      <c r="J66" s="835"/>
      <c r="K66" s="835"/>
      <c r="L66" s="835"/>
      <c r="M66" s="459"/>
      <c r="N66" s="2041"/>
      <c r="O66" s="2041"/>
      <c r="P66" s="2040"/>
      <c r="Q66" s="2033"/>
      <c r="R66" s="2020"/>
      <c r="S66" s="2020"/>
      <c r="T66" s="2020"/>
      <c r="U66" s="2020"/>
      <c r="V66" s="2020"/>
      <c r="W66" s="2020"/>
      <c r="X66" s="2020"/>
      <c r="Y66" s="2020"/>
      <c r="Z66" s="2020"/>
      <c r="AA66" s="2020"/>
      <c r="AB66" s="2020"/>
      <c r="AC66" s="2020"/>
    </row>
    <row r="67" spans="1:29" ht="15.75" thickTop="1">
      <c r="A67" s="569"/>
      <c r="B67" s="573" t="s">
        <v>683</v>
      </c>
      <c r="C67" s="608" t="s">
        <v>519</v>
      </c>
      <c r="D67" s="608" t="s">
        <v>520</v>
      </c>
      <c r="E67" s="608" t="s">
        <v>521</v>
      </c>
      <c r="F67" s="608" t="s">
        <v>522</v>
      </c>
      <c r="G67" s="608" t="s">
        <v>523</v>
      </c>
      <c r="H67" s="574"/>
      <c r="I67" s="574"/>
      <c r="J67" s="574"/>
      <c r="K67" s="575"/>
      <c r="L67" s="576"/>
      <c r="M67" s="577"/>
      <c r="N67" s="2039"/>
      <c r="O67" s="2039"/>
      <c r="P67" s="2040"/>
      <c r="Q67" s="2033"/>
      <c r="R67" s="2020"/>
      <c r="S67" s="2020"/>
      <c r="T67" s="2020"/>
      <c r="U67" s="2020"/>
      <c r="V67" s="2020"/>
      <c r="W67" s="2020"/>
      <c r="X67" s="2020"/>
      <c r="Y67" s="2020"/>
      <c r="Z67" s="2020"/>
      <c r="AA67" s="2020"/>
      <c r="AB67" s="2020"/>
      <c r="AC67" s="2020"/>
    </row>
    <row r="68" spans="1:29" ht="15.75" thickBot="1">
      <c r="A68" s="569"/>
      <c r="B68" s="578"/>
      <c r="C68" s="579">
        <v>100</v>
      </c>
      <c r="D68" s="579">
        <f>C68-$K20</f>
        <v>100</v>
      </c>
      <c r="E68" s="579">
        <f>D68-$K20</f>
        <v>100</v>
      </c>
      <c r="F68" s="579">
        <f>E68-$K20</f>
        <v>100</v>
      </c>
      <c r="G68" s="579">
        <f>F68-$K20</f>
        <v>100</v>
      </c>
      <c r="H68" s="579"/>
      <c r="I68" s="579"/>
      <c r="J68" s="579"/>
      <c r="K68" s="579"/>
      <c r="L68" s="579"/>
      <c r="M68" s="580"/>
      <c r="N68" s="2041"/>
      <c r="O68" s="2041"/>
      <c r="P68" s="2040"/>
      <c r="Q68" s="2033"/>
      <c r="R68" s="2020"/>
      <c r="S68" s="2020"/>
      <c r="T68" s="2020"/>
      <c r="U68" s="2020"/>
      <c r="V68" s="2020"/>
      <c r="W68" s="2020"/>
      <c r="X68" s="2020"/>
      <c r="Y68" s="2020"/>
      <c r="Z68" s="2020"/>
      <c r="AA68" s="2020"/>
      <c r="AB68" s="2020"/>
      <c r="AC68" s="2020"/>
    </row>
    <row r="69" spans="1:29" ht="15.75" thickTop="1">
      <c r="A69" s="569"/>
      <c r="B69" s="573" t="s">
        <v>684</v>
      </c>
      <c r="C69" s="588"/>
      <c r="D69" s="588"/>
      <c r="E69" s="588"/>
      <c r="F69" s="588"/>
      <c r="G69" s="588"/>
      <c r="H69" s="618"/>
      <c r="I69" s="618"/>
      <c r="J69" s="618"/>
      <c r="K69" s="619"/>
      <c r="L69" s="620"/>
      <c r="M69" s="621"/>
      <c r="N69" s="2039"/>
      <c r="O69" s="2039"/>
      <c r="P69" s="2040"/>
      <c r="Q69" s="2033"/>
      <c r="R69" s="2020"/>
      <c r="S69" s="2020"/>
      <c r="T69" s="2020"/>
      <c r="U69" s="2020"/>
      <c r="V69" s="2020"/>
      <c r="W69" s="2020"/>
      <c r="X69" s="2020"/>
      <c r="Y69" s="2020"/>
      <c r="Z69" s="2020"/>
      <c r="AA69" s="2020"/>
      <c r="AB69" s="2020"/>
      <c r="AC69" s="2020"/>
    </row>
    <row r="70" spans="1:29" ht="15.75" thickBot="1">
      <c r="A70" s="569"/>
      <c r="B70" s="578"/>
      <c r="C70" s="579">
        <v>100</v>
      </c>
      <c r="D70" s="579">
        <f>C70-$K22</f>
        <v>100</v>
      </c>
      <c r="E70" s="579"/>
      <c r="F70" s="579"/>
      <c r="G70" s="579"/>
      <c r="H70" s="579"/>
      <c r="I70" s="579"/>
      <c r="J70" s="579"/>
      <c r="K70" s="579"/>
      <c r="L70" s="579"/>
      <c r="M70" s="580"/>
      <c r="N70" s="2041"/>
      <c r="O70" s="2041"/>
      <c r="P70" s="2040"/>
      <c r="Q70" s="2033"/>
      <c r="R70" s="2020"/>
      <c r="S70" s="2020"/>
      <c r="T70" s="2020"/>
      <c r="U70" s="2020"/>
      <c r="V70" s="2020"/>
      <c r="W70" s="2020"/>
      <c r="X70" s="2020"/>
      <c r="Y70" s="2020"/>
      <c r="Z70" s="2020"/>
      <c r="AA70" s="2020"/>
      <c r="AB70" s="2020"/>
      <c r="AC70" s="2020"/>
    </row>
    <row r="71" spans="1:29" s="1108" customFormat="1" ht="15.75" thickTop="1">
      <c r="A71" s="609"/>
      <c r="B71" s="573">
        <f>B23</f>
        <v>111</v>
      </c>
      <c r="C71" s="441"/>
      <c r="D71" s="441"/>
      <c r="E71" s="441"/>
      <c r="F71" s="441"/>
      <c r="G71" s="588"/>
      <c r="H71" s="588"/>
      <c r="I71" s="588"/>
      <c r="J71" s="588"/>
      <c r="K71" s="588"/>
      <c r="L71" s="790"/>
      <c r="M71" s="791"/>
      <c r="N71" s="2037"/>
      <c r="O71" s="2037"/>
      <c r="P71" s="2040"/>
      <c r="Q71" s="2033"/>
      <c r="R71" s="1872"/>
      <c r="S71" s="1872"/>
      <c r="T71" s="1872"/>
      <c r="U71" s="1872"/>
      <c r="V71" s="1872"/>
      <c r="W71" s="1872"/>
      <c r="X71" s="1872"/>
      <c r="Y71" s="1872"/>
      <c r="Z71" s="1872"/>
      <c r="AA71" s="1872"/>
      <c r="AB71" s="1872"/>
      <c r="AC71" s="1872"/>
    </row>
    <row r="72" spans="1:29" s="1108" customFormat="1" ht="15.75" thickBot="1">
      <c r="A72" s="609"/>
      <c r="B72" s="578"/>
      <c r="C72" s="592"/>
      <c r="D72" s="571"/>
      <c r="E72" s="571"/>
      <c r="F72" s="571"/>
      <c r="G72" s="571"/>
      <c r="H72" s="571"/>
      <c r="I72" s="571"/>
      <c r="J72" s="571"/>
      <c r="K72" s="571"/>
      <c r="L72" s="571"/>
      <c r="M72" s="572"/>
      <c r="N72" s="2041"/>
      <c r="O72" s="2041"/>
      <c r="P72" s="2040"/>
      <c r="Q72" s="2033"/>
      <c r="R72" s="1872"/>
      <c r="S72" s="1872"/>
      <c r="T72" s="1872"/>
      <c r="U72" s="1872"/>
      <c r="V72" s="1872"/>
      <c r="W72" s="1872"/>
      <c r="X72" s="1872"/>
      <c r="Y72" s="1872"/>
      <c r="Z72" s="1872"/>
      <c r="AA72" s="1872"/>
      <c r="AB72" s="1872"/>
      <c r="AC72" s="1872"/>
    </row>
    <row r="73" spans="1:29" s="1108" customFormat="1" ht="15.75" thickTop="1">
      <c r="A73" s="609"/>
      <c r="B73" s="573">
        <f>B24</f>
        <v>111</v>
      </c>
      <c r="C73" s="441"/>
      <c r="D73" s="441"/>
      <c r="E73" s="441"/>
      <c r="F73" s="441"/>
      <c r="G73" s="588"/>
      <c r="H73" s="588"/>
      <c r="I73" s="588"/>
      <c r="J73" s="588"/>
      <c r="K73" s="588"/>
      <c r="L73" s="588"/>
      <c r="M73" s="791"/>
      <c r="N73" s="2037"/>
      <c r="O73" s="2037"/>
      <c r="P73" s="2040"/>
      <c r="Q73" s="2033"/>
      <c r="R73" s="1872"/>
      <c r="S73" s="1872"/>
      <c r="T73" s="1872"/>
      <c r="U73" s="1872"/>
      <c r="V73" s="1872"/>
      <c r="W73" s="1872"/>
      <c r="X73" s="1872"/>
      <c r="Y73" s="1872"/>
      <c r="Z73" s="1872"/>
      <c r="AA73" s="1872"/>
      <c r="AB73" s="1872"/>
      <c r="AC73" s="1872"/>
    </row>
    <row r="74" spans="1:29" s="1108" customFormat="1" ht="15.75" thickBot="1">
      <c r="A74" s="609"/>
      <c r="B74" s="578"/>
      <c r="C74" s="592"/>
      <c r="D74" s="571"/>
      <c r="E74" s="571"/>
      <c r="F74" s="571"/>
      <c r="G74" s="571"/>
      <c r="H74" s="571"/>
      <c r="I74" s="571"/>
      <c r="J74" s="571"/>
      <c r="K74" s="571"/>
      <c r="L74" s="571"/>
      <c r="M74" s="572"/>
      <c r="N74" s="2041"/>
      <c r="O74" s="2041"/>
      <c r="P74" s="2040"/>
      <c r="Q74" s="2033"/>
      <c r="R74" s="1872"/>
      <c r="S74" s="1872"/>
      <c r="T74" s="1872"/>
      <c r="U74" s="1872"/>
      <c r="V74" s="1872"/>
      <c r="W74" s="1872"/>
      <c r="X74" s="1872"/>
      <c r="Y74" s="1872"/>
      <c r="Z74" s="1872"/>
      <c r="AA74" s="1872"/>
      <c r="AB74" s="1872"/>
      <c r="AC74" s="1872"/>
    </row>
    <row r="75" spans="1:29" s="1227" customFormat="1" ht="15.75" thickTop="1">
      <c r="A75" s="587"/>
      <c r="B75" s="573">
        <f>B25</f>
        <v>111</v>
      </c>
      <c r="C75" s="441"/>
      <c r="D75" s="441"/>
      <c r="E75" s="441"/>
      <c r="F75" s="441"/>
      <c r="G75" s="588"/>
      <c r="H75" s="589"/>
      <c r="I75" s="589"/>
      <c r="J75" s="589"/>
      <c r="K75" s="589"/>
      <c r="L75" s="590"/>
      <c r="M75" s="591"/>
      <c r="N75" s="2042"/>
      <c r="O75" s="2042"/>
      <c r="P75" s="2043"/>
      <c r="Q75" s="2044"/>
      <c r="R75" s="2045"/>
      <c r="S75" s="2045"/>
      <c r="T75" s="2045"/>
      <c r="U75" s="2045"/>
      <c r="V75" s="2045"/>
      <c r="W75" s="2045"/>
      <c r="X75" s="2045"/>
      <c r="Y75" s="2045"/>
      <c r="Z75" s="2045"/>
      <c r="AA75" s="2045"/>
      <c r="AB75" s="2045"/>
      <c r="AC75" s="2045"/>
    </row>
    <row r="76" spans="1:29" s="1227" customFormat="1" ht="15.75" thickBot="1">
      <c r="A76" s="587"/>
      <c r="B76" s="578"/>
      <c r="C76" s="592"/>
      <c r="D76" s="592"/>
      <c r="E76" s="592"/>
      <c r="F76" s="592"/>
      <c r="G76" s="571"/>
      <c r="H76" s="571"/>
      <c r="I76" s="571"/>
      <c r="J76" s="571"/>
      <c r="K76" s="571"/>
      <c r="L76" s="571"/>
      <c r="M76" s="572"/>
      <c r="N76" s="2042"/>
      <c r="O76" s="2042"/>
      <c r="P76" s="2043"/>
      <c r="Q76" s="2044"/>
      <c r="R76" s="2045"/>
      <c r="S76" s="2045"/>
      <c r="T76" s="2045"/>
      <c r="U76" s="2045"/>
      <c r="V76" s="2045"/>
      <c r="W76" s="2045"/>
      <c r="X76" s="2045"/>
      <c r="Y76" s="2045"/>
      <c r="Z76" s="2045"/>
      <c r="AA76" s="2045"/>
      <c r="AB76" s="2045"/>
      <c r="AC76" s="2045"/>
    </row>
    <row r="77" spans="1:29" ht="15" thickTop="1">
      <c r="A77" s="564" t="s">
        <v>491</v>
      </c>
      <c r="B77" s="565" t="s">
        <v>690</v>
      </c>
      <c r="C77" s="588"/>
      <c r="D77" s="588"/>
      <c r="E77" s="498"/>
      <c r="F77" s="498"/>
      <c r="G77" s="498"/>
      <c r="H77" s="498"/>
      <c r="I77" s="498"/>
      <c r="J77" s="498"/>
      <c r="K77" s="566"/>
      <c r="L77" s="567"/>
      <c r="M77" s="568"/>
      <c r="N77" s="2039"/>
      <c r="O77" s="2039"/>
      <c r="P77" s="2040"/>
      <c r="Q77" s="2033"/>
      <c r="R77" s="2020"/>
      <c r="S77" s="2020"/>
      <c r="T77" s="2020"/>
      <c r="U77" s="2020"/>
      <c r="V77" s="2020"/>
      <c r="W77" s="2020"/>
      <c r="X77" s="2020"/>
      <c r="Y77" s="2020"/>
      <c r="Z77" s="2020"/>
      <c r="AA77" s="2020"/>
      <c r="AB77" s="2020"/>
      <c r="AC77" s="2020"/>
    </row>
    <row r="78" spans="1:29" ht="15.75" thickBot="1">
      <c r="A78" s="569"/>
      <c r="B78" s="578"/>
      <c r="C78" s="579">
        <v>100</v>
      </c>
      <c r="D78" s="579">
        <f t="shared" ref="D78:M78" si="14">C78-$K26</f>
        <v>100</v>
      </c>
      <c r="E78" s="579">
        <f t="shared" si="14"/>
        <v>100</v>
      </c>
      <c r="F78" s="579">
        <f t="shared" si="14"/>
        <v>100</v>
      </c>
      <c r="G78" s="579">
        <f t="shared" si="14"/>
        <v>100</v>
      </c>
      <c r="H78" s="579">
        <f t="shared" si="14"/>
        <v>100</v>
      </c>
      <c r="I78" s="579">
        <f t="shared" si="14"/>
        <v>100</v>
      </c>
      <c r="J78" s="579">
        <f t="shared" si="14"/>
        <v>100</v>
      </c>
      <c r="K78" s="579">
        <f t="shared" si="14"/>
        <v>100</v>
      </c>
      <c r="L78" s="579">
        <f t="shared" si="14"/>
        <v>100</v>
      </c>
      <c r="M78" s="580">
        <f t="shared" si="14"/>
        <v>100</v>
      </c>
      <c r="N78" s="2041"/>
      <c r="O78" s="2041"/>
      <c r="P78" s="2040"/>
      <c r="Q78" s="2033"/>
      <c r="R78" s="2020"/>
      <c r="S78" s="2020"/>
      <c r="T78" s="2020"/>
      <c r="U78" s="2020"/>
      <c r="V78" s="2020"/>
      <c r="W78" s="2020"/>
      <c r="X78" s="2020"/>
      <c r="Y78" s="2020"/>
      <c r="Z78" s="2020"/>
      <c r="AA78" s="2020"/>
      <c r="AB78" s="2020"/>
      <c r="AC78" s="2020"/>
    </row>
    <row r="79" spans="1:29" ht="15.75" thickTop="1">
      <c r="A79" s="569"/>
      <c r="B79" s="573" t="s">
        <v>755</v>
      </c>
      <c r="C79" s="608" t="str">
        <f>C80&amp;"(含)"&amp;"-"&amp;D80</f>
        <v>0.5(含)-0.6</v>
      </c>
      <c r="D79" s="608" t="str">
        <f>D80&amp;"(含)"&amp;"-"&amp;E80</f>
        <v>0.6(含)-0.7</v>
      </c>
      <c r="E79" s="608" t="str">
        <f>E80&amp;"(含)"&amp;"-"&amp;F80</f>
        <v>0.7(含)-0.8</v>
      </c>
      <c r="F79" s="608" t="str">
        <f>F80&amp;"(含)"&amp;"-"&amp;G80</f>
        <v>0.8(含)-0.9</v>
      </c>
      <c r="G79" s="608" t="str">
        <f>G80&amp;"(含)"&amp;"-"&amp;ROUND(H80,0)</f>
        <v>0.9(含)-1</v>
      </c>
      <c r="H79" s="608"/>
      <c r="I79" s="574"/>
      <c r="J79" s="574"/>
      <c r="K79" s="575"/>
      <c r="L79" s="576"/>
      <c r="M79" s="577"/>
      <c r="N79" s="2037"/>
      <c r="O79" s="2037"/>
      <c r="P79" s="2040"/>
      <c r="Q79" s="2033"/>
      <c r="R79" s="2020"/>
      <c r="S79" s="2020"/>
      <c r="T79" s="2020"/>
      <c r="U79" s="2020"/>
      <c r="V79" s="2020"/>
      <c r="W79" s="2020"/>
      <c r="X79" s="2020"/>
      <c r="Y79" s="2020"/>
      <c r="Z79" s="2020"/>
      <c r="AA79" s="2020"/>
      <c r="AB79" s="2020"/>
      <c r="AC79" s="2020"/>
    </row>
    <row r="80" spans="1:29" ht="15">
      <c r="A80" s="569"/>
      <c r="B80" s="581"/>
      <c r="C80" s="794">
        <v>0.5</v>
      </c>
      <c r="D80" s="794">
        <v>0.6</v>
      </c>
      <c r="E80" s="794">
        <v>0.7</v>
      </c>
      <c r="F80" s="794">
        <v>0.8</v>
      </c>
      <c r="G80" s="794">
        <v>0.9</v>
      </c>
      <c r="H80" s="794">
        <v>1.0001</v>
      </c>
      <c r="I80" s="835"/>
      <c r="J80" s="835"/>
      <c r="K80" s="845"/>
      <c r="L80" s="846"/>
      <c r="M80" s="847"/>
      <c r="N80" s="2037"/>
      <c r="O80" s="2037"/>
      <c r="P80" s="2040"/>
      <c r="Q80" s="2033"/>
      <c r="R80" s="2020"/>
      <c r="S80" s="2020"/>
      <c r="T80" s="2020"/>
      <c r="U80" s="2020"/>
      <c r="V80" s="2020"/>
      <c r="W80" s="2020"/>
      <c r="X80" s="2020"/>
      <c r="Y80" s="2020"/>
      <c r="Z80" s="2020"/>
      <c r="AA80" s="2020"/>
      <c r="AB80" s="2020"/>
      <c r="AC80" s="2020"/>
    </row>
    <row r="81" spans="1:29" s="1227" customFormat="1" ht="15.75" thickBot="1">
      <c r="A81" s="587"/>
      <c r="B81" s="578"/>
      <c r="C81" s="612">
        <v>100</v>
      </c>
      <c r="D81" s="579">
        <f t="shared" ref="D81:M81" si="15">C81+$K27</f>
        <v>100</v>
      </c>
      <c r="E81" s="579">
        <f t="shared" si="15"/>
        <v>100</v>
      </c>
      <c r="F81" s="579">
        <f t="shared" si="15"/>
        <v>100</v>
      </c>
      <c r="G81" s="579">
        <f t="shared" si="15"/>
        <v>100</v>
      </c>
      <c r="H81" s="579">
        <f t="shared" si="15"/>
        <v>100</v>
      </c>
      <c r="I81" s="579">
        <f t="shared" si="15"/>
        <v>100</v>
      </c>
      <c r="J81" s="579">
        <f t="shared" si="15"/>
        <v>100</v>
      </c>
      <c r="K81" s="579">
        <f t="shared" si="15"/>
        <v>100</v>
      </c>
      <c r="L81" s="579">
        <f t="shared" si="15"/>
        <v>100</v>
      </c>
      <c r="M81" s="579">
        <f t="shared" si="15"/>
        <v>100</v>
      </c>
      <c r="N81" s="2041"/>
      <c r="O81" s="2041"/>
      <c r="P81" s="2043"/>
      <c r="Q81" s="2044"/>
      <c r="R81" s="2045"/>
      <c r="S81" s="2045"/>
      <c r="T81" s="2045"/>
      <c r="U81" s="2045"/>
      <c r="V81" s="2045"/>
      <c r="W81" s="2045"/>
      <c r="X81" s="2045"/>
      <c r="Y81" s="2045"/>
      <c r="Z81" s="2045"/>
      <c r="AA81" s="2045"/>
      <c r="AB81" s="2045"/>
      <c r="AC81" s="2045"/>
    </row>
    <row r="82" spans="1:29" ht="15" thickTop="1">
      <c r="A82" s="635"/>
      <c r="B82" s="581" t="s">
        <v>756</v>
      </c>
      <c r="C82" s="588"/>
      <c r="D82" s="588"/>
      <c r="E82" s="618"/>
      <c r="F82" s="618"/>
      <c r="G82" s="618"/>
      <c r="H82" s="618"/>
      <c r="I82" s="618"/>
      <c r="J82" s="618"/>
      <c r="K82" s="619"/>
      <c r="L82" s="620"/>
      <c r="M82" s="621"/>
      <c r="N82" s="2039"/>
      <c r="O82" s="2039"/>
      <c r="P82" s="2040"/>
      <c r="Q82" s="2033"/>
      <c r="R82" s="2020"/>
      <c r="S82" s="2020"/>
      <c r="T82" s="2020"/>
      <c r="U82" s="2020"/>
      <c r="V82" s="2020"/>
      <c r="W82" s="2020"/>
      <c r="X82" s="2020"/>
      <c r="Y82" s="2020"/>
      <c r="Z82" s="2020"/>
      <c r="AA82" s="2020"/>
      <c r="AB82" s="2020"/>
      <c r="AC82" s="2020"/>
    </row>
    <row r="83" spans="1:29" ht="15.75" thickBot="1">
      <c r="A83" s="569"/>
      <c r="B83" s="578"/>
      <c r="C83" s="579">
        <v>100</v>
      </c>
      <c r="D83" s="579">
        <f t="shared" ref="D83:M83" si="16">C83-$K28</f>
        <v>100</v>
      </c>
      <c r="E83" s="579">
        <f t="shared" si="16"/>
        <v>100</v>
      </c>
      <c r="F83" s="579">
        <f t="shared" si="16"/>
        <v>100</v>
      </c>
      <c r="G83" s="579">
        <f t="shared" si="16"/>
        <v>100</v>
      </c>
      <c r="H83" s="579">
        <f t="shared" si="16"/>
        <v>100</v>
      </c>
      <c r="I83" s="579">
        <f t="shared" si="16"/>
        <v>100</v>
      </c>
      <c r="J83" s="579">
        <f t="shared" si="16"/>
        <v>100</v>
      </c>
      <c r="K83" s="579">
        <f t="shared" si="16"/>
        <v>100</v>
      </c>
      <c r="L83" s="579">
        <f t="shared" si="16"/>
        <v>100</v>
      </c>
      <c r="M83" s="580">
        <f t="shared" si="16"/>
        <v>100</v>
      </c>
      <c r="N83" s="2041"/>
      <c r="O83" s="2041"/>
      <c r="P83" s="2040"/>
      <c r="Q83" s="2033"/>
      <c r="R83" s="2020"/>
      <c r="S83" s="2020"/>
      <c r="T83" s="2020"/>
      <c r="U83" s="2020"/>
      <c r="V83" s="2020"/>
      <c r="W83" s="2020"/>
      <c r="X83" s="2020"/>
      <c r="Y83" s="2020"/>
      <c r="Z83" s="2020"/>
      <c r="AA83" s="2020"/>
      <c r="AB83" s="2020"/>
      <c r="AC83" s="2020"/>
    </row>
    <row r="84" spans="1:29" ht="15" thickTop="1">
      <c r="A84" s="635"/>
      <c r="B84" s="573" t="s">
        <v>764</v>
      </c>
      <c r="C84" s="588"/>
      <c r="D84" s="588"/>
      <c r="E84" s="588"/>
      <c r="F84" s="588"/>
      <c r="G84" s="588"/>
      <c r="H84" s="588"/>
      <c r="I84" s="618"/>
      <c r="J84" s="618"/>
      <c r="K84" s="619"/>
      <c r="L84" s="620"/>
      <c r="M84" s="621"/>
      <c r="N84" s="2039"/>
      <c r="O84" s="2039"/>
      <c r="P84" s="2040"/>
      <c r="Q84" s="2033"/>
      <c r="R84" s="2020"/>
      <c r="S84" s="2020"/>
      <c r="T84" s="2020"/>
      <c r="U84" s="2020"/>
      <c r="V84" s="2020"/>
      <c r="W84" s="2020"/>
      <c r="X84" s="2020"/>
      <c r="Y84" s="2020"/>
      <c r="Z84" s="2020"/>
      <c r="AA84" s="2020"/>
      <c r="AB84" s="2020"/>
      <c r="AC84" s="2020"/>
    </row>
    <row r="85" spans="1:29" ht="15.75" thickBot="1">
      <c r="A85" s="569"/>
      <c r="B85" s="578"/>
      <c r="C85" s="612">
        <v>100</v>
      </c>
      <c r="D85" s="579">
        <f t="shared" ref="D85:M85" si="17">C85+$K29</f>
        <v>100</v>
      </c>
      <c r="E85" s="579">
        <f t="shared" si="17"/>
        <v>100</v>
      </c>
      <c r="F85" s="579">
        <f t="shared" si="17"/>
        <v>100</v>
      </c>
      <c r="G85" s="579">
        <f t="shared" si="17"/>
        <v>100</v>
      </c>
      <c r="H85" s="579">
        <f t="shared" si="17"/>
        <v>100</v>
      </c>
      <c r="I85" s="579">
        <f t="shared" si="17"/>
        <v>100</v>
      </c>
      <c r="J85" s="579">
        <f t="shared" si="17"/>
        <v>100</v>
      </c>
      <c r="K85" s="579">
        <f t="shared" si="17"/>
        <v>100</v>
      </c>
      <c r="L85" s="579">
        <f t="shared" si="17"/>
        <v>100</v>
      </c>
      <c r="M85" s="579">
        <f t="shared" si="17"/>
        <v>100</v>
      </c>
      <c r="N85" s="2041"/>
      <c r="O85" s="2041"/>
      <c r="P85" s="2040"/>
      <c r="Q85" s="2033"/>
      <c r="R85" s="2020"/>
      <c r="S85" s="2020"/>
      <c r="T85" s="2020"/>
      <c r="U85" s="2020"/>
      <c r="V85" s="2020"/>
      <c r="W85" s="2020"/>
      <c r="X85" s="2020"/>
      <c r="Y85" s="2020"/>
      <c r="Z85" s="2020"/>
      <c r="AA85" s="2020"/>
      <c r="AB85" s="2020"/>
      <c r="AC85" s="2020"/>
    </row>
    <row r="86" spans="1:29" ht="15" thickTop="1">
      <c r="A86" s="635"/>
      <c r="B86" s="581" t="s">
        <v>765</v>
      </c>
      <c r="C86" s="608" t="str">
        <f t="shared" ref="C86:L86" si="18">C87&amp;"(含)"&amp;"-"&amp;D87</f>
        <v>(含)-</v>
      </c>
      <c r="D86" s="608" t="str">
        <f t="shared" si="18"/>
        <v>(含)-</v>
      </c>
      <c r="E86" s="608" t="str">
        <f t="shared" si="18"/>
        <v>(含)-</v>
      </c>
      <c r="F86" s="608" t="str">
        <f t="shared" si="18"/>
        <v>(含)-</v>
      </c>
      <c r="G86" s="608" t="str">
        <f t="shared" si="18"/>
        <v>(含)-</v>
      </c>
      <c r="H86" s="608" t="str">
        <f t="shared" si="18"/>
        <v>(含)-</v>
      </c>
      <c r="I86" s="608" t="str">
        <f t="shared" si="18"/>
        <v>(含)-</v>
      </c>
      <c r="J86" s="608" t="str">
        <f t="shared" si="18"/>
        <v>(含)-</v>
      </c>
      <c r="K86" s="608" t="str">
        <f t="shared" si="18"/>
        <v>(含)-</v>
      </c>
      <c r="L86" s="608" t="str">
        <f t="shared" si="18"/>
        <v>(含)-</v>
      </c>
      <c r="M86" s="611" t="str">
        <f>M87&amp;"(含)"&amp;"-"&amp;P87</f>
        <v>(含)-</v>
      </c>
      <c r="N86" s="2039"/>
      <c r="O86" s="2039"/>
      <c r="P86" s="2040"/>
      <c r="Q86" s="2033"/>
      <c r="R86" s="2020"/>
      <c r="S86" s="2020"/>
      <c r="T86" s="2020"/>
      <c r="U86" s="2020"/>
      <c r="V86" s="2020"/>
      <c r="W86" s="2020"/>
      <c r="X86" s="2020"/>
      <c r="Y86" s="2020"/>
      <c r="Z86" s="2020"/>
      <c r="AA86" s="2020"/>
      <c r="AB86" s="2020"/>
      <c r="AC86" s="2020"/>
    </row>
    <row r="87" spans="1:29">
      <c r="A87" s="635"/>
      <c r="B87" s="581"/>
      <c r="C87" s="630"/>
      <c r="D87" s="630"/>
      <c r="E87" s="630"/>
      <c r="F87" s="630"/>
      <c r="G87" s="630"/>
      <c r="H87" s="630"/>
      <c r="I87" s="630"/>
      <c r="J87" s="631"/>
      <c r="K87" s="631"/>
      <c r="L87" s="632"/>
      <c r="M87" s="633"/>
      <c r="N87" s="2039"/>
      <c r="O87" s="2039"/>
      <c r="P87" s="2040"/>
      <c r="Q87" s="2033"/>
      <c r="R87" s="2020"/>
      <c r="S87" s="2020"/>
      <c r="T87" s="2020"/>
      <c r="U87" s="2020"/>
      <c r="V87" s="2020"/>
      <c r="W87" s="2020"/>
      <c r="X87" s="2020"/>
      <c r="Y87" s="2020"/>
      <c r="Z87" s="2020"/>
      <c r="AA87" s="2020"/>
      <c r="AB87" s="2020"/>
      <c r="AC87" s="2020"/>
    </row>
    <row r="88" spans="1:29" ht="15.75" thickBot="1">
      <c r="A88" s="569"/>
      <c r="B88" s="578"/>
      <c r="C88" s="592"/>
      <c r="D88" s="571"/>
      <c r="E88" s="571"/>
      <c r="F88" s="571"/>
      <c r="G88" s="571"/>
      <c r="H88" s="571"/>
      <c r="I88" s="571"/>
      <c r="J88" s="571"/>
      <c r="K88" s="571"/>
      <c r="L88" s="571"/>
      <c r="M88" s="571"/>
      <c r="N88" s="2041"/>
      <c r="O88" s="2041"/>
      <c r="P88" s="2040"/>
      <c r="Q88" s="2033"/>
      <c r="R88" s="2020"/>
      <c r="S88" s="2020"/>
      <c r="T88" s="2020"/>
      <c r="U88" s="2020"/>
      <c r="V88" s="2020"/>
      <c r="W88" s="2020"/>
      <c r="X88" s="2020"/>
      <c r="Y88" s="2020"/>
      <c r="Z88" s="2020"/>
      <c r="AA88" s="2020"/>
      <c r="AB88" s="2020"/>
      <c r="AC88" s="2020"/>
    </row>
    <row r="89" spans="1:29" s="1227" customFormat="1" ht="15" thickTop="1">
      <c r="A89" s="628"/>
      <c r="B89" s="573" t="s">
        <v>766</v>
      </c>
      <c r="C89" s="588"/>
      <c r="D89" s="588"/>
      <c r="E89" s="588"/>
      <c r="F89" s="588"/>
      <c r="G89" s="588"/>
      <c r="H89" s="588"/>
      <c r="I89" s="588"/>
      <c r="J89" s="588"/>
      <c r="K89" s="588"/>
      <c r="L89" s="588"/>
      <c r="M89" s="791"/>
      <c r="N89" s="2042"/>
      <c r="O89" s="2042"/>
      <c r="P89" s="2043"/>
      <c r="Q89" s="2044"/>
      <c r="R89" s="2045"/>
      <c r="S89" s="2045"/>
      <c r="T89" s="2045"/>
      <c r="U89" s="2045"/>
      <c r="V89" s="2045"/>
      <c r="W89" s="2045"/>
      <c r="X89" s="2045"/>
      <c r="Y89" s="2045"/>
      <c r="Z89" s="2045"/>
      <c r="AA89" s="2045"/>
      <c r="AB89" s="2045"/>
      <c r="AC89" s="2045"/>
    </row>
    <row r="90" spans="1:29" s="1227" customFormat="1" ht="15.75" thickBot="1">
      <c r="A90" s="587"/>
      <c r="B90" s="578"/>
      <c r="C90" s="592"/>
      <c r="D90" s="571"/>
      <c r="E90" s="571"/>
      <c r="F90" s="571"/>
      <c r="G90" s="571"/>
      <c r="H90" s="571"/>
      <c r="I90" s="571"/>
      <c r="J90" s="571"/>
      <c r="K90" s="571"/>
      <c r="L90" s="571"/>
      <c r="M90" s="572"/>
      <c r="N90" s="2042"/>
      <c r="O90" s="2042"/>
      <c r="P90" s="2043"/>
      <c r="Q90" s="2044"/>
      <c r="R90" s="2045"/>
      <c r="S90" s="2045"/>
      <c r="T90" s="2045"/>
      <c r="U90" s="2045"/>
      <c r="V90" s="2045"/>
      <c r="W90" s="2045"/>
      <c r="X90" s="2045"/>
      <c r="Y90" s="2045"/>
      <c r="Z90" s="2045"/>
      <c r="AA90" s="2045"/>
      <c r="AB90" s="2045"/>
      <c r="AC90" s="2045"/>
    </row>
    <row r="91" spans="1:29" ht="15" thickTop="1">
      <c r="A91" s="635"/>
      <c r="B91" s="573">
        <f>B32</f>
        <v>111</v>
      </c>
      <c r="C91" s="441"/>
      <c r="D91" s="441"/>
      <c r="E91" s="441"/>
      <c r="F91" s="441"/>
      <c r="G91" s="588"/>
      <c r="H91" s="589"/>
      <c r="I91" s="589"/>
      <c r="J91" s="589"/>
      <c r="K91" s="589"/>
      <c r="L91" s="590"/>
      <c r="M91" s="591"/>
      <c r="N91" s="2039"/>
      <c r="O91" s="2039"/>
      <c r="P91" s="2040"/>
      <c r="Q91" s="2033"/>
      <c r="R91" s="2020"/>
      <c r="S91" s="2020"/>
      <c r="T91" s="2020"/>
      <c r="U91" s="2020"/>
      <c r="V91" s="2020"/>
      <c r="W91" s="2020"/>
      <c r="X91" s="2020"/>
      <c r="Y91" s="2020"/>
      <c r="Z91" s="2020"/>
      <c r="AA91" s="2020"/>
      <c r="AB91" s="2020"/>
      <c r="AC91" s="2020"/>
    </row>
    <row r="92" spans="1:29" ht="15.75" thickBot="1">
      <c r="A92" s="569"/>
      <c r="B92" s="578"/>
      <c r="C92" s="592"/>
      <c r="D92" s="571"/>
      <c r="E92" s="571"/>
      <c r="F92" s="571"/>
      <c r="G92" s="592"/>
      <c r="H92" s="593"/>
      <c r="I92" s="593"/>
      <c r="J92" s="593"/>
      <c r="K92" s="593"/>
      <c r="L92" s="593"/>
      <c r="M92" s="594"/>
      <c r="N92" s="2041"/>
      <c r="O92" s="2041"/>
      <c r="P92" s="2040"/>
      <c r="Q92" s="2033"/>
      <c r="R92" s="2020"/>
      <c r="S92" s="2020"/>
      <c r="T92" s="2020"/>
      <c r="U92" s="2020"/>
      <c r="V92" s="2020"/>
      <c r="W92" s="2020"/>
      <c r="X92" s="2020"/>
      <c r="Y92" s="2020"/>
      <c r="Z92" s="2020"/>
      <c r="AA92" s="2020"/>
      <c r="AB92" s="2020"/>
      <c r="AC92" s="2020"/>
    </row>
    <row r="93" spans="1:29" ht="15" thickTop="1">
      <c r="A93" s="635"/>
      <c r="B93" s="573">
        <f>B33</f>
        <v>111</v>
      </c>
      <c r="C93" s="441"/>
      <c r="D93" s="441"/>
      <c r="E93" s="441"/>
      <c r="F93" s="441"/>
      <c r="G93" s="588"/>
      <c r="H93" s="589"/>
      <c r="I93" s="589"/>
      <c r="J93" s="589"/>
      <c r="K93" s="589"/>
      <c r="L93" s="590"/>
      <c r="M93" s="591"/>
      <c r="N93" s="2039"/>
      <c r="O93" s="2039"/>
      <c r="P93" s="2040"/>
      <c r="Q93" s="2033"/>
      <c r="R93" s="2020"/>
      <c r="S93" s="2020"/>
      <c r="T93" s="2020"/>
      <c r="U93" s="2020"/>
      <c r="V93" s="2020"/>
      <c r="W93" s="2020"/>
      <c r="X93" s="2020"/>
      <c r="Y93" s="2020"/>
      <c r="Z93" s="2020"/>
      <c r="AA93" s="2020"/>
      <c r="AB93" s="2020"/>
      <c r="AC93" s="2020"/>
    </row>
    <row r="94" spans="1:29" ht="15.75" thickBot="1">
      <c r="A94" s="569"/>
      <c r="B94" s="578"/>
      <c r="C94" s="592"/>
      <c r="D94" s="571"/>
      <c r="E94" s="571"/>
      <c r="F94" s="571"/>
      <c r="G94" s="592"/>
      <c r="H94" s="593"/>
      <c r="I94" s="593"/>
      <c r="J94" s="593"/>
      <c r="K94" s="593"/>
      <c r="L94" s="593"/>
      <c r="M94" s="594"/>
      <c r="N94" s="2041"/>
      <c r="O94" s="2041"/>
      <c r="P94" s="2040"/>
      <c r="Q94" s="2033"/>
      <c r="R94" s="2020"/>
      <c r="S94" s="2020"/>
      <c r="T94" s="2020"/>
      <c r="U94" s="2020"/>
      <c r="V94" s="2020"/>
      <c r="W94" s="2020"/>
      <c r="X94" s="2020"/>
      <c r="Y94" s="2020"/>
      <c r="Z94" s="2020"/>
      <c r="AA94" s="2020"/>
      <c r="AB94" s="2020"/>
      <c r="AC94" s="2020"/>
    </row>
    <row r="95" spans="1:29" ht="15" thickTop="1">
      <c r="A95" s="635"/>
      <c r="B95" s="817">
        <f>B34</f>
        <v>111</v>
      </c>
      <c r="C95" s="441"/>
      <c r="D95" s="441"/>
      <c r="E95" s="441"/>
      <c r="F95" s="441"/>
      <c r="G95" s="588"/>
      <c r="H95" s="589"/>
      <c r="I95" s="589"/>
      <c r="J95" s="589"/>
      <c r="K95" s="589"/>
      <c r="L95" s="590"/>
      <c r="M95" s="591"/>
      <c r="N95" s="2041"/>
      <c r="O95" s="2041"/>
      <c r="P95" s="2080"/>
      <c r="Q95" s="2081"/>
      <c r="R95" s="2020"/>
      <c r="S95" s="2020"/>
      <c r="T95" s="2020"/>
      <c r="U95" s="2020"/>
      <c r="V95" s="2020"/>
      <c r="W95" s="2020"/>
      <c r="X95" s="2020"/>
      <c r="Y95" s="2020"/>
      <c r="Z95" s="2020"/>
      <c r="AA95" s="2020"/>
      <c r="AB95" s="2020"/>
      <c r="AC95" s="2020"/>
    </row>
    <row r="96" spans="1:29" ht="15.75" thickBot="1">
      <c r="A96" s="569"/>
      <c r="B96" s="578"/>
      <c r="C96" s="592"/>
      <c r="D96" s="592"/>
      <c r="E96" s="592"/>
      <c r="F96" s="592"/>
      <c r="G96" s="592"/>
      <c r="H96" s="593"/>
      <c r="I96" s="593"/>
      <c r="J96" s="593"/>
      <c r="K96" s="593"/>
      <c r="L96" s="593"/>
      <c r="M96" s="594"/>
      <c r="N96" s="2041"/>
      <c r="O96" s="2041"/>
      <c r="P96" s="2040"/>
      <c r="Q96" s="2033"/>
      <c r="R96" s="2020"/>
      <c r="S96" s="2020"/>
      <c r="T96" s="2020"/>
      <c r="U96" s="2020"/>
      <c r="V96" s="2020"/>
      <c r="W96" s="2020"/>
      <c r="X96" s="2020"/>
      <c r="Y96" s="2020"/>
      <c r="Z96" s="2020"/>
      <c r="AA96" s="2020"/>
      <c r="AB96" s="2020"/>
      <c r="AC96" s="2020"/>
    </row>
    <row r="97" spans="1:29" ht="15" thickTop="1">
      <c r="A97" s="2054"/>
      <c r="B97" s="2054"/>
      <c r="C97" s="2054"/>
      <c r="D97" s="2054"/>
      <c r="E97" s="2054"/>
      <c r="F97" s="2054"/>
      <c r="G97" s="2054"/>
      <c r="H97" s="2054"/>
      <c r="I97" s="2054"/>
      <c r="J97" s="2054"/>
      <c r="K97" s="2055"/>
      <c r="L97" s="2056"/>
      <c r="M97" s="2054"/>
      <c r="N97" s="2054"/>
      <c r="O97" s="2054"/>
      <c r="P97" s="2054"/>
      <c r="Q97" s="2054"/>
      <c r="R97" s="2054"/>
      <c r="S97" s="2054"/>
      <c r="T97" s="2054"/>
      <c r="U97" s="2054"/>
      <c r="V97" s="2054"/>
      <c r="W97" s="2054"/>
      <c r="X97" s="2054"/>
      <c r="Y97" s="2054"/>
      <c r="Z97" s="2054"/>
      <c r="AA97" s="2054"/>
      <c r="AB97" s="2054"/>
      <c r="AC97" s="2054"/>
    </row>
    <row r="98" spans="1:29">
      <c r="A98" s="2054"/>
      <c r="B98" s="2054"/>
      <c r="C98" s="2054"/>
      <c r="D98" s="2054"/>
      <c r="E98" s="2054"/>
      <c r="F98" s="2054"/>
      <c r="G98" s="2054"/>
      <c r="H98" s="2054"/>
      <c r="I98" s="2054"/>
      <c r="J98" s="2054"/>
      <c r="K98" s="2055"/>
      <c r="L98" s="2056"/>
      <c r="M98" s="2054"/>
      <c r="N98" s="2054"/>
      <c r="O98" s="2054"/>
      <c r="P98" s="2054"/>
      <c r="Q98" s="2054"/>
      <c r="R98" s="2054"/>
      <c r="S98" s="2054"/>
      <c r="T98" s="2054"/>
      <c r="U98" s="2054"/>
      <c r="V98" s="2054"/>
      <c r="W98" s="2054"/>
      <c r="X98" s="2054"/>
      <c r="Y98" s="2054"/>
      <c r="Z98" s="2054"/>
      <c r="AA98" s="2054"/>
      <c r="AB98" s="2054"/>
      <c r="AC98" s="2054"/>
    </row>
    <row r="99" spans="1:29">
      <c r="A99" s="2054"/>
      <c r="B99" s="2054"/>
      <c r="C99" s="2054"/>
      <c r="D99" s="2054"/>
      <c r="E99" s="2054"/>
      <c r="F99" s="2054"/>
      <c r="G99" s="2054"/>
      <c r="H99" s="2054"/>
      <c r="I99" s="2054"/>
      <c r="J99" s="2054"/>
      <c r="K99" s="2055"/>
      <c r="L99" s="2056"/>
      <c r="M99" s="2054"/>
      <c r="N99" s="2054"/>
      <c r="O99" s="2054"/>
      <c r="P99" s="2054"/>
      <c r="Q99" s="2054"/>
      <c r="R99" s="2054"/>
      <c r="S99" s="2054"/>
      <c r="T99" s="2054"/>
      <c r="U99" s="2054"/>
      <c r="V99" s="2054"/>
      <c r="W99" s="2054"/>
      <c r="X99" s="2054"/>
      <c r="Y99" s="2054"/>
      <c r="Z99" s="2054"/>
      <c r="AA99" s="2054"/>
      <c r="AB99" s="2054"/>
      <c r="AC99" s="2054"/>
    </row>
    <row r="100" spans="1:29">
      <c r="A100" s="2054"/>
      <c r="B100" s="2054"/>
      <c r="C100" s="2054"/>
      <c r="D100" s="2054"/>
      <c r="E100" s="2054"/>
      <c r="F100" s="2054"/>
      <c r="G100" s="2054"/>
      <c r="H100" s="2054"/>
      <c r="I100" s="2054"/>
      <c r="J100" s="2054"/>
      <c r="K100" s="2055"/>
      <c r="L100" s="2056"/>
      <c r="M100" s="2054"/>
      <c r="N100" s="2054"/>
      <c r="O100" s="2054"/>
      <c r="P100" s="2054"/>
      <c r="Q100" s="2054"/>
      <c r="R100" s="2054"/>
      <c r="S100" s="2054"/>
      <c r="T100" s="2054"/>
      <c r="U100" s="2054"/>
      <c r="V100" s="2054"/>
      <c r="W100" s="2054"/>
      <c r="X100" s="2054"/>
      <c r="Y100" s="2054"/>
      <c r="Z100" s="2054"/>
      <c r="AA100" s="2054"/>
      <c r="AB100" s="2054"/>
      <c r="AC100" s="2054"/>
    </row>
    <row r="101" spans="1:29">
      <c r="A101" s="2054"/>
      <c r="B101" s="2054"/>
      <c r="C101" s="2054"/>
      <c r="D101" s="2054"/>
      <c r="E101" s="2054"/>
      <c r="F101" s="2054"/>
      <c r="G101" s="2054"/>
      <c r="H101" s="2054"/>
      <c r="I101" s="2054"/>
      <c r="J101" s="2054"/>
      <c r="K101" s="2055"/>
      <c r="L101" s="2056"/>
      <c r="M101" s="2054"/>
      <c r="N101" s="2054"/>
      <c r="O101" s="2054"/>
      <c r="P101" s="2054"/>
      <c r="Q101" s="2054"/>
      <c r="R101" s="2054"/>
      <c r="S101" s="2054"/>
      <c r="T101" s="2054"/>
      <c r="U101" s="2054"/>
      <c r="V101" s="2054"/>
      <c r="W101" s="2054"/>
      <c r="X101" s="2054"/>
      <c r="Y101" s="2054"/>
      <c r="Z101" s="2054"/>
      <c r="AA101" s="2054"/>
      <c r="AB101" s="2054"/>
      <c r="AC101" s="2054"/>
    </row>
    <row r="102" spans="1:29">
      <c r="A102" s="2054"/>
      <c r="B102" s="2054"/>
      <c r="C102" s="2054"/>
      <c r="D102" s="2054"/>
      <c r="E102" s="2054"/>
      <c r="F102" s="2054"/>
      <c r="G102" s="2054"/>
      <c r="H102" s="2054"/>
      <c r="I102" s="2054"/>
      <c r="J102" s="2054"/>
      <c r="K102" s="2055"/>
      <c r="L102" s="2056"/>
      <c r="M102" s="2054"/>
      <c r="N102" s="2054"/>
      <c r="O102" s="2054"/>
      <c r="P102" s="2054"/>
      <c r="Q102" s="2054"/>
      <c r="R102" s="2054"/>
      <c r="S102" s="2054"/>
      <c r="T102" s="2054"/>
      <c r="U102" s="2054"/>
      <c r="V102" s="2054"/>
      <c r="W102" s="2054"/>
      <c r="X102" s="2054"/>
      <c r="Y102" s="2054"/>
      <c r="Z102" s="2054"/>
      <c r="AA102" s="2054"/>
      <c r="AB102" s="2054"/>
      <c r="AC102" s="2054"/>
    </row>
    <row r="103" spans="1:29">
      <c r="A103" s="2054"/>
      <c r="B103" s="2054"/>
      <c r="C103" s="2054"/>
      <c r="D103" s="2054"/>
      <c r="E103" s="2054"/>
      <c r="F103" s="2054"/>
      <c r="G103" s="2054"/>
      <c r="H103" s="2054"/>
      <c r="I103" s="2054"/>
      <c r="J103" s="2054"/>
      <c r="K103" s="2055"/>
      <c r="L103" s="2056"/>
      <c r="M103" s="2054"/>
      <c r="N103" s="2054"/>
      <c r="O103" s="2054"/>
      <c r="P103" s="2054"/>
      <c r="Q103" s="2054"/>
      <c r="R103" s="2054"/>
      <c r="S103" s="2054"/>
      <c r="T103" s="2054"/>
      <c r="U103" s="2054"/>
      <c r="V103" s="2054"/>
      <c r="W103" s="2054"/>
      <c r="X103" s="2054"/>
      <c r="Y103" s="2054"/>
      <c r="Z103" s="2054"/>
      <c r="AA103" s="2054"/>
      <c r="AB103" s="2054"/>
      <c r="AC103" s="2054"/>
    </row>
    <row r="104" spans="1:29">
      <c r="A104" s="2054"/>
      <c r="B104" s="2054"/>
      <c r="C104" s="2054"/>
      <c r="D104" s="2054"/>
      <c r="E104" s="2054"/>
      <c r="F104" s="2054"/>
      <c r="G104" s="2054"/>
      <c r="H104" s="2054"/>
      <c r="I104" s="2054"/>
      <c r="J104" s="2054"/>
      <c r="K104" s="2055"/>
      <c r="L104" s="2056"/>
      <c r="M104" s="2054"/>
      <c r="N104" s="2054"/>
      <c r="O104" s="2054"/>
      <c r="P104" s="2054"/>
      <c r="Q104" s="2054"/>
      <c r="R104" s="2054"/>
      <c r="S104" s="2054"/>
      <c r="T104" s="2054"/>
      <c r="U104" s="2054"/>
      <c r="V104" s="2054"/>
      <c r="W104" s="2054"/>
      <c r="X104" s="2054"/>
      <c r="Y104" s="2054"/>
      <c r="Z104" s="2054"/>
      <c r="AA104" s="2054"/>
      <c r="AB104" s="2054"/>
      <c r="AC104" s="2054"/>
    </row>
    <row r="105" spans="1:29">
      <c r="A105" s="2054"/>
      <c r="B105" s="2054"/>
      <c r="C105" s="2054"/>
      <c r="D105" s="2054"/>
      <c r="E105" s="2054"/>
      <c r="F105" s="2054"/>
      <c r="G105" s="2054"/>
      <c r="H105" s="2054"/>
      <c r="I105" s="2054"/>
      <c r="J105" s="2054"/>
      <c r="K105" s="2055"/>
      <c r="L105" s="2056"/>
      <c r="M105" s="2054"/>
      <c r="N105" s="2054"/>
      <c r="O105" s="2054"/>
      <c r="P105" s="2054"/>
      <c r="Q105" s="2054"/>
      <c r="R105" s="2054"/>
      <c r="S105" s="2054"/>
      <c r="T105" s="2054"/>
      <c r="U105" s="2054"/>
      <c r="V105" s="2054"/>
      <c r="W105" s="2054"/>
      <c r="X105" s="2054"/>
      <c r="Y105" s="2054"/>
      <c r="Z105" s="2054"/>
      <c r="AA105" s="2054"/>
      <c r="AB105" s="2054"/>
      <c r="AC105" s="2054"/>
    </row>
    <row r="106" spans="1:29">
      <c r="A106" s="2054"/>
      <c r="B106" s="2054"/>
      <c r="C106" s="2054"/>
      <c r="D106" s="2054"/>
      <c r="E106" s="2054"/>
      <c r="F106" s="2054"/>
      <c r="G106" s="2054"/>
      <c r="H106" s="2054"/>
      <c r="I106" s="2054"/>
      <c r="J106" s="2054"/>
      <c r="K106" s="2055"/>
      <c r="L106" s="2056"/>
      <c r="M106" s="2054"/>
      <c r="N106" s="2054"/>
      <c r="O106" s="2054"/>
      <c r="P106" s="2054"/>
      <c r="Q106" s="2054"/>
      <c r="R106" s="2054"/>
      <c r="S106" s="2054"/>
      <c r="T106" s="2054"/>
      <c r="U106" s="2054"/>
      <c r="V106" s="2054"/>
      <c r="W106" s="2054"/>
      <c r="X106" s="2054"/>
      <c r="Y106" s="2054"/>
      <c r="Z106" s="2054"/>
      <c r="AA106" s="2054"/>
      <c r="AB106" s="2054"/>
      <c r="AC106" s="2054"/>
    </row>
    <row r="107" spans="1:29">
      <c r="A107" s="2054"/>
      <c r="B107" s="2054"/>
      <c r="C107" s="2054"/>
      <c r="D107" s="2054"/>
      <c r="E107" s="2054"/>
      <c r="F107" s="2054"/>
      <c r="G107" s="2054"/>
      <c r="H107" s="2054"/>
      <c r="I107" s="2054"/>
      <c r="J107" s="2054"/>
      <c r="K107" s="2055"/>
      <c r="L107" s="2056"/>
      <c r="M107" s="2054"/>
      <c r="N107" s="2054"/>
      <c r="O107" s="2054"/>
      <c r="P107" s="2054"/>
      <c r="Q107" s="2054"/>
      <c r="R107" s="2054"/>
      <c r="S107" s="2054"/>
      <c r="T107" s="2054"/>
      <c r="U107" s="2054"/>
      <c r="V107" s="2054"/>
      <c r="W107" s="2054"/>
      <c r="X107" s="2054"/>
      <c r="Y107" s="2054"/>
      <c r="Z107" s="2054"/>
      <c r="AA107" s="2054"/>
      <c r="AB107" s="2054"/>
      <c r="AC107" s="2054"/>
    </row>
    <row r="108" spans="1:29">
      <c r="A108" s="2054"/>
      <c r="B108" s="2054"/>
      <c r="C108" s="2054"/>
      <c r="D108" s="2054"/>
      <c r="E108" s="2054"/>
      <c r="F108" s="2054"/>
      <c r="G108" s="2054"/>
      <c r="H108" s="2054"/>
      <c r="I108" s="2054"/>
      <c r="J108" s="2054"/>
      <c r="K108" s="2055"/>
      <c r="L108" s="2056"/>
      <c r="M108" s="2054"/>
      <c r="N108" s="2054"/>
      <c r="O108" s="2054"/>
      <c r="P108" s="2054"/>
      <c r="Q108" s="2054"/>
      <c r="R108" s="2054"/>
      <c r="S108" s="2054"/>
      <c r="T108" s="2054"/>
      <c r="U108" s="2054"/>
      <c r="V108" s="2054"/>
      <c r="W108" s="2054"/>
      <c r="X108" s="2054"/>
      <c r="Y108" s="2054"/>
      <c r="Z108" s="2054"/>
      <c r="AA108" s="2054"/>
      <c r="AB108" s="2054"/>
      <c r="AC108" s="2054"/>
    </row>
    <row r="109" spans="1:29">
      <c r="A109" s="2054"/>
      <c r="B109" s="2054"/>
      <c r="C109" s="2054"/>
      <c r="D109" s="2054"/>
      <c r="E109" s="2054"/>
      <c r="F109" s="2054"/>
      <c r="G109" s="2054"/>
      <c r="H109" s="2054"/>
      <c r="I109" s="2054"/>
      <c r="J109" s="2054"/>
      <c r="K109" s="2055"/>
      <c r="L109" s="2056"/>
      <c r="M109" s="2054"/>
      <c r="N109" s="2054"/>
      <c r="O109" s="2054"/>
      <c r="P109" s="2054"/>
      <c r="Q109" s="2054"/>
      <c r="R109" s="2054"/>
      <c r="S109" s="2054"/>
      <c r="T109" s="2054"/>
      <c r="U109" s="2054"/>
      <c r="V109" s="2054"/>
      <c r="W109" s="2054"/>
      <c r="X109" s="2054"/>
      <c r="Y109" s="2054"/>
      <c r="Z109" s="2054"/>
      <c r="AA109" s="2054"/>
      <c r="AB109" s="2054"/>
      <c r="AC109" s="2054"/>
    </row>
    <row r="110" spans="1:29">
      <c r="A110" s="2054"/>
      <c r="B110" s="2054"/>
      <c r="C110" s="2054"/>
      <c r="D110" s="2054"/>
      <c r="E110" s="2054"/>
      <c r="F110" s="2054"/>
      <c r="G110" s="2054"/>
      <c r="H110" s="2054"/>
      <c r="I110" s="2054"/>
      <c r="J110" s="2054"/>
      <c r="K110" s="2055"/>
      <c r="L110" s="2056"/>
      <c r="M110" s="2054"/>
      <c r="N110" s="2054"/>
      <c r="O110" s="2054"/>
      <c r="P110" s="2054"/>
      <c r="Q110" s="2054"/>
      <c r="R110" s="2054"/>
      <c r="S110" s="2054"/>
      <c r="T110" s="2054"/>
      <c r="U110" s="2054"/>
      <c r="V110" s="2054"/>
      <c r="W110" s="2054"/>
      <c r="X110" s="2054"/>
      <c r="Y110" s="2054"/>
      <c r="Z110" s="2054"/>
      <c r="AA110" s="2054"/>
      <c r="AB110" s="2054"/>
      <c r="AC110" s="2054"/>
    </row>
    <row r="111" spans="1:29">
      <c r="A111" s="2054"/>
      <c r="B111" s="2054"/>
      <c r="C111" s="2054"/>
      <c r="D111" s="2054"/>
      <c r="E111" s="2054"/>
      <c r="F111" s="2054"/>
      <c r="G111" s="2054"/>
      <c r="H111" s="2054"/>
      <c r="I111" s="2054"/>
      <c r="J111" s="2054"/>
      <c r="K111" s="2055"/>
      <c r="L111" s="2056"/>
      <c r="M111" s="2054"/>
      <c r="N111" s="2054"/>
      <c r="O111" s="2054"/>
      <c r="P111" s="2054"/>
      <c r="Q111" s="2054"/>
      <c r="R111" s="2054"/>
      <c r="S111" s="2054"/>
      <c r="T111" s="2054"/>
      <c r="U111" s="2054"/>
      <c r="V111" s="2054"/>
      <c r="W111" s="2054"/>
      <c r="X111" s="2054"/>
      <c r="Y111" s="2054"/>
      <c r="Z111" s="2054"/>
      <c r="AA111" s="2054"/>
      <c r="AB111" s="2054"/>
      <c r="AC111" s="2054"/>
    </row>
    <row r="112" spans="1:29">
      <c r="A112" s="2054"/>
      <c r="B112" s="2054"/>
      <c r="C112" s="2054"/>
      <c r="D112" s="2054"/>
      <c r="E112" s="2054"/>
      <c r="F112" s="2054"/>
      <c r="G112" s="2054"/>
      <c r="H112" s="2054"/>
      <c r="I112" s="2054"/>
      <c r="J112" s="2054"/>
      <c r="K112" s="2055"/>
      <c r="L112" s="2056"/>
      <c r="M112" s="2054"/>
      <c r="N112" s="2054"/>
      <c r="O112" s="2054"/>
      <c r="P112" s="2054"/>
      <c r="Q112" s="2054"/>
      <c r="R112" s="2054"/>
      <c r="S112" s="2054"/>
      <c r="T112" s="2054"/>
      <c r="U112" s="2054"/>
      <c r="V112" s="2054"/>
      <c r="W112" s="2054"/>
      <c r="X112" s="2054"/>
      <c r="Y112" s="2054"/>
      <c r="Z112" s="2054"/>
      <c r="AA112" s="2054"/>
      <c r="AB112" s="2054"/>
      <c r="AC112" s="2054"/>
    </row>
    <row r="113" spans="1:29">
      <c r="A113" s="2054"/>
      <c r="B113" s="2054"/>
      <c r="C113" s="2054"/>
      <c r="D113" s="2054"/>
      <c r="E113" s="2054"/>
      <c r="F113" s="2054"/>
      <c r="G113" s="2054"/>
      <c r="H113" s="2054"/>
      <c r="I113" s="2054"/>
      <c r="J113" s="2054"/>
      <c r="K113" s="2055"/>
      <c r="L113" s="2056"/>
      <c r="M113" s="2054"/>
      <c r="N113" s="2054"/>
      <c r="O113" s="2054"/>
      <c r="P113" s="2054"/>
      <c r="Q113" s="2054"/>
      <c r="R113" s="2054"/>
      <c r="S113" s="2054"/>
      <c r="T113" s="2054"/>
      <c r="U113" s="2054"/>
      <c r="V113" s="2054"/>
      <c r="W113" s="2054"/>
      <c r="X113" s="2054"/>
      <c r="Y113" s="2054"/>
      <c r="Z113" s="2054"/>
      <c r="AA113" s="2054"/>
      <c r="AB113" s="2054"/>
      <c r="AC113" s="2054"/>
    </row>
    <row r="114" spans="1:29">
      <c r="A114" s="2054"/>
      <c r="B114" s="2054"/>
      <c r="C114" s="2054"/>
      <c r="D114" s="2054"/>
      <c r="E114" s="2054"/>
      <c r="F114" s="2054"/>
      <c r="G114" s="2054"/>
      <c r="H114" s="2054"/>
      <c r="I114" s="2054"/>
      <c r="J114" s="2054"/>
      <c r="K114" s="2055"/>
      <c r="L114" s="2056"/>
      <c r="M114" s="2054"/>
      <c r="N114" s="2054"/>
      <c r="O114" s="2054"/>
      <c r="P114" s="2054"/>
      <c r="Q114" s="2054"/>
      <c r="R114" s="2054"/>
      <c r="S114" s="2054"/>
      <c r="T114" s="2054"/>
      <c r="U114" s="2054"/>
      <c r="V114" s="2054"/>
      <c r="W114" s="2054"/>
      <c r="X114" s="2054"/>
      <c r="Y114" s="2054"/>
      <c r="Z114" s="2054"/>
      <c r="AA114" s="2054"/>
      <c r="AB114" s="2054"/>
      <c r="AC114" s="2054"/>
    </row>
    <row r="115" spans="1:29">
      <c r="A115" s="2054"/>
      <c r="B115" s="2054"/>
      <c r="C115" s="2054"/>
      <c r="D115" s="2054"/>
      <c r="E115" s="2054"/>
      <c r="F115" s="2054"/>
      <c r="G115" s="2054"/>
      <c r="H115" s="2054"/>
      <c r="I115" s="2054"/>
      <c r="J115" s="2054"/>
      <c r="K115" s="2055"/>
      <c r="L115" s="2056"/>
      <c r="M115" s="2054"/>
      <c r="N115" s="2054"/>
      <c r="O115" s="2054"/>
      <c r="P115" s="2054"/>
      <c r="Q115" s="2054"/>
      <c r="R115" s="2054"/>
      <c r="S115" s="2054"/>
      <c r="T115" s="2054"/>
      <c r="U115" s="2054"/>
      <c r="V115" s="2054"/>
      <c r="W115" s="2054"/>
      <c r="X115" s="2054"/>
      <c r="Y115" s="2054"/>
      <c r="Z115" s="2054"/>
      <c r="AA115" s="2054"/>
      <c r="AB115" s="2054"/>
      <c r="AC115" s="2054"/>
    </row>
    <row r="116" spans="1:29">
      <c r="A116" s="2054"/>
      <c r="B116" s="2054"/>
      <c r="C116" s="2054"/>
      <c r="D116" s="2054"/>
      <c r="E116" s="2054"/>
      <c r="F116" s="2054"/>
      <c r="G116" s="2054"/>
      <c r="H116" s="2054"/>
      <c r="I116" s="2054"/>
      <c r="J116" s="2054"/>
      <c r="K116" s="2055"/>
      <c r="L116" s="2056"/>
      <c r="M116" s="2054"/>
      <c r="N116" s="2054"/>
      <c r="O116" s="2054"/>
      <c r="P116" s="2054"/>
      <c r="Q116" s="2054"/>
      <c r="R116" s="2054"/>
      <c r="S116" s="2054"/>
      <c r="T116" s="2054"/>
      <c r="U116" s="2054"/>
      <c r="V116" s="2054"/>
      <c r="W116" s="2054"/>
      <c r="X116" s="2054"/>
      <c r="Y116" s="2054"/>
      <c r="Z116" s="2054"/>
      <c r="AA116" s="2054"/>
      <c r="AB116" s="2054"/>
      <c r="AC116" s="2054"/>
    </row>
    <row r="117" spans="1:29">
      <c r="A117" s="2054"/>
      <c r="B117" s="2054"/>
      <c r="C117" s="2054"/>
      <c r="D117" s="2054"/>
      <c r="E117" s="2054"/>
      <c r="F117" s="2054"/>
      <c r="G117" s="2054"/>
      <c r="H117" s="2054"/>
      <c r="I117" s="2054"/>
      <c r="J117" s="2054"/>
      <c r="K117" s="2055"/>
      <c r="L117" s="2056"/>
      <c r="M117" s="2054"/>
      <c r="N117" s="2054"/>
      <c r="O117" s="2054"/>
      <c r="P117" s="2054"/>
      <c r="Q117" s="2054"/>
      <c r="R117" s="2054"/>
      <c r="S117" s="2054"/>
      <c r="T117" s="2054"/>
      <c r="U117" s="2054"/>
      <c r="V117" s="2054"/>
      <c r="W117" s="2054"/>
      <c r="X117" s="2054"/>
      <c r="Y117" s="2054"/>
      <c r="Z117" s="2054"/>
      <c r="AA117" s="2054"/>
      <c r="AB117" s="2054"/>
      <c r="AC117" s="2054"/>
    </row>
    <row r="118" spans="1:29">
      <c r="A118" s="2054"/>
      <c r="B118" s="2054"/>
      <c r="C118" s="2054"/>
      <c r="D118" s="2054"/>
      <c r="E118" s="2054"/>
      <c r="F118" s="2054"/>
      <c r="G118" s="2054"/>
      <c r="H118" s="2054"/>
      <c r="I118" s="2054"/>
      <c r="J118" s="2054"/>
      <c r="K118" s="2055"/>
      <c r="L118" s="2056"/>
      <c r="M118" s="2054"/>
      <c r="N118" s="2054"/>
      <c r="O118" s="2054"/>
      <c r="P118" s="2054"/>
      <c r="Q118" s="2054"/>
      <c r="R118" s="2054"/>
      <c r="S118" s="2054"/>
      <c r="T118" s="2054"/>
      <c r="U118" s="2054"/>
      <c r="V118" s="2054"/>
      <c r="W118" s="2054"/>
      <c r="X118" s="2054"/>
      <c r="Y118" s="2054"/>
      <c r="Z118" s="2054"/>
      <c r="AA118" s="2054"/>
      <c r="AB118" s="2054"/>
      <c r="AC118" s="2054"/>
    </row>
    <row r="119" spans="1:29">
      <c r="A119" s="2054"/>
      <c r="B119" s="2054"/>
      <c r="C119" s="2054"/>
      <c r="D119" s="2054"/>
      <c r="E119" s="2054"/>
      <c r="F119" s="2054"/>
      <c r="G119" s="2054"/>
      <c r="H119" s="2054"/>
      <c r="I119" s="2054"/>
      <c r="J119" s="2054"/>
      <c r="K119" s="2055"/>
      <c r="L119" s="2056"/>
      <c r="M119" s="2054"/>
      <c r="N119" s="2054"/>
      <c r="O119" s="2054"/>
      <c r="P119" s="2054"/>
      <c r="Q119" s="2054"/>
      <c r="R119" s="2054"/>
      <c r="S119" s="2054"/>
      <c r="T119" s="2054"/>
      <c r="U119" s="2054"/>
      <c r="V119" s="2054"/>
      <c r="W119" s="2054"/>
      <c r="X119" s="2054"/>
      <c r="Y119" s="2054"/>
      <c r="Z119" s="2054"/>
      <c r="AA119" s="2054"/>
      <c r="AB119" s="2054"/>
      <c r="AC119" s="2054"/>
    </row>
    <row r="120" spans="1:29">
      <c r="A120" s="2054"/>
      <c r="B120" s="2054"/>
      <c r="C120" s="2054"/>
      <c r="D120" s="2054"/>
      <c r="E120" s="2054"/>
      <c r="F120" s="2054"/>
      <c r="G120" s="2054"/>
      <c r="H120" s="2054"/>
      <c r="I120" s="2054"/>
      <c r="J120" s="2054"/>
      <c r="K120" s="2055"/>
      <c r="L120" s="2056"/>
      <c r="M120" s="2054"/>
      <c r="N120" s="2054"/>
      <c r="O120" s="2054"/>
      <c r="P120" s="2054"/>
      <c r="Q120" s="2054"/>
      <c r="R120" s="2054"/>
      <c r="S120" s="2054"/>
      <c r="T120" s="2054"/>
      <c r="U120" s="2054"/>
      <c r="V120" s="2054"/>
      <c r="W120" s="2054"/>
      <c r="X120" s="2054"/>
      <c r="Y120" s="2054"/>
      <c r="Z120" s="2054"/>
      <c r="AA120" s="2054"/>
      <c r="AB120" s="2054"/>
      <c r="AC120" s="2054"/>
    </row>
    <row r="121" spans="1:29">
      <c r="A121" s="2054"/>
      <c r="B121" s="2054"/>
      <c r="C121" s="2054"/>
      <c r="D121" s="2054"/>
      <c r="E121" s="2054"/>
      <c r="F121" s="2054"/>
      <c r="G121" s="2054"/>
      <c r="H121" s="2054"/>
      <c r="I121" s="2054"/>
      <c r="J121" s="2054"/>
      <c r="K121" s="2055"/>
      <c r="L121" s="2056"/>
      <c r="M121" s="2054"/>
      <c r="N121" s="2054"/>
      <c r="O121" s="2054"/>
      <c r="P121" s="2054"/>
      <c r="Q121" s="2054"/>
      <c r="R121" s="2054"/>
      <c r="S121" s="2054"/>
      <c r="T121" s="2054"/>
      <c r="U121" s="2054"/>
      <c r="V121" s="2054"/>
      <c r="W121" s="2054"/>
      <c r="X121" s="2054"/>
      <c r="Y121" s="2054"/>
      <c r="Z121" s="2054"/>
      <c r="AA121" s="2054"/>
      <c r="AB121" s="2054"/>
      <c r="AC121" s="2054"/>
    </row>
    <row r="122" spans="1:29">
      <c r="A122" s="2054"/>
      <c r="B122" s="2054"/>
      <c r="C122" s="2054"/>
      <c r="D122" s="2054"/>
      <c r="E122" s="2054"/>
      <c r="F122" s="2054"/>
      <c r="G122" s="2054"/>
      <c r="H122" s="2054"/>
      <c r="I122" s="2054"/>
      <c r="J122" s="2054"/>
      <c r="K122" s="2055"/>
      <c r="L122" s="2056"/>
      <c r="M122" s="2054"/>
      <c r="N122" s="2054"/>
      <c r="O122" s="2054"/>
      <c r="P122" s="2054"/>
      <c r="Q122" s="2054"/>
      <c r="R122" s="2054"/>
      <c r="S122" s="2054"/>
      <c r="T122" s="2054"/>
      <c r="U122" s="2054"/>
      <c r="V122" s="2054"/>
      <c r="W122" s="2054"/>
      <c r="X122" s="2054"/>
      <c r="Y122" s="2054"/>
      <c r="Z122" s="2054"/>
      <c r="AA122" s="2054"/>
      <c r="AB122" s="2054"/>
      <c r="AC122" s="2054"/>
    </row>
    <row r="123" spans="1:29">
      <c r="A123" s="2054"/>
      <c r="B123" s="2054"/>
      <c r="C123" s="2054"/>
      <c r="D123" s="2054"/>
      <c r="E123" s="2054"/>
      <c r="F123" s="2054"/>
      <c r="G123" s="2054"/>
      <c r="H123" s="2054"/>
      <c r="I123" s="2054"/>
      <c r="J123" s="2054"/>
      <c r="K123" s="2055"/>
      <c r="L123" s="2056"/>
      <c r="M123" s="2054"/>
      <c r="N123" s="2054"/>
      <c r="O123" s="2054"/>
      <c r="P123" s="2054"/>
      <c r="Q123" s="2054"/>
      <c r="R123" s="2054"/>
      <c r="S123" s="2054"/>
      <c r="T123" s="2054"/>
      <c r="U123" s="2054"/>
      <c r="V123" s="2054"/>
      <c r="W123" s="2054"/>
      <c r="X123" s="2054"/>
      <c r="Y123" s="2054"/>
      <c r="Z123" s="2054"/>
      <c r="AA123" s="2054"/>
      <c r="AB123" s="2054"/>
      <c r="AC123" s="2054"/>
    </row>
    <row r="124" spans="1:29">
      <c r="A124" s="2054"/>
      <c r="B124" s="2054"/>
      <c r="C124" s="2054"/>
      <c r="D124" s="2054"/>
      <c r="E124" s="2054"/>
      <c r="F124" s="2054"/>
      <c r="G124" s="2054"/>
      <c r="H124" s="2054"/>
      <c r="I124" s="2054"/>
      <c r="J124" s="2054"/>
      <c r="K124" s="2055"/>
      <c r="L124" s="2056"/>
      <c r="M124" s="2054"/>
      <c r="N124" s="2054"/>
      <c r="O124" s="2054"/>
      <c r="P124" s="2054"/>
      <c r="Q124" s="2054"/>
      <c r="R124" s="2054"/>
      <c r="S124" s="2054"/>
      <c r="T124" s="2054"/>
      <c r="U124" s="2054"/>
      <c r="V124" s="2054"/>
      <c r="W124" s="2054"/>
      <c r="X124" s="2054"/>
      <c r="Y124" s="2054"/>
      <c r="Z124" s="2054"/>
      <c r="AA124" s="2054"/>
      <c r="AB124" s="2054"/>
      <c r="AC124" s="2054"/>
    </row>
    <row r="125" spans="1:29">
      <c r="A125" s="2054"/>
      <c r="B125" s="2054"/>
      <c r="C125" s="2054"/>
      <c r="D125" s="2054"/>
      <c r="E125" s="2054"/>
      <c r="F125" s="2054"/>
      <c r="G125" s="2054"/>
      <c r="H125" s="2054"/>
      <c r="I125" s="2054"/>
      <c r="J125" s="2054"/>
      <c r="K125" s="2055"/>
      <c r="L125" s="2056"/>
      <c r="M125" s="2054"/>
      <c r="N125" s="2054"/>
      <c r="O125" s="2054"/>
      <c r="P125" s="2054"/>
      <c r="Q125" s="2054"/>
      <c r="R125" s="2054"/>
      <c r="S125" s="2054"/>
      <c r="T125" s="2054"/>
      <c r="U125" s="2054"/>
      <c r="V125" s="2054"/>
      <c r="W125" s="2054"/>
      <c r="X125" s="2054"/>
      <c r="Y125" s="2054"/>
      <c r="Z125" s="2054"/>
      <c r="AA125" s="2054"/>
      <c r="AB125" s="2054"/>
      <c r="AC125" s="2054"/>
    </row>
    <row r="126" spans="1:29">
      <c r="A126" s="2054"/>
      <c r="B126" s="2054"/>
      <c r="C126" s="2054"/>
      <c r="D126" s="2054"/>
      <c r="E126" s="2054"/>
      <c r="F126" s="2054"/>
      <c r="G126" s="2054"/>
      <c r="H126" s="2054"/>
      <c r="I126" s="2054"/>
      <c r="J126" s="2054"/>
      <c r="K126" s="2055"/>
      <c r="L126" s="2056"/>
      <c r="M126" s="2054"/>
      <c r="N126" s="2054"/>
      <c r="O126" s="2054"/>
      <c r="P126" s="2054"/>
      <c r="Q126" s="2054"/>
      <c r="R126" s="2054"/>
      <c r="S126" s="2054"/>
      <c r="T126" s="2054"/>
      <c r="U126" s="2054"/>
      <c r="V126" s="2054"/>
      <c r="W126" s="2054"/>
      <c r="X126" s="2054"/>
      <c r="Y126" s="2054"/>
      <c r="Z126" s="2054"/>
      <c r="AA126" s="2054"/>
      <c r="AB126" s="2054"/>
      <c r="AC126" s="2054"/>
    </row>
    <row r="127" spans="1:29">
      <c r="A127" s="2054"/>
      <c r="B127" s="2054"/>
      <c r="C127" s="2054"/>
      <c r="D127" s="2054"/>
      <c r="E127" s="2054"/>
      <c r="F127" s="2054"/>
      <c r="G127" s="2054"/>
      <c r="H127" s="2054"/>
      <c r="I127" s="2054"/>
      <c r="J127" s="2054"/>
      <c r="K127" s="2055"/>
      <c r="L127" s="2056"/>
      <c r="M127" s="2054"/>
      <c r="N127" s="2054"/>
      <c r="O127" s="2054"/>
      <c r="P127" s="2054"/>
      <c r="Q127" s="2054"/>
      <c r="R127" s="2054"/>
      <c r="S127" s="2054"/>
      <c r="T127" s="2054"/>
      <c r="U127" s="2054"/>
      <c r="V127" s="2054"/>
      <c r="W127" s="2054"/>
      <c r="X127" s="2054"/>
      <c r="Y127" s="2054"/>
      <c r="Z127" s="2054"/>
      <c r="AA127" s="2054"/>
      <c r="AB127" s="2054"/>
      <c r="AC127" s="2054"/>
    </row>
    <row r="128" spans="1:29">
      <c r="A128" s="2054"/>
      <c r="B128" s="2054"/>
      <c r="C128" s="2054"/>
      <c r="D128" s="2054"/>
      <c r="E128" s="2054"/>
      <c r="F128" s="2054"/>
      <c r="G128" s="2054"/>
      <c r="H128" s="2054"/>
      <c r="I128" s="2054"/>
      <c r="J128" s="2054"/>
      <c r="K128" s="2055"/>
      <c r="L128" s="2056"/>
      <c r="M128" s="2054"/>
      <c r="N128" s="2054"/>
      <c r="O128" s="2054"/>
      <c r="P128" s="2054"/>
      <c r="Q128" s="2054"/>
      <c r="R128" s="2054"/>
      <c r="S128" s="2054"/>
      <c r="T128" s="2054"/>
      <c r="U128" s="2054"/>
      <c r="V128" s="2054"/>
      <c r="W128" s="2054"/>
      <c r="X128" s="2054"/>
      <c r="Y128" s="2054"/>
      <c r="Z128" s="2054"/>
      <c r="AA128" s="2054"/>
      <c r="AB128" s="2054"/>
      <c r="AC128" s="2054"/>
    </row>
    <row r="129" spans="1:29">
      <c r="A129" s="2054"/>
      <c r="B129" s="2054"/>
      <c r="C129" s="2054"/>
      <c r="D129" s="2054"/>
      <c r="E129" s="2054"/>
      <c r="F129" s="2054"/>
      <c r="G129" s="2054"/>
      <c r="H129" s="2054"/>
      <c r="I129" s="2054"/>
      <c r="J129" s="2054"/>
      <c r="K129" s="2055"/>
      <c r="L129" s="2056"/>
      <c r="M129" s="2054"/>
      <c r="N129" s="2054"/>
      <c r="O129" s="2054"/>
      <c r="P129" s="2054"/>
      <c r="Q129" s="2054"/>
      <c r="R129" s="2054"/>
      <c r="S129" s="2054"/>
      <c r="T129" s="2054"/>
      <c r="U129" s="2054"/>
      <c r="V129" s="2054"/>
      <c r="W129" s="2054"/>
      <c r="X129" s="2054"/>
      <c r="Y129" s="2054"/>
      <c r="Z129" s="2054"/>
      <c r="AA129" s="2054"/>
      <c r="AB129" s="2054"/>
      <c r="AC129" s="2054"/>
    </row>
    <row r="130" spans="1:29">
      <c r="A130" s="2054"/>
      <c r="B130" s="2054"/>
      <c r="C130" s="2054"/>
      <c r="D130" s="2054"/>
      <c r="E130" s="2054"/>
      <c r="F130" s="2054"/>
      <c r="G130" s="2054"/>
      <c r="H130" s="2054"/>
      <c r="I130" s="2054"/>
      <c r="J130" s="2054"/>
      <c r="K130" s="2055"/>
      <c r="L130" s="2056"/>
      <c r="M130" s="2054"/>
      <c r="N130" s="2054"/>
      <c r="O130" s="2054"/>
      <c r="P130" s="2054"/>
      <c r="Q130" s="2054"/>
      <c r="R130" s="2054"/>
      <c r="S130" s="2054"/>
      <c r="T130" s="2054"/>
      <c r="U130" s="2054"/>
      <c r="V130" s="2054"/>
      <c r="W130" s="2054"/>
      <c r="X130" s="2054"/>
      <c r="Y130" s="2054"/>
      <c r="Z130" s="2054"/>
      <c r="AA130" s="2054"/>
      <c r="AB130" s="2054"/>
      <c r="AC130" s="2054"/>
    </row>
    <row r="131" spans="1:29">
      <c r="A131" s="2054"/>
      <c r="B131" s="2054"/>
      <c r="C131" s="2054"/>
      <c r="D131" s="2054"/>
      <c r="E131" s="2054"/>
      <c r="F131" s="2054"/>
      <c r="G131" s="2054"/>
      <c r="H131" s="2054"/>
      <c r="I131" s="2054"/>
      <c r="J131" s="2054"/>
      <c r="K131" s="2055"/>
      <c r="L131" s="2056"/>
      <c r="M131" s="2054"/>
      <c r="N131" s="2054"/>
      <c r="O131" s="2054"/>
      <c r="P131" s="2054"/>
      <c r="Q131" s="2054"/>
      <c r="R131" s="2054"/>
      <c r="S131" s="2054"/>
      <c r="T131" s="2054"/>
      <c r="U131" s="2054"/>
      <c r="V131" s="2054"/>
      <c r="W131" s="2054"/>
      <c r="X131" s="2054"/>
      <c r="Y131" s="2054"/>
      <c r="Z131" s="2054"/>
      <c r="AA131" s="2054"/>
      <c r="AB131" s="2054"/>
      <c r="AC131" s="2054"/>
    </row>
    <row r="132" spans="1:29">
      <c r="A132" s="2054"/>
      <c r="B132" s="2054"/>
      <c r="C132" s="2054"/>
      <c r="D132" s="2054"/>
      <c r="E132" s="2054"/>
      <c r="F132" s="2054"/>
      <c r="G132" s="2054"/>
      <c r="H132" s="2054"/>
      <c r="I132" s="2054"/>
      <c r="J132" s="2054"/>
      <c r="K132" s="2055"/>
      <c r="L132" s="2056"/>
      <c r="M132" s="2054"/>
      <c r="N132" s="2054"/>
      <c r="O132" s="2054"/>
      <c r="P132" s="2054"/>
      <c r="Q132" s="2054"/>
      <c r="R132" s="2054"/>
      <c r="S132" s="2054"/>
      <c r="T132" s="2054"/>
      <c r="U132" s="2054"/>
      <c r="V132" s="2054"/>
      <c r="W132" s="2054"/>
      <c r="X132" s="2054"/>
      <c r="Y132" s="2054"/>
      <c r="Z132" s="2054"/>
      <c r="AA132" s="2054"/>
      <c r="AB132" s="2054"/>
      <c r="AC132" s="2054"/>
    </row>
    <row r="133" spans="1:29">
      <c r="A133" s="2054"/>
      <c r="B133" s="2054"/>
      <c r="C133" s="2054"/>
      <c r="D133" s="2054"/>
      <c r="E133" s="2054"/>
      <c r="F133" s="2054"/>
      <c r="G133" s="2054"/>
      <c r="H133" s="2054"/>
      <c r="I133" s="2054"/>
      <c r="J133" s="2054"/>
      <c r="K133" s="2055"/>
      <c r="L133" s="2056"/>
      <c r="M133" s="2054"/>
      <c r="N133" s="2054"/>
      <c r="O133" s="2054"/>
      <c r="P133" s="2054"/>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54"/>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138" customWidth="1"/>
    <col min="2" max="2" width="9.25" style="1107" customWidth="1"/>
    <col min="3" max="3" width="5" style="1107" customWidth="1"/>
    <col min="4" max="4" width="9" style="1107"/>
    <col min="5" max="5" width="5" style="1107" customWidth="1"/>
    <col min="6" max="6" width="9" style="1107"/>
    <col min="7" max="7" width="5" style="1107" customWidth="1"/>
    <col min="8" max="8" width="9" style="1107"/>
    <col min="9" max="9" width="5" style="1107" customWidth="1"/>
    <col min="10" max="10" width="9" style="1107"/>
    <col min="11" max="11" width="5" style="1107" customWidth="1"/>
    <col min="12" max="12" width="9" style="1107"/>
    <col min="13" max="13" width="5" style="1107" customWidth="1"/>
    <col min="14" max="14" width="9" style="1107"/>
    <col min="15" max="15" width="5" style="1107" customWidth="1"/>
    <col min="16" max="16" width="9" style="1107"/>
    <col min="17" max="17" width="5" style="1107" customWidth="1"/>
    <col min="18" max="18" width="9" style="1504"/>
    <col min="19" max="19" width="9" style="1138"/>
    <col min="20" max="35" width="9" style="161"/>
    <col min="36" max="16384" width="9" style="1138"/>
  </cols>
  <sheetData>
    <row r="1" spans="1:45" s="161" customFormat="1" ht="14.25" customHeight="1" thickBot="1">
      <c r="A1" s="265"/>
      <c r="B1" s="2108" t="s">
        <v>2234</v>
      </c>
      <c r="C1" s="3505" t="s">
        <v>2235</v>
      </c>
      <c r="D1" s="3506"/>
      <c r="E1" s="3506"/>
      <c r="F1" s="3506"/>
      <c r="G1" s="3506"/>
      <c r="H1" s="3506"/>
      <c r="I1" s="3506"/>
      <c r="J1" s="3506"/>
      <c r="K1" s="3506"/>
      <c r="L1" s="3506"/>
      <c r="M1" s="3506"/>
      <c r="N1" s="3506"/>
      <c r="O1" s="3506"/>
      <c r="P1" s="3506"/>
      <c r="Q1" s="3506"/>
      <c r="R1" s="3506"/>
      <c r="S1" s="3507"/>
      <c r="T1" s="2108" t="s">
        <v>2236</v>
      </c>
      <c r="U1" s="1916"/>
      <c r="V1" s="1916"/>
      <c r="W1" s="1916"/>
      <c r="X1" s="1916"/>
      <c r="Y1" s="1916"/>
      <c r="Z1" s="1916"/>
      <c r="AA1" s="1916"/>
      <c r="AB1" s="1916"/>
      <c r="AC1" s="1916"/>
      <c r="AD1" s="1916"/>
      <c r="AE1" s="1916"/>
      <c r="AF1" s="1916"/>
      <c r="AG1" s="1916"/>
      <c r="AH1" s="1916"/>
      <c r="AI1" s="1916"/>
      <c r="AJ1" s="1916"/>
      <c r="AK1" s="1916"/>
      <c r="AL1" s="1916"/>
      <c r="AM1" s="1916"/>
      <c r="AN1" s="1916"/>
      <c r="AO1" s="1916"/>
      <c r="AP1" s="1916"/>
      <c r="AQ1" s="1916"/>
      <c r="AR1" s="1916"/>
      <c r="AS1" s="1916"/>
    </row>
    <row r="2" spans="1:45" s="1852" customFormat="1">
      <c r="A2" s="2109"/>
      <c r="B2" s="849" t="s">
        <v>2237</v>
      </c>
      <c r="C2" s="850" t="str">
        <f t="shared" ref="C2:L2" si="0">C3&amp;"(含)"&amp;"-"&amp;D3</f>
        <v>(含)-</v>
      </c>
      <c r="D2" s="851" t="str">
        <f t="shared" si="0"/>
        <v>(含)-</v>
      </c>
      <c r="E2" s="851" t="str">
        <f t="shared" si="0"/>
        <v>(含)-</v>
      </c>
      <c r="F2" s="851" t="str">
        <f t="shared" si="0"/>
        <v>(含)-</v>
      </c>
      <c r="G2" s="851" t="str">
        <f t="shared" si="0"/>
        <v>(含)-</v>
      </c>
      <c r="H2" s="851" t="str">
        <f t="shared" si="0"/>
        <v>(含)-</v>
      </c>
      <c r="I2" s="851" t="str">
        <f t="shared" si="0"/>
        <v>(含)-</v>
      </c>
      <c r="J2" s="851" t="str">
        <f t="shared" si="0"/>
        <v>(含)-</v>
      </c>
      <c r="K2" s="851" t="str">
        <f t="shared" si="0"/>
        <v>(含)-</v>
      </c>
      <c r="L2" s="851" t="str">
        <f t="shared" si="0"/>
        <v>(含)-</v>
      </c>
      <c r="M2" s="851" t="str">
        <f t="shared" ref="M2:R2" si="1">M3&amp;"(含)"&amp;"-"&amp;N3</f>
        <v>(含)-</v>
      </c>
      <c r="N2" s="851" t="str">
        <f t="shared" si="1"/>
        <v>(含)-</v>
      </c>
      <c r="O2" s="851" t="str">
        <f t="shared" si="1"/>
        <v>(含)-</v>
      </c>
      <c r="P2" s="851" t="str">
        <f t="shared" si="1"/>
        <v>(含)-</v>
      </c>
      <c r="Q2" s="851" t="str">
        <f t="shared" si="1"/>
        <v>(含)-</v>
      </c>
      <c r="R2" s="851" t="str">
        <f t="shared" si="1"/>
        <v>(含)-</v>
      </c>
      <c r="S2" s="2110" t="str">
        <f>S3&amp;"(含)"&amp;"-"</f>
        <v>(含)-</v>
      </c>
      <c r="T2" s="852"/>
      <c r="U2" s="2111"/>
      <c r="V2" s="2111"/>
      <c r="W2" s="2111"/>
      <c r="X2" s="2111"/>
      <c r="Y2" s="2111"/>
      <c r="Z2" s="2111"/>
      <c r="AA2" s="2111"/>
      <c r="AB2" s="2111"/>
      <c r="AC2" s="2111"/>
      <c r="AD2" s="2111"/>
      <c r="AE2" s="2111"/>
      <c r="AF2" s="2111"/>
      <c r="AG2" s="2111"/>
      <c r="AH2" s="2111"/>
      <c r="AI2" s="2111"/>
      <c r="AJ2" s="2111"/>
      <c r="AK2" s="2111"/>
      <c r="AL2" s="2111"/>
      <c r="AM2" s="2111"/>
      <c r="AN2" s="2111"/>
      <c r="AO2" s="2111"/>
      <c r="AP2" s="2111"/>
      <c r="AQ2" s="2111"/>
      <c r="AR2" s="2111"/>
      <c r="AS2" s="2111"/>
    </row>
    <row r="3" spans="1:45" s="1853" customFormat="1">
      <c r="A3" s="2112"/>
      <c r="B3" s="853"/>
      <c r="C3" s="854"/>
      <c r="D3" s="855"/>
      <c r="E3" s="855"/>
      <c r="F3" s="855"/>
      <c r="G3" s="855"/>
      <c r="H3" s="855"/>
      <c r="I3" s="855"/>
      <c r="J3" s="856"/>
      <c r="K3" s="856"/>
      <c r="L3" s="857"/>
      <c r="M3" s="2113"/>
      <c r="N3" s="2114"/>
      <c r="O3" s="855"/>
      <c r="P3" s="855"/>
      <c r="Q3" s="855"/>
      <c r="R3" s="855"/>
      <c r="S3" s="2115"/>
      <c r="T3" s="858"/>
      <c r="U3" s="2116"/>
      <c r="V3" s="2116"/>
      <c r="W3" s="2116"/>
      <c r="X3" s="2116"/>
      <c r="Y3" s="2116"/>
      <c r="Z3" s="2116"/>
      <c r="AA3" s="2116"/>
      <c r="AB3" s="2116"/>
      <c r="AC3" s="2116"/>
      <c r="AD3" s="2116"/>
      <c r="AE3" s="2116"/>
      <c r="AF3" s="2116"/>
      <c r="AG3" s="2116"/>
      <c r="AH3" s="2116"/>
      <c r="AI3" s="2116"/>
      <c r="AJ3" s="2116"/>
      <c r="AK3" s="2116"/>
      <c r="AL3" s="2116"/>
      <c r="AM3" s="2116"/>
      <c r="AN3" s="2116"/>
      <c r="AO3" s="2116"/>
      <c r="AP3" s="2116"/>
      <c r="AQ3" s="2116"/>
      <c r="AR3" s="2116"/>
      <c r="AS3" s="2116"/>
    </row>
    <row r="4" spans="1:45" s="1853" customFormat="1" ht="13.5" thickBot="1">
      <c r="A4" s="2117"/>
      <c r="B4" s="2118"/>
      <c r="C4" s="2119"/>
      <c r="D4" s="2120"/>
      <c r="E4" s="2120"/>
      <c r="F4" s="2120"/>
      <c r="G4" s="2120"/>
      <c r="H4" s="2120"/>
      <c r="I4" s="2120"/>
      <c r="J4" s="2120"/>
      <c r="K4" s="2120"/>
      <c r="L4" s="2120"/>
      <c r="M4" s="2121"/>
      <c r="N4" s="2122"/>
      <c r="O4" s="2120"/>
      <c r="P4" s="2120"/>
      <c r="Q4" s="2120"/>
      <c r="R4" s="2120"/>
      <c r="S4" s="2123"/>
      <c r="T4" s="2124"/>
      <c r="U4" s="2116"/>
      <c r="V4" s="2116"/>
      <c r="W4" s="2116"/>
      <c r="X4" s="2116"/>
      <c r="Y4" s="2116"/>
      <c r="Z4" s="2116"/>
      <c r="AA4" s="2116"/>
      <c r="AB4" s="2116"/>
      <c r="AC4" s="2116"/>
      <c r="AD4" s="2116"/>
      <c r="AE4" s="2116"/>
      <c r="AF4" s="2116"/>
      <c r="AG4" s="2116"/>
      <c r="AH4" s="2116"/>
      <c r="AI4" s="2116"/>
      <c r="AJ4" s="2116"/>
      <c r="AK4" s="2116"/>
      <c r="AL4" s="2116"/>
      <c r="AM4" s="2116"/>
      <c r="AN4" s="2116"/>
      <c r="AO4" s="2116"/>
      <c r="AP4" s="2116"/>
      <c r="AQ4" s="2116"/>
      <c r="AR4" s="2116"/>
      <c r="AS4" s="2116"/>
    </row>
    <row r="5" spans="1:45" s="1854" customFormat="1">
      <c r="A5" s="2125"/>
      <c r="B5" s="2944" t="s">
        <v>2840</v>
      </c>
      <c r="C5" s="2126"/>
      <c r="D5" s="2127"/>
      <c r="E5" s="2127"/>
      <c r="F5" s="2127"/>
      <c r="G5" s="2127"/>
      <c r="H5" s="2127"/>
      <c r="I5" s="2127"/>
      <c r="J5" s="2127"/>
      <c r="K5" s="2127"/>
      <c r="L5" s="2128"/>
      <c r="M5" s="2129"/>
      <c r="N5" s="2129"/>
      <c r="O5" s="2127"/>
      <c r="P5" s="2127"/>
      <c r="Q5" s="2127"/>
      <c r="R5" s="2127"/>
      <c r="S5" s="2130"/>
      <c r="T5" s="2131"/>
      <c r="U5" s="2132"/>
      <c r="V5" s="2132"/>
      <c r="W5" s="2132"/>
      <c r="X5" s="2132"/>
      <c r="Y5" s="2132"/>
      <c r="Z5" s="2132"/>
      <c r="AA5" s="2132"/>
      <c r="AB5" s="2132"/>
      <c r="AC5" s="2132"/>
      <c r="AD5" s="2132"/>
      <c r="AE5" s="2132"/>
      <c r="AF5" s="2132"/>
      <c r="AG5" s="2132"/>
      <c r="AH5" s="2132"/>
      <c r="AI5" s="2132"/>
      <c r="AJ5" s="2132"/>
      <c r="AK5" s="2132"/>
      <c r="AL5" s="2132"/>
      <c r="AM5" s="2132"/>
      <c r="AN5" s="2132"/>
      <c r="AO5" s="2132"/>
      <c r="AP5" s="2132"/>
      <c r="AQ5" s="2132"/>
      <c r="AR5" s="2132"/>
      <c r="AS5" s="2132"/>
    </row>
    <row r="6" spans="1:45" s="1854" customFormat="1" ht="13.5" thickBot="1">
      <c r="A6" s="2125"/>
      <c r="B6" s="1846"/>
      <c r="C6" s="1850">
        <v>100</v>
      </c>
      <c r="D6" s="1851">
        <f>C6-$T5</f>
        <v>100</v>
      </c>
      <c r="E6" s="1851">
        <f t="shared" ref="E6:S6" si="2">D6-$T5</f>
        <v>100</v>
      </c>
      <c r="F6" s="1851">
        <f t="shared" si="2"/>
        <v>100</v>
      </c>
      <c r="G6" s="1851">
        <f t="shared" si="2"/>
        <v>100</v>
      </c>
      <c r="H6" s="1851">
        <f t="shared" si="2"/>
        <v>100</v>
      </c>
      <c r="I6" s="1851">
        <f t="shared" si="2"/>
        <v>100</v>
      </c>
      <c r="J6" s="1851">
        <f t="shared" si="2"/>
        <v>100</v>
      </c>
      <c r="K6" s="1851">
        <f t="shared" si="2"/>
        <v>100</v>
      </c>
      <c r="L6" s="1851">
        <f t="shared" si="2"/>
        <v>100</v>
      </c>
      <c r="M6" s="1851">
        <f t="shared" si="2"/>
        <v>100</v>
      </c>
      <c r="N6" s="1851">
        <f t="shared" si="2"/>
        <v>100</v>
      </c>
      <c r="O6" s="1851">
        <f t="shared" si="2"/>
        <v>100</v>
      </c>
      <c r="P6" s="1851">
        <f t="shared" si="2"/>
        <v>100</v>
      </c>
      <c r="Q6" s="1851">
        <f t="shared" si="2"/>
        <v>100</v>
      </c>
      <c r="R6" s="1851">
        <f t="shared" si="2"/>
        <v>100</v>
      </c>
      <c r="S6" s="1851">
        <f t="shared" si="2"/>
        <v>100</v>
      </c>
      <c r="T6" s="1849"/>
      <c r="U6" s="2132"/>
      <c r="V6" s="2132"/>
      <c r="W6" s="2132"/>
      <c r="X6" s="2132"/>
      <c r="Y6" s="2132"/>
      <c r="Z6" s="2132"/>
      <c r="AA6" s="2132"/>
      <c r="AB6" s="2132"/>
      <c r="AC6" s="2132"/>
      <c r="AD6" s="2132"/>
      <c r="AE6" s="2132"/>
      <c r="AF6" s="2132"/>
      <c r="AG6" s="2132"/>
      <c r="AH6" s="2132"/>
      <c r="AI6" s="2132"/>
      <c r="AJ6" s="2132"/>
      <c r="AK6" s="2132"/>
      <c r="AL6" s="2132"/>
      <c r="AM6" s="2132"/>
      <c r="AN6" s="2132"/>
      <c r="AO6" s="2132"/>
      <c r="AP6" s="2132"/>
      <c r="AQ6" s="2132"/>
      <c r="AR6" s="2132"/>
      <c r="AS6" s="2132"/>
    </row>
    <row r="7" spans="1:45" s="1854" customFormat="1">
      <c r="A7" s="2125"/>
      <c r="B7" s="2946" t="s">
        <v>2839</v>
      </c>
      <c r="C7" s="1843"/>
      <c r="D7" s="1844"/>
      <c r="E7" s="1844"/>
      <c r="F7" s="1844"/>
      <c r="G7" s="1844"/>
      <c r="H7" s="1844"/>
      <c r="I7" s="1844"/>
      <c r="J7" s="1844"/>
      <c r="K7" s="1844"/>
      <c r="L7" s="1844"/>
      <c r="M7" s="2133"/>
      <c r="N7" s="2134"/>
      <c r="O7" s="2135"/>
      <c r="P7" s="2136"/>
      <c r="Q7" s="2137"/>
      <c r="R7" s="2138"/>
      <c r="S7" s="2139"/>
      <c r="T7" s="859"/>
      <c r="U7" s="2132"/>
      <c r="V7" s="2132"/>
      <c r="W7" s="2132"/>
      <c r="X7" s="2132"/>
      <c r="Y7" s="2132"/>
      <c r="Z7" s="2132"/>
      <c r="AA7" s="2132"/>
      <c r="AB7" s="2132"/>
      <c r="AC7" s="2132"/>
      <c r="AD7" s="2132"/>
      <c r="AE7" s="2132"/>
      <c r="AF7" s="2132"/>
      <c r="AG7" s="2132"/>
      <c r="AH7" s="2132"/>
      <c r="AI7" s="2132"/>
      <c r="AJ7" s="2132"/>
      <c r="AK7" s="2132"/>
      <c r="AL7" s="2132"/>
      <c r="AM7" s="2132"/>
      <c r="AN7" s="2132"/>
      <c r="AO7" s="2132"/>
      <c r="AP7" s="2132"/>
      <c r="AQ7" s="2132"/>
      <c r="AR7" s="2132"/>
      <c r="AS7" s="2132"/>
    </row>
    <row r="8" spans="1:45" s="1854" customFormat="1" ht="13.5" thickBot="1">
      <c r="A8" s="2125"/>
      <c r="B8" s="1846"/>
      <c r="C8" s="1850">
        <v>100</v>
      </c>
      <c r="D8" s="1851">
        <f>C8-$T7</f>
        <v>100</v>
      </c>
      <c r="E8" s="1851">
        <f t="shared" ref="E8:S8" si="3">D8-$T7</f>
        <v>100</v>
      </c>
      <c r="F8" s="1851">
        <f t="shared" si="3"/>
        <v>100</v>
      </c>
      <c r="G8" s="1851">
        <f t="shared" si="3"/>
        <v>100</v>
      </c>
      <c r="H8" s="1851">
        <f t="shared" si="3"/>
        <v>100</v>
      </c>
      <c r="I8" s="1851">
        <f t="shared" si="3"/>
        <v>100</v>
      </c>
      <c r="J8" s="1851">
        <f t="shared" si="3"/>
        <v>100</v>
      </c>
      <c r="K8" s="1851">
        <f t="shared" si="3"/>
        <v>100</v>
      </c>
      <c r="L8" s="1851">
        <f t="shared" si="3"/>
        <v>100</v>
      </c>
      <c r="M8" s="1851">
        <f t="shared" si="3"/>
        <v>100</v>
      </c>
      <c r="N8" s="1851">
        <f t="shared" si="3"/>
        <v>100</v>
      </c>
      <c r="O8" s="1851">
        <f t="shared" si="3"/>
        <v>100</v>
      </c>
      <c r="P8" s="1851">
        <f t="shared" si="3"/>
        <v>100</v>
      </c>
      <c r="Q8" s="1851">
        <f t="shared" si="3"/>
        <v>100</v>
      </c>
      <c r="R8" s="1851">
        <f t="shared" si="3"/>
        <v>100</v>
      </c>
      <c r="S8" s="1851">
        <f t="shared" si="3"/>
        <v>100</v>
      </c>
      <c r="T8" s="1849"/>
      <c r="U8" s="2132"/>
      <c r="V8" s="2132"/>
      <c r="W8" s="2132"/>
      <c r="X8" s="2132"/>
      <c r="Y8" s="2132"/>
      <c r="Z8" s="2132"/>
      <c r="AA8" s="2132"/>
      <c r="AB8" s="2132"/>
      <c r="AC8" s="2132"/>
      <c r="AD8" s="2132"/>
      <c r="AE8" s="2132"/>
      <c r="AF8" s="2132"/>
      <c r="AG8" s="2132"/>
      <c r="AH8" s="2132"/>
      <c r="AI8" s="2132"/>
      <c r="AJ8" s="2132"/>
      <c r="AK8" s="2132"/>
      <c r="AL8" s="2132"/>
      <c r="AM8" s="2132"/>
      <c r="AN8" s="2132"/>
      <c r="AO8" s="2132"/>
      <c r="AP8" s="2132"/>
      <c r="AQ8" s="2132"/>
      <c r="AR8" s="2132"/>
      <c r="AS8" s="2132"/>
    </row>
    <row r="9" spans="1:45" s="1854" customFormat="1">
      <c r="A9" s="2125"/>
      <c r="B9" s="2946" t="s">
        <v>2838</v>
      </c>
      <c r="C9" s="1843"/>
      <c r="D9" s="1844"/>
      <c r="E9" s="1844"/>
      <c r="F9" s="1844"/>
      <c r="G9" s="1844"/>
      <c r="H9" s="1844"/>
      <c r="I9" s="1844"/>
      <c r="J9" s="1844"/>
      <c r="K9" s="1844"/>
      <c r="L9" s="1845"/>
      <c r="M9" s="2133"/>
      <c r="N9" s="2134"/>
      <c r="O9" s="2135"/>
      <c r="P9" s="2136"/>
      <c r="Q9" s="2137"/>
      <c r="R9" s="2138"/>
      <c r="S9" s="2139"/>
      <c r="T9" s="859"/>
      <c r="U9" s="2132"/>
      <c r="V9" s="2132"/>
      <c r="W9" s="2132"/>
      <c r="X9" s="2132"/>
      <c r="Y9" s="2132"/>
      <c r="Z9" s="2132"/>
      <c r="AA9" s="2132"/>
      <c r="AB9" s="2132"/>
      <c r="AC9" s="2132"/>
      <c r="AD9" s="2132"/>
      <c r="AE9" s="2132"/>
      <c r="AF9" s="2132"/>
      <c r="AG9" s="2132"/>
      <c r="AH9" s="2132"/>
      <c r="AI9" s="2132"/>
      <c r="AJ9" s="2132"/>
      <c r="AK9" s="2132"/>
      <c r="AL9" s="2132"/>
      <c r="AM9" s="2132"/>
      <c r="AN9" s="2132"/>
      <c r="AO9" s="2132"/>
      <c r="AP9" s="2132"/>
      <c r="AQ9" s="2132"/>
      <c r="AR9" s="2132"/>
      <c r="AS9" s="2132"/>
    </row>
    <row r="10" spans="1:45" s="1854" customFormat="1" ht="13.5" thickBot="1">
      <c r="A10" s="2125"/>
      <c r="B10" s="2945"/>
      <c r="C10" s="2140">
        <v>100</v>
      </c>
      <c r="D10" s="2141">
        <f>C10-$T9</f>
        <v>100</v>
      </c>
      <c r="E10" s="2141">
        <f t="shared" ref="E10:S10" si="4">D10-$T9</f>
        <v>100</v>
      </c>
      <c r="F10" s="2141">
        <f t="shared" si="4"/>
        <v>100</v>
      </c>
      <c r="G10" s="2141">
        <f t="shared" si="4"/>
        <v>100</v>
      </c>
      <c r="H10" s="2141">
        <f t="shared" si="4"/>
        <v>100</v>
      </c>
      <c r="I10" s="2141">
        <f t="shared" si="4"/>
        <v>100</v>
      </c>
      <c r="J10" s="2141">
        <f t="shared" si="4"/>
        <v>100</v>
      </c>
      <c r="K10" s="2141">
        <f t="shared" si="4"/>
        <v>100</v>
      </c>
      <c r="L10" s="2141">
        <f t="shared" si="4"/>
        <v>100</v>
      </c>
      <c r="M10" s="2141">
        <f t="shared" si="4"/>
        <v>100</v>
      </c>
      <c r="N10" s="2141">
        <f t="shared" si="4"/>
        <v>100</v>
      </c>
      <c r="O10" s="2141">
        <f t="shared" si="4"/>
        <v>100</v>
      </c>
      <c r="P10" s="2141">
        <f t="shared" si="4"/>
        <v>100</v>
      </c>
      <c r="Q10" s="2141">
        <f t="shared" si="4"/>
        <v>100</v>
      </c>
      <c r="R10" s="2141">
        <f t="shared" si="4"/>
        <v>100</v>
      </c>
      <c r="S10" s="2141">
        <f t="shared" si="4"/>
        <v>100</v>
      </c>
      <c r="T10" s="2124"/>
      <c r="U10" s="2132"/>
      <c r="V10" s="2132"/>
      <c r="W10" s="2132"/>
      <c r="X10" s="2132"/>
      <c r="Y10" s="2132"/>
      <c r="Z10" s="2132"/>
      <c r="AA10" s="2132"/>
      <c r="AB10" s="2132"/>
      <c r="AC10" s="2132"/>
      <c r="AD10" s="2132"/>
      <c r="AE10" s="2132"/>
      <c r="AF10" s="2132"/>
      <c r="AG10" s="2132"/>
      <c r="AH10" s="2132"/>
      <c r="AI10" s="2132"/>
      <c r="AJ10" s="2132"/>
      <c r="AK10" s="2132"/>
      <c r="AL10" s="2132"/>
      <c r="AM10" s="2132"/>
      <c r="AN10" s="2132"/>
      <c r="AO10" s="2132"/>
      <c r="AP10" s="2132"/>
      <c r="AQ10" s="2132"/>
      <c r="AR10" s="2132"/>
      <c r="AS10" s="2132"/>
    </row>
    <row r="11" spans="1:45" s="1854" customFormat="1">
      <c r="A11" s="2125"/>
      <c r="B11" s="2944" t="s">
        <v>2853</v>
      </c>
      <c r="C11" s="2126"/>
      <c r="D11" s="2127"/>
      <c r="E11" s="2127"/>
      <c r="F11" s="2127"/>
      <c r="G11" s="2127"/>
      <c r="H11" s="2127"/>
      <c r="I11" s="2127"/>
      <c r="J11" s="2127"/>
      <c r="K11" s="2127"/>
      <c r="L11" s="2127"/>
      <c r="M11" s="2129"/>
      <c r="N11" s="2142"/>
      <c r="O11" s="2143"/>
      <c r="P11" s="2144"/>
      <c r="Q11" s="2145"/>
      <c r="R11" s="2146"/>
      <c r="S11" s="2147"/>
      <c r="T11" s="2131"/>
      <c r="U11" s="2132"/>
      <c r="V11" s="2132"/>
      <c r="W11" s="2132"/>
      <c r="X11" s="2132"/>
      <c r="Y11" s="2132"/>
      <c r="Z11" s="2132"/>
      <c r="AA11" s="2132"/>
      <c r="AB11" s="2132"/>
      <c r="AC11" s="2132"/>
      <c r="AD11" s="2132"/>
      <c r="AE11" s="2132"/>
      <c r="AF11" s="2132"/>
      <c r="AG11" s="2132"/>
      <c r="AH11" s="2132"/>
      <c r="AI11" s="2132"/>
      <c r="AJ11" s="2132"/>
      <c r="AK11" s="2132"/>
      <c r="AL11" s="2132"/>
      <c r="AM11" s="2132"/>
      <c r="AN11" s="2132"/>
      <c r="AO11" s="2132"/>
      <c r="AP11" s="2132"/>
      <c r="AQ11" s="2132"/>
      <c r="AR11" s="2132"/>
      <c r="AS11" s="2132"/>
    </row>
    <row r="12" spans="1:45" s="1854" customFormat="1" ht="13.5" thickBot="1">
      <c r="A12" s="2125"/>
      <c r="B12" s="1846"/>
      <c r="C12" s="1850">
        <v>100</v>
      </c>
      <c r="D12" s="1851">
        <f>C12-$T11</f>
        <v>100</v>
      </c>
      <c r="E12" s="1851">
        <f t="shared" ref="E12:S12" si="5">D12-$T11</f>
        <v>100</v>
      </c>
      <c r="F12" s="1851">
        <f t="shared" si="5"/>
        <v>100</v>
      </c>
      <c r="G12" s="1851">
        <f t="shared" si="5"/>
        <v>100</v>
      </c>
      <c r="H12" s="1851">
        <f t="shared" si="5"/>
        <v>100</v>
      </c>
      <c r="I12" s="1851">
        <f t="shared" si="5"/>
        <v>100</v>
      </c>
      <c r="J12" s="1851">
        <f t="shared" si="5"/>
        <v>100</v>
      </c>
      <c r="K12" s="1851">
        <f t="shared" si="5"/>
        <v>100</v>
      </c>
      <c r="L12" s="1851">
        <f t="shared" si="5"/>
        <v>100</v>
      </c>
      <c r="M12" s="1851">
        <f t="shared" si="5"/>
        <v>100</v>
      </c>
      <c r="N12" s="1851">
        <f t="shared" si="5"/>
        <v>100</v>
      </c>
      <c r="O12" s="1851">
        <f t="shared" si="5"/>
        <v>100</v>
      </c>
      <c r="P12" s="1851">
        <f t="shared" si="5"/>
        <v>100</v>
      </c>
      <c r="Q12" s="1851">
        <f t="shared" si="5"/>
        <v>100</v>
      </c>
      <c r="R12" s="1851">
        <f t="shared" si="5"/>
        <v>100</v>
      </c>
      <c r="S12" s="1851">
        <f t="shared" si="5"/>
        <v>100</v>
      </c>
      <c r="T12" s="1849"/>
      <c r="U12" s="2132"/>
      <c r="V12" s="2132"/>
      <c r="W12" s="2132"/>
      <c r="X12" s="2132"/>
      <c r="Y12" s="2132"/>
      <c r="Z12" s="2132"/>
      <c r="AA12" s="2132"/>
      <c r="AB12" s="2132"/>
      <c r="AC12" s="2132"/>
      <c r="AD12" s="2132"/>
      <c r="AE12" s="2132"/>
      <c r="AF12" s="2132"/>
      <c r="AG12" s="2132"/>
      <c r="AH12" s="2132"/>
      <c r="AI12" s="2132"/>
      <c r="AJ12" s="2132"/>
      <c r="AK12" s="2132"/>
      <c r="AL12" s="2132"/>
      <c r="AM12" s="2132"/>
      <c r="AN12" s="2132"/>
      <c r="AO12" s="2132"/>
      <c r="AP12" s="2132"/>
      <c r="AQ12" s="2132"/>
      <c r="AR12" s="2132"/>
      <c r="AS12" s="2132"/>
    </row>
    <row r="13" spans="1:45" s="1854" customFormat="1">
      <c r="A13" s="2125"/>
      <c r="B13" s="2944" t="s">
        <v>2837</v>
      </c>
      <c r="C13" s="2126"/>
      <c r="D13" s="2127"/>
      <c r="E13" s="2127"/>
      <c r="F13" s="2127"/>
      <c r="G13" s="2127"/>
      <c r="H13" s="2127"/>
      <c r="I13" s="2127"/>
      <c r="J13" s="2127"/>
      <c r="K13" s="2127"/>
      <c r="L13" s="2127"/>
      <c r="M13" s="2129"/>
      <c r="N13" s="2142"/>
      <c r="O13" s="2143"/>
      <c r="P13" s="2144"/>
      <c r="Q13" s="2145"/>
      <c r="R13" s="2146"/>
      <c r="S13" s="2147"/>
      <c r="T13" s="2148"/>
      <c r="U13" s="2132"/>
      <c r="V13" s="2132"/>
      <c r="W13" s="2132"/>
      <c r="X13" s="2132"/>
      <c r="Y13" s="2132"/>
      <c r="Z13" s="2132"/>
      <c r="AA13" s="2132"/>
      <c r="AB13" s="2132"/>
      <c r="AC13" s="2132"/>
      <c r="AD13" s="2132"/>
      <c r="AE13" s="2132"/>
      <c r="AF13" s="2132"/>
      <c r="AG13" s="2132"/>
      <c r="AH13" s="2132"/>
      <c r="AI13" s="2132"/>
      <c r="AJ13" s="2132"/>
      <c r="AK13" s="2132"/>
      <c r="AL13" s="2132"/>
      <c r="AM13" s="2132"/>
      <c r="AN13" s="2132"/>
      <c r="AO13" s="2132"/>
      <c r="AP13" s="2132"/>
      <c r="AQ13" s="2132"/>
      <c r="AR13" s="2132"/>
      <c r="AS13" s="2132"/>
    </row>
    <row r="14" spans="1:45" s="1854" customFormat="1" ht="13.5" thickBot="1">
      <c r="A14" s="2125"/>
      <c r="B14" s="1846"/>
      <c r="C14" s="1847"/>
      <c r="D14" s="1848"/>
      <c r="E14" s="1848"/>
      <c r="F14" s="1848"/>
      <c r="G14" s="1848"/>
      <c r="H14" s="1848"/>
      <c r="I14" s="1848"/>
      <c r="J14" s="1848"/>
      <c r="K14" s="1848"/>
      <c r="L14" s="1848"/>
      <c r="M14" s="2149"/>
      <c r="N14" s="2149"/>
      <c r="O14" s="1848"/>
      <c r="P14" s="1848"/>
      <c r="Q14" s="1848"/>
      <c r="R14" s="1848"/>
      <c r="S14" s="2150"/>
      <c r="T14" s="1849"/>
      <c r="U14" s="2132"/>
      <c r="V14" s="2132"/>
      <c r="W14" s="2132"/>
      <c r="X14" s="2132"/>
      <c r="Y14" s="2132"/>
      <c r="Z14" s="2132"/>
      <c r="AA14" s="2132"/>
      <c r="AB14" s="2132"/>
      <c r="AC14" s="2132"/>
      <c r="AD14" s="2132"/>
      <c r="AE14" s="2132"/>
      <c r="AF14" s="2132"/>
      <c r="AG14" s="2132"/>
      <c r="AH14" s="2132"/>
      <c r="AI14" s="2132"/>
      <c r="AJ14" s="2132"/>
      <c r="AK14" s="2132"/>
      <c r="AL14" s="2132"/>
      <c r="AM14" s="2132"/>
      <c r="AN14" s="2132"/>
      <c r="AO14" s="2132"/>
      <c r="AP14" s="2132"/>
      <c r="AQ14" s="2132"/>
      <c r="AR14" s="2132"/>
      <c r="AS14" s="2132"/>
    </row>
    <row r="15" spans="1:45" s="1854" customFormat="1">
      <c r="A15" s="2125"/>
      <c r="B15" s="2944" t="s">
        <v>2836</v>
      </c>
      <c r="C15" s="2126"/>
      <c r="D15" s="2127"/>
      <c r="E15" s="2127"/>
      <c r="F15" s="2127"/>
      <c r="G15" s="2127"/>
      <c r="H15" s="2127"/>
      <c r="I15" s="2127"/>
      <c r="J15" s="2127"/>
      <c r="K15" s="2127"/>
      <c r="L15" s="2127"/>
      <c r="M15" s="2129"/>
      <c r="N15" s="2142"/>
      <c r="O15" s="2143"/>
      <c r="P15" s="2144"/>
      <c r="Q15" s="2145"/>
      <c r="R15" s="2146"/>
      <c r="S15" s="2147"/>
      <c r="T15" s="2148"/>
      <c r="U15" s="2132"/>
      <c r="V15" s="2132"/>
      <c r="W15" s="2132"/>
      <c r="X15" s="2132"/>
      <c r="Y15" s="2132"/>
      <c r="Z15" s="2132"/>
      <c r="AA15" s="2132"/>
      <c r="AB15" s="2132"/>
      <c r="AC15" s="2132"/>
      <c r="AD15" s="2132"/>
      <c r="AE15" s="2132"/>
      <c r="AF15" s="2132"/>
      <c r="AG15" s="2132"/>
      <c r="AH15" s="2132"/>
      <c r="AI15" s="2132"/>
      <c r="AJ15" s="2132"/>
      <c r="AK15" s="2132"/>
      <c r="AL15" s="2132"/>
      <c r="AM15" s="2132"/>
      <c r="AN15" s="2132"/>
      <c r="AO15" s="2132"/>
      <c r="AP15" s="2132"/>
      <c r="AQ15" s="2132"/>
      <c r="AR15" s="2132"/>
      <c r="AS15" s="2132"/>
    </row>
    <row r="16" spans="1:45" s="1854" customFormat="1" ht="13.5" thickBot="1">
      <c r="A16" s="2125"/>
      <c r="B16" s="2118"/>
      <c r="C16" s="2119"/>
      <c r="D16" s="2120"/>
      <c r="E16" s="2120"/>
      <c r="F16" s="2120"/>
      <c r="G16" s="2120"/>
      <c r="H16" s="2120"/>
      <c r="I16" s="2120"/>
      <c r="J16" s="2120"/>
      <c r="K16" s="2120"/>
      <c r="L16" s="2120"/>
      <c r="M16" s="2121"/>
      <c r="N16" s="2121"/>
      <c r="O16" s="2120"/>
      <c r="P16" s="2120"/>
      <c r="Q16" s="2120"/>
      <c r="R16" s="2120"/>
      <c r="S16" s="2123"/>
      <c r="T16" s="2124"/>
      <c r="U16" s="2132"/>
      <c r="V16" s="2132"/>
      <c r="W16" s="2132"/>
      <c r="X16" s="2132"/>
      <c r="Y16" s="2132"/>
      <c r="Z16" s="2132"/>
      <c r="AA16" s="2132"/>
      <c r="AB16" s="2132"/>
      <c r="AC16" s="2132"/>
      <c r="AD16" s="2132"/>
      <c r="AE16" s="2132"/>
      <c r="AF16" s="2132"/>
      <c r="AG16" s="2132"/>
      <c r="AH16" s="2132"/>
      <c r="AI16" s="2132"/>
      <c r="AJ16" s="2132"/>
      <c r="AK16" s="2132"/>
      <c r="AL16" s="2132"/>
      <c r="AM16" s="2132"/>
      <c r="AN16" s="2132"/>
      <c r="AO16" s="2132"/>
      <c r="AP16" s="2132"/>
      <c r="AQ16" s="2132"/>
      <c r="AR16" s="2132"/>
      <c r="AS16" s="2132"/>
    </row>
    <row r="17" spans="1:45" s="1852" customFormat="1">
      <c r="A17" s="2151" t="s">
        <v>2238</v>
      </c>
      <c r="B17" s="2152" t="s">
        <v>2239</v>
      </c>
      <c r="C17" s="2153"/>
      <c r="D17" s="2154"/>
      <c r="E17" s="2154"/>
      <c r="F17" s="2154"/>
      <c r="G17" s="2154"/>
      <c r="H17" s="2154"/>
      <c r="I17" s="2154"/>
      <c r="J17" s="2154"/>
      <c r="K17" s="2154"/>
      <c r="L17" s="2155"/>
      <c r="M17" s="2156"/>
      <c r="N17" s="2157"/>
      <c r="O17" s="2158"/>
      <c r="P17" s="2159"/>
      <c r="Q17" s="2160"/>
      <c r="R17" s="2161"/>
      <c r="S17" s="2162"/>
      <c r="T17" s="2162"/>
      <c r="U17" s="2162"/>
      <c r="V17" s="2162"/>
      <c r="W17" s="2162"/>
      <c r="X17" s="2162"/>
      <c r="Y17" s="2162"/>
      <c r="Z17" s="2162"/>
      <c r="AA17" s="2162"/>
      <c r="AB17" s="2162"/>
      <c r="AC17" s="2162"/>
      <c r="AD17" s="2162"/>
      <c r="AE17" s="2162"/>
      <c r="AF17" s="2162"/>
      <c r="AG17" s="2162"/>
      <c r="AH17" s="2162"/>
      <c r="AI17" s="2162"/>
      <c r="AJ17" s="2162"/>
      <c r="AK17" s="2162"/>
      <c r="AL17" s="2162"/>
      <c r="AM17" s="2162"/>
      <c r="AN17" s="2162"/>
      <c r="AO17" s="2162"/>
      <c r="AP17" s="2162"/>
      <c r="AQ17" s="2162"/>
      <c r="AR17" s="2111"/>
      <c r="AS17" s="2111"/>
    </row>
    <row r="18" spans="1:45" s="1852" customFormat="1" ht="13.5" thickBot="1">
      <c r="A18" s="2163"/>
      <c r="B18" s="2164"/>
      <c r="C18" s="2165"/>
      <c r="D18" s="2166"/>
      <c r="E18" s="2166"/>
      <c r="F18" s="2166"/>
      <c r="G18" s="2166"/>
      <c r="H18" s="2166"/>
      <c r="I18" s="2166"/>
      <c r="J18" s="2166"/>
      <c r="K18" s="2166"/>
      <c r="L18" s="2166"/>
      <c r="M18" s="2167"/>
      <c r="N18" s="2167"/>
      <c r="O18" s="2166"/>
      <c r="P18" s="2166"/>
      <c r="Q18" s="2166"/>
      <c r="R18" s="2166"/>
      <c r="S18" s="2168"/>
      <c r="T18" s="2168"/>
      <c r="U18" s="2168"/>
      <c r="V18" s="2168"/>
      <c r="W18" s="2168"/>
      <c r="X18" s="2168"/>
      <c r="Y18" s="2168"/>
      <c r="Z18" s="2168"/>
      <c r="AA18" s="2168"/>
      <c r="AB18" s="2168"/>
      <c r="AC18" s="2168"/>
      <c r="AD18" s="2168"/>
      <c r="AE18" s="2168"/>
      <c r="AF18" s="2168"/>
      <c r="AG18" s="2168"/>
      <c r="AH18" s="2168"/>
      <c r="AI18" s="2168"/>
      <c r="AJ18" s="2168"/>
      <c r="AK18" s="2168"/>
      <c r="AL18" s="2168"/>
      <c r="AM18" s="2168"/>
      <c r="AN18" s="2168"/>
      <c r="AO18" s="2168"/>
      <c r="AP18" s="2168"/>
      <c r="AQ18" s="2168"/>
      <c r="AR18" s="2111"/>
      <c r="AS18" s="2111"/>
    </row>
    <row r="19" spans="1:45">
      <c r="A19" s="215"/>
      <c r="B19" s="848"/>
      <c r="C19" s="1871"/>
      <c r="D19" s="1871"/>
      <c r="E19" s="1871"/>
      <c r="F19" s="1871"/>
      <c r="G19" s="1871"/>
      <c r="H19" s="1871"/>
      <c r="I19" s="1871"/>
      <c r="J19" s="1871"/>
      <c r="K19" s="1871"/>
      <c r="L19" s="1871"/>
      <c r="M19" s="1871"/>
      <c r="N19" s="1871"/>
      <c r="O19" s="1871"/>
      <c r="P19" s="1871"/>
      <c r="Q19" s="1871"/>
      <c r="R19" s="2100"/>
      <c r="S19" s="1903"/>
    </row>
    <row r="20" spans="1:45" ht="15.75">
      <c r="A20" s="860" t="s">
        <v>767</v>
      </c>
      <c r="B20" s="675">
        <f>S22</f>
        <v>0</v>
      </c>
      <c r="C20" s="1871"/>
      <c r="D20" s="1871"/>
      <c r="E20" s="1871"/>
      <c r="F20" s="1871"/>
      <c r="G20" s="1871"/>
      <c r="H20" s="1871"/>
      <c r="I20" s="1871"/>
      <c r="J20" s="1871"/>
      <c r="K20" s="1871"/>
      <c r="L20" s="1871"/>
      <c r="M20" s="1871"/>
      <c r="N20" s="1871"/>
      <c r="O20" s="1871"/>
      <c r="P20" s="1871"/>
      <c r="Q20" s="1871"/>
      <c r="R20" s="2100"/>
      <c r="S20" s="1903"/>
    </row>
    <row r="21" spans="1:45" ht="15.75">
      <c r="A21" s="860" t="s">
        <v>768</v>
      </c>
      <c r="B21" s="675" t="e">
        <f>R22</f>
        <v>#DIV/0!</v>
      </c>
      <c r="C21" s="1871"/>
      <c r="D21" s="1871"/>
      <c r="E21" s="1871"/>
      <c r="F21" s="1871"/>
      <c r="G21" s="1871"/>
      <c r="H21" s="1871"/>
      <c r="I21" s="1871"/>
      <c r="J21" s="1871"/>
      <c r="K21" s="1871"/>
      <c r="L21" s="1871"/>
      <c r="M21" s="1871"/>
      <c r="N21" s="1871"/>
      <c r="O21" s="1871"/>
      <c r="P21" s="1871"/>
      <c r="Q21" s="1871"/>
      <c r="R21" s="2100"/>
      <c r="S21" s="1903"/>
    </row>
    <row r="22" spans="1:45">
      <c r="A22" s="699" t="s">
        <v>769</v>
      </c>
      <c r="B22" s="52">
        <f>SUM(B24:B10000)</f>
        <v>0</v>
      </c>
      <c r="C22" s="3502" t="s">
        <v>20</v>
      </c>
      <c r="D22" s="3503"/>
      <c r="E22" s="3503"/>
      <c r="F22" s="3503"/>
      <c r="G22" s="3503"/>
      <c r="H22" s="3503"/>
      <c r="I22" s="3503"/>
      <c r="J22" s="3503"/>
      <c r="K22" s="3503"/>
      <c r="L22" s="3503"/>
      <c r="M22" s="3503"/>
      <c r="N22" s="3503"/>
      <c r="O22" s="3503"/>
      <c r="P22" s="3503"/>
      <c r="Q22" s="3504"/>
      <c r="R22" s="390" t="e">
        <f>ROUND(S22*10000/B22,0)</f>
        <v>#DIV/0!</v>
      </c>
      <c r="S22" s="52">
        <f>SUM(S24:S10000)</f>
        <v>0</v>
      </c>
    </row>
    <row r="23" spans="1:45" s="1502" customFormat="1" ht="24">
      <c r="A23" s="16" t="s">
        <v>770</v>
      </c>
      <c r="B23" s="16" t="s">
        <v>771</v>
      </c>
      <c r="C23" s="16" t="s">
        <v>772</v>
      </c>
      <c r="D23" s="16" t="str">
        <f>B5</f>
        <v>修正项2</v>
      </c>
      <c r="E23" s="16" t="s">
        <v>772</v>
      </c>
      <c r="F23" s="16" t="str">
        <f>B7</f>
        <v>修正项3</v>
      </c>
      <c r="G23" s="16" t="s">
        <v>772</v>
      </c>
      <c r="H23" s="16" t="str">
        <f>B9</f>
        <v>修正项4</v>
      </c>
      <c r="I23" s="16" t="s">
        <v>772</v>
      </c>
      <c r="J23" s="16" t="str">
        <f>B11</f>
        <v>修正项5</v>
      </c>
      <c r="K23" s="16" t="s">
        <v>772</v>
      </c>
      <c r="L23" s="16" t="str">
        <f>B13</f>
        <v>修正项6</v>
      </c>
      <c r="M23" s="16" t="s">
        <v>772</v>
      </c>
      <c r="N23" s="16" t="str">
        <f>B15</f>
        <v>修正项7</v>
      </c>
      <c r="O23" s="16" t="s">
        <v>772</v>
      </c>
      <c r="P23" s="16" t="str">
        <f>B17</f>
        <v>楼层</v>
      </c>
      <c r="Q23" s="16" t="s">
        <v>772</v>
      </c>
      <c r="R23" s="391" t="s">
        <v>773</v>
      </c>
      <c r="S23" s="16" t="s">
        <v>774</v>
      </c>
      <c r="T23" s="17"/>
      <c r="U23" s="17"/>
      <c r="V23" s="17"/>
      <c r="W23" s="17"/>
      <c r="X23" s="17"/>
      <c r="Y23" s="17"/>
      <c r="Z23" s="17"/>
      <c r="AA23" s="17"/>
      <c r="AB23" s="17"/>
      <c r="AC23" s="17"/>
      <c r="AD23" s="17"/>
      <c r="AE23" s="17"/>
      <c r="AF23" s="17"/>
      <c r="AG23" s="17"/>
      <c r="AH23" s="17"/>
      <c r="AI23" s="17"/>
    </row>
    <row r="24" spans="1:45" s="1503" customFormat="1">
      <c r="A24" s="861" t="s">
        <v>775</v>
      </c>
      <c r="B24" s="861"/>
      <c r="C24" s="862">
        <v>1</v>
      </c>
      <c r="D24" s="863"/>
      <c r="E24" s="862">
        <v>1</v>
      </c>
      <c r="F24" s="863"/>
      <c r="G24" s="862">
        <v>1</v>
      </c>
      <c r="H24" s="863"/>
      <c r="I24" s="862">
        <v>1</v>
      </c>
      <c r="J24" s="863"/>
      <c r="K24" s="862">
        <v>1</v>
      </c>
      <c r="L24" s="863"/>
      <c r="M24" s="862">
        <v>1</v>
      </c>
      <c r="N24" s="863"/>
      <c r="O24" s="862">
        <v>1</v>
      </c>
      <c r="P24" s="863"/>
      <c r="Q24" s="862">
        <v>1</v>
      </c>
      <c r="R24" s="864"/>
      <c r="S24" s="862">
        <f t="shared" ref="S24:S54" si="6">ROUND(R24*B24/10000,0)</f>
        <v>0</v>
      </c>
      <c r="T24" s="1855"/>
      <c r="U24" s="1855"/>
      <c r="V24" s="1855"/>
      <c r="W24" s="1855"/>
      <c r="X24" s="1855"/>
      <c r="Y24" s="1855"/>
      <c r="Z24" s="1855"/>
      <c r="AA24" s="1855"/>
      <c r="AB24" s="1855"/>
      <c r="AC24" s="1855"/>
      <c r="AD24" s="1855"/>
      <c r="AE24" s="1855"/>
      <c r="AF24" s="1855"/>
      <c r="AG24" s="1855"/>
      <c r="AH24" s="1855"/>
      <c r="AI24" s="1855"/>
    </row>
    <row r="25" spans="1:45">
      <c r="A25" s="865"/>
      <c r="B25" s="134"/>
      <c r="C25" s="52">
        <f>IF(B25="",1,(LOOKUP(B25,$3:$3,$4:$4)-LOOKUP($B$24,$3:$3,$4:$4)+100)/100)</f>
        <v>1</v>
      </c>
      <c r="D25" s="863"/>
      <c r="E25" s="52">
        <f>(SUMIF($5:$5,D25,$6:$6)-SUMIF($5:$5,$D$24,$6:$6)+100)/100</f>
        <v>1</v>
      </c>
      <c r="F25" s="863"/>
      <c r="G25" s="52">
        <f>(SUMIF($7:$7,F25,$8:$8)-SUMIF($7:$7,$F$24,$8:$8)+100)/100</f>
        <v>1</v>
      </c>
      <c r="H25" s="863"/>
      <c r="I25" s="52">
        <f>(SUMIF($9:$9,H25,$10:$10)-SUMIF($9:$9,$H$24,$10:$10)+100)/100</f>
        <v>1</v>
      </c>
      <c r="J25" s="863"/>
      <c r="K25" s="52">
        <f>(SUMIF($11:$11,J25,$12:$12)-SUMIF($11:$11,$J$24,$12:$12)+100)/100</f>
        <v>1</v>
      </c>
      <c r="L25" s="863"/>
      <c r="M25" s="52">
        <f>(SUMIF($13:$13,L25,$14:$14)-SUMIF($13:$13,$L$24,$14:$14)+100)/100</f>
        <v>1</v>
      </c>
      <c r="N25" s="863"/>
      <c r="O25" s="52">
        <f>(SUMIF($15:$15,N25,$16:$16)-SUMIF($15:$15,$N$24,$16:$16)+100)/100</f>
        <v>1</v>
      </c>
      <c r="P25" s="863"/>
      <c r="Q25" s="52">
        <f>(SUMIF($17:$17,P25,$18:$18)-SUMIF($17:$17,$P$24,$18:$18)+100)/100</f>
        <v>1</v>
      </c>
      <c r="R25" s="390">
        <f>IF(B25="",0,ROUND($R$24*C25*E25*G25*I25*K25*M25*O25*Q25,0))</f>
        <v>0</v>
      </c>
      <c r="S25" s="699">
        <f t="shared" si="6"/>
        <v>0</v>
      </c>
    </row>
    <row r="26" spans="1:45">
      <c r="A26" s="865"/>
      <c r="B26" s="134"/>
      <c r="C26" s="52">
        <f t="shared" ref="C26:C89" si="7">IF(B26="",1,(LOOKUP(B26,$3:$3,$4:$4)-LOOKUP($B$24,$3:$3,$4:$4)+100)/100)</f>
        <v>1</v>
      </c>
      <c r="D26" s="863"/>
      <c r="E26" s="52">
        <f t="shared" ref="E26:E89" si="8">(SUMIF($5:$5,D26,$6:$6)-SUMIF($5:$5,$D$24,$6:$6)+100)/100</f>
        <v>1</v>
      </c>
      <c r="F26" s="863"/>
      <c r="G26" s="52">
        <f t="shared" ref="G26:G89" si="9">(SUMIF($7:$7,F26,$8:$8)-SUMIF($7:$7,$F$24,$8:$8)+100)/100</f>
        <v>1</v>
      </c>
      <c r="H26" s="863"/>
      <c r="I26" s="52">
        <f t="shared" ref="I26:I89" si="10">(SUMIF($9:$9,H26,$10:$10)-SUMIF($9:$9,$H$24,$10:$10)+100)/100</f>
        <v>1</v>
      </c>
      <c r="J26" s="863"/>
      <c r="K26" s="52">
        <f t="shared" ref="K26:K89" si="11">(SUMIF($11:$11,J26,$12:$12)-SUMIF($11:$11,$J$24,$12:$12)+100)/100</f>
        <v>1</v>
      </c>
      <c r="L26" s="863"/>
      <c r="M26" s="52">
        <f t="shared" ref="M26:M89" si="12">(SUMIF($13:$13,L26,$14:$14)-SUMIF($13:$13,$L$24,$14:$14)+100)/100</f>
        <v>1</v>
      </c>
      <c r="N26" s="863"/>
      <c r="O26" s="52">
        <f t="shared" ref="O26:O89" si="13">(SUMIF($15:$15,N26,$16:$16)-SUMIF($15:$15,$N$24,$16:$16)+100)/100</f>
        <v>1</v>
      </c>
      <c r="P26" s="863"/>
      <c r="Q26" s="52">
        <f t="shared" ref="Q26:Q89" si="14">(SUMIF($17:$17,P26,$18:$18)-SUMIF($17:$17,$P$24,$18:$18)+100)/100</f>
        <v>1</v>
      </c>
      <c r="R26" s="390">
        <f t="shared" ref="R26:R89" si="15">IF(B26="",0,ROUND($R$24*C26*E26*G26*I26*K26*M26*O26*Q26,0))</f>
        <v>0</v>
      </c>
      <c r="S26" s="699">
        <f t="shared" si="6"/>
        <v>0</v>
      </c>
    </row>
    <row r="27" spans="1:45">
      <c r="A27" s="865"/>
      <c r="B27" s="134"/>
      <c r="C27" s="52">
        <f t="shared" si="7"/>
        <v>1</v>
      </c>
      <c r="D27" s="863"/>
      <c r="E27" s="52">
        <f t="shared" si="8"/>
        <v>1</v>
      </c>
      <c r="F27" s="863"/>
      <c r="G27" s="52">
        <f t="shared" si="9"/>
        <v>1</v>
      </c>
      <c r="H27" s="863"/>
      <c r="I27" s="52">
        <f t="shared" si="10"/>
        <v>1</v>
      </c>
      <c r="J27" s="863"/>
      <c r="K27" s="52">
        <f t="shared" si="11"/>
        <v>1</v>
      </c>
      <c r="L27" s="863"/>
      <c r="M27" s="52">
        <f t="shared" si="12"/>
        <v>1</v>
      </c>
      <c r="N27" s="863"/>
      <c r="O27" s="52">
        <f t="shared" si="13"/>
        <v>1</v>
      </c>
      <c r="P27" s="863"/>
      <c r="Q27" s="52">
        <f t="shared" si="14"/>
        <v>1</v>
      </c>
      <c r="R27" s="390">
        <f t="shared" si="15"/>
        <v>0</v>
      </c>
      <c r="S27" s="699">
        <f t="shared" si="6"/>
        <v>0</v>
      </c>
    </row>
    <row r="28" spans="1:45">
      <c r="A28" s="865"/>
      <c r="B28" s="134"/>
      <c r="C28" s="52">
        <f t="shared" si="7"/>
        <v>1</v>
      </c>
      <c r="D28" s="863"/>
      <c r="E28" s="52">
        <f t="shared" si="8"/>
        <v>1</v>
      </c>
      <c r="F28" s="863"/>
      <c r="G28" s="52">
        <f t="shared" si="9"/>
        <v>1</v>
      </c>
      <c r="H28" s="863"/>
      <c r="I28" s="52">
        <f t="shared" si="10"/>
        <v>1</v>
      </c>
      <c r="J28" s="863"/>
      <c r="K28" s="52">
        <f t="shared" si="11"/>
        <v>1</v>
      </c>
      <c r="L28" s="863"/>
      <c r="M28" s="52">
        <f t="shared" si="12"/>
        <v>1</v>
      </c>
      <c r="N28" s="863"/>
      <c r="O28" s="52">
        <f t="shared" si="13"/>
        <v>1</v>
      </c>
      <c r="P28" s="863"/>
      <c r="Q28" s="52">
        <f t="shared" si="14"/>
        <v>1</v>
      </c>
      <c r="R28" s="390">
        <f t="shared" si="15"/>
        <v>0</v>
      </c>
      <c r="S28" s="699">
        <f t="shared" si="6"/>
        <v>0</v>
      </c>
    </row>
    <row r="29" spans="1:45">
      <c r="A29" s="865"/>
      <c r="B29" s="134"/>
      <c r="C29" s="52">
        <f t="shared" si="7"/>
        <v>1</v>
      </c>
      <c r="D29" s="863"/>
      <c r="E29" s="52">
        <f t="shared" si="8"/>
        <v>1</v>
      </c>
      <c r="F29" s="863"/>
      <c r="G29" s="52">
        <f t="shared" si="9"/>
        <v>1</v>
      </c>
      <c r="H29" s="863"/>
      <c r="I29" s="52">
        <f t="shared" si="10"/>
        <v>1</v>
      </c>
      <c r="J29" s="863"/>
      <c r="K29" s="52">
        <f t="shared" si="11"/>
        <v>1</v>
      </c>
      <c r="L29" s="863"/>
      <c r="M29" s="52">
        <f t="shared" si="12"/>
        <v>1</v>
      </c>
      <c r="N29" s="863"/>
      <c r="O29" s="52">
        <f t="shared" si="13"/>
        <v>1</v>
      </c>
      <c r="P29" s="863"/>
      <c r="Q29" s="52">
        <f t="shared" si="14"/>
        <v>1</v>
      </c>
      <c r="R29" s="390">
        <f t="shared" si="15"/>
        <v>0</v>
      </c>
      <c r="S29" s="699">
        <f t="shared" si="6"/>
        <v>0</v>
      </c>
    </row>
    <row r="30" spans="1:45">
      <c r="A30" s="865"/>
      <c r="B30" s="134"/>
      <c r="C30" s="52">
        <f t="shared" si="7"/>
        <v>1</v>
      </c>
      <c r="D30" s="863"/>
      <c r="E30" s="52">
        <f t="shared" si="8"/>
        <v>1</v>
      </c>
      <c r="F30" s="863"/>
      <c r="G30" s="52">
        <f t="shared" si="9"/>
        <v>1</v>
      </c>
      <c r="H30" s="863"/>
      <c r="I30" s="52">
        <f t="shared" si="10"/>
        <v>1</v>
      </c>
      <c r="J30" s="863"/>
      <c r="K30" s="52">
        <f t="shared" si="11"/>
        <v>1</v>
      </c>
      <c r="L30" s="863"/>
      <c r="M30" s="52">
        <f t="shared" si="12"/>
        <v>1</v>
      </c>
      <c r="N30" s="863"/>
      <c r="O30" s="52">
        <f t="shared" si="13"/>
        <v>1</v>
      </c>
      <c r="P30" s="863"/>
      <c r="Q30" s="52">
        <f t="shared" si="14"/>
        <v>1</v>
      </c>
      <c r="R30" s="390">
        <f t="shared" si="15"/>
        <v>0</v>
      </c>
      <c r="S30" s="699">
        <f t="shared" si="6"/>
        <v>0</v>
      </c>
    </row>
    <row r="31" spans="1:45">
      <c r="A31" s="865"/>
      <c r="B31" s="134"/>
      <c r="C31" s="52">
        <f t="shared" si="7"/>
        <v>1</v>
      </c>
      <c r="D31" s="863"/>
      <c r="E31" s="52">
        <f t="shared" si="8"/>
        <v>1</v>
      </c>
      <c r="F31" s="863"/>
      <c r="G31" s="52">
        <f t="shared" si="9"/>
        <v>1</v>
      </c>
      <c r="H31" s="863"/>
      <c r="I31" s="52">
        <f t="shared" si="10"/>
        <v>1</v>
      </c>
      <c r="J31" s="863"/>
      <c r="K31" s="52">
        <f t="shared" si="11"/>
        <v>1</v>
      </c>
      <c r="L31" s="863"/>
      <c r="M31" s="52">
        <f t="shared" si="12"/>
        <v>1</v>
      </c>
      <c r="N31" s="863"/>
      <c r="O31" s="52">
        <f t="shared" si="13"/>
        <v>1</v>
      </c>
      <c r="P31" s="863"/>
      <c r="Q31" s="52">
        <f t="shared" si="14"/>
        <v>1</v>
      </c>
      <c r="R31" s="390">
        <f t="shared" si="15"/>
        <v>0</v>
      </c>
      <c r="S31" s="699">
        <f t="shared" si="6"/>
        <v>0</v>
      </c>
    </row>
    <row r="32" spans="1:45">
      <c r="A32" s="865"/>
      <c r="B32" s="134"/>
      <c r="C32" s="52">
        <f t="shared" si="7"/>
        <v>1</v>
      </c>
      <c r="D32" s="863"/>
      <c r="E32" s="52">
        <f t="shared" si="8"/>
        <v>1</v>
      </c>
      <c r="F32" s="863"/>
      <c r="G32" s="52">
        <f t="shared" si="9"/>
        <v>1</v>
      </c>
      <c r="H32" s="863"/>
      <c r="I32" s="52">
        <f t="shared" si="10"/>
        <v>1</v>
      </c>
      <c r="J32" s="863"/>
      <c r="K32" s="52">
        <f t="shared" si="11"/>
        <v>1</v>
      </c>
      <c r="L32" s="863"/>
      <c r="M32" s="52">
        <f t="shared" si="12"/>
        <v>1</v>
      </c>
      <c r="N32" s="863"/>
      <c r="O32" s="52">
        <f t="shared" si="13"/>
        <v>1</v>
      </c>
      <c r="P32" s="863"/>
      <c r="Q32" s="52">
        <f t="shared" si="14"/>
        <v>1</v>
      </c>
      <c r="R32" s="390">
        <f t="shared" si="15"/>
        <v>0</v>
      </c>
      <c r="S32" s="699">
        <f t="shared" si="6"/>
        <v>0</v>
      </c>
    </row>
    <row r="33" spans="1:19">
      <c r="A33" s="865"/>
      <c r="B33" s="134"/>
      <c r="C33" s="52">
        <f t="shared" si="7"/>
        <v>1</v>
      </c>
      <c r="D33" s="863"/>
      <c r="E33" s="52">
        <f t="shared" si="8"/>
        <v>1</v>
      </c>
      <c r="F33" s="863"/>
      <c r="G33" s="52">
        <f t="shared" si="9"/>
        <v>1</v>
      </c>
      <c r="H33" s="863"/>
      <c r="I33" s="52">
        <f t="shared" si="10"/>
        <v>1</v>
      </c>
      <c r="J33" s="863"/>
      <c r="K33" s="52">
        <f t="shared" si="11"/>
        <v>1</v>
      </c>
      <c r="L33" s="863"/>
      <c r="M33" s="52">
        <f t="shared" si="12"/>
        <v>1</v>
      </c>
      <c r="N33" s="863"/>
      <c r="O33" s="52">
        <f t="shared" si="13"/>
        <v>1</v>
      </c>
      <c r="P33" s="863"/>
      <c r="Q33" s="52">
        <f t="shared" si="14"/>
        <v>1</v>
      </c>
      <c r="R33" s="390">
        <f t="shared" si="15"/>
        <v>0</v>
      </c>
      <c r="S33" s="699">
        <f t="shared" si="6"/>
        <v>0</v>
      </c>
    </row>
    <row r="34" spans="1:19">
      <c r="A34" s="865"/>
      <c r="B34" s="134"/>
      <c r="C34" s="52">
        <f t="shared" si="7"/>
        <v>1</v>
      </c>
      <c r="D34" s="863"/>
      <c r="E34" s="52">
        <f t="shared" si="8"/>
        <v>1</v>
      </c>
      <c r="F34" s="863"/>
      <c r="G34" s="52">
        <f t="shared" si="9"/>
        <v>1</v>
      </c>
      <c r="H34" s="863"/>
      <c r="I34" s="52">
        <f t="shared" si="10"/>
        <v>1</v>
      </c>
      <c r="J34" s="863"/>
      <c r="K34" s="52">
        <f t="shared" si="11"/>
        <v>1</v>
      </c>
      <c r="L34" s="863"/>
      <c r="M34" s="52">
        <f t="shared" si="12"/>
        <v>1</v>
      </c>
      <c r="N34" s="863"/>
      <c r="O34" s="52">
        <f t="shared" si="13"/>
        <v>1</v>
      </c>
      <c r="P34" s="863"/>
      <c r="Q34" s="52">
        <f t="shared" si="14"/>
        <v>1</v>
      </c>
      <c r="R34" s="390">
        <f t="shared" si="15"/>
        <v>0</v>
      </c>
      <c r="S34" s="699">
        <f t="shared" si="6"/>
        <v>0</v>
      </c>
    </row>
    <row r="35" spans="1:19">
      <c r="A35" s="865"/>
      <c r="B35" s="134"/>
      <c r="C35" s="52">
        <f t="shared" si="7"/>
        <v>1</v>
      </c>
      <c r="D35" s="863"/>
      <c r="E35" s="52">
        <f t="shared" si="8"/>
        <v>1</v>
      </c>
      <c r="F35" s="863"/>
      <c r="G35" s="52">
        <f t="shared" si="9"/>
        <v>1</v>
      </c>
      <c r="H35" s="863"/>
      <c r="I35" s="52">
        <f t="shared" si="10"/>
        <v>1</v>
      </c>
      <c r="J35" s="863"/>
      <c r="K35" s="52">
        <f t="shared" si="11"/>
        <v>1</v>
      </c>
      <c r="L35" s="863"/>
      <c r="M35" s="52">
        <f t="shared" si="12"/>
        <v>1</v>
      </c>
      <c r="N35" s="863"/>
      <c r="O35" s="52">
        <f t="shared" si="13"/>
        <v>1</v>
      </c>
      <c r="P35" s="863"/>
      <c r="Q35" s="52">
        <f t="shared" si="14"/>
        <v>1</v>
      </c>
      <c r="R35" s="390">
        <f t="shared" si="15"/>
        <v>0</v>
      </c>
      <c r="S35" s="699">
        <f t="shared" si="6"/>
        <v>0</v>
      </c>
    </row>
    <row r="36" spans="1:19">
      <c r="A36" s="865"/>
      <c r="B36" s="134"/>
      <c r="C36" s="52">
        <f t="shared" si="7"/>
        <v>1</v>
      </c>
      <c r="D36" s="863"/>
      <c r="E36" s="52">
        <f t="shared" si="8"/>
        <v>1</v>
      </c>
      <c r="F36" s="863"/>
      <c r="G36" s="52">
        <f t="shared" si="9"/>
        <v>1</v>
      </c>
      <c r="H36" s="863"/>
      <c r="I36" s="52">
        <f t="shared" si="10"/>
        <v>1</v>
      </c>
      <c r="J36" s="863"/>
      <c r="K36" s="52">
        <f t="shared" si="11"/>
        <v>1</v>
      </c>
      <c r="L36" s="863"/>
      <c r="M36" s="52">
        <f t="shared" si="12"/>
        <v>1</v>
      </c>
      <c r="N36" s="863"/>
      <c r="O36" s="52">
        <f t="shared" si="13"/>
        <v>1</v>
      </c>
      <c r="P36" s="863"/>
      <c r="Q36" s="52">
        <f t="shared" si="14"/>
        <v>1</v>
      </c>
      <c r="R36" s="390">
        <f t="shared" si="15"/>
        <v>0</v>
      </c>
      <c r="S36" s="699">
        <f t="shared" si="6"/>
        <v>0</v>
      </c>
    </row>
    <row r="37" spans="1:19">
      <c r="A37" s="865"/>
      <c r="B37" s="134"/>
      <c r="C37" s="52">
        <f t="shared" si="7"/>
        <v>1</v>
      </c>
      <c r="D37" s="863"/>
      <c r="E37" s="52">
        <f t="shared" si="8"/>
        <v>1</v>
      </c>
      <c r="F37" s="863"/>
      <c r="G37" s="52">
        <f t="shared" si="9"/>
        <v>1</v>
      </c>
      <c r="H37" s="863"/>
      <c r="I37" s="52">
        <f t="shared" si="10"/>
        <v>1</v>
      </c>
      <c r="J37" s="863"/>
      <c r="K37" s="52">
        <f t="shared" si="11"/>
        <v>1</v>
      </c>
      <c r="L37" s="863"/>
      <c r="M37" s="52">
        <f t="shared" si="12"/>
        <v>1</v>
      </c>
      <c r="N37" s="863"/>
      <c r="O37" s="52">
        <f t="shared" si="13"/>
        <v>1</v>
      </c>
      <c r="P37" s="863"/>
      <c r="Q37" s="52">
        <f t="shared" si="14"/>
        <v>1</v>
      </c>
      <c r="R37" s="390">
        <f t="shared" si="15"/>
        <v>0</v>
      </c>
      <c r="S37" s="699">
        <f t="shared" si="6"/>
        <v>0</v>
      </c>
    </row>
    <row r="38" spans="1:19">
      <c r="A38" s="865"/>
      <c r="B38" s="134"/>
      <c r="C38" s="52">
        <f t="shared" si="7"/>
        <v>1</v>
      </c>
      <c r="D38" s="863"/>
      <c r="E38" s="52">
        <f t="shared" si="8"/>
        <v>1</v>
      </c>
      <c r="F38" s="863"/>
      <c r="G38" s="52">
        <f t="shared" si="9"/>
        <v>1</v>
      </c>
      <c r="H38" s="863"/>
      <c r="I38" s="52">
        <f t="shared" si="10"/>
        <v>1</v>
      </c>
      <c r="J38" s="863"/>
      <c r="K38" s="52">
        <f t="shared" si="11"/>
        <v>1</v>
      </c>
      <c r="L38" s="863"/>
      <c r="M38" s="52">
        <f t="shared" si="12"/>
        <v>1</v>
      </c>
      <c r="N38" s="863"/>
      <c r="O38" s="52">
        <f t="shared" si="13"/>
        <v>1</v>
      </c>
      <c r="P38" s="863"/>
      <c r="Q38" s="52">
        <f t="shared" si="14"/>
        <v>1</v>
      </c>
      <c r="R38" s="390">
        <f t="shared" si="15"/>
        <v>0</v>
      </c>
      <c r="S38" s="699">
        <f t="shared" si="6"/>
        <v>0</v>
      </c>
    </row>
    <row r="39" spans="1:19">
      <c r="A39" s="865"/>
      <c r="B39" s="134"/>
      <c r="C39" s="52">
        <f t="shared" si="7"/>
        <v>1</v>
      </c>
      <c r="D39" s="863"/>
      <c r="E39" s="52">
        <f t="shared" si="8"/>
        <v>1</v>
      </c>
      <c r="F39" s="863"/>
      <c r="G39" s="52">
        <f t="shared" si="9"/>
        <v>1</v>
      </c>
      <c r="H39" s="863"/>
      <c r="I39" s="52">
        <f t="shared" si="10"/>
        <v>1</v>
      </c>
      <c r="J39" s="863"/>
      <c r="K39" s="52">
        <f t="shared" si="11"/>
        <v>1</v>
      </c>
      <c r="L39" s="863"/>
      <c r="M39" s="52">
        <f t="shared" si="12"/>
        <v>1</v>
      </c>
      <c r="N39" s="863"/>
      <c r="O39" s="52">
        <f t="shared" si="13"/>
        <v>1</v>
      </c>
      <c r="P39" s="863"/>
      <c r="Q39" s="52">
        <f t="shared" si="14"/>
        <v>1</v>
      </c>
      <c r="R39" s="390">
        <f t="shared" si="15"/>
        <v>0</v>
      </c>
      <c r="S39" s="699">
        <f t="shared" si="6"/>
        <v>0</v>
      </c>
    </row>
    <row r="40" spans="1:19">
      <c r="A40" s="865"/>
      <c r="B40" s="134"/>
      <c r="C40" s="52">
        <f t="shared" si="7"/>
        <v>1</v>
      </c>
      <c r="D40" s="863"/>
      <c r="E40" s="52">
        <f t="shared" si="8"/>
        <v>1</v>
      </c>
      <c r="F40" s="863"/>
      <c r="G40" s="52">
        <f t="shared" si="9"/>
        <v>1</v>
      </c>
      <c r="H40" s="863"/>
      <c r="I40" s="52">
        <f t="shared" si="10"/>
        <v>1</v>
      </c>
      <c r="J40" s="863"/>
      <c r="K40" s="52">
        <f t="shared" si="11"/>
        <v>1</v>
      </c>
      <c r="L40" s="863"/>
      <c r="M40" s="52">
        <f t="shared" si="12"/>
        <v>1</v>
      </c>
      <c r="N40" s="863"/>
      <c r="O40" s="52">
        <f t="shared" si="13"/>
        <v>1</v>
      </c>
      <c r="P40" s="863"/>
      <c r="Q40" s="52">
        <f t="shared" si="14"/>
        <v>1</v>
      </c>
      <c r="R40" s="390">
        <f t="shared" si="15"/>
        <v>0</v>
      </c>
      <c r="S40" s="699">
        <f t="shared" si="6"/>
        <v>0</v>
      </c>
    </row>
    <row r="41" spans="1:19">
      <c r="A41" s="865"/>
      <c r="B41" s="134"/>
      <c r="C41" s="52">
        <f t="shared" si="7"/>
        <v>1</v>
      </c>
      <c r="D41" s="863"/>
      <c r="E41" s="52">
        <f t="shared" si="8"/>
        <v>1</v>
      </c>
      <c r="F41" s="863"/>
      <c r="G41" s="52">
        <f t="shared" si="9"/>
        <v>1</v>
      </c>
      <c r="H41" s="863"/>
      <c r="I41" s="52">
        <f t="shared" si="10"/>
        <v>1</v>
      </c>
      <c r="J41" s="863"/>
      <c r="K41" s="52">
        <f t="shared" si="11"/>
        <v>1</v>
      </c>
      <c r="L41" s="863"/>
      <c r="M41" s="52">
        <f t="shared" si="12"/>
        <v>1</v>
      </c>
      <c r="N41" s="863"/>
      <c r="O41" s="52">
        <f t="shared" si="13"/>
        <v>1</v>
      </c>
      <c r="P41" s="863"/>
      <c r="Q41" s="52">
        <f t="shared" si="14"/>
        <v>1</v>
      </c>
      <c r="R41" s="390">
        <f t="shared" si="15"/>
        <v>0</v>
      </c>
      <c r="S41" s="699">
        <f t="shared" si="6"/>
        <v>0</v>
      </c>
    </row>
    <row r="42" spans="1:19">
      <c r="A42" s="865"/>
      <c r="B42" s="134"/>
      <c r="C42" s="52">
        <f t="shared" si="7"/>
        <v>1</v>
      </c>
      <c r="D42" s="863"/>
      <c r="E42" s="52">
        <f t="shared" si="8"/>
        <v>1</v>
      </c>
      <c r="F42" s="863"/>
      <c r="G42" s="52">
        <f t="shared" si="9"/>
        <v>1</v>
      </c>
      <c r="H42" s="863"/>
      <c r="I42" s="52">
        <f t="shared" si="10"/>
        <v>1</v>
      </c>
      <c r="J42" s="863"/>
      <c r="K42" s="52">
        <f t="shared" si="11"/>
        <v>1</v>
      </c>
      <c r="L42" s="863"/>
      <c r="M42" s="52">
        <f t="shared" si="12"/>
        <v>1</v>
      </c>
      <c r="N42" s="863"/>
      <c r="O42" s="52">
        <f t="shared" si="13"/>
        <v>1</v>
      </c>
      <c r="P42" s="863"/>
      <c r="Q42" s="52">
        <f t="shared" si="14"/>
        <v>1</v>
      </c>
      <c r="R42" s="390">
        <f t="shared" si="15"/>
        <v>0</v>
      </c>
      <c r="S42" s="699">
        <f t="shared" si="6"/>
        <v>0</v>
      </c>
    </row>
    <row r="43" spans="1:19">
      <c r="A43" s="865"/>
      <c r="B43" s="134"/>
      <c r="C43" s="52">
        <f t="shared" si="7"/>
        <v>1</v>
      </c>
      <c r="D43" s="863"/>
      <c r="E43" s="52">
        <f t="shared" si="8"/>
        <v>1</v>
      </c>
      <c r="F43" s="863"/>
      <c r="G43" s="52">
        <f t="shared" si="9"/>
        <v>1</v>
      </c>
      <c r="H43" s="863"/>
      <c r="I43" s="52">
        <f t="shared" si="10"/>
        <v>1</v>
      </c>
      <c r="J43" s="863"/>
      <c r="K43" s="52">
        <f t="shared" si="11"/>
        <v>1</v>
      </c>
      <c r="L43" s="863"/>
      <c r="M43" s="52">
        <f t="shared" si="12"/>
        <v>1</v>
      </c>
      <c r="N43" s="863"/>
      <c r="O43" s="52">
        <f t="shared" si="13"/>
        <v>1</v>
      </c>
      <c r="P43" s="863"/>
      <c r="Q43" s="52">
        <f t="shared" si="14"/>
        <v>1</v>
      </c>
      <c r="R43" s="390">
        <f t="shared" si="15"/>
        <v>0</v>
      </c>
      <c r="S43" s="699">
        <f t="shared" si="6"/>
        <v>0</v>
      </c>
    </row>
    <row r="44" spans="1:19">
      <c r="A44" s="865"/>
      <c r="B44" s="134"/>
      <c r="C44" s="52">
        <f t="shared" si="7"/>
        <v>1</v>
      </c>
      <c r="D44" s="863"/>
      <c r="E44" s="52">
        <f t="shared" si="8"/>
        <v>1</v>
      </c>
      <c r="F44" s="863"/>
      <c r="G44" s="52">
        <f t="shared" si="9"/>
        <v>1</v>
      </c>
      <c r="H44" s="863"/>
      <c r="I44" s="52">
        <f t="shared" si="10"/>
        <v>1</v>
      </c>
      <c r="J44" s="863"/>
      <c r="K44" s="52">
        <f t="shared" si="11"/>
        <v>1</v>
      </c>
      <c r="L44" s="863"/>
      <c r="M44" s="52">
        <f t="shared" si="12"/>
        <v>1</v>
      </c>
      <c r="N44" s="863"/>
      <c r="O44" s="52">
        <f t="shared" si="13"/>
        <v>1</v>
      </c>
      <c r="P44" s="863"/>
      <c r="Q44" s="52">
        <f t="shared" si="14"/>
        <v>1</v>
      </c>
      <c r="R44" s="390">
        <f t="shared" si="15"/>
        <v>0</v>
      </c>
      <c r="S44" s="699">
        <f t="shared" si="6"/>
        <v>0</v>
      </c>
    </row>
    <row r="45" spans="1:19">
      <c r="A45" s="865"/>
      <c r="B45" s="134"/>
      <c r="C45" s="52">
        <f t="shared" si="7"/>
        <v>1</v>
      </c>
      <c r="D45" s="863"/>
      <c r="E45" s="52">
        <f t="shared" si="8"/>
        <v>1</v>
      </c>
      <c r="F45" s="863"/>
      <c r="G45" s="52">
        <f t="shared" si="9"/>
        <v>1</v>
      </c>
      <c r="H45" s="863"/>
      <c r="I45" s="52">
        <f t="shared" si="10"/>
        <v>1</v>
      </c>
      <c r="J45" s="863"/>
      <c r="K45" s="52">
        <f t="shared" si="11"/>
        <v>1</v>
      </c>
      <c r="L45" s="863"/>
      <c r="M45" s="52">
        <f t="shared" si="12"/>
        <v>1</v>
      </c>
      <c r="N45" s="863"/>
      <c r="O45" s="52">
        <f t="shared" si="13"/>
        <v>1</v>
      </c>
      <c r="P45" s="863"/>
      <c r="Q45" s="52">
        <f t="shared" si="14"/>
        <v>1</v>
      </c>
      <c r="R45" s="390">
        <f t="shared" si="15"/>
        <v>0</v>
      </c>
      <c r="S45" s="699">
        <f t="shared" si="6"/>
        <v>0</v>
      </c>
    </row>
    <row r="46" spans="1:19">
      <c r="A46" s="865"/>
      <c r="B46" s="134"/>
      <c r="C46" s="52">
        <f t="shared" si="7"/>
        <v>1</v>
      </c>
      <c r="D46" s="863"/>
      <c r="E46" s="52">
        <f t="shared" si="8"/>
        <v>1</v>
      </c>
      <c r="F46" s="863"/>
      <c r="G46" s="52">
        <f t="shared" si="9"/>
        <v>1</v>
      </c>
      <c r="H46" s="863"/>
      <c r="I46" s="52">
        <f t="shared" si="10"/>
        <v>1</v>
      </c>
      <c r="J46" s="863"/>
      <c r="K46" s="52">
        <f t="shared" si="11"/>
        <v>1</v>
      </c>
      <c r="L46" s="863"/>
      <c r="M46" s="52">
        <f t="shared" si="12"/>
        <v>1</v>
      </c>
      <c r="N46" s="863"/>
      <c r="O46" s="52">
        <f t="shared" si="13"/>
        <v>1</v>
      </c>
      <c r="P46" s="863"/>
      <c r="Q46" s="52">
        <f t="shared" si="14"/>
        <v>1</v>
      </c>
      <c r="R46" s="390">
        <f t="shared" si="15"/>
        <v>0</v>
      </c>
      <c r="S46" s="699">
        <f t="shared" si="6"/>
        <v>0</v>
      </c>
    </row>
    <row r="47" spans="1:19">
      <c r="A47" s="865"/>
      <c r="B47" s="134"/>
      <c r="C47" s="52">
        <f t="shared" si="7"/>
        <v>1</v>
      </c>
      <c r="D47" s="863"/>
      <c r="E47" s="52">
        <f t="shared" si="8"/>
        <v>1</v>
      </c>
      <c r="F47" s="863"/>
      <c r="G47" s="52">
        <f t="shared" si="9"/>
        <v>1</v>
      </c>
      <c r="H47" s="863"/>
      <c r="I47" s="52">
        <f t="shared" si="10"/>
        <v>1</v>
      </c>
      <c r="J47" s="863"/>
      <c r="K47" s="52">
        <f t="shared" si="11"/>
        <v>1</v>
      </c>
      <c r="L47" s="863"/>
      <c r="M47" s="52">
        <f t="shared" si="12"/>
        <v>1</v>
      </c>
      <c r="N47" s="863"/>
      <c r="O47" s="52">
        <f t="shared" si="13"/>
        <v>1</v>
      </c>
      <c r="P47" s="863"/>
      <c r="Q47" s="52">
        <f t="shared" si="14"/>
        <v>1</v>
      </c>
      <c r="R47" s="390">
        <f t="shared" si="15"/>
        <v>0</v>
      </c>
      <c r="S47" s="699">
        <f t="shared" si="6"/>
        <v>0</v>
      </c>
    </row>
    <row r="48" spans="1:19">
      <c r="A48" s="865"/>
      <c r="B48" s="134"/>
      <c r="C48" s="52">
        <f t="shared" si="7"/>
        <v>1</v>
      </c>
      <c r="D48" s="863"/>
      <c r="E48" s="52">
        <f t="shared" si="8"/>
        <v>1</v>
      </c>
      <c r="F48" s="863"/>
      <c r="G48" s="52">
        <f t="shared" si="9"/>
        <v>1</v>
      </c>
      <c r="H48" s="863"/>
      <c r="I48" s="52">
        <f t="shared" si="10"/>
        <v>1</v>
      </c>
      <c r="J48" s="863"/>
      <c r="K48" s="52">
        <f t="shared" si="11"/>
        <v>1</v>
      </c>
      <c r="L48" s="863"/>
      <c r="M48" s="52">
        <f t="shared" si="12"/>
        <v>1</v>
      </c>
      <c r="N48" s="863"/>
      <c r="O48" s="52">
        <f t="shared" si="13"/>
        <v>1</v>
      </c>
      <c r="P48" s="863"/>
      <c r="Q48" s="52">
        <f t="shared" si="14"/>
        <v>1</v>
      </c>
      <c r="R48" s="390">
        <f t="shared" si="15"/>
        <v>0</v>
      </c>
      <c r="S48" s="699">
        <f t="shared" si="6"/>
        <v>0</v>
      </c>
    </row>
    <row r="49" spans="1:19">
      <c r="A49" s="865"/>
      <c r="B49" s="134"/>
      <c r="C49" s="52">
        <f t="shared" si="7"/>
        <v>1</v>
      </c>
      <c r="D49" s="863"/>
      <c r="E49" s="52">
        <f t="shared" si="8"/>
        <v>1</v>
      </c>
      <c r="F49" s="863"/>
      <c r="G49" s="52">
        <f t="shared" si="9"/>
        <v>1</v>
      </c>
      <c r="H49" s="863"/>
      <c r="I49" s="52">
        <f t="shared" si="10"/>
        <v>1</v>
      </c>
      <c r="J49" s="863"/>
      <c r="K49" s="52">
        <f t="shared" si="11"/>
        <v>1</v>
      </c>
      <c r="L49" s="863"/>
      <c r="M49" s="52">
        <f t="shared" si="12"/>
        <v>1</v>
      </c>
      <c r="N49" s="863"/>
      <c r="O49" s="52">
        <f t="shared" si="13"/>
        <v>1</v>
      </c>
      <c r="P49" s="863"/>
      <c r="Q49" s="52">
        <f t="shared" si="14"/>
        <v>1</v>
      </c>
      <c r="R49" s="390">
        <f t="shared" si="15"/>
        <v>0</v>
      </c>
      <c r="S49" s="699">
        <f t="shared" si="6"/>
        <v>0</v>
      </c>
    </row>
    <row r="50" spans="1:19">
      <c r="A50" s="865"/>
      <c r="B50" s="134"/>
      <c r="C50" s="52">
        <f t="shared" si="7"/>
        <v>1</v>
      </c>
      <c r="D50" s="863"/>
      <c r="E50" s="52">
        <f t="shared" si="8"/>
        <v>1</v>
      </c>
      <c r="F50" s="863"/>
      <c r="G50" s="52">
        <f t="shared" si="9"/>
        <v>1</v>
      </c>
      <c r="H50" s="863"/>
      <c r="I50" s="52">
        <f t="shared" si="10"/>
        <v>1</v>
      </c>
      <c r="J50" s="863"/>
      <c r="K50" s="52">
        <f t="shared" si="11"/>
        <v>1</v>
      </c>
      <c r="L50" s="863"/>
      <c r="M50" s="52">
        <f t="shared" si="12"/>
        <v>1</v>
      </c>
      <c r="N50" s="863"/>
      <c r="O50" s="52">
        <f t="shared" si="13"/>
        <v>1</v>
      </c>
      <c r="P50" s="863"/>
      <c r="Q50" s="52">
        <f t="shared" si="14"/>
        <v>1</v>
      </c>
      <c r="R50" s="390">
        <f t="shared" si="15"/>
        <v>0</v>
      </c>
      <c r="S50" s="699">
        <f t="shared" si="6"/>
        <v>0</v>
      </c>
    </row>
    <row r="51" spans="1:19">
      <c r="A51" s="865"/>
      <c r="B51" s="134"/>
      <c r="C51" s="52">
        <f t="shared" si="7"/>
        <v>1</v>
      </c>
      <c r="D51" s="863"/>
      <c r="E51" s="52">
        <f t="shared" si="8"/>
        <v>1</v>
      </c>
      <c r="F51" s="863"/>
      <c r="G51" s="52">
        <f t="shared" si="9"/>
        <v>1</v>
      </c>
      <c r="H51" s="863"/>
      <c r="I51" s="52">
        <f t="shared" si="10"/>
        <v>1</v>
      </c>
      <c r="J51" s="863"/>
      <c r="K51" s="52">
        <f t="shared" si="11"/>
        <v>1</v>
      </c>
      <c r="L51" s="863"/>
      <c r="M51" s="52">
        <f t="shared" si="12"/>
        <v>1</v>
      </c>
      <c r="N51" s="863"/>
      <c r="O51" s="52">
        <f t="shared" si="13"/>
        <v>1</v>
      </c>
      <c r="P51" s="863"/>
      <c r="Q51" s="52">
        <f t="shared" si="14"/>
        <v>1</v>
      </c>
      <c r="R51" s="390">
        <f t="shared" si="15"/>
        <v>0</v>
      </c>
      <c r="S51" s="699">
        <f t="shared" si="6"/>
        <v>0</v>
      </c>
    </row>
    <row r="52" spans="1:19">
      <c r="A52" s="865"/>
      <c r="B52" s="134"/>
      <c r="C52" s="52">
        <f t="shared" si="7"/>
        <v>1</v>
      </c>
      <c r="D52" s="863"/>
      <c r="E52" s="52">
        <f t="shared" si="8"/>
        <v>1</v>
      </c>
      <c r="F52" s="863"/>
      <c r="G52" s="52">
        <f t="shared" si="9"/>
        <v>1</v>
      </c>
      <c r="H52" s="863"/>
      <c r="I52" s="52">
        <f t="shared" si="10"/>
        <v>1</v>
      </c>
      <c r="J52" s="863"/>
      <c r="K52" s="52">
        <f t="shared" si="11"/>
        <v>1</v>
      </c>
      <c r="L52" s="863"/>
      <c r="M52" s="52">
        <f t="shared" si="12"/>
        <v>1</v>
      </c>
      <c r="N52" s="863"/>
      <c r="O52" s="52">
        <f t="shared" si="13"/>
        <v>1</v>
      </c>
      <c r="P52" s="863"/>
      <c r="Q52" s="52">
        <f t="shared" si="14"/>
        <v>1</v>
      </c>
      <c r="R52" s="390">
        <f t="shared" si="15"/>
        <v>0</v>
      </c>
      <c r="S52" s="699">
        <f t="shared" si="6"/>
        <v>0</v>
      </c>
    </row>
    <row r="53" spans="1:19">
      <c r="A53" s="865"/>
      <c r="B53" s="134"/>
      <c r="C53" s="52">
        <f t="shared" si="7"/>
        <v>1</v>
      </c>
      <c r="D53" s="863"/>
      <c r="E53" s="52">
        <f t="shared" si="8"/>
        <v>1</v>
      </c>
      <c r="F53" s="863"/>
      <c r="G53" s="52">
        <f t="shared" si="9"/>
        <v>1</v>
      </c>
      <c r="H53" s="863"/>
      <c r="I53" s="52">
        <f t="shared" si="10"/>
        <v>1</v>
      </c>
      <c r="J53" s="863"/>
      <c r="K53" s="52">
        <f t="shared" si="11"/>
        <v>1</v>
      </c>
      <c r="L53" s="863"/>
      <c r="M53" s="52">
        <f t="shared" si="12"/>
        <v>1</v>
      </c>
      <c r="N53" s="863"/>
      <c r="O53" s="52">
        <f t="shared" si="13"/>
        <v>1</v>
      </c>
      <c r="P53" s="863"/>
      <c r="Q53" s="52">
        <f t="shared" si="14"/>
        <v>1</v>
      </c>
      <c r="R53" s="390">
        <f t="shared" si="15"/>
        <v>0</v>
      </c>
      <c r="S53" s="699">
        <f t="shared" si="6"/>
        <v>0</v>
      </c>
    </row>
    <row r="54" spans="1:19">
      <c r="A54" s="865"/>
      <c r="B54" s="134"/>
      <c r="C54" s="52">
        <f t="shared" si="7"/>
        <v>1</v>
      </c>
      <c r="D54" s="863"/>
      <c r="E54" s="52">
        <f t="shared" si="8"/>
        <v>1</v>
      </c>
      <c r="F54" s="863"/>
      <c r="G54" s="52">
        <f t="shared" si="9"/>
        <v>1</v>
      </c>
      <c r="H54" s="863"/>
      <c r="I54" s="52">
        <f t="shared" si="10"/>
        <v>1</v>
      </c>
      <c r="J54" s="863"/>
      <c r="K54" s="52">
        <f t="shared" si="11"/>
        <v>1</v>
      </c>
      <c r="L54" s="863"/>
      <c r="M54" s="52">
        <f t="shared" si="12"/>
        <v>1</v>
      </c>
      <c r="N54" s="863"/>
      <c r="O54" s="52">
        <f t="shared" si="13"/>
        <v>1</v>
      </c>
      <c r="P54" s="863"/>
      <c r="Q54" s="52">
        <f t="shared" si="14"/>
        <v>1</v>
      </c>
      <c r="R54" s="390">
        <f t="shared" si="15"/>
        <v>0</v>
      </c>
      <c r="S54" s="699">
        <f t="shared" si="6"/>
        <v>0</v>
      </c>
    </row>
    <row r="55" spans="1:19">
      <c r="A55" s="865"/>
      <c r="B55" s="134"/>
      <c r="C55" s="52">
        <f t="shared" si="7"/>
        <v>1</v>
      </c>
      <c r="D55" s="863"/>
      <c r="E55" s="52">
        <f t="shared" si="8"/>
        <v>1</v>
      </c>
      <c r="F55" s="863"/>
      <c r="G55" s="52">
        <f t="shared" si="9"/>
        <v>1</v>
      </c>
      <c r="H55" s="863"/>
      <c r="I55" s="52">
        <f t="shared" si="10"/>
        <v>1</v>
      </c>
      <c r="J55" s="863"/>
      <c r="K55" s="52">
        <f t="shared" si="11"/>
        <v>1</v>
      </c>
      <c r="L55" s="863"/>
      <c r="M55" s="52">
        <f t="shared" si="12"/>
        <v>1</v>
      </c>
      <c r="N55" s="863"/>
      <c r="O55" s="52">
        <f t="shared" si="13"/>
        <v>1</v>
      </c>
      <c r="P55" s="863"/>
      <c r="Q55" s="52">
        <f t="shared" si="14"/>
        <v>1</v>
      </c>
      <c r="R55" s="390">
        <f t="shared" si="15"/>
        <v>0</v>
      </c>
      <c r="S55" s="699">
        <f t="shared" ref="S55:S77" si="16">ROUND(R55*B55/10000,0)</f>
        <v>0</v>
      </c>
    </row>
    <row r="56" spans="1:19">
      <c r="A56" s="865"/>
      <c r="B56" s="134"/>
      <c r="C56" s="52">
        <f t="shared" si="7"/>
        <v>1</v>
      </c>
      <c r="D56" s="863"/>
      <c r="E56" s="52">
        <f t="shared" si="8"/>
        <v>1</v>
      </c>
      <c r="F56" s="863"/>
      <c r="G56" s="52">
        <f t="shared" si="9"/>
        <v>1</v>
      </c>
      <c r="H56" s="863"/>
      <c r="I56" s="52">
        <f t="shared" si="10"/>
        <v>1</v>
      </c>
      <c r="J56" s="863"/>
      <c r="K56" s="52">
        <f t="shared" si="11"/>
        <v>1</v>
      </c>
      <c r="L56" s="863"/>
      <c r="M56" s="52">
        <f t="shared" si="12"/>
        <v>1</v>
      </c>
      <c r="N56" s="863"/>
      <c r="O56" s="52">
        <f t="shared" si="13"/>
        <v>1</v>
      </c>
      <c r="P56" s="863"/>
      <c r="Q56" s="52">
        <f t="shared" si="14"/>
        <v>1</v>
      </c>
      <c r="R56" s="390">
        <f t="shared" si="15"/>
        <v>0</v>
      </c>
      <c r="S56" s="699">
        <f t="shared" si="16"/>
        <v>0</v>
      </c>
    </row>
    <row r="57" spans="1:19">
      <c r="A57" s="865"/>
      <c r="B57" s="134"/>
      <c r="C57" s="52">
        <f t="shared" si="7"/>
        <v>1</v>
      </c>
      <c r="D57" s="863"/>
      <c r="E57" s="52">
        <f t="shared" si="8"/>
        <v>1</v>
      </c>
      <c r="F57" s="863"/>
      <c r="G57" s="52">
        <f t="shared" si="9"/>
        <v>1</v>
      </c>
      <c r="H57" s="863"/>
      <c r="I57" s="52">
        <f t="shared" si="10"/>
        <v>1</v>
      </c>
      <c r="J57" s="863"/>
      <c r="K57" s="52">
        <f t="shared" si="11"/>
        <v>1</v>
      </c>
      <c r="L57" s="863"/>
      <c r="M57" s="52">
        <f t="shared" si="12"/>
        <v>1</v>
      </c>
      <c r="N57" s="863"/>
      <c r="O57" s="52">
        <f t="shared" si="13"/>
        <v>1</v>
      </c>
      <c r="P57" s="863"/>
      <c r="Q57" s="52">
        <f t="shared" si="14"/>
        <v>1</v>
      </c>
      <c r="R57" s="390">
        <f t="shared" si="15"/>
        <v>0</v>
      </c>
      <c r="S57" s="699">
        <f t="shared" si="16"/>
        <v>0</v>
      </c>
    </row>
    <row r="58" spans="1:19">
      <c r="A58" s="865"/>
      <c r="B58" s="134"/>
      <c r="C58" s="52">
        <f t="shared" si="7"/>
        <v>1</v>
      </c>
      <c r="D58" s="863"/>
      <c r="E58" s="52">
        <f t="shared" si="8"/>
        <v>1</v>
      </c>
      <c r="F58" s="863"/>
      <c r="G58" s="52">
        <f t="shared" si="9"/>
        <v>1</v>
      </c>
      <c r="H58" s="863"/>
      <c r="I58" s="52">
        <f t="shared" si="10"/>
        <v>1</v>
      </c>
      <c r="J58" s="863"/>
      <c r="K58" s="52">
        <f t="shared" si="11"/>
        <v>1</v>
      </c>
      <c r="L58" s="863"/>
      <c r="M58" s="52">
        <f t="shared" si="12"/>
        <v>1</v>
      </c>
      <c r="N58" s="863"/>
      <c r="O58" s="52">
        <f t="shared" si="13"/>
        <v>1</v>
      </c>
      <c r="P58" s="863"/>
      <c r="Q58" s="52">
        <f t="shared" si="14"/>
        <v>1</v>
      </c>
      <c r="R58" s="390">
        <f t="shared" si="15"/>
        <v>0</v>
      </c>
      <c r="S58" s="699">
        <f t="shared" si="16"/>
        <v>0</v>
      </c>
    </row>
    <row r="59" spans="1:19">
      <c r="A59" s="865"/>
      <c r="B59" s="134"/>
      <c r="C59" s="52">
        <f t="shared" si="7"/>
        <v>1</v>
      </c>
      <c r="D59" s="863"/>
      <c r="E59" s="52">
        <f t="shared" si="8"/>
        <v>1</v>
      </c>
      <c r="F59" s="863"/>
      <c r="G59" s="52">
        <f t="shared" si="9"/>
        <v>1</v>
      </c>
      <c r="H59" s="863"/>
      <c r="I59" s="52">
        <f t="shared" si="10"/>
        <v>1</v>
      </c>
      <c r="J59" s="863"/>
      <c r="K59" s="52">
        <f t="shared" si="11"/>
        <v>1</v>
      </c>
      <c r="L59" s="863"/>
      <c r="M59" s="52">
        <f t="shared" si="12"/>
        <v>1</v>
      </c>
      <c r="N59" s="863"/>
      <c r="O59" s="52">
        <f t="shared" si="13"/>
        <v>1</v>
      </c>
      <c r="P59" s="863"/>
      <c r="Q59" s="52">
        <f t="shared" si="14"/>
        <v>1</v>
      </c>
      <c r="R59" s="390">
        <f t="shared" si="15"/>
        <v>0</v>
      </c>
      <c r="S59" s="699">
        <f t="shared" si="16"/>
        <v>0</v>
      </c>
    </row>
    <row r="60" spans="1:19">
      <c r="A60" s="865"/>
      <c r="B60" s="134"/>
      <c r="C60" s="52">
        <f t="shared" si="7"/>
        <v>1</v>
      </c>
      <c r="D60" s="863"/>
      <c r="E60" s="52">
        <f t="shared" si="8"/>
        <v>1</v>
      </c>
      <c r="F60" s="863"/>
      <c r="G60" s="52">
        <f t="shared" si="9"/>
        <v>1</v>
      </c>
      <c r="H60" s="863"/>
      <c r="I60" s="52">
        <f t="shared" si="10"/>
        <v>1</v>
      </c>
      <c r="J60" s="863"/>
      <c r="K60" s="52">
        <f t="shared" si="11"/>
        <v>1</v>
      </c>
      <c r="L60" s="863"/>
      <c r="M60" s="52">
        <f t="shared" si="12"/>
        <v>1</v>
      </c>
      <c r="N60" s="863"/>
      <c r="O60" s="52">
        <f t="shared" si="13"/>
        <v>1</v>
      </c>
      <c r="P60" s="863"/>
      <c r="Q60" s="52">
        <f t="shared" si="14"/>
        <v>1</v>
      </c>
      <c r="R60" s="390">
        <f t="shared" si="15"/>
        <v>0</v>
      </c>
      <c r="S60" s="699">
        <f t="shared" si="16"/>
        <v>0</v>
      </c>
    </row>
    <row r="61" spans="1:19">
      <c r="A61" s="865"/>
      <c r="B61" s="134"/>
      <c r="C61" s="52">
        <f t="shared" si="7"/>
        <v>1</v>
      </c>
      <c r="D61" s="863"/>
      <c r="E61" s="52">
        <f t="shared" si="8"/>
        <v>1</v>
      </c>
      <c r="F61" s="863"/>
      <c r="G61" s="52">
        <f t="shared" si="9"/>
        <v>1</v>
      </c>
      <c r="H61" s="863"/>
      <c r="I61" s="52">
        <f t="shared" si="10"/>
        <v>1</v>
      </c>
      <c r="J61" s="863"/>
      <c r="K61" s="52">
        <f t="shared" si="11"/>
        <v>1</v>
      </c>
      <c r="L61" s="863"/>
      <c r="M61" s="52">
        <f t="shared" si="12"/>
        <v>1</v>
      </c>
      <c r="N61" s="863"/>
      <c r="O61" s="52">
        <f t="shared" si="13"/>
        <v>1</v>
      </c>
      <c r="P61" s="863"/>
      <c r="Q61" s="52">
        <f t="shared" si="14"/>
        <v>1</v>
      </c>
      <c r="R61" s="390">
        <f t="shared" si="15"/>
        <v>0</v>
      </c>
      <c r="S61" s="699">
        <f t="shared" si="16"/>
        <v>0</v>
      </c>
    </row>
    <row r="62" spans="1:19">
      <c r="A62" s="865"/>
      <c r="B62" s="134"/>
      <c r="C62" s="52">
        <f t="shared" si="7"/>
        <v>1</v>
      </c>
      <c r="D62" s="863"/>
      <c r="E62" s="52">
        <f t="shared" si="8"/>
        <v>1</v>
      </c>
      <c r="F62" s="863"/>
      <c r="G62" s="52">
        <f t="shared" si="9"/>
        <v>1</v>
      </c>
      <c r="H62" s="863"/>
      <c r="I62" s="52">
        <f t="shared" si="10"/>
        <v>1</v>
      </c>
      <c r="J62" s="863"/>
      <c r="K62" s="52">
        <f t="shared" si="11"/>
        <v>1</v>
      </c>
      <c r="L62" s="863"/>
      <c r="M62" s="52">
        <f t="shared" si="12"/>
        <v>1</v>
      </c>
      <c r="N62" s="863"/>
      <c r="O62" s="52">
        <f t="shared" si="13"/>
        <v>1</v>
      </c>
      <c r="P62" s="863"/>
      <c r="Q62" s="52">
        <f t="shared" si="14"/>
        <v>1</v>
      </c>
      <c r="R62" s="390">
        <f t="shared" si="15"/>
        <v>0</v>
      </c>
      <c r="S62" s="699">
        <f t="shared" si="16"/>
        <v>0</v>
      </c>
    </row>
    <row r="63" spans="1:19">
      <c r="A63" s="865"/>
      <c r="B63" s="134"/>
      <c r="C63" s="52">
        <f t="shared" si="7"/>
        <v>1</v>
      </c>
      <c r="D63" s="863"/>
      <c r="E63" s="52">
        <f t="shared" si="8"/>
        <v>1</v>
      </c>
      <c r="F63" s="863"/>
      <c r="G63" s="52">
        <f t="shared" si="9"/>
        <v>1</v>
      </c>
      <c r="H63" s="863"/>
      <c r="I63" s="52">
        <f t="shared" si="10"/>
        <v>1</v>
      </c>
      <c r="J63" s="863"/>
      <c r="K63" s="52">
        <f t="shared" si="11"/>
        <v>1</v>
      </c>
      <c r="L63" s="863"/>
      <c r="M63" s="52">
        <f t="shared" si="12"/>
        <v>1</v>
      </c>
      <c r="N63" s="863"/>
      <c r="O63" s="52">
        <f t="shared" si="13"/>
        <v>1</v>
      </c>
      <c r="P63" s="863"/>
      <c r="Q63" s="52">
        <f t="shared" si="14"/>
        <v>1</v>
      </c>
      <c r="R63" s="390">
        <f t="shared" si="15"/>
        <v>0</v>
      </c>
      <c r="S63" s="699">
        <f t="shared" si="16"/>
        <v>0</v>
      </c>
    </row>
    <row r="64" spans="1:19">
      <c r="A64" s="865"/>
      <c r="B64" s="134"/>
      <c r="C64" s="52">
        <f t="shared" si="7"/>
        <v>1</v>
      </c>
      <c r="D64" s="863"/>
      <c r="E64" s="52">
        <f t="shared" si="8"/>
        <v>1</v>
      </c>
      <c r="F64" s="863"/>
      <c r="G64" s="52">
        <f t="shared" si="9"/>
        <v>1</v>
      </c>
      <c r="H64" s="863"/>
      <c r="I64" s="52">
        <f t="shared" si="10"/>
        <v>1</v>
      </c>
      <c r="J64" s="863"/>
      <c r="K64" s="52">
        <f t="shared" si="11"/>
        <v>1</v>
      </c>
      <c r="L64" s="863"/>
      <c r="M64" s="52">
        <f t="shared" si="12"/>
        <v>1</v>
      </c>
      <c r="N64" s="863"/>
      <c r="O64" s="52">
        <f t="shared" si="13"/>
        <v>1</v>
      </c>
      <c r="P64" s="863"/>
      <c r="Q64" s="52">
        <f t="shared" si="14"/>
        <v>1</v>
      </c>
      <c r="R64" s="390">
        <f t="shared" si="15"/>
        <v>0</v>
      </c>
      <c r="S64" s="699">
        <f t="shared" si="16"/>
        <v>0</v>
      </c>
    </row>
    <row r="65" spans="1:19">
      <c r="A65" s="865"/>
      <c r="B65" s="134"/>
      <c r="C65" s="52">
        <f t="shared" si="7"/>
        <v>1</v>
      </c>
      <c r="D65" s="863"/>
      <c r="E65" s="52">
        <f t="shared" si="8"/>
        <v>1</v>
      </c>
      <c r="F65" s="863"/>
      <c r="G65" s="52">
        <f t="shared" si="9"/>
        <v>1</v>
      </c>
      <c r="H65" s="863"/>
      <c r="I65" s="52">
        <f t="shared" si="10"/>
        <v>1</v>
      </c>
      <c r="J65" s="863"/>
      <c r="K65" s="52">
        <f t="shared" si="11"/>
        <v>1</v>
      </c>
      <c r="L65" s="863"/>
      <c r="M65" s="52">
        <f t="shared" si="12"/>
        <v>1</v>
      </c>
      <c r="N65" s="863"/>
      <c r="O65" s="52">
        <f t="shared" si="13"/>
        <v>1</v>
      </c>
      <c r="P65" s="863"/>
      <c r="Q65" s="52">
        <f t="shared" si="14"/>
        <v>1</v>
      </c>
      <c r="R65" s="390">
        <f t="shared" si="15"/>
        <v>0</v>
      </c>
      <c r="S65" s="699">
        <f t="shared" si="16"/>
        <v>0</v>
      </c>
    </row>
    <row r="66" spans="1:19">
      <c r="A66" s="865"/>
      <c r="B66" s="134"/>
      <c r="C66" s="52">
        <f t="shared" si="7"/>
        <v>1</v>
      </c>
      <c r="D66" s="863"/>
      <c r="E66" s="52">
        <f t="shared" si="8"/>
        <v>1</v>
      </c>
      <c r="F66" s="863"/>
      <c r="G66" s="52">
        <f t="shared" si="9"/>
        <v>1</v>
      </c>
      <c r="H66" s="863"/>
      <c r="I66" s="52">
        <f t="shared" si="10"/>
        <v>1</v>
      </c>
      <c r="J66" s="863"/>
      <c r="K66" s="52">
        <f t="shared" si="11"/>
        <v>1</v>
      </c>
      <c r="L66" s="863"/>
      <c r="M66" s="52">
        <f t="shared" si="12"/>
        <v>1</v>
      </c>
      <c r="N66" s="863"/>
      <c r="O66" s="52">
        <f t="shared" si="13"/>
        <v>1</v>
      </c>
      <c r="P66" s="863"/>
      <c r="Q66" s="52">
        <f t="shared" si="14"/>
        <v>1</v>
      </c>
      <c r="R66" s="390">
        <f t="shared" si="15"/>
        <v>0</v>
      </c>
      <c r="S66" s="699">
        <f t="shared" si="16"/>
        <v>0</v>
      </c>
    </row>
    <row r="67" spans="1:19">
      <c r="A67" s="865"/>
      <c r="B67" s="134"/>
      <c r="C67" s="52">
        <f t="shared" si="7"/>
        <v>1</v>
      </c>
      <c r="D67" s="863"/>
      <c r="E67" s="52">
        <f t="shared" si="8"/>
        <v>1</v>
      </c>
      <c r="F67" s="863"/>
      <c r="G67" s="52">
        <f t="shared" si="9"/>
        <v>1</v>
      </c>
      <c r="H67" s="863"/>
      <c r="I67" s="52">
        <f t="shared" si="10"/>
        <v>1</v>
      </c>
      <c r="J67" s="863"/>
      <c r="K67" s="52">
        <f t="shared" si="11"/>
        <v>1</v>
      </c>
      <c r="L67" s="863"/>
      <c r="M67" s="52">
        <f t="shared" si="12"/>
        <v>1</v>
      </c>
      <c r="N67" s="863"/>
      <c r="O67" s="52">
        <f t="shared" si="13"/>
        <v>1</v>
      </c>
      <c r="P67" s="863"/>
      <c r="Q67" s="52">
        <f t="shared" si="14"/>
        <v>1</v>
      </c>
      <c r="R67" s="390">
        <f t="shared" si="15"/>
        <v>0</v>
      </c>
      <c r="S67" s="699">
        <f t="shared" si="16"/>
        <v>0</v>
      </c>
    </row>
    <row r="68" spans="1:19">
      <c r="A68" s="865"/>
      <c r="B68" s="134"/>
      <c r="C68" s="52">
        <f t="shared" si="7"/>
        <v>1</v>
      </c>
      <c r="D68" s="863"/>
      <c r="E68" s="52">
        <f t="shared" si="8"/>
        <v>1</v>
      </c>
      <c r="F68" s="863"/>
      <c r="G68" s="52">
        <f t="shared" si="9"/>
        <v>1</v>
      </c>
      <c r="H68" s="863"/>
      <c r="I68" s="52">
        <f t="shared" si="10"/>
        <v>1</v>
      </c>
      <c r="J68" s="863"/>
      <c r="K68" s="52">
        <f t="shared" si="11"/>
        <v>1</v>
      </c>
      <c r="L68" s="863"/>
      <c r="M68" s="52">
        <f t="shared" si="12"/>
        <v>1</v>
      </c>
      <c r="N68" s="863"/>
      <c r="O68" s="52">
        <f t="shared" si="13"/>
        <v>1</v>
      </c>
      <c r="P68" s="863"/>
      <c r="Q68" s="52">
        <f t="shared" si="14"/>
        <v>1</v>
      </c>
      <c r="R68" s="390">
        <f t="shared" si="15"/>
        <v>0</v>
      </c>
      <c r="S68" s="699">
        <f t="shared" si="16"/>
        <v>0</v>
      </c>
    </row>
    <row r="69" spans="1:19">
      <c r="A69" s="865"/>
      <c r="B69" s="134"/>
      <c r="C69" s="52">
        <f t="shared" si="7"/>
        <v>1</v>
      </c>
      <c r="D69" s="863"/>
      <c r="E69" s="52">
        <f t="shared" si="8"/>
        <v>1</v>
      </c>
      <c r="F69" s="863"/>
      <c r="G69" s="52">
        <f t="shared" si="9"/>
        <v>1</v>
      </c>
      <c r="H69" s="863"/>
      <c r="I69" s="52">
        <f t="shared" si="10"/>
        <v>1</v>
      </c>
      <c r="J69" s="863"/>
      <c r="K69" s="52">
        <f t="shared" si="11"/>
        <v>1</v>
      </c>
      <c r="L69" s="863"/>
      <c r="M69" s="52">
        <f t="shared" si="12"/>
        <v>1</v>
      </c>
      <c r="N69" s="863"/>
      <c r="O69" s="52">
        <f t="shared" si="13"/>
        <v>1</v>
      </c>
      <c r="P69" s="863"/>
      <c r="Q69" s="52">
        <f t="shared" si="14"/>
        <v>1</v>
      </c>
      <c r="R69" s="390">
        <f t="shared" si="15"/>
        <v>0</v>
      </c>
      <c r="S69" s="699">
        <f t="shared" si="16"/>
        <v>0</v>
      </c>
    </row>
    <row r="70" spans="1:19">
      <c r="A70" s="865"/>
      <c r="B70" s="134"/>
      <c r="C70" s="52">
        <f t="shared" si="7"/>
        <v>1</v>
      </c>
      <c r="D70" s="863"/>
      <c r="E70" s="52">
        <f t="shared" si="8"/>
        <v>1</v>
      </c>
      <c r="F70" s="863"/>
      <c r="G70" s="52">
        <f t="shared" si="9"/>
        <v>1</v>
      </c>
      <c r="H70" s="863"/>
      <c r="I70" s="52">
        <f t="shared" si="10"/>
        <v>1</v>
      </c>
      <c r="J70" s="863"/>
      <c r="K70" s="52">
        <f t="shared" si="11"/>
        <v>1</v>
      </c>
      <c r="L70" s="863"/>
      <c r="M70" s="52">
        <f t="shared" si="12"/>
        <v>1</v>
      </c>
      <c r="N70" s="863"/>
      <c r="O70" s="52">
        <f t="shared" si="13"/>
        <v>1</v>
      </c>
      <c r="P70" s="863"/>
      <c r="Q70" s="52">
        <f t="shared" si="14"/>
        <v>1</v>
      </c>
      <c r="R70" s="390">
        <f t="shared" si="15"/>
        <v>0</v>
      </c>
      <c r="S70" s="699">
        <f t="shared" si="16"/>
        <v>0</v>
      </c>
    </row>
    <row r="71" spans="1:19">
      <c r="A71" s="865"/>
      <c r="B71" s="134"/>
      <c r="C71" s="52">
        <f t="shared" si="7"/>
        <v>1</v>
      </c>
      <c r="D71" s="863"/>
      <c r="E71" s="52">
        <f t="shared" si="8"/>
        <v>1</v>
      </c>
      <c r="F71" s="863"/>
      <c r="G71" s="52">
        <f t="shared" si="9"/>
        <v>1</v>
      </c>
      <c r="H71" s="863"/>
      <c r="I71" s="52">
        <f t="shared" si="10"/>
        <v>1</v>
      </c>
      <c r="J71" s="863"/>
      <c r="K71" s="52">
        <f t="shared" si="11"/>
        <v>1</v>
      </c>
      <c r="L71" s="863"/>
      <c r="M71" s="52">
        <f t="shared" si="12"/>
        <v>1</v>
      </c>
      <c r="N71" s="863"/>
      <c r="O71" s="52">
        <f t="shared" si="13"/>
        <v>1</v>
      </c>
      <c r="P71" s="863"/>
      <c r="Q71" s="52">
        <f t="shared" si="14"/>
        <v>1</v>
      </c>
      <c r="R71" s="390">
        <f t="shared" si="15"/>
        <v>0</v>
      </c>
      <c r="S71" s="699">
        <f t="shared" si="16"/>
        <v>0</v>
      </c>
    </row>
    <row r="72" spans="1:19">
      <c r="A72" s="865"/>
      <c r="B72" s="134"/>
      <c r="C72" s="52">
        <f t="shared" si="7"/>
        <v>1</v>
      </c>
      <c r="D72" s="863"/>
      <c r="E72" s="52">
        <f t="shared" si="8"/>
        <v>1</v>
      </c>
      <c r="F72" s="863"/>
      <c r="G72" s="52">
        <f t="shared" si="9"/>
        <v>1</v>
      </c>
      <c r="H72" s="863"/>
      <c r="I72" s="52">
        <f t="shared" si="10"/>
        <v>1</v>
      </c>
      <c r="J72" s="863"/>
      <c r="K72" s="52">
        <f t="shared" si="11"/>
        <v>1</v>
      </c>
      <c r="L72" s="863"/>
      <c r="M72" s="52">
        <f t="shared" si="12"/>
        <v>1</v>
      </c>
      <c r="N72" s="863"/>
      <c r="O72" s="52">
        <f t="shared" si="13"/>
        <v>1</v>
      </c>
      <c r="P72" s="863"/>
      <c r="Q72" s="52">
        <f t="shared" si="14"/>
        <v>1</v>
      </c>
      <c r="R72" s="390">
        <f t="shared" si="15"/>
        <v>0</v>
      </c>
      <c r="S72" s="699">
        <f t="shared" si="16"/>
        <v>0</v>
      </c>
    </row>
    <row r="73" spans="1:19">
      <c r="A73" s="865"/>
      <c r="B73" s="134"/>
      <c r="C73" s="52">
        <f t="shared" si="7"/>
        <v>1</v>
      </c>
      <c r="D73" s="863"/>
      <c r="E73" s="52">
        <f t="shared" si="8"/>
        <v>1</v>
      </c>
      <c r="F73" s="863"/>
      <c r="G73" s="52">
        <f t="shared" si="9"/>
        <v>1</v>
      </c>
      <c r="H73" s="863"/>
      <c r="I73" s="52">
        <f t="shared" si="10"/>
        <v>1</v>
      </c>
      <c r="J73" s="863"/>
      <c r="K73" s="52">
        <f t="shared" si="11"/>
        <v>1</v>
      </c>
      <c r="L73" s="863"/>
      <c r="M73" s="52">
        <f t="shared" si="12"/>
        <v>1</v>
      </c>
      <c r="N73" s="863"/>
      <c r="O73" s="52">
        <f t="shared" si="13"/>
        <v>1</v>
      </c>
      <c r="P73" s="863"/>
      <c r="Q73" s="52">
        <f t="shared" si="14"/>
        <v>1</v>
      </c>
      <c r="R73" s="390">
        <f t="shared" si="15"/>
        <v>0</v>
      </c>
      <c r="S73" s="699">
        <f t="shared" si="16"/>
        <v>0</v>
      </c>
    </row>
    <row r="74" spans="1:19">
      <c r="A74" s="865"/>
      <c r="B74" s="134"/>
      <c r="C74" s="52">
        <f t="shared" si="7"/>
        <v>1</v>
      </c>
      <c r="D74" s="863"/>
      <c r="E74" s="52">
        <f t="shared" si="8"/>
        <v>1</v>
      </c>
      <c r="F74" s="863"/>
      <c r="G74" s="52">
        <f t="shared" si="9"/>
        <v>1</v>
      </c>
      <c r="H74" s="863"/>
      <c r="I74" s="52">
        <f t="shared" si="10"/>
        <v>1</v>
      </c>
      <c r="J74" s="863"/>
      <c r="K74" s="52">
        <f t="shared" si="11"/>
        <v>1</v>
      </c>
      <c r="L74" s="863"/>
      <c r="M74" s="52">
        <f t="shared" si="12"/>
        <v>1</v>
      </c>
      <c r="N74" s="863"/>
      <c r="O74" s="52">
        <f t="shared" si="13"/>
        <v>1</v>
      </c>
      <c r="P74" s="863"/>
      <c r="Q74" s="52">
        <f t="shared" si="14"/>
        <v>1</v>
      </c>
      <c r="R74" s="390">
        <f t="shared" si="15"/>
        <v>0</v>
      </c>
      <c r="S74" s="699">
        <f t="shared" si="16"/>
        <v>0</v>
      </c>
    </row>
    <row r="75" spans="1:19">
      <c r="A75" s="865"/>
      <c r="B75" s="134"/>
      <c r="C75" s="52">
        <f t="shared" si="7"/>
        <v>1</v>
      </c>
      <c r="D75" s="863"/>
      <c r="E75" s="52">
        <f t="shared" si="8"/>
        <v>1</v>
      </c>
      <c r="F75" s="863"/>
      <c r="G75" s="52">
        <f t="shared" si="9"/>
        <v>1</v>
      </c>
      <c r="H75" s="863"/>
      <c r="I75" s="52">
        <f t="shared" si="10"/>
        <v>1</v>
      </c>
      <c r="J75" s="863"/>
      <c r="K75" s="52">
        <f t="shared" si="11"/>
        <v>1</v>
      </c>
      <c r="L75" s="863"/>
      <c r="M75" s="52">
        <f t="shared" si="12"/>
        <v>1</v>
      </c>
      <c r="N75" s="863"/>
      <c r="O75" s="52">
        <f t="shared" si="13"/>
        <v>1</v>
      </c>
      <c r="P75" s="863"/>
      <c r="Q75" s="52">
        <f t="shared" si="14"/>
        <v>1</v>
      </c>
      <c r="R75" s="390">
        <f t="shared" si="15"/>
        <v>0</v>
      </c>
      <c r="S75" s="699">
        <f t="shared" si="16"/>
        <v>0</v>
      </c>
    </row>
    <row r="76" spans="1:19">
      <c r="A76" s="865"/>
      <c r="B76" s="134"/>
      <c r="C76" s="52">
        <f t="shared" si="7"/>
        <v>1</v>
      </c>
      <c r="D76" s="863"/>
      <c r="E76" s="52">
        <f t="shared" si="8"/>
        <v>1</v>
      </c>
      <c r="F76" s="863"/>
      <c r="G76" s="52">
        <f t="shared" si="9"/>
        <v>1</v>
      </c>
      <c r="H76" s="863"/>
      <c r="I76" s="52">
        <f t="shared" si="10"/>
        <v>1</v>
      </c>
      <c r="J76" s="863"/>
      <c r="K76" s="52">
        <f t="shared" si="11"/>
        <v>1</v>
      </c>
      <c r="L76" s="863"/>
      <c r="M76" s="52">
        <f t="shared" si="12"/>
        <v>1</v>
      </c>
      <c r="N76" s="863"/>
      <c r="O76" s="52">
        <f t="shared" si="13"/>
        <v>1</v>
      </c>
      <c r="P76" s="863"/>
      <c r="Q76" s="52">
        <f t="shared" si="14"/>
        <v>1</v>
      </c>
      <c r="R76" s="390">
        <f t="shared" si="15"/>
        <v>0</v>
      </c>
      <c r="S76" s="699">
        <f t="shared" si="16"/>
        <v>0</v>
      </c>
    </row>
    <row r="77" spans="1:19">
      <c r="A77" s="865"/>
      <c r="B77" s="134"/>
      <c r="C77" s="52">
        <f t="shared" si="7"/>
        <v>1</v>
      </c>
      <c r="D77" s="863"/>
      <c r="E77" s="52">
        <f t="shared" si="8"/>
        <v>1</v>
      </c>
      <c r="F77" s="863"/>
      <c r="G77" s="52">
        <f t="shared" si="9"/>
        <v>1</v>
      </c>
      <c r="H77" s="863"/>
      <c r="I77" s="52">
        <f t="shared" si="10"/>
        <v>1</v>
      </c>
      <c r="J77" s="863"/>
      <c r="K77" s="52">
        <f t="shared" si="11"/>
        <v>1</v>
      </c>
      <c r="L77" s="863"/>
      <c r="M77" s="52">
        <f t="shared" si="12"/>
        <v>1</v>
      </c>
      <c r="N77" s="863"/>
      <c r="O77" s="52">
        <f t="shared" si="13"/>
        <v>1</v>
      </c>
      <c r="P77" s="863"/>
      <c r="Q77" s="52">
        <f t="shared" si="14"/>
        <v>1</v>
      </c>
      <c r="R77" s="390">
        <f t="shared" si="15"/>
        <v>0</v>
      </c>
      <c r="S77" s="699">
        <f t="shared" si="16"/>
        <v>0</v>
      </c>
    </row>
    <row r="78" spans="1:19">
      <c r="A78" s="865"/>
      <c r="B78" s="134"/>
      <c r="C78" s="52">
        <f t="shared" si="7"/>
        <v>1</v>
      </c>
      <c r="D78" s="863"/>
      <c r="E78" s="52">
        <f t="shared" si="8"/>
        <v>1</v>
      </c>
      <c r="F78" s="863"/>
      <c r="G78" s="52">
        <f t="shared" si="9"/>
        <v>1</v>
      </c>
      <c r="H78" s="863"/>
      <c r="I78" s="52">
        <f t="shared" si="10"/>
        <v>1</v>
      </c>
      <c r="J78" s="863"/>
      <c r="K78" s="52">
        <f t="shared" si="11"/>
        <v>1</v>
      </c>
      <c r="L78" s="863"/>
      <c r="M78" s="52">
        <f t="shared" si="12"/>
        <v>1</v>
      </c>
      <c r="N78" s="863"/>
      <c r="O78" s="52">
        <f t="shared" si="13"/>
        <v>1</v>
      </c>
      <c r="P78" s="863"/>
      <c r="Q78" s="52">
        <f t="shared" si="14"/>
        <v>1</v>
      </c>
      <c r="R78" s="390">
        <f t="shared" si="15"/>
        <v>0</v>
      </c>
      <c r="S78" s="699">
        <f t="shared" ref="S78:S122" si="17">ROUND(R78*B78/10000,0)</f>
        <v>0</v>
      </c>
    </row>
    <row r="79" spans="1:19">
      <c r="A79" s="865"/>
      <c r="B79" s="134"/>
      <c r="C79" s="52">
        <f t="shared" si="7"/>
        <v>1</v>
      </c>
      <c r="D79" s="863"/>
      <c r="E79" s="52">
        <f t="shared" si="8"/>
        <v>1</v>
      </c>
      <c r="F79" s="863"/>
      <c r="G79" s="52">
        <f t="shared" si="9"/>
        <v>1</v>
      </c>
      <c r="H79" s="863"/>
      <c r="I79" s="52">
        <f t="shared" si="10"/>
        <v>1</v>
      </c>
      <c r="J79" s="863"/>
      <c r="K79" s="52">
        <f t="shared" si="11"/>
        <v>1</v>
      </c>
      <c r="L79" s="863"/>
      <c r="M79" s="52">
        <f t="shared" si="12"/>
        <v>1</v>
      </c>
      <c r="N79" s="863"/>
      <c r="O79" s="52">
        <f t="shared" si="13"/>
        <v>1</v>
      </c>
      <c r="P79" s="863"/>
      <c r="Q79" s="52">
        <f t="shared" si="14"/>
        <v>1</v>
      </c>
      <c r="R79" s="390">
        <f t="shared" si="15"/>
        <v>0</v>
      </c>
      <c r="S79" s="699">
        <f t="shared" si="17"/>
        <v>0</v>
      </c>
    </row>
    <row r="80" spans="1:19">
      <c r="A80" s="865"/>
      <c r="B80" s="134"/>
      <c r="C80" s="52">
        <f t="shared" si="7"/>
        <v>1</v>
      </c>
      <c r="D80" s="863"/>
      <c r="E80" s="52">
        <f t="shared" si="8"/>
        <v>1</v>
      </c>
      <c r="F80" s="863"/>
      <c r="G80" s="52">
        <f t="shared" si="9"/>
        <v>1</v>
      </c>
      <c r="H80" s="863"/>
      <c r="I80" s="52">
        <f t="shared" si="10"/>
        <v>1</v>
      </c>
      <c r="J80" s="863"/>
      <c r="K80" s="52">
        <f t="shared" si="11"/>
        <v>1</v>
      </c>
      <c r="L80" s="863"/>
      <c r="M80" s="52">
        <f t="shared" si="12"/>
        <v>1</v>
      </c>
      <c r="N80" s="863"/>
      <c r="O80" s="52">
        <f t="shared" si="13"/>
        <v>1</v>
      </c>
      <c r="P80" s="863"/>
      <c r="Q80" s="52">
        <f t="shared" si="14"/>
        <v>1</v>
      </c>
      <c r="R80" s="390">
        <f t="shared" si="15"/>
        <v>0</v>
      </c>
      <c r="S80" s="699">
        <f t="shared" si="17"/>
        <v>0</v>
      </c>
    </row>
    <row r="81" spans="1:19">
      <c r="A81" s="865"/>
      <c r="B81" s="134"/>
      <c r="C81" s="52">
        <f t="shared" si="7"/>
        <v>1</v>
      </c>
      <c r="D81" s="863"/>
      <c r="E81" s="52">
        <f t="shared" si="8"/>
        <v>1</v>
      </c>
      <c r="F81" s="863"/>
      <c r="G81" s="52">
        <f t="shared" si="9"/>
        <v>1</v>
      </c>
      <c r="H81" s="863"/>
      <c r="I81" s="52">
        <f t="shared" si="10"/>
        <v>1</v>
      </c>
      <c r="J81" s="863"/>
      <c r="K81" s="52">
        <f t="shared" si="11"/>
        <v>1</v>
      </c>
      <c r="L81" s="863"/>
      <c r="M81" s="52">
        <f t="shared" si="12"/>
        <v>1</v>
      </c>
      <c r="N81" s="863"/>
      <c r="O81" s="52">
        <f t="shared" si="13"/>
        <v>1</v>
      </c>
      <c r="P81" s="863"/>
      <c r="Q81" s="52">
        <f t="shared" si="14"/>
        <v>1</v>
      </c>
      <c r="R81" s="390">
        <f t="shared" si="15"/>
        <v>0</v>
      </c>
      <c r="S81" s="699">
        <f t="shared" si="17"/>
        <v>0</v>
      </c>
    </row>
    <row r="82" spans="1:19">
      <c r="A82" s="865"/>
      <c r="B82" s="134"/>
      <c r="C82" s="52">
        <f t="shared" si="7"/>
        <v>1</v>
      </c>
      <c r="D82" s="863"/>
      <c r="E82" s="52">
        <f t="shared" si="8"/>
        <v>1</v>
      </c>
      <c r="F82" s="863"/>
      <c r="G82" s="52">
        <f t="shared" si="9"/>
        <v>1</v>
      </c>
      <c r="H82" s="863"/>
      <c r="I82" s="52">
        <f t="shared" si="10"/>
        <v>1</v>
      </c>
      <c r="J82" s="863"/>
      <c r="K82" s="52">
        <f t="shared" si="11"/>
        <v>1</v>
      </c>
      <c r="L82" s="863"/>
      <c r="M82" s="52">
        <f t="shared" si="12"/>
        <v>1</v>
      </c>
      <c r="N82" s="863"/>
      <c r="O82" s="52">
        <f t="shared" si="13"/>
        <v>1</v>
      </c>
      <c r="P82" s="863"/>
      <c r="Q82" s="52">
        <f t="shared" si="14"/>
        <v>1</v>
      </c>
      <c r="R82" s="390">
        <f t="shared" si="15"/>
        <v>0</v>
      </c>
      <c r="S82" s="699">
        <f t="shared" si="17"/>
        <v>0</v>
      </c>
    </row>
    <row r="83" spans="1:19">
      <c r="A83" s="865"/>
      <c r="B83" s="134"/>
      <c r="C83" s="52">
        <f t="shared" si="7"/>
        <v>1</v>
      </c>
      <c r="D83" s="863"/>
      <c r="E83" s="52">
        <f t="shared" si="8"/>
        <v>1</v>
      </c>
      <c r="F83" s="863"/>
      <c r="G83" s="52">
        <f t="shared" si="9"/>
        <v>1</v>
      </c>
      <c r="H83" s="863"/>
      <c r="I83" s="52">
        <f t="shared" si="10"/>
        <v>1</v>
      </c>
      <c r="J83" s="863"/>
      <c r="K83" s="52">
        <f t="shared" si="11"/>
        <v>1</v>
      </c>
      <c r="L83" s="863"/>
      <c r="M83" s="52">
        <f t="shared" si="12"/>
        <v>1</v>
      </c>
      <c r="N83" s="863"/>
      <c r="O83" s="52">
        <f t="shared" si="13"/>
        <v>1</v>
      </c>
      <c r="P83" s="863"/>
      <c r="Q83" s="52">
        <f t="shared" si="14"/>
        <v>1</v>
      </c>
      <c r="R83" s="390">
        <f t="shared" si="15"/>
        <v>0</v>
      </c>
      <c r="S83" s="699">
        <f t="shared" si="17"/>
        <v>0</v>
      </c>
    </row>
    <row r="84" spans="1:19">
      <c r="A84" s="865"/>
      <c r="B84" s="134"/>
      <c r="C84" s="52">
        <f t="shared" si="7"/>
        <v>1</v>
      </c>
      <c r="D84" s="863"/>
      <c r="E84" s="52">
        <f t="shared" si="8"/>
        <v>1</v>
      </c>
      <c r="F84" s="863"/>
      <c r="G84" s="52">
        <f t="shared" si="9"/>
        <v>1</v>
      </c>
      <c r="H84" s="863"/>
      <c r="I84" s="52">
        <f t="shared" si="10"/>
        <v>1</v>
      </c>
      <c r="J84" s="863"/>
      <c r="K84" s="52">
        <f t="shared" si="11"/>
        <v>1</v>
      </c>
      <c r="L84" s="863"/>
      <c r="M84" s="52">
        <f t="shared" si="12"/>
        <v>1</v>
      </c>
      <c r="N84" s="863"/>
      <c r="O84" s="52">
        <f t="shared" si="13"/>
        <v>1</v>
      </c>
      <c r="P84" s="863"/>
      <c r="Q84" s="52">
        <f t="shared" si="14"/>
        <v>1</v>
      </c>
      <c r="R84" s="390">
        <f t="shared" si="15"/>
        <v>0</v>
      </c>
      <c r="S84" s="699">
        <f t="shared" si="17"/>
        <v>0</v>
      </c>
    </row>
    <row r="85" spans="1:19">
      <c r="A85" s="865"/>
      <c r="B85" s="134"/>
      <c r="C85" s="52">
        <f t="shared" si="7"/>
        <v>1</v>
      </c>
      <c r="D85" s="863"/>
      <c r="E85" s="52">
        <f t="shared" si="8"/>
        <v>1</v>
      </c>
      <c r="F85" s="863"/>
      <c r="G85" s="52">
        <f t="shared" si="9"/>
        <v>1</v>
      </c>
      <c r="H85" s="863"/>
      <c r="I85" s="52">
        <f t="shared" si="10"/>
        <v>1</v>
      </c>
      <c r="J85" s="863"/>
      <c r="K85" s="52">
        <f t="shared" si="11"/>
        <v>1</v>
      </c>
      <c r="L85" s="863"/>
      <c r="M85" s="52">
        <f t="shared" si="12"/>
        <v>1</v>
      </c>
      <c r="N85" s="863"/>
      <c r="O85" s="52">
        <f t="shared" si="13"/>
        <v>1</v>
      </c>
      <c r="P85" s="863"/>
      <c r="Q85" s="52">
        <f t="shared" si="14"/>
        <v>1</v>
      </c>
      <c r="R85" s="390">
        <f t="shared" si="15"/>
        <v>0</v>
      </c>
      <c r="S85" s="699">
        <f t="shared" si="17"/>
        <v>0</v>
      </c>
    </row>
    <row r="86" spans="1:19">
      <c r="A86" s="865"/>
      <c r="B86" s="134"/>
      <c r="C86" s="52">
        <f t="shared" si="7"/>
        <v>1</v>
      </c>
      <c r="D86" s="863"/>
      <c r="E86" s="52">
        <f t="shared" si="8"/>
        <v>1</v>
      </c>
      <c r="F86" s="863"/>
      <c r="G86" s="52">
        <f t="shared" si="9"/>
        <v>1</v>
      </c>
      <c r="H86" s="863"/>
      <c r="I86" s="52">
        <f t="shared" si="10"/>
        <v>1</v>
      </c>
      <c r="J86" s="863"/>
      <c r="K86" s="52">
        <f t="shared" si="11"/>
        <v>1</v>
      </c>
      <c r="L86" s="863"/>
      <c r="M86" s="52">
        <f t="shared" si="12"/>
        <v>1</v>
      </c>
      <c r="N86" s="863"/>
      <c r="O86" s="52">
        <f t="shared" si="13"/>
        <v>1</v>
      </c>
      <c r="P86" s="863"/>
      <c r="Q86" s="52">
        <f t="shared" si="14"/>
        <v>1</v>
      </c>
      <c r="R86" s="390">
        <f t="shared" si="15"/>
        <v>0</v>
      </c>
      <c r="S86" s="699">
        <f t="shared" si="17"/>
        <v>0</v>
      </c>
    </row>
    <row r="87" spans="1:19">
      <c r="A87" s="865"/>
      <c r="B87" s="134"/>
      <c r="C87" s="52">
        <f t="shared" si="7"/>
        <v>1</v>
      </c>
      <c r="D87" s="863"/>
      <c r="E87" s="52">
        <f t="shared" si="8"/>
        <v>1</v>
      </c>
      <c r="F87" s="863"/>
      <c r="G87" s="52">
        <f t="shared" si="9"/>
        <v>1</v>
      </c>
      <c r="H87" s="863"/>
      <c r="I87" s="52">
        <f t="shared" si="10"/>
        <v>1</v>
      </c>
      <c r="J87" s="863"/>
      <c r="K87" s="52">
        <f t="shared" si="11"/>
        <v>1</v>
      </c>
      <c r="L87" s="863"/>
      <c r="M87" s="52">
        <f t="shared" si="12"/>
        <v>1</v>
      </c>
      <c r="N87" s="863"/>
      <c r="O87" s="52">
        <f t="shared" si="13"/>
        <v>1</v>
      </c>
      <c r="P87" s="863"/>
      <c r="Q87" s="52">
        <f t="shared" si="14"/>
        <v>1</v>
      </c>
      <c r="R87" s="390">
        <f t="shared" si="15"/>
        <v>0</v>
      </c>
      <c r="S87" s="699">
        <f t="shared" si="17"/>
        <v>0</v>
      </c>
    </row>
    <row r="88" spans="1:19">
      <c r="A88" s="865"/>
      <c r="B88" s="134"/>
      <c r="C88" s="52">
        <f t="shared" si="7"/>
        <v>1</v>
      </c>
      <c r="D88" s="863"/>
      <c r="E88" s="52">
        <f t="shared" si="8"/>
        <v>1</v>
      </c>
      <c r="F88" s="863"/>
      <c r="G88" s="52">
        <f t="shared" si="9"/>
        <v>1</v>
      </c>
      <c r="H88" s="863"/>
      <c r="I88" s="52">
        <f t="shared" si="10"/>
        <v>1</v>
      </c>
      <c r="J88" s="863"/>
      <c r="K88" s="52">
        <f t="shared" si="11"/>
        <v>1</v>
      </c>
      <c r="L88" s="863"/>
      <c r="M88" s="52">
        <f t="shared" si="12"/>
        <v>1</v>
      </c>
      <c r="N88" s="863"/>
      <c r="O88" s="52">
        <f t="shared" si="13"/>
        <v>1</v>
      </c>
      <c r="P88" s="863"/>
      <c r="Q88" s="52">
        <f t="shared" si="14"/>
        <v>1</v>
      </c>
      <c r="R88" s="390">
        <f t="shared" si="15"/>
        <v>0</v>
      </c>
      <c r="S88" s="699">
        <f t="shared" si="17"/>
        <v>0</v>
      </c>
    </row>
    <row r="89" spans="1:19">
      <c r="A89" s="865"/>
      <c r="B89" s="134"/>
      <c r="C89" s="52">
        <f t="shared" si="7"/>
        <v>1</v>
      </c>
      <c r="D89" s="863"/>
      <c r="E89" s="52">
        <f t="shared" si="8"/>
        <v>1</v>
      </c>
      <c r="F89" s="863"/>
      <c r="G89" s="52">
        <f t="shared" si="9"/>
        <v>1</v>
      </c>
      <c r="H89" s="863"/>
      <c r="I89" s="52">
        <f t="shared" si="10"/>
        <v>1</v>
      </c>
      <c r="J89" s="863"/>
      <c r="K89" s="52">
        <f t="shared" si="11"/>
        <v>1</v>
      </c>
      <c r="L89" s="863"/>
      <c r="M89" s="52">
        <f t="shared" si="12"/>
        <v>1</v>
      </c>
      <c r="N89" s="863"/>
      <c r="O89" s="52">
        <f t="shared" si="13"/>
        <v>1</v>
      </c>
      <c r="P89" s="863"/>
      <c r="Q89" s="52">
        <f t="shared" si="14"/>
        <v>1</v>
      </c>
      <c r="R89" s="390">
        <f t="shared" si="15"/>
        <v>0</v>
      </c>
      <c r="S89" s="699">
        <f t="shared" si="17"/>
        <v>0</v>
      </c>
    </row>
    <row r="90" spans="1:19">
      <c r="A90" s="865"/>
      <c r="B90" s="134"/>
      <c r="C90" s="52">
        <f t="shared" ref="C90:C153" si="18">IF(B90="",1,(LOOKUP(B90,$3:$3,$4:$4)-LOOKUP($B$24,$3:$3,$4:$4)+100)/100)</f>
        <v>1</v>
      </c>
      <c r="D90" s="863"/>
      <c r="E90" s="52">
        <f t="shared" ref="E90:E153" si="19">(SUMIF($5:$5,D90,$6:$6)-SUMIF($5:$5,$D$24,$6:$6)+100)/100</f>
        <v>1</v>
      </c>
      <c r="F90" s="863"/>
      <c r="G90" s="52">
        <f t="shared" ref="G90:G153" si="20">(SUMIF($7:$7,F90,$8:$8)-SUMIF($7:$7,$F$24,$8:$8)+100)/100</f>
        <v>1</v>
      </c>
      <c r="H90" s="863"/>
      <c r="I90" s="52">
        <f t="shared" ref="I90:I153" si="21">(SUMIF($9:$9,H90,$10:$10)-SUMIF($9:$9,$H$24,$10:$10)+100)/100</f>
        <v>1</v>
      </c>
      <c r="J90" s="863"/>
      <c r="K90" s="52">
        <f t="shared" ref="K90:K153" si="22">(SUMIF($11:$11,J90,$12:$12)-SUMIF($11:$11,$J$24,$12:$12)+100)/100</f>
        <v>1</v>
      </c>
      <c r="L90" s="863"/>
      <c r="M90" s="52">
        <f t="shared" ref="M90:M153" si="23">(SUMIF($13:$13,L90,$14:$14)-SUMIF($13:$13,$L$24,$14:$14)+100)/100</f>
        <v>1</v>
      </c>
      <c r="N90" s="863"/>
      <c r="O90" s="52">
        <f t="shared" ref="O90:O153" si="24">(SUMIF($15:$15,N90,$16:$16)-SUMIF($15:$15,$N$24,$16:$16)+100)/100</f>
        <v>1</v>
      </c>
      <c r="P90" s="863"/>
      <c r="Q90" s="52">
        <f t="shared" ref="Q90:Q153" si="25">(SUMIF($17:$17,P90,$18:$18)-SUMIF($17:$17,$P$24,$18:$18)+100)/100</f>
        <v>1</v>
      </c>
      <c r="R90" s="390">
        <f t="shared" ref="R90:R153" si="26">IF(B90="",0,ROUND($R$24*C90*E90*G90*I90*K90*M90*O90*Q90,0))</f>
        <v>0</v>
      </c>
      <c r="S90" s="699">
        <f t="shared" si="17"/>
        <v>0</v>
      </c>
    </row>
    <row r="91" spans="1:19">
      <c r="A91" s="865"/>
      <c r="B91" s="134"/>
      <c r="C91" s="52">
        <f t="shared" si="18"/>
        <v>1</v>
      </c>
      <c r="D91" s="863"/>
      <c r="E91" s="52">
        <f t="shared" si="19"/>
        <v>1</v>
      </c>
      <c r="F91" s="863"/>
      <c r="G91" s="52">
        <f t="shared" si="20"/>
        <v>1</v>
      </c>
      <c r="H91" s="863"/>
      <c r="I91" s="52">
        <f t="shared" si="21"/>
        <v>1</v>
      </c>
      <c r="J91" s="863"/>
      <c r="K91" s="52">
        <f t="shared" si="22"/>
        <v>1</v>
      </c>
      <c r="L91" s="863"/>
      <c r="M91" s="52">
        <f t="shared" si="23"/>
        <v>1</v>
      </c>
      <c r="N91" s="863"/>
      <c r="O91" s="52">
        <f t="shared" si="24"/>
        <v>1</v>
      </c>
      <c r="P91" s="863"/>
      <c r="Q91" s="52">
        <f t="shared" si="25"/>
        <v>1</v>
      </c>
      <c r="R91" s="390">
        <f t="shared" si="26"/>
        <v>0</v>
      </c>
      <c r="S91" s="699">
        <f t="shared" si="17"/>
        <v>0</v>
      </c>
    </row>
    <row r="92" spans="1:19">
      <c r="A92" s="865"/>
      <c r="B92" s="134"/>
      <c r="C92" s="52">
        <f t="shared" si="18"/>
        <v>1</v>
      </c>
      <c r="D92" s="863"/>
      <c r="E92" s="52">
        <f t="shared" si="19"/>
        <v>1</v>
      </c>
      <c r="F92" s="863"/>
      <c r="G92" s="52">
        <f t="shared" si="20"/>
        <v>1</v>
      </c>
      <c r="H92" s="863"/>
      <c r="I92" s="52">
        <f t="shared" si="21"/>
        <v>1</v>
      </c>
      <c r="J92" s="863"/>
      <c r="K92" s="52">
        <f t="shared" si="22"/>
        <v>1</v>
      </c>
      <c r="L92" s="863"/>
      <c r="M92" s="52">
        <f t="shared" si="23"/>
        <v>1</v>
      </c>
      <c r="N92" s="863"/>
      <c r="O92" s="52">
        <f t="shared" si="24"/>
        <v>1</v>
      </c>
      <c r="P92" s="863"/>
      <c r="Q92" s="52">
        <f t="shared" si="25"/>
        <v>1</v>
      </c>
      <c r="R92" s="390">
        <f t="shared" si="26"/>
        <v>0</v>
      </c>
      <c r="S92" s="699">
        <f t="shared" si="17"/>
        <v>0</v>
      </c>
    </row>
    <row r="93" spans="1:19">
      <c r="A93" s="865"/>
      <c r="B93" s="134"/>
      <c r="C93" s="52">
        <f t="shared" si="18"/>
        <v>1</v>
      </c>
      <c r="D93" s="863"/>
      <c r="E93" s="52">
        <f t="shared" si="19"/>
        <v>1</v>
      </c>
      <c r="F93" s="863"/>
      <c r="G93" s="52">
        <f t="shared" si="20"/>
        <v>1</v>
      </c>
      <c r="H93" s="863"/>
      <c r="I93" s="52">
        <f t="shared" si="21"/>
        <v>1</v>
      </c>
      <c r="J93" s="863"/>
      <c r="K93" s="52">
        <f t="shared" si="22"/>
        <v>1</v>
      </c>
      <c r="L93" s="863"/>
      <c r="M93" s="52">
        <f t="shared" si="23"/>
        <v>1</v>
      </c>
      <c r="N93" s="863"/>
      <c r="O93" s="52">
        <f t="shared" si="24"/>
        <v>1</v>
      </c>
      <c r="P93" s="863"/>
      <c r="Q93" s="52">
        <f t="shared" si="25"/>
        <v>1</v>
      </c>
      <c r="R93" s="390">
        <f t="shared" si="26"/>
        <v>0</v>
      </c>
      <c r="S93" s="699">
        <f t="shared" si="17"/>
        <v>0</v>
      </c>
    </row>
    <row r="94" spans="1:19">
      <c r="A94" s="865"/>
      <c r="B94" s="134"/>
      <c r="C94" s="52">
        <f t="shared" si="18"/>
        <v>1</v>
      </c>
      <c r="D94" s="863"/>
      <c r="E94" s="52">
        <f t="shared" si="19"/>
        <v>1</v>
      </c>
      <c r="F94" s="863"/>
      <c r="G94" s="52">
        <f t="shared" si="20"/>
        <v>1</v>
      </c>
      <c r="H94" s="863"/>
      <c r="I94" s="52">
        <f t="shared" si="21"/>
        <v>1</v>
      </c>
      <c r="J94" s="863"/>
      <c r="K94" s="52">
        <f t="shared" si="22"/>
        <v>1</v>
      </c>
      <c r="L94" s="863"/>
      <c r="M94" s="52">
        <f t="shared" si="23"/>
        <v>1</v>
      </c>
      <c r="N94" s="863"/>
      <c r="O94" s="52">
        <f t="shared" si="24"/>
        <v>1</v>
      </c>
      <c r="P94" s="863"/>
      <c r="Q94" s="52">
        <f t="shared" si="25"/>
        <v>1</v>
      </c>
      <c r="R94" s="390">
        <f t="shared" si="26"/>
        <v>0</v>
      </c>
      <c r="S94" s="699">
        <f t="shared" si="17"/>
        <v>0</v>
      </c>
    </row>
    <row r="95" spans="1:19">
      <c r="A95" s="865"/>
      <c r="B95" s="134"/>
      <c r="C95" s="52">
        <f t="shared" si="18"/>
        <v>1</v>
      </c>
      <c r="D95" s="863"/>
      <c r="E95" s="52">
        <f t="shared" si="19"/>
        <v>1</v>
      </c>
      <c r="F95" s="863"/>
      <c r="G95" s="52">
        <f t="shared" si="20"/>
        <v>1</v>
      </c>
      <c r="H95" s="863"/>
      <c r="I95" s="52">
        <f t="shared" si="21"/>
        <v>1</v>
      </c>
      <c r="J95" s="863"/>
      <c r="K95" s="52">
        <f t="shared" si="22"/>
        <v>1</v>
      </c>
      <c r="L95" s="863"/>
      <c r="M95" s="52">
        <f t="shared" si="23"/>
        <v>1</v>
      </c>
      <c r="N95" s="863"/>
      <c r="O95" s="52">
        <f t="shared" si="24"/>
        <v>1</v>
      </c>
      <c r="P95" s="863"/>
      <c r="Q95" s="52">
        <f t="shared" si="25"/>
        <v>1</v>
      </c>
      <c r="R95" s="390">
        <f t="shared" si="26"/>
        <v>0</v>
      </c>
      <c r="S95" s="699">
        <f t="shared" si="17"/>
        <v>0</v>
      </c>
    </row>
    <row r="96" spans="1:19">
      <c r="A96" s="865"/>
      <c r="B96" s="134"/>
      <c r="C96" s="52">
        <f t="shared" si="18"/>
        <v>1</v>
      </c>
      <c r="D96" s="863"/>
      <c r="E96" s="52">
        <f t="shared" si="19"/>
        <v>1</v>
      </c>
      <c r="F96" s="863"/>
      <c r="G96" s="52">
        <f t="shared" si="20"/>
        <v>1</v>
      </c>
      <c r="H96" s="863"/>
      <c r="I96" s="52">
        <f t="shared" si="21"/>
        <v>1</v>
      </c>
      <c r="J96" s="863"/>
      <c r="K96" s="52">
        <f t="shared" si="22"/>
        <v>1</v>
      </c>
      <c r="L96" s="863"/>
      <c r="M96" s="52">
        <f t="shared" si="23"/>
        <v>1</v>
      </c>
      <c r="N96" s="863"/>
      <c r="O96" s="52">
        <f t="shared" si="24"/>
        <v>1</v>
      </c>
      <c r="P96" s="863"/>
      <c r="Q96" s="52">
        <f t="shared" si="25"/>
        <v>1</v>
      </c>
      <c r="R96" s="390">
        <f t="shared" si="26"/>
        <v>0</v>
      </c>
      <c r="S96" s="699">
        <f t="shared" si="17"/>
        <v>0</v>
      </c>
    </row>
    <row r="97" spans="1:19">
      <c r="A97" s="865"/>
      <c r="B97" s="134"/>
      <c r="C97" s="52">
        <f t="shared" si="18"/>
        <v>1</v>
      </c>
      <c r="D97" s="863"/>
      <c r="E97" s="52">
        <f t="shared" si="19"/>
        <v>1</v>
      </c>
      <c r="F97" s="863"/>
      <c r="G97" s="52">
        <f t="shared" si="20"/>
        <v>1</v>
      </c>
      <c r="H97" s="863"/>
      <c r="I97" s="52">
        <f t="shared" si="21"/>
        <v>1</v>
      </c>
      <c r="J97" s="863"/>
      <c r="K97" s="52">
        <f t="shared" si="22"/>
        <v>1</v>
      </c>
      <c r="L97" s="863"/>
      <c r="M97" s="52">
        <f t="shared" si="23"/>
        <v>1</v>
      </c>
      <c r="N97" s="863"/>
      <c r="O97" s="52">
        <f t="shared" si="24"/>
        <v>1</v>
      </c>
      <c r="P97" s="863"/>
      <c r="Q97" s="52">
        <f t="shared" si="25"/>
        <v>1</v>
      </c>
      <c r="R97" s="390">
        <f t="shared" si="26"/>
        <v>0</v>
      </c>
      <c r="S97" s="699">
        <f t="shared" si="17"/>
        <v>0</v>
      </c>
    </row>
    <row r="98" spans="1:19">
      <c r="A98" s="865"/>
      <c r="B98" s="134"/>
      <c r="C98" s="52">
        <f t="shared" si="18"/>
        <v>1</v>
      </c>
      <c r="D98" s="863"/>
      <c r="E98" s="52">
        <f t="shared" si="19"/>
        <v>1</v>
      </c>
      <c r="F98" s="863"/>
      <c r="G98" s="52">
        <f t="shared" si="20"/>
        <v>1</v>
      </c>
      <c r="H98" s="863"/>
      <c r="I98" s="52">
        <f t="shared" si="21"/>
        <v>1</v>
      </c>
      <c r="J98" s="863"/>
      <c r="K98" s="52">
        <f t="shared" si="22"/>
        <v>1</v>
      </c>
      <c r="L98" s="863"/>
      <c r="M98" s="52">
        <f t="shared" si="23"/>
        <v>1</v>
      </c>
      <c r="N98" s="863"/>
      <c r="O98" s="52">
        <f t="shared" si="24"/>
        <v>1</v>
      </c>
      <c r="P98" s="863"/>
      <c r="Q98" s="52">
        <f t="shared" si="25"/>
        <v>1</v>
      </c>
      <c r="R98" s="390">
        <f t="shared" si="26"/>
        <v>0</v>
      </c>
      <c r="S98" s="699">
        <f t="shared" si="17"/>
        <v>0</v>
      </c>
    </row>
    <row r="99" spans="1:19">
      <c r="A99" s="865"/>
      <c r="B99" s="134"/>
      <c r="C99" s="52">
        <f t="shared" si="18"/>
        <v>1</v>
      </c>
      <c r="D99" s="863"/>
      <c r="E99" s="52">
        <f t="shared" si="19"/>
        <v>1</v>
      </c>
      <c r="F99" s="863"/>
      <c r="G99" s="52">
        <f t="shared" si="20"/>
        <v>1</v>
      </c>
      <c r="H99" s="863"/>
      <c r="I99" s="52">
        <f t="shared" si="21"/>
        <v>1</v>
      </c>
      <c r="J99" s="863"/>
      <c r="K99" s="52">
        <f t="shared" si="22"/>
        <v>1</v>
      </c>
      <c r="L99" s="863"/>
      <c r="M99" s="52">
        <f t="shared" si="23"/>
        <v>1</v>
      </c>
      <c r="N99" s="863"/>
      <c r="O99" s="52">
        <f t="shared" si="24"/>
        <v>1</v>
      </c>
      <c r="P99" s="863"/>
      <c r="Q99" s="52">
        <f t="shared" si="25"/>
        <v>1</v>
      </c>
      <c r="R99" s="390">
        <f t="shared" si="26"/>
        <v>0</v>
      </c>
      <c r="S99" s="699">
        <f t="shared" si="17"/>
        <v>0</v>
      </c>
    </row>
    <row r="100" spans="1:19">
      <c r="A100" s="865"/>
      <c r="B100" s="134"/>
      <c r="C100" s="52">
        <f t="shared" si="18"/>
        <v>1</v>
      </c>
      <c r="D100" s="863"/>
      <c r="E100" s="52">
        <f t="shared" si="19"/>
        <v>1</v>
      </c>
      <c r="F100" s="863"/>
      <c r="G100" s="52">
        <f t="shared" si="20"/>
        <v>1</v>
      </c>
      <c r="H100" s="863"/>
      <c r="I100" s="52">
        <f t="shared" si="21"/>
        <v>1</v>
      </c>
      <c r="J100" s="863"/>
      <c r="K100" s="52">
        <f t="shared" si="22"/>
        <v>1</v>
      </c>
      <c r="L100" s="863"/>
      <c r="M100" s="52">
        <f t="shared" si="23"/>
        <v>1</v>
      </c>
      <c r="N100" s="863"/>
      <c r="O100" s="52">
        <f t="shared" si="24"/>
        <v>1</v>
      </c>
      <c r="P100" s="863"/>
      <c r="Q100" s="52">
        <f t="shared" si="25"/>
        <v>1</v>
      </c>
      <c r="R100" s="390">
        <f t="shared" si="26"/>
        <v>0</v>
      </c>
      <c r="S100" s="699">
        <f t="shared" si="17"/>
        <v>0</v>
      </c>
    </row>
    <row r="101" spans="1:19">
      <c r="A101" s="865"/>
      <c r="B101" s="134"/>
      <c r="C101" s="52">
        <f t="shared" si="18"/>
        <v>1</v>
      </c>
      <c r="D101" s="863"/>
      <c r="E101" s="52">
        <f t="shared" si="19"/>
        <v>1</v>
      </c>
      <c r="F101" s="863"/>
      <c r="G101" s="52">
        <f t="shared" si="20"/>
        <v>1</v>
      </c>
      <c r="H101" s="863"/>
      <c r="I101" s="52">
        <f t="shared" si="21"/>
        <v>1</v>
      </c>
      <c r="J101" s="863"/>
      <c r="K101" s="52">
        <f t="shared" si="22"/>
        <v>1</v>
      </c>
      <c r="L101" s="863"/>
      <c r="M101" s="52">
        <f t="shared" si="23"/>
        <v>1</v>
      </c>
      <c r="N101" s="863"/>
      <c r="O101" s="52">
        <f t="shared" si="24"/>
        <v>1</v>
      </c>
      <c r="P101" s="863"/>
      <c r="Q101" s="52">
        <f t="shared" si="25"/>
        <v>1</v>
      </c>
      <c r="R101" s="390">
        <f t="shared" si="26"/>
        <v>0</v>
      </c>
      <c r="S101" s="699">
        <f t="shared" si="17"/>
        <v>0</v>
      </c>
    </row>
    <row r="102" spans="1:19">
      <c r="A102" s="865"/>
      <c r="B102" s="134"/>
      <c r="C102" s="52">
        <f t="shared" si="18"/>
        <v>1</v>
      </c>
      <c r="D102" s="863"/>
      <c r="E102" s="52">
        <f t="shared" si="19"/>
        <v>1</v>
      </c>
      <c r="F102" s="863"/>
      <c r="G102" s="52">
        <f t="shared" si="20"/>
        <v>1</v>
      </c>
      <c r="H102" s="863"/>
      <c r="I102" s="52">
        <f t="shared" si="21"/>
        <v>1</v>
      </c>
      <c r="J102" s="863"/>
      <c r="K102" s="52">
        <f t="shared" si="22"/>
        <v>1</v>
      </c>
      <c r="L102" s="863"/>
      <c r="M102" s="52">
        <f t="shared" si="23"/>
        <v>1</v>
      </c>
      <c r="N102" s="863"/>
      <c r="O102" s="52">
        <f t="shared" si="24"/>
        <v>1</v>
      </c>
      <c r="P102" s="863"/>
      <c r="Q102" s="52">
        <f t="shared" si="25"/>
        <v>1</v>
      </c>
      <c r="R102" s="390">
        <f t="shared" si="26"/>
        <v>0</v>
      </c>
      <c r="S102" s="699">
        <f t="shared" si="17"/>
        <v>0</v>
      </c>
    </row>
    <row r="103" spans="1:19">
      <c r="A103" s="865"/>
      <c r="B103" s="134"/>
      <c r="C103" s="52">
        <f t="shared" si="18"/>
        <v>1</v>
      </c>
      <c r="D103" s="863"/>
      <c r="E103" s="52">
        <f t="shared" si="19"/>
        <v>1</v>
      </c>
      <c r="F103" s="863"/>
      <c r="G103" s="52">
        <f t="shared" si="20"/>
        <v>1</v>
      </c>
      <c r="H103" s="863"/>
      <c r="I103" s="52">
        <f t="shared" si="21"/>
        <v>1</v>
      </c>
      <c r="J103" s="863"/>
      <c r="K103" s="52">
        <f t="shared" si="22"/>
        <v>1</v>
      </c>
      <c r="L103" s="863"/>
      <c r="M103" s="52">
        <f t="shared" si="23"/>
        <v>1</v>
      </c>
      <c r="N103" s="863"/>
      <c r="O103" s="52">
        <f t="shared" si="24"/>
        <v>1</v>
      </c>
      <c r="P103" s="863"/>
      <c r="Q103" s="52">
        <f t="shared" si="25"/>
        <v>1</v>
      </c>
      <c r="R103" s="390">
        <f t="shared" si="26"/>
        <v>0</v>
      </c>
      <c r="S103" s="699">
        <f t="shared" si="17"/>
        <v>0</v>
      </c>
    </row>
    <row r="104" spans="1:19">
      <c r="A104" s="865"/>
      <c r="B104" s="134"/>
      <c r="C104" s="52">
        <f t="shared" si="18"/>
        <v>1</v>
      </c>
      <c r="D104" s="863"/>
      <c r="E104" s="52">
        <f t="shared" si="19"/>
        <v>1</v>
      </c>
      <c r="F104" s="863"/>
      <c r="G104" s="52">
        <f t="shared" si="20"/>
        <v>1</v>
      </c>
      <c r="H104" s="863"/>
      <c r="I104" s="52">
        <f t="shared" si="21"/>
        <v>1</v>
      </c>
      <c r="J104" s="863"/>
      <c r="K104" s="52">
        <f t="shared" si="22"/>
        <v>1</v>
      </c>
      <c r="L104" s="863"/>
      <c r="M104" s="52">
        <f t="shared" si="23"/>
        <v>1</v>
      </c>
      <c r="N104" s="863"/>
      <c r="O104" s="52">
        <f t="shared" si="24"/>
        <v>1</v>
      </c>
      <c r="P104" s="863"/>
      <c r="Q104" s="52">
        <f t="shared" si="25"/>
        <v>1</v>
      </c>
      <c r="R104" s="390">
        <f t="shared" si="26"/>
        <v>0</v>
      </c>
      <c r="S104" s="699">
        <f t="shared" si="17"/>
        <v>0</v>
      </c>
    </row>
    <row r="105" spans="1:19">
      <c r="A105" s="865"/>
      <c r="B105" s="134"/>
      <c r="C105" s="52">
        <f t="shared" si="18"/>
        <v>1</v>
      </c>
      <c r="D105" s="863"/>
      <c r="E105" s="52">
        <f t="shared" si="19"/>
        <v>1</v>
      </c>
      <c r="F105" s="863"/>
      <c r="G105" s="52">
        <f t="shared" si="20"/>
        <v>1</v>
      </c>
      <c r="H105" s="863"/>
      <c r="I105" s="52">
        <f t="shared" si="21"/>
        <v>1</v>
      </c>
      <c r="J105" s="863"/>
      <c r="K105" s="52">
        <f t="shared" si="22"/>
        <v>1</v>
      </c>
      <c r="L105" s="863"/>
      <c r="M105" s="52">
        <f t="shared" si="23"/>
        <v>1</v>
      </c>
      <c r="N105" s="863"/>
      <c r="O105" s="52">
        <f t="shared" si="24"/>
        <v>1</v>
      </c>
      <c r="P105" s="863"/>
      <c r="Q105" s="52">
        <f t="shared" si="25"/>
        <v>1</v>
      </c>
      <c r="R105" s="390">
        <f t="shared" si="26"/>
        <v>0</v>
      </c>
      <c r="S105" s="699">
        <f t="shared" si="17"/>
        <v>0</v>
      </c>
    </row>
    <row r="106" spans="1:19">
      <c r="A106" s="865"/>
      <c r="B106" s="134"/>
      <c r="C106" s="52">
        <f t="shared" si="18"/>
        <v>1</v>
      </c>
      <c r="D106" s="863"/>
      <c r="E106" s="52">
        <f t="shared" si="19"/>
        <v>1</v>
      </c>
      <c r="F106" s="863"/>
      <c r="G106" s="52">
        <f t="shared" si="20"/>
        <v>1</v>
      </c>
      <c r="H106" s="863"/>
      <c r="I106" s="52">
        <f t="shared" si="21"/>
        <v>1</v>
      </c>
      <c r="J106" s="863"/>
      <c r="K106" s="52">
        <f t="shared" si="22"/>
        <v>1</v>
      </c>
      <c r="L106" s="863"/>
      <c r="M106" s="52">
        <f t="shared" si="23"/>
        <v>1</v>
      </c>
      <c r="N106" s="863"/>
      <c r="O106" s="52">
        <f t="shared" si="24"/>
        <v>1</v>
      </c>
      <c r="P106" s="863"/>
      <c r="Q106" s="52">
        <f t="shared" si="25"/>
        <v>1</v>
      </c>
      <c r="R106" s="390">
        <f t="shared" si="26"/>
        <v>0</v>
      </c>
      <c r="S106" s="699">
        <f t="shared" si="17"/>
        <v>0</v>
      </c>
    </row>
    <row r="107" spans="1:19">
      <c r="A107" s="865"/>
      <c r="B107" s="134"/>
      <c r="C107" s="52">
        <f t="shared" si="18"/>
        <v>1</v>
      </c>
      <c r="D107" s="863"/>
      <c r="E107" s="52">
        <f t="shared" si="19"/>
        <v>1</v>
      </c>
      <c r="F107" s="863"/>
      <c r="G107" s="52">
        <f t="shared" si="20"/>
        <v>1</v>
      </c>
      <c r="H107" s="863"/>
      <c r="I107" s="52">
        <f t="shared" si="21"/>
        <v>1</v>
      </c>
      <c r="J107" s="863"/>
      <c r="K107" s="52">
        <f t="shared" si="22"/>
        <v>1</v>
      </c>
      <c r="L107" s="863"/>
      <c r="M107" s="52">
        <f t="shared" si="23"/>
        <v>1</v>
      </c>
      <c r="N107" s="863"/>
      <c r="O107" s="52">
        <f t="shared" si="24"/>
        <v>1</v>
      </c>
      <c r="P107" s="863"/>
      <c r="Q107" s="52">
        <f t="shared" si="25"/>
        <v>1</v>
      </c>
      <c r="R107" s="390">
        <f t="shared" si="26"/>
        <v>0</v>
      </c>
      <c r="S107" s="699">
        <f t="shared" si="17"/>
        <v>0</v>
      </c>
    </row>
    <row r="108" spans="1:19">
      <c r="A108" s="865"/>
      <c r="B108" s="134"/>
      <c r="C108" s="52">
        <f t="shared" si="18"/>
        <v>1</v>
      </c>
      <c r="D108" s="863"/>
      <c r="E108" s="52">
        <f t="shared" si="19"/>
        <v>1</v>
      </c>
      <c r="F108" s="863"/>
      <c r="G108" s="52">
        <f t="shared" si="20"/>
        <v>1</v>
      </c>
      <c r="H108" s="863"/>
      <c r="I108" s="52">
        <f t="shared" si="21"/>
        <v>1</v>
      </c>
      <c r="J108" s="863"/>
      <c r="K108" s="52">
        <f t="shared" si="22"/>
        <v>1</v>
      </c>
      <c r="L108" s="863"/>
      <c r="M108" s="52">
        <f t="shared" si="23"/>
        <v>1</v>
      </c>
      <c r="N108" s="863"/>
      <c r="O108" s="52">
        <f t="shared" si="24"/>
        <v>1</v>
      </c>
      <c r="P108" s="863"/>
      <c r="Q108" s="52">
        <f t="shared" si="25"/>
        <v>1</v>
      </c>
      <c r="R108" s="390">
        <f t="shared" si="26"/>
        <v>0</v>
      </c>
      <c r="S108" s="699">
        <f t="shared" si="17"/>
        <v>0</v>
      </c>
    </row>
    <row r="109" spans="1:19">
      <c r="A109" s="865"/>
      <c r="B109" s="134"/>
      <c r="C109" s="52">
        <f t="shared" si="18"/>
        <v>1</v>
      </c>
      <c r="D109" s="863"/>
      <c r="E109" s="52">
        <f t="shared" si="19"/>
        <v>1</v>
      </c>
      <c r="F109" s="863"/>
      <c r="G109" s="52">
        <f t="shared" si="20"/>
        <v>1</v>
      </c>
      <c r="H109" s="863"/>
      <c r="I109" s="52">
        <f t="shared" si="21"/>
        <v>1</v>
      </c>
      <c r="J109" s="863"/>
      <c r="K109" s="52">
        <f t="shared" si="22"/>
        <v>1</v>
      </c>
      <c r="L109" s="863"/>
      <c r="M109" s="52">
        <f t="shared" si="23"/>
        <v>1</v>
      </c>
      <c r="N109" s="863"/>
      <c r="O109" s="52">
        <f t="shared" si="24"/>
        <v>1</v>
      </c>
      <c r="P109" s="863"/>
      <c r="Q109" s="52">
        <f t="shared" si="25"/>
        <v>1</v>
      </c>
      <c r="R109" s="390">
        <f t="shared" si="26"/>
        <v>0</v>
      </c>
      <c r="S109" s="699">
        <f t="shared" si="17"/>
        <v>0</v>
      </c>
    </row>
    <row r="110" spans="1:19">
      <c r="A110" s="865"/>
      <c r="B110" s="134"/>
      <c r="C110" s="52">
        <f t="shared" si="18"/>
        <v>1</v>
      </c>
      <c r="D110" s="863"/>
      <c r="E110" s="52">
        <f t="shared" si="19"/>
        <v>1</v>
      </c>
      <c r="F110" s="863"/>
      <c r="G110" s="52">
        <f t="shared" si="20"/>
        <v>1</v>
      </c>
      <c r="H110" s="863"/>
      <c r="I110" s="52">
        <f t="shared" si="21"/>
        <v>1</v>
      </c>
      <c r="J110" s="863"/>
      <c r="K110" s="52">
        <f t="shared" si="22"/>
        <v>1</v>
      </c>
      <c r="L110" s="863"/>
      <c r="M110" s="52">
        <f t="shared" si="23"/>
        <v>1</v>
      </c>
      <c r="N110" s="863"/>
      <c r="O110" s="52">
        <f t="shared" si="24"/>
        <v>1</v>
      </c>
      <c r="P110" s="863"/>
      <c r="Q110" s="52">
        <f t="shared" si="25"/>
        <v>1</v>
      </c>
      <c r="R110" s="390">
        <f t="shared" si="26"/>
        <v>0</v>
      </c>
      <c r="S110" s="699">
        <f t="shared" si="17"/>
        <v>0</v>
      </c>
    </row>
    <row r="111" spans="1:19">
      <c r="A111" s="865"/>
      <c r="B111" s="134"/>
      <c r="C111" s="52">
        <f t="shared" si="18"/>
        <v>1</v>
      </c>
      <c r="D111" s="863"/>
      <c r="E111" s="52">
        <f t="shared" si="19"/>
        <v>1</v>
      </c>
      <c r="F111" s="863"/>
      <c r="G111" s="52">
        <f t="shared" si="20"/>
        <v>1</v>
      </c>
      <c r="H111" s="863"/>
      <c r="I111" s="52">
        <f t="shared" si="21"/>
        <v>1</v>
      </c>
      <c r="J111" s="863"/>
      <c r="K111" s="52">
        <f t="shared" si="22"/>
        <v>1</v>
      </c>
      <c r="L111" s="863"/>
      <c r="M111" s="52">
        <f t="shared" si="23"/>
        <v>1</v>
      </c>
      <c r="N111" s="863"/>
      <c r="O111" s="52">
        <f t="shared" si="24"/>
        <v>1</v>
      </c>
      <c r="P111" s="863"/>
      <c r="Q111" s="52">
        <f t="shared" si="25"/>
        <v>1</v>
      </c>
      <c r="R111" s="390">
        <f t="shared" si="26"/>
        <v>0</v>
      </c>
      <c r="S111" s="699">
        <f t="shared" si="17"/>
        <v>0</v>
      </c>
    </row>
    <row r="112" spans="1:19">
      <c r="A112" s="865"/>
      <c r="B112" s="134"/>
      <c r="C112" s="52">
        <f t="shared" si="18"/>
        <v>1</v>
      </c>
      <c r="D112" s="863"/>
      <c r="E112" s="52">
        <f t="shared" si="19"/>
        <v>1</v>
      </c>
      <c r="F112" s="863"/>
      <c r="G112" s="52">
        <f t="shared" si="20"/>
        <v>1</v>
      </c>
      <c r="H112" s="863"/>
      <c r="I112" s="52">
        <f t="shared" si="21"/>
        <v>1</v>
      </c>
      <c r="J112" s="863"/>
      <c r="K112" s="52">
        <f t="shared" si="22"/>
        <v>1</v>
      </c>
      <c r="L112" s="863"/>
      <c r="M112" s="52">
        <f t="shared" si="23"/>
        <v>1</v>
      </c>
      <c r="N112" s="863"/>
      <c r="O112" s="52">
        <f t="shared" si="24"/>
        <v>1</v>
      </c>
      <c r="P112" s="863"/>
      <c r="Q112" s="52">
        <f t="shared" si="25"/>
        <v>1</v>
      </c>
      <c r="R112" s="390">
        <f t="shared" si="26"/>
        <v>0</v>
      </c>
      <c r="S112" s="699">
        <f t="shared" si="17"/>
        <v>0</v>
      </c>
    </row>
    <row r="113" spans="1:19">
      <c r="A113" s="865"/>
      <c r="B113" s="134"/>
      <c r="C113" s="52">
        <f t="shared" si="18"/>
        <v>1</v>
      </c>
      <c r="D113" s="863"/>
      <c r="E113" s="52">
        <f t="shared" si="19"/>
        <v>1</v>
      </c>
      <c r="F113" s="863"/>
      <c r="G113" s="52">
        <f t="shared" si="20"/>
        <v>1</v>
      </c>
      <c r="H113" s="863"/>
      <c r="I113" s="52">
        <f t="shared" si="21"/>
        <v>1</v>
      </c>
      <c r="J113" s="863"/>
      <c r="K113" s="52">
        <f t="shared" si="22"/>
        <v>1</v>
      </c>
      <c r="L113" s="863"/>
      <c r="M113" s="52">
        <f t="shared" si="23"/>
        <v>1</v>
      </c>
      <c r="N113" s="863"/>
      <c r="O113" s="52">
        <f t="shared" si="24"/>
        <v>1</v>
      </c>
      <c r="P113" s="863"/>
      <c r="Q113" s="52">
        <f t="shared" si="25"/>
        <v>1</v>
      </c>
      <c r="R113" s="390">
        <f t="shared" si="26"/>
        <v>0</v>
      </c>
      <c r="S113" s="699">
        <f t="shared" si="17"/>
        <v>0</v>
      </c>
    </row>
    <row r="114" spans="1:19">
      <c r="A114" s="865"/>
      <c r="B114" s="134"/>
      <c r="C114" s="52">
        <f t="shared" si="18"/>
        <v>1</v>
      </c>
      <c r="D114" s="863"/>
      <c r="E114" s="52">
        <f t="shared" si="19"/>
        <v>1</v>
      </c>
      <c r="F114" s="863"/>
      <c r="G114" s="52">
        <f t="shared" si="20"/>
        <v>1</v>
      </c>
      <c r="H114" s="863"/>
      <c r="I114" s="52">
        <f t="shared" si="21"/>
        <v>1</v>
      </c>
      <c r="J114" s="863"/>
      <c r="K114" s="52">
        <f t="shared" si="22"/>
        <v>1</v>
      </c>
      <c r="L114" s="863"/>
      <c r="M114" s="52">
        <f t="shared" si="23"/>
        <v>1</v>
      </c>
      <c r="N114" s="863"/>
      <c r="O114" s="52">
        <f t="shared" si="24"/>
        <v>1</v>
      </c>
      <c r="P114" s="863"/>
      <c r="Q114" s="52">
        <f t="shared" si="25"/>
        <v>1</v>
      </c>
      <c r="R114" s="390">
        <f t="shared" si="26"/>
        <v>0</v>
      </c>
      <c r="S114" s="699">
        <f t="shared" si="17"/>
        <v>0</v>
      </c>
    </row>
    <row r="115" spans="1:19">
      <c r="A115" s="865"/>
      <c r="B115" s="134"/>
      <c r="C115" s="52">
        <f t="shared" si="18"/>
        <v>1</v>
      </c>
      <c r="D115" s="863"/>
      <c r="E115" s="52">
        <f t="shared" si="19"/>
        <v>1</v>
      </c>
      <c r="F115" s="863"/>
      <c r="G115" s="52">
        <f t="shared" si="20"/>
        <v>1</v>
      </c>
      <c r="H115" s="863"/>
      <c r="I115" s="52">
        <f t="shared" si="21"/>
        <v>1</v>
      </c>
      <c r="J115" s="863"/>
      <c r="K115" s="52">
        <f t="shared" si="22"/>
        <v>1</v>
      </c>
      <c r="L115" s="863"/>
      <c r="M115" s="52">
        <f t="shared" si="23"/>
        <v>1</v>
      </c>
      <c r="N115" s="863"/>
      <c r="O115" s="52">
        <f t="shared" si="24"/>
        <v>1</v>
      </c>
      <c r="P115" s="863"/>
      <c r="Q115" s="52">
        <f t="shared" si="25"/>
        <v>1</v>
      </c>
      <c r="R115" s="390">
        <f t="shared" si="26"/>
        <v>0</v>
      </c>
      <c r="S115" s="699">
        <f t="shared" si="17"/>
        <v>0</v>
      </c>
    </row>
    <row r="116" spans="1:19">
      <c r="A116" s="865"/>
      <c r="B116" s="134"/>
      <c r="C116" s="52">
        <f t="shared" si="18"/>
        <v>1</v>
      </c>
      <c r="D116" s="863"/>
      <c r="E116" s="52">
        <f t="shared" si="19"/>
        <v>1</v>
      </c>
      <c r="F116" s="863"/>
      <c r="G116" s="52">
        <f t="shared" si="20"/>
        <v>1</v>
      </c>
      <c r="H116" s="863"/>
      <c r="I116" s="52">
        <f t="shared" si="21"/>
        <v>1</v>
      </c>
      <c r="J116" s="863"/>
      <c r="K116" s="52">
        <f t="shared" si="22"/>
        <v>1</v>
      </c>
      <c r="L116" s="863"/>
      <c r="M116" s="52">
        <f t="shared" si="23"/>
        <v>1</v>
      </c>
      <c r="N116" s="863"/>
      <c r="O116" s="52">
        <f t="shared" si="24"/>
        <v>1</v>
      </c>
      <c r="P116" s="863"/>
      <c r="Q116" s="52">
        <f t="shared" si="25"/>
        <v>1</v>
      </c>
      <c r="R116" s="390">
        <f t="shared" si="26"/>
        <v>0</v>
      </c>
      <c r="S116" s="699">
        <f t="shared" si="17"/>
        <v>0</v>
      </c>
    </row>
    <row r="117" spans="1:19">
      <c r="A117" s="865"/>
      <c r="B117" s="134"/>
      <c r="C117" s="52">
        <f t="shared" si="18"/>
        <v>1</v>
      </c>
      <c r="D117" s="863"/>
      <c r="E117" s="52">
        <f t="shared" si="19"/>
        <v>1</v>
      </c>
      <c r="F117" s="863"/>
      <c r="G117" s="52">
        <f t="shared" si="20"/>
        <v>1</v>
      </c>
      <c r="H117" s="863"/>
      <c r="I117" s="52">
        <f t="shared" si="21"/>
        <v>1</v>
      </c>
      <c r="J117" s="863"/>
      <c r="K117" s="52">
        <f t="shared" si="22"/>
        <v>1</v>
      </c>
      <c r="L117" s="863"/>
      <c r="M117" s="52">
        <f t="shared" si="23"/>
        <v>1</v>
      </c>
      <c r="N117" s="863"/>
      <c r="O117" s="52">
        <f t="shared" si="24"/>
        <v>1</v>
      </c>
      <c r="P117" s="863"/>
      <c r="Q117" s="52">
        <f t="shared" si="25"/>
        <v>1</v>
      </c>
      <c r="R117" s="390">
        <f t="shared" si="26"/>
        <v>0</v>
      </c>
      <c r="S117" s="699">
        <f t="shared" si="17"/>
        <v>0</v>
      </c>
    </row>
    <row r="118" spans="1:19">
      <c r="A118" s="865"/>
      <c r="B118" s="134"/>
      <c r="C118" s="52">
        <f t="shared" si="18"/>
        <v>1</v>
      </c>
      <c r="D118" s="863"/>
      <c r="E118" s="52">
        <f t="shared" si="19"/>
        <v>1</v>
      </c>
      <c r="F118" s="863"/>
      <c r="G118" s="52">
        <f t="shared" si="20"/>
        <v>1</v>
      </c>
      <c r="H118" s="863"/>
      <c r="I118" s="52">
        <f t="shared" si="21"/>
        <v>1</v>
      </c>
      <c r="J118" s="863"/>
      <c r="K118" s="52">
        <f t="shared" si="22"/>
        <v>1</v>
      </c>
      <c r="L118" s="863"/>
      <c r="M118" s="52">
        <f t="shared" si="23"/>
        <v>1</v>
      </c>
      <c r="N118" s="863"/>
      <c r="O118" s="52">
        <f t="shared" si="24"/>
        <v>1</v>
      </c>
      <c r="P118" s="863"/>
      <c r="Q118" s="52">
        <f t="shared" si="25"/>
        <v>1</v>
      </c>
      <c r="R118" s="390">
        <f t="shared" si="26"/>
        <v>0</v>
      </c>
      <c r="S118" s="699">
        <f t="shared" si="17"/>
        <v>0</v>
      </c>
    </row>
    <row r="119" spans="1:19">
      <c r="A119" s="865"/>
      <c r="B119" s="134"/>
      <c r="C119" s="52">
        <f t="shared" si="18"/>
        <v>1</v>
      </c>
      <c r="D119" s="863"/>
      <c r="E119" s="52">
        <f t="shared" si="19"/>
        <v>1</v>
      </c>
      <c r="F119" s="863"/>
      <c r="G119" s="52">
        <f t="shared" si="20"/>
        <v>1</v>
      </c>
      <c r="H119" s="863"/>
      <c r="I119" s="52">
        <f t="shared" si="21"/>
        <v>1</v>
      </c>
      <c r="J119" s="863"/>
      <c r="K119" s="52">
        <f t="shared" si="22"/>
        <v>1</v>
      </c>
      <c r="L119" s="863"/>
      <c r="M119" s="52">
        <f t="shared" si="23"/>
        <v>1</v>
      </c>
      <c r="N119" s="863"/>
      <c r="O119" s="52">
        <f t="shared" si="24"/>
        <v>1</v>
      </c>
      <c r="P119" s="863"/>
      <c r="Q119" s="52">
        <f t="shared" si="25"/>
        <v>1</v>
      </c>
      <c r="R119" s="390">
        <f t="shared" si="26"/>
        <v>0</v>
      </c>
      <c r="S119" s="699">
        <f t="shared" si="17"/>
        <v>0</v>
      </c>
    </row>
    <row r="120" spans="1:19">
      <c r="A120" s="865"/>
      <c r="B120" s="134"/>
      <c r="C120" s="52">
        <f t="shared" si="18"/>
        <v>1</v>
      </c>
      <c r="D120" s="863"/>
      <c r="E120" s="52">
        <f t="shared" si="19"/>
        <v>1</v>
      </c>
      <c r="F120" s="863"/>
      <c r="G120" s="52">
        <f t="shared" si="20"/>
        <v>1</v>
      </c>
      <c r="H120" s="863"/>
      <c r="I120" s="52">
        <f t="shared" si="21"/>
        <v>1</v>
      </c>
      <c r="J120" s="863"/>
      <c r="K120" s="52">
        <f t="shared" si="22"/>
        <v>1</v>
      </c>
      <c r="L120" s="863"/>
      <c r="M120" s="52">
        <f t="shared" si="23"/>
        <v>1</v>
      </c>
      <c r="N120" s="863"/>
      <c r="O120" s="52">
        <f t="shared" si="24"/>
        <v>1</v>
      </c>
      <c r="P120" s="863"/>
      <c r="Q120" s="52">
        <f t="shared" si="25"/>
        <v>1</v>
      </c>
      <c r="R120" s="390">
        <f t="shared" si="26"/>
        <v>0</v>
      </c>
      <c r="S120" s="699">
        <f t="shared" si="17"/>
        <v>0</v>
      </c>
    </row>
    <row r="121" spans="1:19">
      <c r="A121" s="865"/>
      <c r="B121" s="134"/>
      <c r="C121" s="52">
        <f t="shared" si="18"/>
        <v>1</v>
      </c>
      <c r="D121" s="863"/>
      <c r="E121" s="52">
        <f t="shared" si="19"/>
        <v>1</v>
      </c>
      <c r="F121" s="863"/>
      <c r="G121" s="52">
        <f t="shared" si="20"/>
        <v>1</v>
      </c>
      <c r="H121" s="863"/>
      <c r="I121" s="52">
        <f t="shared" si="21"/>
        <v>1</v>
      </c>
      <c r="J121" s="863"/>
      <c r="K121" s="52">
        <f t="shared" si="22"/>
        <v>1</v>
      </c>
      <c r="L121" s="863"/>
      <c r="M121" s="52">
        <f t="shared" si="23"/>
        <v>1</v>
      </c>
      <c r="N121" s="863"/>
      <c r="O121" s="52">
        <f t="shared" si="24"/>
        <v>1</v>
      </c>
      <c r="P121" s="863"/>
      <c r="Q121" s="52">
        <f t="shared" si="25"/>
        <v>1</v>
      </c>
      <c r="R121" s="390">
        <f t="shared" si="26"/>
        <v>0</v>
      </c>
      <c r="S121" s="699">
        <f t="shared" si="17"/>
        <v>0</v>
      </c>
    </row>
    <row r="122" spans="1:19">
      <c r="A122" s="865"/>
      <c r="B122" s="134"/>
      <c r="C122" s="52">
        <f t="shared" si="18"/>
        <v>1</v>
      </c>
      <c r="D122" s="863"/>
      <c r="E122" s="52">
        <f t="shared" si="19"/>
        <v>1</v>
      </c>
      <c r="F122" s="863"/>
      <c r="G122" s="52">
        <f t="shared" si="20"/>
        <v>1</v>
      </c>
      <c r="H122" s="863"/>
      <c r="I122" s="52">
        <f t="shared" si="21"/>
        <v>1</v>
      </c>
      <c r="J122" s="863"/>
      <c r="K122" s="52">
        <f t="shared" si="22"/>
        <v>1</v>
      </c>
      <c r="L122" s="863"/>
      <c r="M122" s="52">
        <f t="shared" si="23"/>
        <v>1</v>
      </c>
      <c r="N122" s="863"/>
      <c r="O122" s="52">
        <f t="shared" si="24"/>
        <v>1</v>
      </c>
      <c r="P122" s="863"/>
      <c r="Q122" s="52">
        <f t="shared" si="25"/>
        <v>1</v>
      </c>
      <c r="R122" s="390">
        <f t="shared" si="26"/>
        <v>0</v>
      </c>
      <c r="S122" s="699">
        <f t="shared" si="17"/>
        <v>0</v>
      </c>
    </row>
    <row r="123" spans="1:19">
      <c r="A123" s="865"/>
      <c r="B123" s="134"/>
      <c r="C123" s="52">
        <f t="shared" si="18"/>
        <v>1</v>
      </c>
      <c r="D123" s="863"/>
      <c r="E123" s="52">
        <f t="shared" si="19"/>
        <v>1</v>
      </c>
      <c r="F123" s="863"/>
      <c r="G123" s="52">
        <f t="shared" si="20"/>
        <v>1</v>
      </c>
      <c r="H123" s="863"/>
      <c r="I123" s="52">
        <f t="shared" si="21"/>
        <v>1</v>
      </c>
      <c r="J123" s="863"/>
      <c r="K123" s="52">
        <f t="shared" si="22"/>
        <v>1</v>
      </c>
      <c r="L123" s="863"/>
      <c r="M123" s="52">
        <f t="shared" si="23"/>
        <v>1</v>
      </c>
      <c r="N123" s="863"/>
      <c r="O123" s="52">
        <f t="shared" si="24"/>
        <v>1</v>
      </c>
      <c r="P123" s="863"/>
      <c r="Q123" s="52">
        <f t="shared" si="25"/>
        <v>1</v>
      </c>
      <c r="R123" s="390">
        <f t="shared" si="26"/>
        <v>0</v>
      </c>
      <c r="S123" s="699">
        <f t="shared" ref="S123:S186" si="27">ROUND(R123*B123/10000,0)</f>
        <v>0</v>
      </c>
    </row>
    <row r="124" spans="1:19">
      <c r="A124" s="865"/>
      <c r="B124" s="134"/>
      <c r="C124" s="52">
        <f t="shared" si="18"/>
        <v>1</v>
      </c>
      <c r="D124" s="863"/>
      <c r="E124" s="52">
        <f t="shared" si="19"/>
        <v>1</v>
      </c>
      <c r="F124" s="863"/>
      <c r="G124" s="52">
        <f t="shared" si="20"/>
        <v>1</v>
      </c>
      <c r="H124" s="863"/>
      <c r="I124" s="52">
        <f t="shared" si="21"/>
        <v>1</v>
      </c>
      <c r="J124" s="863"/>
      <c r="K124" s="52">
        <f t="shared" si="22"/>
        <v>1</v>
      </c>
      <c r="L124" s="863"/>
      <c r="M124" s="52">
        <f t="shared" si="23"/>
        <v>1</v>
      </c>
      <c r="N124" s="863"/>
      <c r="O124" s="52">
        <f t="shared" si="24"/>
        <v>1</v>
      </c>
      <c r="P124" s="863"/>
      <c r="Q124" s="52">
        <f t="shared" si="25"/>
        <v>1</v>
      </c>
      <c r="R124" s="390">
        <f t="shared" si="26"/>
        <v>0</v>
      </c>
      <c r="S124" s="699">
        <f t="shared" si="27"/>
        <v>0</v>
      </c>
    </row>
    <row r="125" spans="1:19">
      <c r="A125" s="865"/>
      <c r="B125" s="134"/>
      <c r="C125" s="52">
        <f t="shared" si="18"/>
        <v>1</v>
      </c>
      <c r="D125" s="863"/>
      <c r="E125" s="52">
        <f t="shared" si="19"/>
        <v>1</v>
      </c>
      <c r="F125" s="863"/>
      <c r="G125" s="52">
        <f t="shared" si="20"/>
        <v>1</v>
      </c>
      <c r="H125" s="863"/>
      <c r="I125" s="52">
        <f t="shared" si="21"/>
        <v>1</v>
      </c>
      <c r="J125" s="863"/>
      <c r="K125" s="52">
        <f t="shared" si="22"/>
        <v>1</v>
      </c>
      <c r="L125" s="863"/>
      <c r="M125" s="52">
        <f t="shared" si="23"/>
        <v>1</v>
      </c>
      <c r="N125" s="863"/>
      <c r="O125" s="52">
        <f t="shared" si="24"/>
        <v>1</v>
      </c>
      <c r="P125" s="863"/>
      <c r="Q125" s="52">
        <f t="shared" si="25"/>
        <v>1</v>
      </c>
      <c r="R125" s="390">
        <f t="shared" si="26"/>
        <v>0</v>
      </c>
      <c r="S125" s="699">
        <f t="shared" si="27"/>
        <v>0</v>
      </c>
    </row>
    <row r="126" spans="1:19">
      <c r="A126" s="865"/>
      <c r="B126" s="134"/>
      <c r="C126" s="52">
        <f t="shared" si="18"/>
        <v>1</v>
      </c>
      <c r="D126" s="863"/>
      <c r="E126" s="52">
        <f t="shared" si="19"/>
        <v>1</v>
      </c>
      <c r="F126" s="863"/>
      <c r="G126" s="52">
        <f t="shared" si="20"/>
        <v>1</v>
      </c>
      <c r="H126" s="863"/>
      <c r="I126" s="52">
        <f t="shared" si="21"/>
        <v>1</v>
      </c>
      <c r="J126" s="863"/>
      <c r="K126" s="52">
        <f t="shared" si="22"/>
        <v>1</v>
      </c>
      <c r="L126" s="863"/>
      <c r="M126" s="52">
        <f t="shared" si="23"/>
        <v>1</v>
      </c>
      <c r="N126" s="863"/>
      <c r="O126" s="52">
        <f t="shared" si="24"/>
        <v>1</v>
      </c>
      <c r="P126" s="863"/>
      <c r="Q126" s="52">
        <f t="shared" si="25"/>
        <v>1</v>
      </c>
      <c r="R126" s="390">
        <f t="shared" si="26"/>
        <v>0</v>
      </c>
      <c r="S126" s="699">
        <f t="shared" si="27"/>
        <v>0</v>
      </c>
    </row>
    <row r="127" spans="1:19">
      <c r="A127" s="865"/>
      <c r="B127" s="134"/>
      <c r="C127" s="52">
        <f t="shared" si="18"/>
        <v>1</v>
      </c>
      <c r="D127" s="863"/>
      <c r="E127" s="52">
        <f t="shared" si="19"/>
        <v>1</v>
      </c>
      <c r="F127" s="863"/>
      <c r="G127" s="52">
        <f t="shared" si="20"/>
        <v>1</v>
      </c>
      <c r="H127" s="863"/>
      <c r="I127" s="52">
        <f t="shared" si="21"/>
        <v>1</v>
      </c>
      <c r="J127" s="863"/>
      <c r="K127" s="52">
        <f t="shared" si="22"/>
        <v>1</v>
      </c>
      <c r="L127" s="863"/>
      <c r="M127" s="52">
        <f t="shared" si="23"/>
        <v>1</v>
      </c>
      <c r="N127" s="863"/>
      <c r="O127" s="52">
        <f t="shared" si="24"/>
        <v>1</v>
      </c>
      <c r="P127" s="863"/>
      <c r="Q127" s="52">
        <f t="shared" si="25"/>
        <v>1</v>
      </c>
      <c r="R127" s="390">
        <f t="shared" si="26"/>
        <v>0</v>
      </c>
      <c r="S127" s="699">
        <f t="shared" si="27"/>
        <v>0</v>
      </c>
    </row>
    <row r="128" spans="1:19">
      <c r="A128" s="865"/>
      <c r="B128" s="134"/>
      <c r="C128" s="52">
        <f t="shared" si="18"/>
        <v>1</v>
      </c>
      <c r="D128" s="863"/>
      <c r="E128" s="52">
        <f t="shared" si="19"/>
        <v>1</v>
      </c>
      <c r="F128" s="863"/>
      <c r="G128" s="52">
        <f t="shared" si="20"/>
        <v>1</v>
      </c>
      <c r="H128" s="863"/>
      <c r="I128" s="52">
        <f t="shared" si="21"/>
        <v>1</v>
      </c>
      <c r="J128" s="863"/>
      <c r="K128" s="52">
        <f t="shared" si="22"/>
        <v>1</v>
      </c>
      <c r="L128" s="863"/>
      <c r="M128" s="52">
        <f t="shared" si="23"/>
        <v>1</v>
      </c>
      <c r="N128" s="863"/>
      <c r="O128" s="52">
        <f t="shared" si="24"/>
        <v>1</v>
      </c>
      <c r="P128" s="863"/>
      <c r="Q128" s="52">
        <f t="shared" si="25"/>
        <v>1</v>
      </c>
      <c r="R128" s="390">
        <f t="shared" si="26"/>
        <v>0</v>
      </c>
      <c r="S128" s="699">
        <f t="shared" si="27"/>
        <v>0</v>
      </c>
    </row>
    <row r="129" spans="1:19">
      <c r="A129" s="865"/>
      <c r="B129" s="134"/>
      <c r="C129" s="52">
        <f t="shared" si="18"/>
        <v>1</v>
      </c>
      <c r="D129" s="863"/>
      <c r="E129" s="52">
        <f t="shared" si="19"/>
        <v>1</v>
      </c>
      <c r="F129" s="863"/>
      <c r="G129" s="52">
        <f t="shared" si="20"/>
        <v>1</v>
      </c>
      <c r="H129" s="863"/>
      <c r="I129" s="52">
        <f t="shared" si="21"/>
        <v>1</v>
      </c>
      <c r="J129" s="863"/>
      <c r="K129" s="52">
        <f t="shared" si="22"/>
        <v>1</v>
      </c>
      <c r="L129" s="863"/>
      <c r="M129" s="52">
        <f t="shared" si="23"/>
        <v>1</v>
      </c>
      <c r="N129" s="863"/>
      <c r="O129" s="52">
        <f t="shared" si="24"/>
        <v>1</v>
      </c>
      <c r="P129" s="863"/>
      <c r="Q129" s="52">
        <f t="shared" si="25"/>
        <v>1</v>
      </c>
      <c r="R129" s="390">
        <f t="shared" si="26"/>
        <v>0</v>
      </c>
      <c r="S129" s="699">
        <f t="shared" si="27"/>
        <v>0</v>
      </c>
    </row>
    <row r="130" spans="1:19">
      <c r="A130" s="865"/>
      <c r="B130" s="134"/>
      <c r="C130" s="52">
        <f t="shared" si="18"/>
        <v>1</v>
      </c>
      <c r="D130" s="863"/>
      <c r="E130" s="52">
        <f t="shared" si="19"/>
        <v>1</v>
      </c>
      <c r="F130" s="863"/>
      <c r="G130" s="52">
        <f t="shared" si="20"/>
        <v>1</v>
      </c>
      <c r="H130" s="863"/>
      <c r="I130" s="52">
        <f t="shared" si="21"/>
        <v>1</v>
      </c>
      <c r="J130" s="863"/>
      <c r="K130" s="52">
        <f t="shared" si="22"/>
        <v>1</v>
      </c>
      <c r="L130" s="863"/>
      <c r="M130" s="52">
        <f t="shared" si="23"/>
        <v>1</v>
      </c>
      <c r="N130" s="863"/>
      <c r="O130" s="52">
        <f t="shared" si="24"/>
        <v>1</v>
      </c>
      <c r="P130" s="863"/>
      <c r="Q130" s="52">
        <f t="shared" si="25"/>
        <v>1</v>
      </c>
      <c r="R130" s="390">
        <f t="shared" si="26"/>
        <v>0</v>
      </c>
      <c r="S130" s="699">
        <f t="shared" si="27"/>
        <v>0</v>
      </c>
    </row>
    <row r="131" spans="1:19">
      <c r="A131" s="865"/>
      <c r="B131" s="134"/>
      <c r="C131" s="52">
        <f t="shared" si="18"/>
        <v>1</v>
      </c>
      <c r="D131" s="863"/>
      <c r="E131" s="52">
        <f t="shared" si="19"/>
        <v>1</v>
      </c>
      <c r="F131" s="863"/>
      <c r="G131" s="52">
        <f t="shared" si="20"/>
        <v>1</v>
      </c>
      <c r="H131" s="863"/>
      <c r="I131" s="52">
        <f t="shared" si="21"/>
        <v>1</v>
      </c>
      <c r="J131" s="863"/>
      <c r="K131" s="52">
        <f t="shared" si="22"/>
        <v>1</v>
      </c>
      <c r="L131" s="863"/>
      <c r="M131" s="52">
        <f t="shared" si="23"/>
        <v>1</v>
      </c>
      <c r="N131" s="863"/>
      <c r="O131" s="52">
        <f t="shared" si="24"/>
        <v>1</v>
      </c>
      <c r="P131" s="863"/>
      <c r="Q131" s="52">
        <f t="shared" si="25"/>
        <v>1</v>
      </c>
      <c r="R131" s="390">
        <f t="shared" si="26"/>
        <v>0</v>
      </c>
      <c r="S131" s="699">
        <f t="shared" si="27"/>
        <v>0</v>
      </c>
    </row>
    <row r="132" spans="1:19">
      <c r="A132" s="865"/>
      <c r="B132" s="134"/>
      <c r="C132" s="52">
        <f t="shared" si="18"/>
        <v>1</v>
      </c>
      <c r="D132" s="863"/>
      <c r="E132" s="52">
        <f t="shared" si="19"/>
        <v>1</v>
      </c>
      <c r="F132" s="863"/>
      <c r="G132" s="52">
        <f t="shared" si="20"/>
        <v>1</v>
      </c>
      <c r="H132" s="863"/>
      <c r="I132" s="52">
        <f t="shared" si="21"/>
        <v>1</v>
      </c>
      <c r="J132" s="863"/>
      <c r="K132" s="52">
        <f t="shared" si="22"/>
        <v>1</v>
      </c>
      <c r="L132" s="863"/>
      <c r="M132" s="52">
        <f t="shared" si="23"/>
        <v>1</v>
      </c>
      <c r="N132" s="863"/>
      <c r="O132" s="52">
        <f t="shared" si="24"/>
        <v>1</v>
      </c>
      <c r="P132" s="863"/>
      <c r="Q132" s="52">
        <f t="shared" si="25"/>
        <v>1</v>
      </c>
      <c r="R132" s="390">
        <f t="shared" si="26"/>
        <v>0</v>
      </c>
      <c r="S132" s="699">
        <f t="shared" si="27"/>
        <v>0</v>
      </c>
    </row>
    <row r="133" spans="1:19">
      <c r="A133" s="865"/>
      <c r="B133" s="134"/>
      <c r="C133" s="52">
        <f t="shared" si="18"/>
        <v>1</v>
      </c>
      <c r="D133" s="863"/>
      <c r="E133" s="52">
        <f t="shared" si="19"/>
        <v>1</v>
      </c>
      <c r="F133" s="863"/>
      <c r="G133" s="52">
        <f t="shared" si="20"/>
        <v>1</v>
      </c>
      <c r="H133" s="863"/>
      <c r="I133" s="52">
        <f t="shared" si="21"/>
        <v>1</v>
      </c>
      <c r="J133" s="863"/>
      <c r="K133" s="52">
        <f t="shared" si="22"/>
        <v>1</v>
      </c>
      <c r="L133" s="863"/>
      <c r="M133" s="52">
        <f t="shared" si="23"/>
        <v>1</v>
      </c>
      <c r="N133" s="863"/>
      <c r="O133" s="52">
        <f t="shared" si="24"/>
        <v>1</v>
      </c>
      <c r="P133" s="863"/>
      <c r="Q133" s="52">
        <f t="shared" si="25"/>
        <v>1</v>
      </c>
      <c r="R133" s="390">
        <f t="shared" si="26"/>
        <v>0</v>
      </c>
      <c r="S133" s="699">
        <f t="shared" si="27"/>
        <v>0</v>
      </c>
    </row>
    <row r="134" spans="1:19">
      <c r="A134" s="865"/>
      <c r="B134" s="134"/>
      <c r="C134" s="52">
        <f t="shared" si="18"/>
        <v>1</v>
      </c>
      <c r="D134" s="863"/>
      <c r="E134" s="52">
        <f t="shared" si="19"/>
        <v>1</v>
      </c>
      <c r="F134" s="863"/>
      <c r="G134" s="52">
        <f t="shared" si="20"/>
        <v>1</v>
      </c>
      <c r="H134" s="863"/>
      <c r="I134" s="52">
        <f t="shared" si="21"/>
        <v>1</v>
      </c>
      <c r="J134" s="863"/>
      <c r="K134" s="52">
        <f t="shared" si="22"/>
        <v>1</v>
      </c>
      <c r="L134" s="863"/>
      <c r="M134" s="52">
        <f t="shared" si="23"/>
        <v>1</v>
      </c>
      <c r="N134" s="863"/>
      <c r="O134" s="52">
        <f t="shared" si="24"/>
        <v>1</v>
      </c>
      <c r="P134" s="863"/>
      <c r="Q134" s="52">
        <f t="shared" si="25"/>
        <v>1</v>
      </c>
      <c r="R134" s="390">
        <f t="shared" si="26"/>
        <v>0</v>
      </c>
      <c r="S134" s="699">
        <f t="shared" si="27"/>
        <v>0</v>
      </c>
    </row>
    <row r="135" spans="1:19">
      <c r="A135" s="865"/>
      <c r="B135" s="134"/>
      <c r="C135" s="52">
        <f t="shared" si="18"/>
        <v>1</v>
      </c>
      <c r="D135" s="863"/>
      <c r="E135" s="52">
        <f t="shared" si="19"/>
        <v>1</v>
      </c>
      <c r="F135" s="863"/>
      <c r="G135" s="52">
        <f t="shared" si="20"/>
        <v>1</v>
      </c>
      <c r="H135" s="863"/>
      <c r="I135" s="52">
        <f t="shared" si="21"/>
        <v>1</v>
      </c>
      <c r="J135" s="863"/>
      <c r="K135" s="52">
        <f t="shared" si="22"/>
        <v>1</v>
      </c>
      <c r="L135" s="863"/>
      <c r="M135" s="52">
        <f t="shared" si="23"/>
        <v>1</v>
      </c>
      <c r="N135" s="863"/>
      <c r="O135" s="52">
        <f t="shared" si="24"/>
        <v>1</v>
      </c>
      <c r="P135" s="863"/>
      <c r="Q135" s="52">
        <f t="shared" si="25"/>
        <v>1</v>
      </c>
      <c r="R135" s="390">
        <f t="shared" si="26"/>
        <v>0</v>
      </c>
      <c r="S135" s="699">
        <f t="shared" si="27"/>
        <v>0</v>
      </c>
    </row>
    <row r="136" spans="1:19">
      <c r="A136" s="865"/>
      <c r="B136" s="134"/>
      <c r="C136" s="52">
        <f t="shared" si="18"/>
        <v>1</v>
      </c>
      <c r="D136" s="863"/>
      <c r="E136" s="52">
        <f t="shared" si="19"/>
        <v>1</v>
      </c>
      <c r="F136" s="863"/>
      <c r="G136" s="52">
        <f t="shared" si="20"/>
        <v>1</v>
      </c>
      <c r="H136" s="863"/>
      <c r="I136" s="52">
        <f t="shared" si="21"/>
        <v>1</v>
      </c>
      <c r="J136" s="863"/>
      <c r="K136" s="52">
        <f t="shared" si="22"/>
        <v>1</v>
      </c>
      <c r="L136" s="863"/>
      <c r="M136" s="52">
        <f t="shared" si="23"/>
        <v>1</v>
      </c>
      <c r="N136" s="863"/>
      <c r="O136" s="52">
        <f t="shared" si="24"/>
        <v>1</v>
      </c>
      <c r="P136" s="863"/>
      <c r="Q136" s="52">
        <f t="shared" si="25"/>
        <v>1</v>
      </c>
      <c r="R136" s="390">
        <f t="shared" si="26"/>
        <v>0</v>
      </c>
      <c r="S136" s="699">
        <f t="shared" si="27"/>
        <v>0</v>
      </c>
    </row>
    <row r="137" spans="1:19">
      <c r="A137" s="865"/>
      <c r="B137" s="134"/>
      <c r="C137" s="52">
        <f t="shared" si="18"/>
        <v>1</v>
      </c>
      <c r="D137" s="863"/>
      <c r="E137" s="52">
        <f t="shared" si="19"/>
        <v>1</v>
      </c>
      <c r="F137" s="863"/>
      <c r="G137" s="52">
        <f t="shared" si="20"/>
        <v>1</v>
      </c>
      <c r="H137" s="863"/>
      <c r="I137" s="52">
        <f t="shared" si="21"/>
        <v>1</v>
      </c>
      <c r="J137" s="863"/>
      <c r="K137" s="52">
        <f t="shared" si="22"/>
        <v>1</v>
      </c>
      <c r="L137" s="863"/>
      <c r="M137" s="52">
        <f t="shared" si="23"/>
        <v>1</v>
      </c>
      <c r="N137" s="863"/>
      <c r="O137" s="52">
        <f t="shared" si="24"/>
        <v>1</v>
      </c>
      <c r="P137" s="863"/>
      <c r="Q137" s="52">
        <f t="shared" si="25"/>
        <v>1</v>
      </c>
      <c r="R137" s="390">
        <f t="shared" si="26"/>
        <v>0</v>
      </c>
      <c r="S137" s="699">
        <f t="shared" si="27"/>
        <v>0</v>
      </c>
    </row>
    <row r="138" spans="1:19">
      <c r="A138" s="865"/>
      <c r="B138" s="134"/>
      <c r="C138" s="52">
        <f t="shared" si="18"/>
        <v>1</v>
      </c>
      <c r="D138" s="863"/>
      <c r="E138" s="52">
        <f t="shared" si="19"/>
        <v>1</v>
      </c>
      <c r="F138" s="863"/>
      <c r="G138" s="52">
        <f t="shared" si="20"/>
        <v>1</v>
      </c>
      <c r="H138" s="863"/>
      <c r="I138" s="52">
        <f t="shared" si="21"/>
        <v>1</v>
      </c>
      <c r="J138" s="863"/>
      <c r="K138" s="52">
        <f t="shared" si="22"/>
        <v>1</v>
      </c>
      <c r="L138" s="863"/>
      <c r="M138" s="52">
        <f t="shared" si="23"/>
        <v>1</v>
      </c>
      <c r="N138" s="863"/>
      <c r="O138" s="52">
        <f t="shared" si="24"/>
        <v>1</v>
      </c>
      <c r="P138" s="863"/>
      <c r="Q138" s="52">
        <f t="shared" si="25"/>
        <v>1</v>
      </c>
      <c r="R138" s="390">
        <f t="shared" si="26"/>
        <v>0</v>
      </c>
      <c r="S138" s="699">
        <f t="shared" si="27"/>
        <v>0</v>
      </c>
    </row>
    <row r="139" spans="1:19">
      <c r="A139" s="865"/>
      <c r="B139" s="134"/>
      <c r="C139" s="52">
        <f t="shared" si="18"/>
        <v>1</v>
      </c>
      <c r="D139" s="863"/>
      <c r="E139" s="52">
        <f t="shared" si="19"/>
        <v>1</v>
      </c>
      <c r="F139" s="863"/>
      <c r="G139" s="52">
        <f t="shared" si="20"/>
        <v>1</v>
      </c>
      <c r="H139" s="863"/>
      <c r="I139" s="52">
        <f t="shared" si="21"/>
        <v>1</v>
      </c>
      <c r="J139" s="863"/>
      <c r="K139" s="52">
        <f t="shared" si="22"/>
        <v>1</v>
      </c>
      <c r="L139" s="863"/>
      <c r="M139" s="52">
        <f t="shared" si="23"/>
        <v>1</v>
      </c>
      <c r="N139" s="863"/>
      <c r="O139" s="52">
        <f t="shared" si="24"/>
        <v>1</v>
      </c>
      <c r="P139" s="863"/>
      <c r="Q139" s="52">
        <f t="shared" si="25"/>
        <v>1</v>
      </c>
      <c r="R139" s="390">
        <f t="shared" si="26"/>
        <v>0</v>
      </c>
      <c r="S139" s="699">
        <f t="shared" si="27"/>
        <v>0</v>
      </c>
    </row>
    <row r="140" spans="1:19">
      <c r="A140" s="865"/>
      <c r="B140" s="134"/>
      <c r="C140" s="52">
        <f t="shared" si="18"/>
        <v>1</v>
      </c>
      <c r="D140" s="863"/>
      <c r="E140" s="52">
        <f t="shared" si="19"/>
        <v>1</v>
      </c>
      <c r="F140" s="863"/>
      <c r="G140" s="52">
        <f t="shared" si="20"/>
        <v>1</v>
      </c>
      <c r="H140" s="863"/>
      <c r="I140" s="52">
        <f t="shared" si="21"/>
        <v>1</v>
      </c>
      <c r="J140" s="863"/>
      <c r="K140" s="52">
        <f t="shared" si="22"/>
        <v>1</v>
      </c>
      <c r="L140" s="863"/>
      <c r="M140" s="52">
        <f t="shared" si="23"/>
        <v>1</v>
      </c>
      <c r="N140" s="863"/>
      <c r="O140" s="52">
        <f t="shared" si="24"/>
        <v>1</v>
      </c>
      <c r="P140" s="863"/>
      <c r="Q140" s="52">
        <f t="shared" si="25"/>
        <v>1</v>
      </c>
      <c r="R140" s="390">
        <f t="shared" si="26"/>
        <v>0</v>
      </c>
      <c r="S140" s="699">
        <f t="shared" si="27"/>
        <v>0</v>
      </c>
    </row>
    <row r="141" spans="1:19">
      <c r="A141" s="865"/>
      <c r="B141" s="134"/>
      <c r="C141" s="52">
        <f t="shared" si="18"/>
        <v>1</v>
      </c>
      <c r="D141" s="863"/>
      <c r="E141" s="52">
        <f t="shared" si="19"/>
        <v>1</v>
      </c>
      <c r="F141" s="863"/>
      <c r="G141" s="52">
        <f t="shared" si="20"/>
        <v>1</v>
      </c>
      <c r="H141" s="863"/>
      <c r="I141" s="52">
        <f t="shared" si="21"/>
        <v>1</v>
      </c>
      <c r="J141" s="863"/>
      <c r="K141" s="52">
        <f t="shared" si="22"/>
        <v>1</v>
      </c>
      <c r="L141" s="863"/>
      <c r="M141" s="52">
        <f t="shared" si="23"/>
        <v>1</v>
      </c>
      <c r="N141" s="863"/>
      <c r="O141" s="52">
        <f t="shared" si="24"/>
        <v>1</v>
      </c>
      <c r="P141" s="863"/>
      <c r="Q141" s="52">
        <f t="shared" si="25"/>
        <v>1</v>
      </c>
      <c r="R141" s="390">
        <f t="shared" si="26"/>
        <v>0</v>
      </c>
      <c r="S141" s="699">
        <f t="shared" si="27"/>
        <v>0</v>
      </c>
    </row>
    <row r="142" spans="1:19">
      <c r="A142" s="865"/>
      <c r="B142" s="134"/>
      <c r="C142" s="52">
        <f t="shared" si="18"/>
        <v>1</v>
      </c>
      <c r="D142" s="863"/>
      <c r="E142" s="52">
        <f t="shared" si="19"/>
        <v>1</v>
      </c>
      <c r="F142" s="863"/>
      <c r="G142" s="52">
        <f t="shared" si="20"/>
        <v>1</v>
      </c>
      <c r="H142" s="863"/>
      <c r="I142" s="52">
        <f t="shared" si="21"/>
        <v>1</v>
      </c>
      <c r="J142" s="863"/>
      <c r="K142" s="52">
        <f t="shared" si="22"/>
        <v>1</v>
      </c>
      <c r="L142" s="863"/>
      <c r="M142" s="52">
        <f t="shared" si="23"/>
        <v>1</v>
      </c>
      <c r="N142" s="863"/>
      <c r="O142" s="52">
        <f t="shared" si="24"/>
        <v>1</v>
      </c>
      <c r="P142" s="863"/>
      <c r="Q142" s="52">
        <f t="shared" si="25"/>
        <v>1</v>
      </c>
      <c r="R142" s="390">
        <f t="shared" si="26"/>
        <v>0</v>
      </c>
      <c r="S142" s="699">
        <f t="shared" si="27"/>
        <v>0</v>
      </c>
    </row>
    <row r="143" spans="1:19">
      <c r="A143" s="865"/>
      <c r="B143" s="134"/>
      <c r="C143" s="52">
        <f t="shared" si="18"/>
        <v>1</v>
      </c>
      <c r="D143" s="863"/>
      <c r="E143" s="52">
        <f t="shared" si="19"/>
        <v>1</v>
      </c>
      <c r="F143" s="863"/>
      <c r="G143" s="52">
        <f t="shared" si="20"/>
        <v>1</v>
      </c>
      <c r="H143" s="863"/>
      <c r="I143" s="52">
        <f t="shared" si="21"/>
        <v>1</v>
      </c>
      <c r="J143" s="863"/>
      <c r="K143" s="52">
        <f t="shared" si="22"/>
        <v>1</v>
      </c>
      <c r="L143" s="863"/>
      <c r="M143" s="52">
        <f t="shared" si="23"/>
        <v>1</v>
      </c>
      <c r="N143" s="863"/>
      <c r="O143" s="52">
        <f t="shared" si="24"/>
        <v>1</v>
      </c>
      <c r="P143" s="863"/>
      <c r="Q143" s="52">
        <f t="shared" si="25"/>
        <v>1</v>
      </c>
      <c r="R143" s="390">
        <f t="shared" si="26"/>
        <v>0</v>
      </c>
      <c r="S143" s="699">
        <f t="shared" si="27"/>
        <v>0</v>
      </c>
    </row>
    <row r="144" spans="1:19">
      <c r="A144" s="865"/>
      <c r="B144" s="134"/>
      <c r="C144" s="52">
        <f t="shared" si="18"/>
        <v>1</v>
      </c>
      <c r="D144" s="863"/>
      <c r="E144" s="52">
        <f t="shared" si="19"/>
        <v>1</v>
      </c>
      <c r="F144" s="863"/>
      <c r="G144" s="52">
        <f t="shared" si="20"/>
        <v>1</v>
      </c>
      <c r="H144" s="863"/>
      <c r="I144" s="52">
        <f t="shared" si="21"/>
        <v>1</v>
      </c>
      <c r="J144" s="863"/>
      <c r="K144" s="52">
        <f t="shared" si="22"/>
        <v>1</v>
      </c>
      <c r="L144" s="863"/>
      <c r="M144" s="52">
        <f t="shared" si="23"/>
        <v>1</v>
      </c>
      <c r="N144" s="863"/>
      <c r="O144" s="52">
        <f t="shared" si="24"/>
        <v>1</v>
      </c>
      <c r="P144" s="863"/>
      <c r="Q144" s="52">
        <f t="shared" si="25"/>
        <v>1</v>
      </c>
      <c r="R144" s="390">
        <f t="shared" si="26"/>
        <v>0</v>
      </c>
      <c r="S144" s="699">
        <f t="shared" si="27"/>
        <v>0</v>
      </c>
    </row>
    <row r="145" spans="1:19">
      <c r="A145" s="865"/>
      <c r="B145" s="134"/>
      <c r="C145" s="52">
        <f t="shared" si="18"/>
        <v>1</v>
      </c>
      <c r="D145" s="863"/>
      <c r="E145" s="52">
        <f t="shared" si="19"/>
        <v>1</v>
      </c>
      <c r="F145" s="863"/>
      <c r="G145" s="52">
        <f t="shared" si="20"/>
        <v>1</v>
      </c>
      <c r="H145" s="863"/>
      <c r="I145" s="52">
        <f t="shared" si="21"/>
        <v>1</v>
      </c>
      <c r="J145" s="863"/>
      <c r="K145" s="52">
        <f t="shared" si="22"/>
        <v>1</v>
      </c>
      <c r="L145" s="863"/>
      <c r="M145" s="52">
        <f t="shared" si="23"/>
        <v>1</v>
      </c>
      <c r="N145" s="863"/>
      <c r="O145" s="52">
        <f t="shared" si="24"/>
        <v>1</v>
      </c>
      <c r="P145" s="863"/>
      <c r="Q145" s="52">
        <f t="shared" si="25"/>
        <v>1</v>
      </c>
      <c r="R145" s="390">
        <f t="shared" si="26"/>
        <v>0</v>
      </c>
      <c r="S145" s="699">
        <f t="shared" si="27"/>
        <v>0</v>
      </c>
    </row>
    <row r="146" spans="1:19">
      <c r="A146" s="865"/>
      <c r="B146" s="134"/>
      <c r="C146" s="52">
        <f t="shared" si="18"/>
        <v>1</v>
      </c>
      <c r="D146" s="863"/>
      <c r="E146" s="52">
        <f t="shared" si="19"/>
        <v>1</v>
      </c>
      <c r="F146" s="863"/>
      <c r="G146" s="52">
        <f t="shared" si="20"/>
        <v>1</v>
      </c>
      <c r="H146" s="863"/>
      <c r="I146" s="52">
        <f t="shared" si="21"/>
        <v>1</v>
      </c>
      <c r="J146" s="863"/>
      <c r="K146" s="52">
        <f t="shared" si="22"/>
        <v>1</v>
      </c>
      <c r="L146" s="863"/>
      <c r="M146" s="52">
        <f t="shared" si="23"/>
        <v>1</v>
      </c>
      <c r="N146" s="863"/>
      <c r="O146" s="52">
        <f t="shared" si="24"/>
        <v>1</v>
      </c>
      <c r="P146" s="863"/>
      <c r="Q146" s="52">
        <f t="shared" si="25"/>
        <v>1</v>
      </c>
      <c r="R146" s="390">
        <f t="shared" si="26"/>
        <v>0</v>
      </c>
      <c r="S146" s="699">
        <f t="shared" si="27"/>
        <v>0</v>
      </c>
    </row>
    <row r="147" spans="1:19">
      <c r="A147" s="865"/>
      <c r="B147" s="134"/>
      <c r="C147" s="52">
        <f t="shared" si="18"/>
        <v>1</v>
      </c>
      <c r="D147" s="863"/>
      <c r="E147" s="52">
        <f t="shared" si="19"/>
        <v>1</v>
      </c>
      <c r="F147" s="863"/>
      <c r="G147" s="52">
        <f t="shared" si="20"/>
        <v>1</v>
      </c>
      <c r="H147" s="863"/>
      <c r="I147" s="52">
        <f t="shared" si="21"/>
        <v>1</v>
      </c>
      <c r="J147" s="863"/>
      <c r="K147" s="52">
        <f t="shared" si="22"/>
        <v>1</v>
      </c>
      <c r="L147" s="863"/>
      <c r="M147" s="52">
        <f t="shared" si="23"/>
        <v>1</v>
      </c>
      <c r="N147" s="863"/>
      <c r="O147" s="52">
        <f t="shared" si="24"/>
        <v>1</v>
      </c>
      <c r="P147" s="863"/>
      <c r="Q147" s="52">
        <f t="shared" si="25"/>
        <v>1</v>
      </c>
      <c r="R147" s="390">
        <f t="shared" si="26"/>
        <v>0</v>
      </c>
      <c r="S147" s="699">
        <f t="shared" si="27"/>
        <v>0</v>
      </c>
    </row>
    <row r="148" spans="1:19">
      <c r="A148" s="865"/>
      <c r="B148" s="134"/>
      <c r="C148" s="52">
        <f t="shared" si="18"/>
        <v>1</v>
      </c>
      <c r="D148" s="863"/>
      <c r="E148" s="52">
        <f t="shared" si="19"/>
        <v>1</v>
      </c>
      <c r="F148" s="863"/>
      <c r="G148" s="52">
        <f t="shared" si="20"/>
        <v>1</v>
      </c>
      <c r="H148" s="863"/>
      <c r="I148" s="52">
        <f t="shared" si="21"/>
        <v>1</v>
      </c>
      <c r="J148" s="863"/>
      <c r="K148" s="52">
        <f t="shared" si="22"/>
        <v>1</v>
      </c>
      <c r="L148" s="863"/>
      <c r="M148" s="52">
        <f t="shared" si="23"/>
        <v>1</v>
      </c>
      <c r="N148" s="863"/>
      <c r="O148" s="52">
        <f t="shared" si="24"/>
        <v>1</v>
      </c>
      <c r="P148" s="863"/>
      <c r="Q148" s="52">
        <f t="shared" si="25"/>
        <v>1</v>
      </c>
      <c r="R148" s="390">
        <f t="shared" si="26"/>
        <v>0</v>
      </c>
      <c r="S148" s="699">
        <f t="shared" si="27"/>
        <v>0</v>
      </c>
    </row>
    <row r="149" spans="1:19">
      <c r="A149" s="865"/>
      <c r="B149" s="134"/>
      <c r="C149" s="52">
        <f t="shared" si="18"/>
        <v>1</v>
      </c>
      <c r="D149" s="863"/>
      <c r="E149" s="52">
        <f t="shared" si="19"/>
        <v>1</v>
      </c>
      <c r="F149" s="863"/>
      <c r="G149" s="52">
        <f t="shared" si="20"/>
        <v>1</v>
      </c>
      <c r="H149" s="863"/>
      <c r="I149" s="52">
        <f t="shared" si="21"/>
        <v>1</v>
      </c>
      <c r="J149" s="863"/>
      <c r="K149" s="52">
        <f t="shared" si="22"/>
        <v>1</v>
      </c>
      <c r="L149" s="863"/>
      <c r="M149" s="52">
        <f t="shared" si="23"/>
        <v>1</v>
      </c>
      <c r="N149" s="863"/>
      <c r="O149" s="52">
        <f t="shared" si="24"/>
        <v>1</v>
      </c>
      <c r="P149" s="863"/>
      <c r="Q149" s="52">
        <f t="shared" si="25"/>
        <v>1</v>
      </c>
      <c r="R149" s="390">
        <f t="shared" si="26"/>
        <v>0</v>
      </c>
      <c r="S149" s="699">
        <f t="shared" si="27"/>
        <v>0</v>
      </c>
    </row>
    <row r="150" spans="1:19">
      <c r="A150" s="865"/>
      <c r="B150" s="134"/>
      <c r="C150" s="52">
        <f t="shared" si="18"/>
        <v>1</v>
      </c>
      <c r="D150" s="863"/>
      <c r="E150" s="52">
        <f t="shared" si="19"/>
        <v>1</v>
      </c>
      <c r="F150" s="863"/>
      <c r="G150" s="52">
        <f t="shared" si="20"/>
        <v>1</v>
      </c>
      <c r="H150" s="863"/>
      <c r="I150" s="52">
        <f t="shared" si="21"/>
        <v>1</v>
      </c>
      <c r="J150" s="863"/>
      <c r="K150" s="52">
        <f t="shared" si="22"/>
        <v>1</v>
      </c>
      <c r="L150" s="863"/>
      <c r="M150" s="52">
        <f t="shared" si="23"/>
        <v>1</v>
      </c>
      <c r="N150" s="863"/>
      <c r="O150" s="52">
        <f t="shared" si="24"/>
        <v>1</v>
      </c>
      <c r="P150" s="863"/>
      <c r="Q150" s="52">
        <f t="shared" si="25"/>
        <v>1</v>
      </c>
      <c r="R150" s="390">
        <f t="shared" si="26"/>
        <v>0</v>
      </c>
      <c r="S150" s="699">
        <f t="shared" si="27"/>
        <v>0</v>
      </c>
    </row>
    <row r="151" spans="1:19">
      <c r="A151" s="865"/>
      <c r="B151" s="134"/>
      <c r="C151" s="52">
        <f t="shared" si="18"/>
        <v>1</v>
      </c>
      <c r="D151" s="863"/>
      <c r="E151" s="52">
        <f t="shared" si="19"/>
        <v>1</v>
      </c>
      <c r="F151" s="863"/>
      <c r="G151" s="52">
        <f t="shared" si="20"/>
        <v>1</v>
      </c>
      <c r="H151" s="863"/>
      <c r="I151" s="52">
        <f t="shared" si="21"/>
        <v>1</v>
      </c>
      <c r="J151" s="863"/>
      <c r="K151" s="52">
        <f t="shared" si="22"/>
        <v>1</v>
      </c>
      <c r="L151" s="863"/>
      <c r="M151" s="52">
        <f t="shared" si="23"/>
        <v>1</v>
      </c>
      <c r="N151" s="863"/>
      <c r="O151" s="52">
        <f t="shared" si="24"/>
        <v>1</v>
      </c>
      <c r="P151" s="863"/>
      <c r="Q151" s="52">
        <f t="shared" si="25"/>
        <v>1</v>
      </c>
      <c r="R151" s="390">
        <f t="shared" si="26"/>
        <v>0</v>
      </c>
      <c r="S151" s="699">
        <f t="shared" si="27"/>
        <v>0</v>
      </c>
    </row>
    <row r="152" spans="1:19">
      <c r="A152" s="865"/>
      <c r="B152" s="134"/>
      <c r="C152" s="52">
        <f t="shared" si="18"/>
        <v>1</v>
      </c>
      <c r="D152" s="863"/>
      <c r="E152" s="52">
        <f t="shared" si="19"/>
        <v>1</v>
      </c>
      <c r="F152" s="863"/>
      <c r="G152" s="52">
        <f t="shared" si="20"/>
        <v>1</v>
      </c>
      <c r="H152" s="863"/>
      <c r="I152" s="52">
        <f t="shared" si="21"/>
        <v>1</v>
      </c>
      <c r="J152" s="863"/>
      <c r="K152" s="52">
        <f t="shared" si="22"/>
        <v>1</v>
      </c>
      <c r="L152" s="863"/>
      <c r="M152" s="52">
        <f t="shared" si="23"/>
        <v>1</v>
      </c>
      <c r="N152" s="863"/>
      <c r="O152" s="52">
        <f t="shared" si="24"/>
        <v>1</v>
      </c>
      <c r="P152" s="863"/>
      <c r="Q152" s="52">
        <f t="shared" si="25"/>
        <v>1</v>
      </c>
      <c r="R152" s="390">
        <f t="shared" si="26"/>
        <v>0</v>
      </c>
      <c r="S152" s="699">
        <f t="shared" si="27"/>
        <v>0</v>
      </c>
    </row>
    <row r="153" spans="1:19">
      <c r="A153" s="865"/>
      <c r="B153" s="134"/>
      <c r="C153" s="52">
        <f t="shared" si="18"/>
        <v>1</v>
      </c>
      <c r="D153" s="863"/>
      <c r="E153" s="52">
        <f t="shared" si="19"/>
        <v>1</v>
      </c>
      <c r="F153" s="863"/>
      <c r="G153" s="52">
        <f t="shared" si="20"/>
        <v>1</v>
      </c>
      <c r="H153" s="863"/>
      <c r="I153" s="52">
        <f t="shared" si="21"/>
        <v>1</v>
      </c>
      <c r="J153" s="863"/>
      <c r="K153" s="52">
        <f t="shared" si="22"/>
        <v>1</v>
      </c>
      <c r="L153" s="863"/>
      <c r="M153" s="52">
        <f t="shared" si="23"/>
        <v>1</v>
      </c>
      <c r="N153" s="863"/>
      <c r="O153" s="52">
        <f t="shared" si="24"/>
        <v>1</v>
      </c>
      <c r="P153" s="863"/>
      <c r="Q153" s="52">
        <f t="shared" si="25"/>
        <v>1</v>
      </c>
      <c r="R153" s="390">
        <f t="shared" si="26"/>
        <v>0</v>
      </c>
      <c r="S153" s="699">
        <f t="shared" si="27"/>
        <v>0</v>
      </c>
    </row>
    <row r="154" spans="1:19">
      <c r="A154" s="865"/>
      <c r="B154" s="134"/>
      <c r="C154" s="52">
        <f t="shared" ref="C154:C217" si="28">IF(B154="",1,(LOOKUP(B154,$3:$3,$4:$4)-LOOKUP($B$24,$3:$3,$4:$4)+100)/100)</f>
        <v>1</v>
      </c>
      <c r="D154" s="863"/>
      <c r="E154" s="52">
        <f t="shared" ref="E154:E217" si="29">(SUMIF($5:$5,D154,$6:$6)-SUMIF($5:$5,$D$24,$6:$6)+100)/100</f>
        <v>1</v>
      </c>
      <c r="F154" s="863"/>
      <c r="G154" s="52">
        <f t="shared" ref="G154:G217" si="30">(SUMIF($7:$7,F154,$8:$8)-SUMIF($7:$7,$F$24,$8:$8)+100)/100</f>
        <v>1</v>
      </c>
      <c r="H154" s="863"/>
      <c r="I154" s="52">
        <f t="shared" ref="I154:I217" si="31">(SUMIF($9:$9,H154,$10:$10)-SUMIF($9:$9,$H$24,$10:$10)+100)/100</f>
        <v>1</v>
      </c>
      <c r="J154" s="863"/>
      <c r="K154" s="52">
        <f t="shared" ref="K154:K217" si="32">(SUMIF($11:$11,J154,$12:$12)-SUMIF($11:$11,$J$24,$12:$12)+100)/100</f>
        <v>1</v>
      </c>
      <c r="L154" s="863"/>
      <c r="M154" s="52">
        <f t="shared" ref="M154:M217" si="33">(SUMIF($13:$13,L154,$14:$14)-SUMIF($13:$13,$L$24,$14:$14)+100)/100</f>
        <v>1</v>
      </c>
      <c r="N154" s="863"/>
      <c r="O154" s="52">
        <f t="shared" ref="O154:O217" si="34">(SUMIF($15:$15,N154,$16:$16)-SUMIF($15:$15,$N$24,$16:$16)+100)/100</f>
        <v>1</v>
      </c>
      <c r="P154" s="863"/>
      <c r="Q154" s="52">
        <f t="shared" ref="Q154:Q217" si="35">(SUMIF($17:$17,P154,$18:$18)-SUMIF($17:$17,$P$24,$18:$18)+100)/100</f>
        <v>1</v>
      </c>
      <c r="R154" s="390">
        <f t="shared" ref="R154:R217" si="36">IF(B154="",0,ROUND($R$24*C154*E154*G154*I154*K154*M154*O154*Q154,0))</f>
        <v>0</v>
      </c>
      <c r="S154" s="699">
        <f t="shared" si="27"/>
        <v>0</v>
      </c>
    </row>
    <row r="155" spans="1:19">
      <c r="A155" s="865"/>
      <c r="B155" s="134"/>
      <c r="C155" s="52">
        <f t="shared" si="28"/>
        <v>1</v>
      </c>
      <c r="D155" s="863"/>
      <c r="E155" s="52">
        <f t="shared" si="29"/>
        <v>1</v>
      </c>
      <c r="F155" s="863"/>
      <c r="G155" s="52">
        <f t="shared" si="30"/>
        <v>1</v>
      </c>
      <c r="H155" s="863"/>
      <c r="I155" s="52">
        <f t="shared" si="31"/>
        <v>1</v>
      </c>
      <c r="J155" s="863"/>
      <c r="K155" s="52">
        <f t="shared" si="32"/>
        <v>1</v>
      </c>
      <c r="L155" s="863"/>
      <c r="M155" s="52">
        <f t="shared" si="33"/>
        <v>1</v>
      </c>
      <c r="N155" s="863"/>
      <c r="O155" s="52">
        <f t="shared" si="34"/>
        <v>1</v>
      </c>
      <c r="P155" s="863"/>
      <c r="Q155" s="52">
        <f t="shared" si="35"/>
        <v>1</v>
      </c>
      <c r="R155" s="390">
        <f t="shared" si="36"/>
        <v>0</v>
      </c>
      <c r="S155" s="699">
        <f t="shared" si="27"/>
        <v>0</v>
      </c>
    </row>
    <row r="156" spans="1:19">
      <c r="A156" s="865"/>
      <c r="B156" s="134"/>
      <c r="C156" s="52">
        <f t="shared" si="28"/>
        <v>1</v>
      </c>
      <c r="D156" s="863"/>
      <c r="E156" s="52">
        <f t="shared" si="29"/>
        <v>1</v>
      </c>
      <c r="F156" s="863"/>
      <c r="G156" s="52">
        <f t="shared" si="30"/>
        <v>1</v>
      </c>
      <c r="H156" s="863"/>
      <c r="I156" s="52">
        <f t="shared" si="31"/>
        <v>1</v>
      </c>
      <c r="J156" s="863"/>
      <c r="K156" s="52">
        <f t="shared" si="32"/>
        <v>1</v>
      </c>
      <c r="L156" s="863"/>
      <c r="M156" s="52">
        <f t="shared" si="33"/>
        <v>1</v>
      </c>
      <c r="N156" s="863"/>
      <c r="O156" s="52">
        <f t="shared" si="34"/>
        <v>1</v>
      </c>
      <c r="P156" s="863"/>
      <c r="Q156" s="52">
        <f t="shared" si="35"/>
        <v>1</v>
      </c>
      <c r="R156" s="390">
        <f t="shared" si="36"/>
        <v>0</v>
      </c>
      <c r="S156" s="699">
        <f t="shared" si="27"/>
        <v>0</v>
      </c>
    </row>
    <row r="157" spans="1:19">
      <c r="A157" s="865"/>
      <c r="B157" s="134"/>
      <c r="C157" s="52">
        <f t="shared" si="28"/>
        <v>1</v>
      </c>
      <c r="D157" s="863"/>
      <c r="E157" s="52">
        <f t="shared" si="29"/>
        <v>1</v>
      </c>
      <c r="F157" s="863"/>
      <c r="G157" s="52">
        <f t="shared" si="30"/>
        <v>1</v>
      </c>
      <c r="H157" s="863"/>
      <c r="I157" s="52">
        <f t="shared" si="31"/>
        <v>1</v>
      </c>
      <c r="J157" s="863"/>
      <c r="K157" s="52">
        <f t="shared" si="32"/>
        <v>1</v>
      </c>
      <c r="L157" s="863"/>
      <c r="M157" s="52">
        <f t="shared" si="33"/>
        <v>1</v>
      </c>
      <c r="N157" s="863"/>
      <c r="O157" s="52">
        <f t="shared" si="34"/>
        <v>1</v>
      </c>
      <c r="P157" s="863"/>
      <c r="Q157" s="52">
        <f t="shared" si="35"/>
        <v>1</v>
      </c>
      <c r="R157" s="390">
        <f t="shared" si="36"/>
        <v>0</v>
      </c>
      <c r="S157" s="699">
        <f t="shared" si="27"/>
        <v>0</v>
      </c>
    </row>
    <row r="158" spans="1:19">
      <c r="A158" s="865"/>
      <c r="B158" s="134"/>
      <c r="C158" s="52">
        <f t="shared" si="28"/>
        <v>1</v>
      </c>
      <c r="D158" s="863"/>
      <c r="E158" s="52">
        <f t="shared" si="29"/>
        <v>1</v>
      </c>
      <c r="F158" s="863"/>
      <c r="G158" s="52">
        <f t="shared" si="30"/>
        <v>1</v>
      </c>
      <c r="H158" s="863"/>
      <c r="I158" s="52">
        <f t="shared" si="31"/>
        <v>1</v>
      </c>
      <c r="J158" s="863"/>
      <c r="K158" s="52">
        <f t="shared" si="32"/>
        <v>1</v>
      </c>
      <c r="L158" s="863"/>
      <c r="M158" s="52">
        <f t="shared" si="33"/>
        <v>1</v>
      </c>
      <c r="N158" s="863"/>
      <c r="O158" s="52">
        <f t="shared" si="34"/>
        <v>1</v>
      </c>
      <c r="P158" s="863"/>
      <c r="Q158" s="52">
        <f t="shared" si="35"/>
        <v>1</v>
      </c>
      <c r="R158" s="390">
        <f t="shared" si="36"/>
        <v>0</v>
      </c>
      <c r="S158" s="699">
        <f t="shared" si="27"/>
        <v>0</v>
      </c>
    </row>
    <row r="159" spans="1:19">
      <c r="A159" s="865"/>
      <c r="B159" s="134"/>
      <c r="C159" s="52">
        <f t="shared" si="28"/>
        <v>1</v>
      </c>
      <c r="D159" s="863"/>
      <c r="E159" s="52">
        <f t="shared" si="29"/>
        <v>1</v>
      </c>
      <c r="F159" s="863"/>
      <c r="G159" s="52">
        <f t="shared" si="30"/>
        <v>1</v>
      </c>
      <c r="H159" s="863"/>
      <c r="I159" s="52">
        <f t="shared" si="31"/>
        <v>1</v>
      </c>
      <c r="J159" s="863"/>
      <c r="K159" s="52">
        <f t="shared" si="32"/>
        <v>1</v>
      </c>
      <c r="L159" s="863"/>
      <c r="M159" s="52">
        <f t="shared" si="33"/>
        <v>1</v>
      </c>
      <c r="N159" s="863"/>
      <c r="O159" s="52">
        <f t="shared" si="34"/>
        <v>1</v>
      </c>
      <c r="P159" s="863"/>
      <c r="Q159" s="52">
        <f t="shared" si="35"/>
        <v>1</v>
      </c>
      <c r="R159" s="390">
        <f t="shared" si="36"/>
        <v>0</v>
      </c>
      <c r="S159" s="699">
        <f t="shared" si="27"/>
        <v>0</v>
      </c>
    </row>
    <row r="160" spans="1:19">
      <c r="A160" s="865"/>
      <c r="B160" s="134"/>
      <c r="C160" s="52">
        <f t="shared" si="28"/>
        <v>1</v>
      </c>
      <c r="D160" s="863"/>
      <c r="E160" s="52">
        <f t="shared" si="29"/>
        <v>1</v>
      </c>
      <c r="F160" s="863"/>
      <c r="G160" s="52">
        <f t="shared" si="30"/>
        <v>1</v>
      </c>
      <c r="H160" s="863"/>
      <c r="I160" s="52">
        <f t="shared" si="31"/>
        <v>1</v>
      </c>
      <c r="J160" s="863"/>
      <c r="K160" s="52">
        <f t="shared" si="32"/>
        <v>1</v>
      </c>
      <c r="L160" s="863"/>
      <c r="M160" s="52">
        <f t="shared" si="33"/>
        <v>1</v>
      </c>
      <c r="N160" s="863"/>
      <c r="O160" s="52">
        <f t="shared" si="34"/>
        <v>1</v>
      </c>
      <c r="P160" s="863"/>
      <c r="Q160" s="52">
        <f t="shared" si="35"/>
        <v>1</v>
      </c>
      <c r="R160" s="390">
        <f t="shared" si="36"/>
        <v>0</v>
      </c>
      <c r="S160" s="699">
        <f t="shared" si="27"/>
        <v>0</v>
      </c>
    </row>
    <row r="161" spans="1:19">
      <c r="A161" s="865"/>
      <c r="B161" s="134"/>
      <c r="C161" s="52">
        <f t="shared" si="28"/>
        <v>1</v>
      </c>
      <c r="D161" s="863"/>
      <c r="E161" s="52">
        <f t="shared" si="29"/>
        <v>1</v>
      </c>
      <c r="F161" s="863"/>
      <c r="G161" s="52">
        <f t="shared" si="30"/>
        <v>1</v>
      </c>
      <c r="H161" s="863"/>
      <c r="I161" s="52">
        <f t="shared" si="31"/>
        <v>1</v>
      </c>
      <c r="J161" s="863"/>
      <c r="K161" s="52">
        <f t="shared" si="32"/>
        <v>1</v>
      </c>
      <c r="L161" s="863"/>
      <c r="M161" s="52">
        <f t="shared" si="33"/>
        <v>1</v>
      </c>
      <c r="N161" s="863"/>
      <c r="O161" s="52">
        <f t="shared" si="34"/>
        <v>1</v>
      </c>
      <c r="P161" s="863"/>
      <c r="Q161" s="52">
        <f t="shared" si="35"/>
        <v>1</v>
      </c>
      <c r="R161" s="390">
        <f t="shared" si="36"/>
        <v>0</v>
      </c>
      <c r="S161" s="699">
        <f t="shared" si="27"/>
        <v>0</v>
      </c>
    </row>
    <row r="162" spans="1:19">
      <c r="A162" s="865"/>
      <c r="B162" s="134"/>
      <c r="C162" s="52">
        <f t="shared" si="28"/>
        <v>1</v>
      </c>
      <c r="D162" s="863"/>
      <c r="E162" s="52">
        <f t="shared" si="29"/>
        <v>1</v>
      </c>
      <c r="F162" s="863"/>
      <c r="G162" s="52">
        <f t="shared" si="30"/>
        <v>1</v>
      </c>
      <c r="H162" s="863"/>
      <c r="I162" s="52">
        <f t="shared" si="31"/>
        <v>1</v>
      </c>
      <c r="J162" s="863"/>
      <c r="K162" s="52">
        <f t="shared" si="32"/>
        <v>1</v>
      </c>
      <c r="L162" s="863"/>
      <c r="M162" s="52">
        <f t="shared" si="33"/>
        <v>1</v>
      </c>
      <c r="N162" s="863"/>
      <c r="O162" s="52">
        <f t="shared" si="34"/>
        <v>1</v>
      </c>
      <c r="P162" s="863"/>
      <c r="Q162" s="52">
        <f t="shared" si="35"/>
        <v>1</v>
      </c>
      <c r="R162" s="390">
        <f t="shared" si="36"/>
        <v>0</v>
      </c>
      <c r="S162" s="699">
        <f t="shared" si="27"/>
        <v>0</v>
      </c>
    </row>
    <row r="163" spans="1:19">
      <c r="A163" s="865"/>
      <c r="B163" s="134"/>
      <c r="C163" s="52">
        <f t="shared" si="28"/>
        <v>1</v>
      </c>
      <c r="D163" s="863"/>
      <c r="E163" s="52">
        <f t="shared" si="29"/>
        <v>1</v>
      </c>
      <c r="F163" s="863"/>
      <c r="G163" s="52">
        <f t="shared" si="30"/>
        <v>1</v>
      </c>
      <c r="H163" s="863"/>
      <c r="I163" s="52">
        <f t="shared" si="31"/>
        <v>1</v>
      </c>
      <c r="J163" s="863"/>
      <c r="K163" s="52">
        <f t="shared" si="32"/>
        <v>1</v>
      </c>
      <c r="L163" s="863"/>
      <c r="M163" s="52">
        <f t="shared" si="33"/>
        <v>1</v>
      </c>
      <c r="N163" s="863"/>
      <c r="O163" s="52">
        <f t="shared" si="34"/>
        <v>1</v>
      </c>
      <c r="P163" s="863"/>
      <c r="Q163" s="52">
        <f t="shared" si="35"/>
        <v>1</v>
      </c>
      <c r="R163" s="390">
        <f t="shared" si="36"/>
        <v>0</v>
      </c>
      <c r="S163" s="699">
        <f t="shared" si="27"/>
        <v>0</v>
      </c>
    </row>
    <row r="164" spans="1:19">
      <c r="A164" s="865"/>
      <c r="B164" s="134"/>
      <c r="C164" s="52">
        <f t="shared" si="28"/>
        <v>1</v>
      </c>
      <c r="D164" s="863"/>
      <c r="E164" s="52">
        <f t="shared" si="29"/>
        <v>1</v>
      </c>
      <c r="F164" s="863"/>
      <c r="G164" s="52">
        <f t="shared" si="30"/>
        <v>1</v>
      </c>
      <c r="H164" s="863"/>
      <c r="I164" s="52">
        <f t="shared" si="31"/>
        <v>1</v>
      </c>
      <c r="J164" s="863"/>
      <c r="K164" s="52">
        <f t="shared" si="32"/>
        <v>1</v>
      </c>
      <c r="L164" s="863"/>
      <c r="M164" s="52">
        <f t="shared" si="33"/>
        <v>1</v>
      </c>
      <c r="N164" s="863"/>
      <c r="O164" s="52">
        <f t="shared" si="34"/>
        <v>1</v>
      </c>
      <c r="P164" s="863"/>
      <c r="Q164" s="52">
        <f t="shared" si="35"/>
        <v>1</v>
      </c>
      <c r="R164" s="390">
        <f t="shared" si="36"/>
        <v>0</v>
      </c>
      <c r="S164" s="699">
        <f t="shared" si="27"/>
        <v>0</v>
      </c>
    </row>
    <row r="165" spans="1:19">
      <c r="A165" s="865"/>
      <c r="B165" s="134"/>
      <c r="C165" s="52">
        <f t="shared" si="28"/>
        <v>1</v>
      </c>
      <c r="D165" s="863"/>
      <c r="E165" s="52">
        <f t="shared" si="29"/>
        <v>1</v>
      </c>
      <c r="F165" s="863"/>
      <c r="G165" s="52">
        <f t="shared" si="30"/>
        <v>1</v>
      </c>
      <c r="H165" s="863"/>
      <c r="I165" s="52">
        <f t="shared" si="31"/>
        <v>1</v>
      </c>
      <c r="J165" s="863"/>
      <c r="K165" s="52">
        <f t="shared" si="32"/>
        <v>1</v>
      </c>
      <c r="L165" s="863"/>
      <c r="M165" s="52">
        <f t="shared" si="33"/>
        <v>1</v>
      </c>
      <c r="N165" s="863"/>
      <c r="O165" s="52">
        <f t="shared" si="34"/>
        <v>1</v>
      </c>
      <c r="P165" s="863"/>
      <c r="Q165" s="52">
        <f t="shared" si="35"/>
        <v>1</v>
      </c>
      <c r="R165" s="390">
        <f t="shared" si="36"/>
        <v>0</v>
      </c>
      <c r="S165" s="699">
        <f t="shared" si="27"/>
        <v>0</v>
      </c>
    </row>
    <row r="166" spans="1:19">
      <c r="A166" s="865"/>
      <c r="B166" s="134"/>
      <c r="C166" s="52">
        <f t="shared" si="28"/>
        <v>1</v>
      </c>
      <c r="D166" s="863"/>
      <c r="E166" s="52">
        <f t="shared" si="29"/>
        <v>1</v>
      </c>
      <c r="F166" s="863"/>
      <c r="G166" s="52">
        <f t="shared" si="30"/>
        <v>1</v>
      </c>
      <c r="H166" s="863"/>
      <c r="I166" s="52">
        <f t="shared" si="31"/>
        <v>1</v>
      </c>
      <c r="J166" s="863"/>
      <c r="K166" s="52">
        <f t="shared" si="32"/>
        <v>1</v>
      </c>
      <c r="L166" s="863"/>
      <c r="M166" s="52">
        <f t="shared" si="33"/>
        <v>1</v>
      </c>
      <c r="N166" s="863"/>
      <c r="O166" s="52">
        <f t="shared" si="34"/>
        <v>1</v>
      </c>
      <c r="P166" s="863"/>
      <c r="Q166" s="52">
        <f t="shared" si="35"/>
        <v>1</v>
      </c>
      <c r="R166" s="390">
        <f t="shared" si="36"/>
        <v>0</v>
      </c>
      <c r="S166" s="699">
        <f t="shared" si="27"/>
        <v>0</v>
      </c>
    </row>
    <row r="167" spans="1:19">
      <c r="A167" s="865"/>
      <c r="B167" s="134"/>
      <c r="C167" s="52">
        <f t="shared" si="28"/>
        <v>1</v>
      </c>
      <c r="D167" s="863"/>
      <c r="E167" s="52">
        <f t="shared" si="29"/>
        <v>1</v>
      </c>
      <c r="F167" s="863"/>
      <c r="G167" s="52">
        <f t="shared" si="30"/>
        <v>1</v>
      </c>
      <c r="H167" s="863"/>
      <c r="I167" s="52">
        <f t="shared" si="31"/>
        <v>1</v>
      </c>
      <c r="J167" s="863"/>
      <c r="K167" s="52">
        <f t="shared" si="32"/>
        <v>1</v>
      </c>
      <c r="L167" s="863"/>
      <c r="M167" s="52">
        <f t="shared" si="33"/>
        <v>1</v>
      </c>
      <c r="N167" s="863"/>
      <c r="O167" s="52">
        <f t="shared" si="34"/>
        <v>1</v>
      </c>
      <c r="P167" s="863"/>
      <c r="Q167" s="52">
        <f t="shared" si="35"/>
        <v>1</v>
      </c>
      <c r="R167" s="390">
        <f t="shared" si="36"/>
        <v>0</v>
      </c>
      <c r="S167" s="699">
        <f t="shared" si="27"/>
        <v>0</v>
      </c>
    </row>
    <row r="168" spans="1:19">
      <c r="A168" s="865"/>
      <c r="B168" s="134"/>
      <c r="C168" s="52">
        <f t="shared" si="28"/>
        <v>1</v>
      </c>
      <c r="D168" s="863"/>
      <c r="E168" s="52">
        <f t="shared" si="29"/>
        <v>1</v>
      </c>
      <c r="F168" s="863"/>
      <c r="G168" s="52">
        <f t="shared" si="30"/>
        <v>1</v>
      </c>
      <c r="H168" s="863"/>
      <c r="I168" s="52">
        <f t="shared" si="31"/>
        <v>1</v>
      </c>
      <c r="J168" s="863"/>
      <c r="K168" s="52">
        <f t="shared" si="32"/>
        <v>1</v>
      </c>
      <c r="L168" s="863"/>
      <c r="M168" s="52">
        <f t="shared" si="33"/>
        <v>1</v>
      </c>
      <c r="N168" s="863"/>
      <c r="O168" s="52">
        <f t="shared" si="34"/>
        <v>1</v>
      </c>
      <c r="P168" s="863"/>
      <c r="Q168" s="52">
        <f t="shared" si="35"/>
        <v>1</v>
      </c>
      <c r="R168" s="390">
        <f t="shared" si="36"/>
        <v>0</v>
      </c>
      <c r="S168" s="699">
        <f t="shared" si="27"/>
        <v>0</v>
      </c>
    </row>
    <row r="169" spans="1:19">
      <c r="A169" s="865"/>
      <c r="B169" s="134"/>
      <c r="C169" s="52">
        <f t="shared" si="28"/>
        <v>1</v>
      </c>
      <c r="D169" s="863"/>
      <c r="E169" s="52">
        <f t="shared" si="29"/>
        <v>1</v>
      </c>
      <c r="F169" s="863"/>
      <c r="G169" s="52">
        <f t="shared" si="30"/>
        <v>1</v>
      </c>
      <c r="H169" s="863"/>
      <c r="I169" s="52">
        <f t="shared" si="31"/>
        <v>1</v>
      </c>
      <c r="J169" s="863"/>
      <c r="K169" s="52">
        <f t="shared" si="32"/>
        <v>1</v>
      </c>
      <c r="L169" s="863"/>
      <c r="M169" s="52">
        <f t="shared" si="33"/>
        <v>1</v>
      </c>
      <c r="N169" s="863"/>
      <c r="O169" s="52">
        <f t="shared" si="34"/>
        <v>1</v>
      </c>
      <c r="P169" s="863"/>
      <c r="Q169" s="52">
        <f t="shared" si="35"/>
        <v>1</v>
      </c>
      <c r="R169" s="390">
        <f t="shared" si="36"/>
        <v>0</v>
      </c>
      <c r="S169" s="699">
        <f t="shared" si="27"/>
        <v>0</v>
      </c>
    </row>
    <row r="170" spans="1:19">
      <c r="A170" s="865"/>
      <c r="B170" s="134"/>
      <c r="C170" s="52">
        <f t="shared" si="28"/>
        <v>1</v>
      </c>
      <c r="D170" s="863"/>
      <c r="E170" s="52">
        <f t="shared" si="29"/>
        <v>1</v>
      </c>
      <c r="F170" s="863"/>
      <c r="G170" s="52">
        <f t="shared" si="30"/>
        <v>1</v>
      </c>
      <c r="H170" s="863"/>
      <c r="I170" s="52">
        <f t="shared" si="31"/>
        <v>1</v>
      </c>
      <c r="J170" s="863"/>
      <c r="K170" s="52">
        <f t="shared" si="32"/>
        <v>1</v>
      </c>
      <c r="L170" s="863"/>
      <c r="M170" s="52">
        <f t="shared" si="33"/>
        <v>1</v>
      </c>
      <c r="N170" s="863"/>
      <c r="O170" s="52">
        <f t="shared" si="34"/>
        <v>1</v>
      </c>
      <c r="P170" s="863"/>
      <c r="Q170" s="52">
        <f t="shared" si="35"/>
        <v>1</v>
      </c>
      <c r="R170" s="390">
        <f t="shared" si="36"/>
        <v>0</v>
      </c>
      <c r="S170" s="699">
        <f t="shared" si="27"/>
        <v>0</v>
      </c>
    </row>
    <row r="171" spans="1:19">
      <c r="A171" s="865"/>
      <c r="B171" s="134"/>
      <c r="C171" s="52">
        <f t="shared" si="28"/>
        <v>1</v>
      </c>
      <c r="D171" s="863"/>
      <c r="E171" s="52">
        <f t="shared" si="29"/>
        <v>1</v>
      </c>
      <c r="F171" s="863"/>
      <c r="G171" s="52">
        <f t="shared" si="30"/>
        <v>1</v>
      </c>
      <c r="H171" s="863"/>
      <c r="I171" s="52">
        <f t="shared" si="31"/>
        <v>1</v>
      </c>
      <c r="J171" s="863"/>
      <c r="K171" s="52">
        <f t="shared" si="32"/>
        <v>1</v>
      </c>
      <c r="L171" s="863"/>
      <c r="M171" s="52">
        <f t="shared" si="33"/>
        <v>1</v>
      </c>
      <c r="N171" s="863"/>
      <c r="O171" s="52">
        <f t="shared" si="34"/>
        <v>1</v>
      </c>
      <c r="P171" s="863"/>
      <c r="Q171" s="52">
        <f t="shared" si="35"/>
        <v>1</v>
      </c>
      <c r="R171" s="390">
        <f t="shared" si="36"/>
        <v>0</v>
      </c>
      <c r="S171" s="699">
        <f t="shared" si="27"/>
        <v>0</v>
      </c>
    </row>
    <row r="172" spans="1:19">
      <c r="A172" s="865"/>
      <c r="B172" s="134"/>
      <c r="C172" s="52">
        <f t="shared" si="28"/>
        <v>1</v>
      </c>
      <c r="D172" s="863"/>
      <c r="E172" s="52">
        <f t="shared" si="29"/>
        <v>1</v>
      </c>
      <c r="F172" s="863"/>
      <c r="G172" s="52">
        <f t="shared" si="30"/>
        <v>1</v>
      </c>
      <c r="H172" s="863"/>
      <c r="I172" s="52">
        <f t="shared" si="31"/>
        <v>1</v>
      </c>
      <c r="J172" s="863"/>
      <c r="K172" s="52">
        <f t="shared" si="32"/>
        <v>1</v>
      </c>
      <c r="L172" s="863"/>
      <c r="M172" s="52">
        <f t="shared" si="33"/>
        <v>1</v>
      </c>
      <c r="N172" s="863"/>
      <c r="O172" s="52">
        <f t="shared" si="34"/>
        <v>1</v>
      </c>
      <c r="P172" s="863"/>
      <c r="Q172" s="52">
        <f t="shared" si="35"/>
        <v>1</v>
      </c>
      <c r="R172" s="390">
        <f t="shared" si="36"/>
        <v>0</v>
      </c>
      <c r="S172" s="699">
        <f t="shared" si="27"/>
        <v>0</v>
      </c>
    </row>
    <row r="173" spans="1:19">
      <c r="A173" s="865"/>
      <c r="B173" s="134"/>
      <c r="C173" s="52">
        <f t="shared" si="28"/>
        <v>1</v>
      </c>
      <c r="D173" s="863"/>
      <c r="E173" s="52">
        <f t="shared" si="29"/>
        <v>1</v>
      </c>
      <c r="F173" s="863"/>
      <c r="G173" s="52">
        <f t="shared" si="30"/>
        <v>1</v>
      </c>
      <c r="H173" s="863"/>
      <c r="I173" s="52">
        <f t="shared" si="31"/>
        <v>1</v>
      </c>
      <c r="J173" s="863"/>
      <c r="K173" s="52">
        <f t="shared" si="32"/>
        <v>1</v>
      </c>
      <c r="L173" s="863"/>
      <c r="M173" s="52">
        <f t="shared" si="33"/>
        <v>1</v>
      </c>
      <c r="N173" s="863"/>
      <c r="O173" s="52">
        <f t="shared" si="34"/>
        <v>1</v>
      </c>
      <c r="P173" s="863"/>
      <c r="Q173" s="52">
        <f t="shared" si="35"/>
        <v>1</v>
      </c>
      <c r="R173" s="390">
        <f t="shared" si="36"/>
        <v>0</v>
      </c>
      <c r="S173" s="699">
        <f t="shared" si="27"/>
        <v>0</v>
      </c>
    </row>
    <row r="174" spans="1:19">
      <c r="A174" s="865"/>
      <c r="B174" s="134"/>
      <c r="C174" s="52">
        <f t="shared" si="28"/>
        <v>1</v>
      </c>
      <c r="D174" s="863"/>
      <c r="E174" s="52">
        <f t="shared" si="29"/>
        <v>1</v>
      </c>
      <c r="F174" s="863"/>
      <c r="G174" s="52">
        <f t="shared" si="30"/>
        <v>1</v>
      </c>
      <c r="H174" s="863"/>
      <c r="I174" s="52">
        <f t="shared" si="31"/>
        <v>1</v>
      </c>
      <c r="J174" s="863"/>
      <c r="K174" s="52">
        <f t="shared" si="32"/>
        <v>1</v>
      </c>
      <c r="L174" s="863"/>
      <c r="M174" s="52">
        <f t="shared" si="33"/>
        <v>1</v>
      </c>
      <c r="N174" s="863"/>
      <c r="O174" s="52">
        <f t="shared" si="34"/>
        <v>1</v>
      </c>
      <c r="P174" s="863"/>
      <c r="Q174" s="52">
        <f t="shared" si="35"/>
        <v>1</v>
      </c>
      <c r="R174" s="390">
        <f t="shared" si="36"/>
        <v>0</v>
      </c>
      <c r="S174" s="699">
        <f t="shared" si="27"/>
        <v>0</v>
      </c>
    </row>
    <row r="175" spans="1:19">
      <c r="A175" s="865"/>
      <c r="B175" s="134"/>
      <c r="C175" s="52">
        <f t="shared" si="28"/>
        <v>1</v>
      </c>
      <c r="D175" s="863"/>
      <c r="E175" s="52">
        <f t="shared" si="29"/>
        <v>1</v>
      </c>
      <c r="F175" s="863"/>
      <c r="G175" s="52">
        <f t="shared" si="30"/>
        <v>1</v>
      </c>
      <c r="H175" s="863"/>
      <c r="I175" s="52">
        <f t="shared" si="31"/>
        <v>1</v>
      </c>
      <c r="J175" s="863"/>
      <c r="K175" s="52">
        <f t="shared" si="32"/>
        <v>1</v>
      </c>
      <c r="L175" s="863"/>
      <c r="M175" s="52">
        <f t="shared" si="33"/>
        <v>1</v>
      </c>
      <c r="N175" s="863"/>
      <c r="O175" s="52">
        <f t="shared" si="34"/>
        <v>1</v>
      </c>
      <c r="P175" s="863"/>
      <c r="Q175" s="52">
        <f t="shared" si="35"/>
        <v>1</v>
      </c>
      <c r="R175" s="390">
        <f t="shared" si="36"/>
        <v>0</v>
      </c>
      <c r="S175" s="699">
        <f t="shared" si="27"/>
        <v>0</v>
      </c>
    </row>
    <row r="176" spans="1:19">
      <c r="A176" s="865"/>
      <c r="B176" s="134"/>
      <c r="C176" s="52">
        <f t="shared" si="28"/>
        <v>1</v>
      </c>
      <c r="D176" s="863"/>
      <c r="E176" s="52">
        <f t="shared" si="29"/>
        <v>1</v>
      </c>
      <c r="F176" s="863"/>
      <c r="G176" s="52">
        <f t="shared" si="30"/>
        <v>1</v>
      </c>
      <c r="H176" s="863"/>
      <c r="I176" s="52">
        <f t="shared" si="31"/>
        <v>1</v>
      </c>
      <c r="J176" s="863"/>
      <c r="K176" s="52">
        <f t="shared" si="32"/>
        <v>1</v>
      </c>
      <c r="L176" s="863"/>
      <c r="M176" s="52">
        <f t="shared" si="33"/>
        <v>1</v>
      </c>
      <c r="N176" s="863"/>
      <c r="O176" s="52">
        <f t="shared" si="34"/>
        <v>1</v>
      </c>
      <c r="P176" s="863"/>
      <c r="Q176" s="52">
        <f t="shared" si="35"/>
        <v>1</v>
      </c>
      <c r="R176" s="390">
        <f t="shared" si="36"/>
        <v>0</v>
      </c>
      <c r="S176" s="699">
        <f t="shared" si="27"/>
        <v>0</v>
      </c>
    </row>
    <row r="177" spans="1:19">
      <c r="A177" s="865"/>
      <c r="B177" s="134"/>
      <c r="C177" s="52">
        <f t="shared" si="28"/>
        <v>1</v>
      </c>
      <c r="D177" s="863"/>
      <c r="E177" s="52">
        <f t="shared" si="29"/>
        <v>1</v>
      </c>
      <c r="F177" s="863"/>
      <c r="G177" s="52">
        <f t="shared" si="30"/>
        <v>1</v>
      </c>
      <c r="H177" s="863"/>
      <c r="I177" s="52">
        <f t="shared" si="31"/>
        <v>1</v>
      </c>
      <c r="J177" s="863"/>
      <c r="K177" s="52">
        <f t="shared" si="32"/>
        <v>1</v>
      </c>
      <c r="L177" s="863"/>
      <c r="M177" s="52">
        <f t="shared" si="33"/>
        <v>1</v>
      </c>
      <c r="N177" s="863"/>
      <c r="O177" s="52">
        <f t="shared" si="34"/>
        <v>1</v>
      </c>
      <c r="P177" s="863"/>
      <c r="Q177" s="52">
        <f t="shared" si="35"/>
        <v>1</v>
      </c>
      <c r="R177" s="390">
        <f t="shared" si="36"/>
        <v>0</v>
      </c>
      <c r="S177" s="699">
        <f t="shared" si="27"/>
        <v>0</v>
      </c>
    </row>
    <row r="178" spans="1:19">
      <c r="A178" s="865"/>
      <c r="B178" s="134"/>
      <c r="C178" s="52">
        <f t="shared" si="28"/>
        <v>1</v>
      </c>
      <c r="D178" s="863"/>
      <c r="E178" s="52">
        <f t="shared" si="29"/>
        <v>1</v>
      </c>
      <c r="F178" s="863"/>
      <c r="G178" s="52">
        <f t="shared" si="30"/>
        <v>1</v>
      </c>
      <c r="H178" s="863"/>
      <c r="I178" s="52">
        <f t="shared" si="31"/>
        <v>1</v>
      </c>
      <c r="J178" s="863"/>
      <c r="K178" s="52">
        <f t="shared" si="32"/>
        <v>1</v>
      </c>
      <c r="L178" s="863"/>
      <c r="M178" s="52">
        <f t="shared" si="33"/>
        <v>1</v>
      </c>
      <c r="N178" s="863"/>
      <c r="O178" s="52">
        <f t="shared" si="34"/>
        <v>1</v>
      </c>
      <c r="P178" s="863"/>
      <c r="Q178" s="52">
        <f t="shared" si="35"/>
        <v>1</v>
      </c>
      <c r="R178" s="390">
        <f t="shared" si="36"/>
        <v>0</v>
      </c>
      <c r="S178" s="699">
        <f t="shared" si="27"/>
        <v>0</v>
      </c>
    </row>
    <row r="179" spans="1:19">
      <c r="A179" s="865"/>
      <c r="B179" s="134"/>
      <c r="C179" s="52">
        <f t="shared" si="28"/>
        <v>1</v>
      </c>
      <c r="D179" s="863"/>
      <c r="E179" s="52">
        <f t="shared" si="29"/>
        <v>1</v>
      </c>
      <c r="F179" s="863"/>
      <c r="G179" s="52">
        <f t="shared" si="30"/>
        <v>1</v>
      </c>
      <c r="H179" s="863"/>
      <c r="I179" s="52">
        <f t="shared" si="31"/>
        <v>1</v>
      </c>
      <c r="J179" s="863"/>
      <c r="K179" s="52">
        <f t="shared" si="32"/>
        <v>1</v>
      </c>
      <c r="L179" s="863"/>
      <c r="M179" s="52">
        <f t="shared" si="33"/>
        <v>1</v>
      </c>
      <c r="N179" s="863"/>
      <c r="O179" s="52">
        <f t="shared" si="34"/>
        <v>1</v>
      </c>
      <c r="P179" s="863"/>
      <c r="Q179" s="52">
        <f t="shared" si="35"/>
        <v>1</v>
      </c>
      <c r="R179" s="390">
        <f t="shared" si="36"/>
        <v>0</v>
      </c>
      <c r="S179" s="699">
        <f t="shared" si="27"/>
        <v>0</v>
      </c>
    </row>
    <row r="180" spans="1:19">
      <c r="A180" s="865"/>
      <c r="B180" s="134"/>
      <c r="C180" s="52">
        <f t="shared" si="28"/>
        <v>1</v>
      </c>
      <c r="D180" s="863"/>
      <c r="E180" s="52">
        <f t="shared" si="29"/>
        <v>1</v>
      </c>
      <c r="F180" s="863"/>
      <c r="G180" s="52">
        <f t="shared" si="30"/>
        <v>1</v>
      </c>
      <c r="H180" s="863"/>
      <c r="I180" s="52">
        <f t="shared" si="31"/>
        <v>1</v>
      </c>
      <c r="J180" s="863"/>
      <c r="K180" s="52">
        <f t="shared" si="32"/>
        <v>1</v>
      </c>
      <c r="L180" s="863"/>
      <c r="M180" s="52">
        <f t="shared" si="33"/>
        <v>1</v>
      </c>
      <c r="N180" s="863"/>
      <c r="O180" s="52">
        <f t="shared" si="34"/>
        <v>1</v>
      </c>
      <c r="P180" s="863"/>
      <c r="Q180" s="52">
        <f t="shared" si="35"/>
        <v>1</v>
      </c>
      <c r="R180" s="390">
        <f t="shared" si="36"/>
        <v>0</v>
      </c>
      <c r="S180" s="699">
        <f t="shared" si="27"/>
        <v>0</v>
      </c>
    </row>
    <row r="181" spans="1:19">
      <c r="A181" s="865"/>
      <c r="B181" s="134"/>
      <c r="C181" s="52">
        <f t="shared" si="28"/>
        <v>1</v>
      </c>
      <c r="D181" s="863"/>
      <c r="E181" s="52">
        <f t="shared" si="29"/>
        <v>1</v>
      </c>
      <c r="F181" s="863"/>
      <c r="G181" s="52">
        <f t="shared" si="30"/>
        <v>1</v>
      </c>
      <c r="H181" s="863"/>
      <c r="I181" s="52">
        <f t="shared" si="31"/>
        <v>1</v>
      </c>
      <c r="J181" s="863"/>
      <c r="K181" s="52">
        <f t="shared" si="32"/>
        <v>1</v>
      </c>
      <c r="L181" s="863"/>
      <c r="M181" s="52">
        <f t="shared" si="33"/>
        <v>1</v>
      </c>
      <c r="N181" s="863"/>
      <c r="O181" s="52">
        <f t="shared" si="34"/>
        <v>1</v>
      </c>
      <c r="P181" s="863"/>
      <c r="Q181" s="52">
        <f t="shared" si="35"/>
        <v>1</v>
      </c>
      <c r="R181" s="390">
        <f t="shared" si="36"/>
        <v>0</v>
      </c>
      <c r="S181" s="699">
        <f t="shared" si="27"/>
        <v>0</v>
      </c>
    </row>
    <row r="182" spans="1:19">
      <c r="A182" s="865"/>
      <c r="B182" s="134"/>
      <c r="C182" s="52">
        <f t="shared" si="28"/>
        <v>1</v>
      </c>
      <c r="D182" s="863"/>
      <c r="E182" s="52">
        <f t="shared" si="29"/>
        <v>1</v>
      </c>
      <c r="F182" s="863"/>
      <c r="G182" s="52">
        <f t="shared" si="30"/>
        <v>1</v>
      </c>
      <c r="H182" s="863"/>
      <c r="I182" s="52">
        <f t="shared" si="31"/>
        <v>1</v>
      </c>
      <c r="J182" s="863"/>
      <c r="K182" s="52">
        <f t="shared" si="32"/>
        <v>1</v>
      </c>
      <c r="L182" s="863"/>
      <c r="M182" s="52">
        <f t="shared" si="33"/>
        <v>1</v>
      </c>
      <c r="N182" s="863"/>
      <c r="O182" s="52">
        <f t="shared" si="34"/>
        <v>1</v>
      </c>
      <c r="P182" s="863"/>
      <c r="Q182" s="52">
        <f t="shared" si="35"/>
        <v>1</v>
      </c>
      <c r="R182" s="390">
        <f t="shared" si="36"/>
        <v>0</v>
      </c>
      <c r="S182" s="699">
        <f t="shared" si="27"/>
        <v>0</v>
      </c>
    </row>
    <row r="183" spans="1:19">
      <c r="A183" s="865"/>
      <c r="B183" s="134"/>
      <c r="C183" s="52">
        <f t="shared" si="28"/>
        <v>1</v>
      </c>
      <c r="D183" s="863"/>
      <c r="E183" s="52">
        <f t="shared" si="29"/>
        <v>1</v>
      </c>
      <c r="F183" s="863"/>
      <c r="G183" s="52">
        <f t="shared" si="30"/>
        <v>1</v>
      </c>
      <c r="H183" s="863"/>
      <c r="I183" s="52">
        <f t="shared" si="31"/>
        <v>1</v>
      </c>
      <c r="J183" s="863"/>
      <c r="K183" s="52">
        <f t="shared" si="32"/>
        <v>1</v>
      </c>
      <c r="L183" s="863"/>
      <c r="M183" s="52">
        <f t="shared" si="33"/>
        <v>1</v>
      </c>
      <c r="N183" s="863"/>
      <c r="O183" s="52">
        <f t="shared" si="34"/>
        <v>1</v>
      </c>
      <c r="P183" s="863"/>
      <c r="Q183" s="52">
        <f t="shared" si="35"/>
        <v>1</v>
      </c>
      <c r="R183" s="390">
        <f t="shared" si="36"/>
        <v>0</v>
      </c>
      <c r="S183" s="699">
        <f t="shared" si="27"/>
        <v>0</v>
      </c>
    </row>
    <row r="184" spans="1:19">
      <c r="A184" s="865"/>
      <c r="B184" s="134"/>
      <c r="C184" s="52">
        <f t="shared" si="28"/>
        <v>1</v>
      </c>
      <c r="D184" s="863"/>
      <c r="E184" s="52">
        <f t="shared" si="29"/>
        <v>1</v>
      </c>
      <c r="F184" s="863"/>
      <c r="G184" s="52">
        <f t="shared" si="30"/>
        <v>1</v>
      </c>
      <c r="H184" s="863"/>
      <c r="I184" s="52">
        <f t="shared" si="31"/>
        <v>1</v>
      </c>
      <c r="J184" s="863"/>
      <c r="K184" s="52">
        <f t="shared" si="32"/>
        <v>1</v>
      </c>
      <c r="L184" s="863"/>
      <c r="M184" s="52">
        <f t="shared" si="33"/>
        <v>1</v>
      </c>
      <c r="N184" s="863"/>
      <c r="O184" s="52">
        <f t="shared" si="34"/>
        <v>1</v>
      </c>
      <c r="P184" s="863"/>
      <c r="Q184" s="52">
        <f t="shared" si="35"/>
        <v>1</v>
      </c>
      <c r="R184" s="390">
        <f t="shared" si="36"/>
        <v>0</v>
      </c>
      <c r="S184" s="699">
        <f t="shared" si="27"/>
        <v>0</v>
      </c>
    </row>
    <row r="185" spans="1:19">
      <c r="A185" s="865"/>
      <c r="B185" s="134"/>
      <c r="C185" s="52">
        <f t="shared" si="28"/>
        <v>1</v>
      </c>
      <c r="D185" s="863"/>
      <c r="E185" s="52">
        <f t="shared" si="29"/>
        <v>1</v>
      </c>
      <c r="F185" s="863"/>
      <c r="G185" s="52">
        <f t="shared" si="30"/>
        <v>1</v>
      </c>
      <c r="H185" s="863"/>
      <c r="I185" s="52">
        <f t="shared" si="31"/>
        <v>1</v>
      </c>
      <c r="J185" s="863"/>
      <c r="K185" s="52">
        <f t="shared" si="32"/>
        <v>1</v>
      </c>
      <c r="L185" s="863"/>
      <c r="M185" s="52">
        <f t="shared" si="33"/>
        <v>1</v>
      </c>
      <c r="N185" s="863"/>
      <c r="O185" s="52">
        <f t="shared" si="34"/>
        <v>1</v>
      </c>
      <c r="P185" s="863"/>
      <c r="Q185" s="52">
        <f t="shared" si="35"/>
        <v>1</v>
      </c>
      <c r="R185" s="390">
        <f t="shared" si="36"/>
        <v>0</v>
      </c>
      <c r="S185" s="699">
        <f t="shared" si="27"/>
        <v>0</v>
      </c>
    </row>
    <row r="186" spans="1:19">
      <c r="A186" s="865"/>
      <c r="B186" s="134"/>
      <c r="C186" s="52">
        <f t="shared" si="28"/>
        <v>1</v>
      </c>
      <c r="D186" s="863"/>
      <c r="E186" s="52">
        <f t="shared" si="29"/>
        <v>1</v>
      </c>
      <c r="F186" s="863"/>
      <c r="G186" s="52">
        <f t="shared" si="30"/>
        <v>1</v>
      </c>
      <c r="H186" s="863"/>
      <c r="I186" s="52">
        <f t="shared" si="31"/>
        <v>1</v>
      </c>
      <c r="J186" s="863"/>
      <c r="K186" s="52">
        <f t="shared" si="32"/>
        <v>1</v>
      </c>
      <c r="L186" s="863"/>
      <c r="M186" s="52">
        <f t="shared" si="33"/>
        <v>1</v>
      </c>
      <c r="N186" s="863"/>
      <c r="O186" s="52">
        <f t="shared" si="34"/>
        <v>1</v>
      </c>
      <c r="P186" s="863"/>
      <c r="Q186" s="52">
        <f t="shared" si="35"/>
        <v>1</v>
      </c>
      <c r="R186" s="390">
        <f t="shared" si="36"/>
        <v>0</v>
      </c>
      <c r="S186" s="699">
        <f t="shared" si="27"/>
        <v>0</v>
      </c>
    </row>
    <row r="187" spans="1:19">
      <c r="A187" s="865"/>
      <c r="B187" s="134"/>
      <c r="C187" s="52">
        <f t="shared" si="28"/>
        <v>1</v>
      </c>
      <c r="D187" s="863"/>
      <c r="E187" s="52">
        <f t="shared" si="29"/>
        <v>1</v>
      </c>
      <c r="F187" s="863"/>
      <c r="G187" s="52">
        <f t="shared" si="30"/>
        <v>1</v>
      </c>
      <c r="H187" s="863"/>
      <c r="I187" s="52">
        <f t="shared" si="31"/>
        <v>1</v>
      </c>
      <c r="J187" s="863"/>
      <c r="K187" s="52">
        <f t="shared" si="32"/>
        <v>1</v>
      </c>
      <c r="L187" s="863"/>
      <c r="M187" s="52">
        <f t="shared" si="33"/>
        <v>1</v>
      </c>
      <c r="N187" s="863"/>
      <c r="O187" s="52">
        <f t="shared" si="34"/>
        <v>1</v>
      </c>
      <c r="P187" s="863"/>
      <c r="Q187" s="52">
        <f t="shared" si="35"/>
        <v>1</v>
      </c>
      <c r="R187" s="390">
        <f t="shared" si="36"/>
        <v>0</v>
      </c>
      <c r="S187" s="699">
        <f t="shared" ref="S187:S222" si="37">ROUND(R187*B187/10000,0)</f>
        <v>0</v>
      </c>
    </row>
    <row r="188" spans="1:19">
      <c r="A188" s="865"/>
      <c r="B188" s="134"/>
      <c r="C188" s="52">
        <f t="shared" si="28"/>
        <v>1</v>
      </c>
      <c r="D188" s="863"/>
      <c r="E188" s="52">
        <f t="shared" si="29"/>
        <v>1</v>
      </c>
      <c r="F188" s="863"/>
      <c r="G188" s="52">
        <f t="shared" si="30"/>
        <v>1</v>
      </c>
      <c r="H188" s="863"/>
      <c r="I188" s="52">
        <f t="shared" si="31"/>
        <v>1</v>
      </c>
      <c r="J188" s="863"/>
      <c r="K188" s="52">
        <f t="shared" si="32"/>
        <v>1</v>
      </c>
      <c r="L188" s="863"/>
      <c r="M188" s="52">
        <f t="shared" si="33"/>
        <v>1</v>
      </c>
      <c r="N188" s="863"/>
      <c r="O188" s="52">
        <f t="shared" si="34"/>
        <v>1</v>
      </c>
      <c r="P188" s="863"/>
      <c r="Q188" s="52">
        <f t="shared" si="35"/>
        <v>1</v>
      </c>
      <c r="R188" s="390">
        <f t="shared" si="36"/>
        <v>0</v>
      </c>
      <c r="S188" s="699">
        <f t="shared" si="37"/>
        <v>0</v>
      </c>
    </row>
    <row r="189" spans="1:19">
      <c r="A189" s="865"/>
      <c r="B189" s="134"/>
      <c r="C189" s="52">
        <f t="shared" si="28"/>
        <v>1</v>
      </c>
      <c r="D189" s="863"/>
      <c r="E189" s="52">
        <f t="shared" si="29"/>
        <v>1</v>
      </c>
      <c r="F189" s="863"/>
      <c r="G189" s="52">
        <f t="shared" si="30"/>
        <v>1</v>
      </c>
      <c r="H189" s="863"/>
      <c r="I189" s="52">
        <f t="shared" si="31"/>
        <v>1</v>
      </c>
      <c r="J189" s="863"/>
      <c r="K189" s="52">
        <f t="shared" si="32"/>
        <v>1</v>
      </c>
      <c r="L189" s="863"/>
      <c r="M189" s="52">
        <f t="shared" si="33"/>
        <v>1</v>
      </c>
      <c r="N189" s="863"/>
      <c r="O189" s="52">
        <f t="shared" si="34"/>
        <v>1</v>
      </c>
      <c r="P189" s="863"/>
      <c r="Q189" s="52">
        <f t="shared" si="35"/>
        <v>1</v>
      </c>
      <c r="R189" s="390">
        <f t="shared" si="36"/>
        <v>0</v>
      </c>
      <c r="S189" s="699">
        <f t="shared" si="37"/>
        <v>0</v>
      </c>
    </row>
    <row r="190" spans="1:19">
      <c r="A190" s="865"/>
      <c r="B190" s="134"/>
      <c r="C190" s="52">
        <f t="shared" si="28"/>
        <v>1</v>
      </c>
      <c r="D190" s="863"/>
      <c r="E190" s="52">
        <f t="shared" si="29"/>
        <v>1</v>
      </c>
      <c r="F190" s="863"/>
      <c r="G190" s="52">
        <f t="shared" si="30"/>
        <v>1</v>
      </c>
      <c r="H190" s="863"/>
      <c r="I190" s="52">
        <f t="shared" si="31"/>
        <v>1</v>
      </c>
      <c r="J190" s="863"/>
      <c r="K190" s="52">
        <f t="shared" si="32"/>
        <v>1</v>
      </c>
      <c r="L190" s="863"/>
      <c r="M190" s="52">
        <f t="shared" si="33"/>
        <v>1</v>
      </c>
      <c r="N190" s="863"/>
      <c r="O190" s="52">
        <f t="shared" si="34"/>
        <v>1</v>
      </c>
      <c r="P190" s="863"/>
      <c r="Q190" s="52">
        <f t="shared" si="35"/>
        <v>1</v>
      </c>
      <c r="R190" s="390">
        <f t="shared" si="36"/>
        <v>0</v>
      </c>
      <c r="S190" s="699">
        <f t="shared" si="37"/>
        <v>0</v>
      </c>
    </row>
    <row r="191" spans="1:19">
      <c r="A191" s="865"/>
      <c r="B191" s="134"/>
      <c r="C191" s="52">
        <f t="shared" si="28"/>
        <v>1</v>
      </c>
      <c r="D191" s="863"/>
      <c r="E191" s="52">
        <f t="shared" si="29"/>
        <v>1</v>
      </c>
      <c r="F191" s="863"/>
      <c r="G191" s="52">
        <f t="shared" si="30"/>
        <v>1</v>
      </c>
      <c r="H191" s="863"/>
      <c r="I191" s="52">
        <f t="shared" si="31"/>
        <v>1</v>
      </c>
      <c r="J191" s="863"/>
      <c r="K191" s="52">
        <f t="shared" si="32"/>
        <v>1</v>
      </c>
      <c r="L191" s="863"/>
      <c r="M191" s="52">
        <f t="shared" si="33"/>
        <v>1</v>
      </c>
      <c r="N191" s="863"/>
      <c r="O191" s="52">
        <f t="shared" si="34"/>
        <v>1</v>
      </c>
      <c r="P191" s="863"/>
      <c r="Q191" s="52">
        <f t="shared" si="35"/>
        <v>1</v>
      </c>
      <c r="R191" s="390">
        <f t="shared" si="36"/>
        <v>0</v>
      </c>
      <c r="S191" s="699">
        <f t="shared" si="37"/>
        <v>0</v>
      </c>
    </row>
    <row r="192" spans="1:19">
      <c r="A192" s="865"/>
      <c r="B192" s="134"/>
      <c r="C192" s="52">
        <f t="shared" si="28"/>
        <v>1</v>
      </c>
      <c r="D192" s="863"/>
      <c r="E192" s="52">
        <f t="shared" si="29"/>
        <v>1</v>
      </c>
      <c r="F192" s="863"/>
      <c r="G192" s="52">
        <f t="shared" si="30"/>
        <v>1</v>
      </c>
      <c r="H192" s="863"/>
      <c r="I192" s="52">
        <f t="shared" si="31"/>
        <v>1</v>
      </c>
      <c r="J192" s="863"/>
      <c r="K192" s="52">
        <f t="shared" si="32"/>
        <v>1</v>
      </c>
      <c r="L192" s="863"/>
      <c r="M192" s="52">
        <f t="shared" si="33"/>
        <v>1</v>
      </c>
      <c r="N192" s="863"/>
      <c r="O192" s="52">
        <f t="shared" si="34"/>
        <v>1</v>
      </c>
      <c r="P192" s="863"/>
      <c r="Q192" s="52">
        <f t="shared" si="35"/>
        <v>1</v>
      </c>
      <c r="R192" s="390">
        <f t="shared" si="36"/>
        <v>0</v>
      </c>
      <c r="S192" s="699">
        <f t="shared" si="37"/>
        <v>0</v>
      </c>
    </row>
    <row r="193" spans="1:19">
      <c r="A193" s="865"/>
      <c r="B193" s="134"/>
      <c r="C193" s="52">
        <f t="shared" si="28"/>
        <v>1</v>
      </c>
      <c r="D193" s="863"/>
      <c r="E193" s="52">
        <f t="shared" si="29"/>
        <v>1</v>
      </c>
      <c r="F193" s="863"/>
      <c r="G193" s="52">
        <f t="shared" si="30"/>
        <v>1</v>
      </c>
      <c r="H193" s="863"/>
      <c r="I193" s="52">
        <f t="shared" si="31"/>
        <v>1</v>
      </c>
      <c r="J193" s="863"/>
      <c r="K193" s="52">
        <f t="shared" si="32"/>
        <v>1</v>
      </c>
      <c r="L193" s="863"/>
      <c r="M193" s="52">
        <f t="shared" si="33"/>
        <v>1</v>
      </c>
      <c r="N193" s="863"/>
      <c r="O193" s="52">
        <f t="shared" si="34"/>
        <v>1</v>
      </c>
      <c r="P193" s="863"/>
      <c r="Q193" s="52">
        <f t="shared" si="35"/>
        <v>1</v>
      </c>
      <c r="R193" s="390">
        <f t="shared" si="36"/>
        <v>0</v>
      </c>
      <c r="S193" s="699">
        <f t="shared" si="37"/>
        <v>0</v>
      </c>
    </row>
    <row r="194" spans="1:19">
      <c r="A194" s="865"/>
      <c r="B194" s="134"/>
      <c r="C194" s="52">
        <f t="shared" si="28"/>
        <v>1</v>
      </c>
      <c r="D194" s="863"/>
      <c r="E194" s="52">
        <f t="shared" si="29"/>
        <v>1</v>
      </c>
      <c r="F194" s="863"/>
      <c r="G194" s="52">
        <f t="shared" si="30"/>
        <v>1</v>
      </c>
      <c r="H194" s="863"/>
      <c r="I194" s="52">
        <f t="shared" si="31"/>
        <v>1</v>
      </c>
      <c r="J194" s="863"/>
      <c r="K194" s="52">
        <f t="shared" si="32"/>
        <v>1</v>
      </c>
      <c r="L194" s="863"/>
      <c r="M194" s="52">
        <f t="shared" si="33"/>
        <v>1</v>
      </c>
      <c r="N194" s="863"/>
      <c r="O194" s="52">
        <f t="shared" si="34"/>
        <v>1</v>
      </c>
      <c r="P194" s="863"/>
      <c r="Q194" s="52">
        <f t="shared" si="35"/>
        <v>1</v>
      </c>
      <c r="R194" s="390">
        <f t="shared" si="36"/>
        <v>0</v>
      </c>
      <c r="S194" s="699">
        <f t="shared" si="37"/>
        <v>0</v>
      </c>
    </row>
    <row r="195" spans="1:19">
      <c r="A195" s="865"/>
      <c r="B195" s="134"/>
      <c r="C195" s="52">
        <f t="shared" si="28"/>
        <v>1</v>
      </c>
      <c r="D195" s="863"/>
      <c r="E195" s="52">
        <f t="shared" si="29"/>
        <v>1</v>
      </c>
      <c r="F195" s="863"/>
      <c r="G195" s="52">
        <f t="shared" si="30"/>
        <v>1</v>
      </c>
      <c r="H195" s="863"/>
      <c r="I195" s="52">
        <f t="shared" si="31"/>
        <v>1</v>
      </c>
      <c r="J195" s="863"/>
      <c r="K195" s="52">
        <f t="shared" si="32"/>
        <v>1</v>
      </c>
      <c r="L195" s="863"/>
      <c r="M195" s="52">
        <f t="shared" si="33"/>
        <v>1</v>
      </c>
      <c r="N195" s="863"/>
      <c r="O195" s="52">
        <f t="shared" si="34"/>
        <v>1</v>
      </c>
      <c r="P195" s="863"/>
      <c r="Q195" s="52">
        <f t="shared" si="35"/>
        <v>1</v>
      </c>
      <c r="R195" s="390">
        <f t="shared" si="36"/>
        <v>0</v>
      </c>
      <c r="S195" s="699">
        <f t="shared" si="37"/>
        <v>0</v>
      </c>
    </row>
    <row r="196" spans="1:19">
      <c r="A196" s="865"/>
      <c r="B196" s="134"/>
      <c r="C196" s="52">
        <f t="shared" si="28"/>
        <v>1</v>
      </c>
      <c r="D196" s="863"/>
      <c r="E196" s="52">
        <f t="shared" si="29"/>
        <v>1</v>
      </c>
      <c r="F196" s="863"/>
      <c r="G196" s="52">
        <f t="shared" si="30"/>
        <v>1</v>
      </c>
      <c r="H196" s="863"/>
      <c r="I196" s="52">
        <f t="shared" si="31"/>
        <v>1</v>
      </c>
      <c r="J196" s="863"/>
      <c r="K196" s="52">
        <f t="shared" si="32"/>
        <v>1</v>
      </c>
      <c r="L196" s="863"/>
      <c r="M196" s="52">
        <f t="shared" si="33"/>
        <v>1</v>
      </c>
      <c r="N196" s="863"/>
      <c r="O196" s="52">
        <f t="shared" si="34"/>
        <v>1</v>
      </c>
      <c r="P196" s="863"/>
      <c r="Q196" s="52">
        <f t="shared" si="35"/>
        <v>1</v>
      </c>
      <c r="R196" s="390">
        <f t="shared" si="36"/>
        <v>0</v>
      </c>
      <c r="S196" s="699">
        <f t="shared" si="37"/>
        <v>0</v>
      </c>
    </row>
    <row r="197" spans="1:19">
      <c r="A197" s="865"/>
      <c r="B197" s="134"/>
      <c r="C197" s="52">
        <f t="shared" si="28"/>
        <v>1</v>
      </c>
      <c r="D197" s="863"/>
      <c r="E197" s="52">
        <f t="shared" si="29"/>
        <v>1</v>
      </c>
      <c r="F197" s="863"/>
      <c r="G197" s="52">
        <f t="shared" si="30"/>
        <v>1</v>
      </c>
      <c r="H197" s="863"/>
      <c r="I197" s="52">
        <f t="shared" si="31"/>
        <v>1</v>
      </c>
      <c r="J197" s="863"/>
      <c r="K197" s="52">
        <f t="shared" si="32"/>
        <v>1</v>
      </c>
      <c r="L197" s="863"/>
      <c r="M197" s="52">
        <f t="shared" si="33"/>
        <v>1</v>
      </c>
      <c r="N197" s="863"/>
      <c r="O197" s="52">
        <f t="shared" si="34"/>
        <v>1</v>
      </c>
      <c r="P197" s="863"/>
      <c r="Q197" s="52">
        <f t="shared" si="35"/>
        <v>1</v>
      </c>
      <c r="R197" s="390">
        <f t="shared" si="36"/>
        <v>0</v>
      </c>
      <c r="S197" s="699">
        <f t="shared" si="37"/>
        <v>0</v>
      </c>
    </row>
    <row r="198" spans="1:19">
      <c r="A198" s="865"/>
      <c r="B198" s="134"/>
      <c r="C198" s="52">
        <f t="shared" si="28"/>
        <v>1</v>
      </c>
      <c r="D198" s="863"/>
      <c r="E198" s="52">
        <f t="shared" si="29"/>
        <v>1</v>
      </c>
      <c r="F198" s="863"/>
      <c r="G198" s="52">
        <f t="shared" si="30"/>
        <v>1</v>
      </c>
      <c r="H198" s="863"/>
      <c r="I198" s="52">
        <f t="shared" si="31"/>
        <v>1</v>
      </c>
      <c r="J198" s="863"/>
      <c r="K198" s="52">
        <f t="shared" si="32"/>
        <v>1</v>
      </c>
      <c r="L198" s="863"/>
      <c r="M198" s="52">
        <f t="shared" si="33"/>
        <v>1</v>
      </c>
      <c r="N198" s="863"/>
      <c r="O198" s="52">
        <f t="shared" si="34"/>
        <v>1</v>
      </c>
      <c r="P198" s="863"/>
      <c r="Q198" s="52">
        <f t="shared" si="35"/>
        <v>1</v>
      </c>
      <c r="R198" s="390">
        <f t="shared" si="36"/>
        <v>0</v>
      </c>
      <c r="S198" s="699">
        <f t="shared" si="37"/>
        <v>0</v>
      </c>
    </row>
    <row r="199" spans="1:19">
      <c r="A199" s="865"/>
      <c r="B199" s="134"/>
      <c r="C199" s="52">
        <f t="shared" si="28"/>
        <v>1</v>
      </c>
      <c r="D199" s="863"/>
      <c r="E199" s="52">
        <f t="shared" si="29"/>
        <v>1</v>
      </c>
      <c r="F199" s="863"/>
      <c r="G199" s="52">
        <f t="shared" si="30"/>
        <v>1</v>
      </c>
      <c r="H199" s="863"/>
      <c r="I199" s="52">
        <f t="shared" si="31"/>
        <v>1</v>
      </c>
      <c r="J199" s="863"/>
      <c r="K199" s="52">
        <f t="shared" si="32"/>
        <v>1</v>
      </c>
      <c r="L199" s="863"/>
      <c r="M199" s="52">
        <f t="shared" si="33"/>
        <v>1</v>
      </c>
      <c r="N199" s="863"/>
      <c r="O199" s="52">
        <f t="shared" si="34"/>
        <v>1</v>
      </c>
      <c r="P199" s="863"/>
      <c r="Q199" s="52">
        <f t="shared" si="35"/>
        <v>1</v>
      </c>
      <c r="R199" s="390">
        <f t="shared" si="36"/>
        <v>0</v>
      </c>
      <c r="S199" s="699">
        <f t="shared" si="37"/>
        <v>0</v>
      </c>
    </row>
    <row r="200" spans="1:19">
      <c r="A200" s="865"/>
      <c r="B200" s="134"/>
      <c r="C200" s="52">
        <f t="shared" si="28"/>
        <v>1</v>
      </c>
      <c r="D200" s="863"/>
      <c r="E200" s="52">
        <f t="shared" si="29"/>
        <v>1</v>
      </c>
      <c r="F200" s="863"/>
      <c r="G200" s="52">
        <f t="shared" si="30"/>
        <v>1</v>
      </c>
      <c r="H200" s="863"/>
      <c r="I200" s="52">
        <f t="shared" si="31"/>
        <v>1</v>
      </c>
      <c r="J200" s="863"/>
      <c r="K200" s="52">
        <f t="shared" si="32"/>
        <v>1</v>
      </c>
      <c r="L200" s="863"/>
      <c r="M200" s="52">
        <f t="shared" si="33"/>
        <v>1</v>
      </c>
      <c r="N200" s="863"/>
      <c r="O200" s="52">
        <f t="shared" si="34"/>
        <v>1</v>
      </c>
      <c r="P200" s="863"/>
      <c r="Q200" s="52">
        <f t="shared" si="35"/>
        <v>1</v>
      </c>
      <c r="R200" s="390">
        <f t="shared" si="36"/>
        <v>0</v>
      </c>
      <c r="S200" s="699">
        <f t="shared" si="37"/>
        <v>0</v>
      </c>
    </row>
    <row r="201" spans="1:19">
      <c r="A201" s="865"/>
      <c r="B201" s="134"/>
      <c r="C201" s="52">
        <f t="shared" si="28"/>
        <v>1</v>
      </c>
      <c r="D201" s="863"/>
      <c r="E201" s="52">
        <f t="shared" si="29"/>
        <v>1</v>
      </c>
      <c r="F201" s="863"/>
      <c r="G201" s="52">
        <f t="shared" si="30"/>
        <v>1</v>
      </c>
      <c r="H201" s="863"/>
      <c r="I201" s="52">
        <f t="shared" si="31"/>
        <v>1</v>
      </c>
      <c r="J201" s="863"/>
      <c r="K201" s="52">
        <f t="shared" si="32"/>
        <v>1</v>
      </c>
      <c r="L201" s="863"/>
      <c r="M201" s="52">
        <f t="shared" si="33"/>
        <v>1</v>
      </c>
      <c r="N201" s="863"/>
      <c r="O201" s="52">
        <f t="shared" si="34"/>
        <v>1</v>
      </c>
      <c r="P201" s="863"/>
      <c r="Q201" s="52">
        <f t="shared" si="35"/>
        <v>1</v>
      </c>
      <c r="R201" s="390">
        <f t="shared" si="36"/>
        <v>0</v>
      </c>
      <c r="S201" s="699">
        <f t="shared" si="37"/>
        <v>0</v>
      </c>
    </row>
    <row r="202" spans="1:19">
      <c r="A202" s="865"/>
      <c r="B202" s="134"/>
      <c r="C202" s="52">
        <f t="shared" si="28"/>
        <v>1</v>
      </c>
      <c r="D202" s="863"/>
      <c r="E202" s="52">
        <f t="shared" si="29"/>
        <v>1</v>
      </c>
      <c r="F202" s="863"/>
      <c r="G202" s="52">
        <f t="shared" si="30"/>
        <v>1</v>
      </c>
      <c r="H202" s="863"/>
      <c r="I202" s="52">
        <f t="shared" si="31"/>
        <v>1</v>
      </c>
      <c r="J202" s="863"/>
      <c r="K202" s="52">
        <f t="shared" si="32"/>
        <v>1</v>
      </c>
      <c r="L202" s="863"/>
      <c r="M202" s="52">
        <f t="shared" si="33"/>
        <v>1</v>
      </c>
      <c r="N202" s="863"/>
      <c r="O202" s="52">
        <f t="shared" si="34"/>
        <v>1</v>
      </c>
      <c r="P202" s="863"/>
      <c r="Q202" s="52">
        <f t="shared" si="35"/>
        <v>1</v>
      </c>
      <c r="R202" s="390">
        <f t="shared" si="36"/>
        <v>0</v>
      </c>
      <c r="S202" s="699">
        <f t="shared" si="37"/>
        <v>0</v>
      </c>
    </row>
    <row r="203" spans="1:19">
      <c r="A203" s="865"/>
      <c r="B203" s="134"/>
      <c r="C203" s="52">
        <f t="shared" si="28"/>
        <v>1</v>
      </c>
      <c r="D203" s="863"/>
      <c r="E203" s="52">
        <f t="shared" si="29"/>
        <v>1</v>
      </c>
      <c r="F203" s="863"/>
      <c r="G203" s="52">
        <f t="shared" si="30"/>
        <v>1</v>
      </c>
      <c r="H203" s="863"/>
      <c r="I203" s="52">
        <f t="shared" si="31"/>
        <v>1</v>
      </c>
      <c r="J203" s="863"/>
      <c r="K203" s="52">
        <f t="shared" si="32"/>
        <v>1</v>
      </c>
      <c r="L203" s="863"/>
      <c r="M203" s="52">
        <f t="shared" si="33"/>
        <v>1</v>
      </c>
      <c r="N203" s="863"/>
      <c r="O203" s="52">
        <f t="shared" si="34"/>
        <v>1</v>
      </c>
      <c r="P203" s="863"/>
      <c r="Q203" s="52">
        <f t="shared" si="35"/>
        <v>1</v>
      </c>
      <c r="R203" s="390">
        <f t="shared" si="36"/>
        <v>0</v>
      </c>
      <c r="S203" s="699">
        <f t="shared" si="37"/>
        <v>0</v>
      </c>
    </row>
    <row r="204" spans="1:19">
      <c r="A204" s="865"/>
      <c r="B204" s="134"/>
      <c r="C204" s="52">
        <f t="shared" si="28"/>
        <v>1</v>
      </c>
      <c r="D204" s="863"/>
      <c r="E204" s="52">
        <f t="shared" si="29"/>
        <v>1</v>
      </c>
      <c r="F204" s="863"/>
      <c r="G204" s="52">
        <f t="shared" si="30"/>
        <v>1</v>
      </c>
      <c r="H204" s="863"/>
      <c r="I204" s="52">
        <f t="shared" si="31"/>
        <v>1</v>
      </c>
      <c r="J204" s="863"/>
      <c r="K204" s="52">
        <f t="shared" si="32"/>
        <v>1</v>
      </c>
      <c r="L204" s="863"/>
      <c r="M204" s="52">
        <f t="shared" si="33"/>
        <v>1</v>
      </c>
      <c r="N204" s="863"/>
      <c r="O204" s="52">
        <f t="shared" si="34"/>
        <v>1</v>
      </c>
      <c r="P204" s="863"/>
      <c r="Q204" s="52">
        <f t="shared" si="35"/>
        <v>1</v>
      </c>
      <c r="R204" s="390">
        <f t="shared" si="36"/>
        <v>0</v>
      </c>
      <c r="S204" s="699">
        <f t="shared" si="37"/>
        <v>0</v>
      </c>
    </row>
    <row r="205" spans="1:19">
      <c r="A205" s="865"/>
      <c r="B205" s="134"/>
      <c r="C205" s="52">
        <f t="shared" si="28"/>
        <v>1</v>
      </c>
      <c r="D205" s="863"/>
      <c r="E205" s="52">
        <f t="shared" si="29"/>
        <v>1</v>
      </c>
      <c r="F205" s="863"/>
      <c r="G205" s="52">
        <f t="shared" si="30"/>
        <v>1</v>
      </c>
      <c r="H205" s="863"/>
      <c r="I205" s="52">
        <f t="shared" si="31"/>
        <v>1</v>
      </c>
      <c r="J205" s="863"/>
      <c r="K205" s="52">
        <f t="shared" si="32"/>
        <v>1</v>
      </c>
      <c r="L205" s="863"/>
      <c r="M205" s="52">
        <f t="shared" si="33"/>
        <v>1</v>
      </c>
      <c r="N205" s="863"/>
      <c r="O205" s="52">
        <f t="shared" si="34"/>
        <v>1</v>
      </c>
      <c r="P205" s="863"/>
      <c r="Q205" s="52">
        <f t="shared" si="35"/>
        <v>1</v>
      </c>
      <c r="R205" s="390">
        <f t="shared" si="36"/>
        <v>0</v>
      </c>
      <c r="S205" s="699">
        <f t="shared" si="37"/>
        <v>0</v>
      </c>
    </row>
    <row r="206" spans="1:19">
      <c r="A206" s="865"/>
      <c r="B206" s="134"/>
      <c r="C206" s="52">
        <f t="shared" si="28"/>
        <v>1</v>
      </c>
      <c r="D206" s="863"/>
      <c r="E206" s="52">
        <f t="shared" si="29"/>
        <v>1</v>
      </c>
      <c r="F206" s="863"/>
      <c r="G206" s="52">
        <f t="shared" si="30"/>
        <v>1</v>
      </c>
      <c r="H206" s="863"/>
      <c r="I206" s="52">
        <f t="shared" si="31"/>
        <v>1</v>
      </c>
      <c r="J206" s="863"/>
      <c r="K206" s="52">
        <f t="shared" si="32"/>
        <v>1</v>
      </c>
      <c r="L206" s="863"/>
      <c r="M206" s="52">
        <f t="shared" si="33"/>
        <v>1</v>
      </c>
      <c r="N206" s="863"/>
      <c r="O206" s="52">
        <f t="shared" si="34"/>
        <v>1</v>
      </c>
      <c r="P206" s="863"/>
      <c r="Q206" s="52">
        <f t="shared" si="35"/>
        <v>1</v>
      </c>
      <c r="R206" s="390">
        <f t="shared" si="36"/>
        <v>0</v>
      </c>
      <c r="S206" s="699">
        <f t="shared" si="37"/>
        <v>0</v>
      </c>
    </row>
    <row r="207" spans="1:19">
      <c r="A207" s="865"/>
      <c r="B207" s="134"/>
      <c r="C207" s="52">
        <f t="shared" si="28"/>
        <v>1</v>
      </c>
      <c r="D207" s="863"/>
      <c r="E207" s="52">
        <f t="shared" si="29"/>
        <v>1</v>
      </c>
      <c r="F207" s="863"/>
      <c r="G207" s="52">
        <f t="shared" si="30"/>
        <v>1</v>
      </c>
      <c r="H207" s="863"/>
      <c r="I207" s="52">
        <f t="shared" si="31"/>
        <v>1</v>
      </c>
      <c r="J207" s="863"/>
      <c r="K207" s="52">
        <f t="shared" si="32"/>
        <v>1</v>
      </c>
      <c r="L207" s="863"/>
      <c r="M207" s="52">
        <f t="shared" si="33"/>
        <v>1</v>
      </c>
      <c r="N207" s="863"/>
      <c r="O207" s="52">
        <f t="shared" si="34"/>
        <v>1</v>
      </c>
      <c r="P207" s="863"/>
      <c r="Q207" s="52">
        <f t="shared" si="35"/>
        <v>1</v>
      </c>
      <c r="R207" s="390">
        <f t="shared" si="36"/>
        <v>0</v>
      </c>
      <c r="S207" s="699">
        <f t="shared" si="37"/>
        <v>0</v>
      </c>
    </row>
    <row r="208" spans="1:19">
      <c r="A208" s="865"/>
      <c r="B208" s="134"/>
      <c r="C208" s="52">
        <f t="shared" si="28"/>
        <v>1</v>
      </c>
      <c r="D208" s="863"/>
      <c r="E208" s="52">
        <f t="shared" si="29"/>
        <v>1</v>
      </c>
      <c r="F208" s="863"/>
      <c r="G208" s="52">
        <f t="shared" si="30"/>
        <v>1</v>
      </c>
      <c r="H208" s="863"/>
      <c r="I208" s="52">
        <f t="shared" si="31"/>
        <v>1</v>
      </c>
      <c r="J208" s="863"/>
      <c r="K208" s="52">
        <f t="shared" si="32"/>
        <v>1</v>
      </c>
      <c r="L208" s="863"/>
      <c r="M208" s="52">
        <f t="shared" si="33"/>
        <v>1</v>
      </c>
      <c r="N208" s="863"/>
      <c r="O208" s="52">
        <f t="shared" si="34"/>
        <v>1</v>
      </c>
      <c r="P208" s="863"/>
      <c r="Q208" s="52">
        <f t="shared" si="35"/>
        <v>1</v>
      </c>
      <c r="R208" s="390">
        <f t="shared" si="36"/>
        <v>0</v>
      </c>
      <c r="S208" s="699">
        <f t="shared" si="37"/>
        <v>0</v>
      </c>
    </row>
    <row r="209" spans="1:19">
      <c r="A209" s="865"/>
      <c r="B209" s="134"/>
      <c r="C209" s="52">
        <f t="shared" si="28"/>
        <v>1</v>
      </c>
      <c r="D209" s="863"/>
      <c r="E209" s="52">
        <f t="shared" si="29"/>
        <v>1</v>
      </c>
      <c r="F209" s="863"/>
      <c r="G209" s="52">
        <f t="shared" si="30"/>
        <v>1</v>
      </c>
      <c r="H209" s="863"/>
      <c r="I209" s="52">
        <f t="shared" si="31"/>
        <v>1</v>
      </c>
      <c r="J209" s="863"/>
      <c r="K209" s="52">
        <f t="shared" si="32"/>
        <v>1</v>
      </c>
      <c r="L209" s="863"/>
      <c r="M209" s="52">
        <f t="shared" si="33"/>
        <v>1</v>
      </c>
      <c r="N209" s="863"/>
      <c r="O209" s="52">
        <f t="shared" si="34"/>
        <v>1</v>
      </c>
      <c r="P209" s="863"/>
      <c r="Q209" s="52">
        <f t="shared" si="35"/>
        <v>1</v>
      </c>
      <c r="R209" s="390">
        <f t="shared" si="36"/>
        <v>0</v>
      </c>
      <c r="S209" s="699">
        <f t="shared" si="37"/>
        <v>0</v>
      </c>
    </row>
    <row r="210" spans="1:19">
      <c r="A210" s="865"/>
      <c r="B210" s="134"/>
      <c r="C210" s="52">
        <f t="shared" si="28"/>
        <v>1</v>
      </c>
      <c r="D210" s="863"/>
      <c r="E210" s="52">
        <f t="shared" si="29"/>
        <v>1</v>
      </c>
      <c r="F210" s="863"/>
      <c r="G210" s="52">
        <f t="shared" si="30"/>
        <v>1</v>
      </c>
      <c r="H210" s="863"/>
      <c r="I210" s="52">
        <f t="shared" si="31"/>
        <v>1</v>
      </c>
      <c r="J210" s="863"/>
      <c r="K210" s="52">
        <f t="shared" si="32"/>
        <v>1</v>
      </c>
      <c r="L210" s="863"/>
      <c r="M210" s="52">
        <f t="shared" si="33"/>
        <v>1</v>
      </c>
      <c r="N210" s="863"/>
      <c r="O210" s="52">
        <f t="shared" si="34"/>
        <v>1</v>
      </c>
      <c r="P210" s="863"/>
      <c r="Q210" s="52">
        <f t="shared" si="35"/>
        <v>1</v>
      </c>
      <c r="R210" s="390">
        <f t="shared" si="36"/>
        <v>0</v>
      </c>
      <c r="S210" s="699">
        <f t="shared" si="37"/>
        <v>0</v>
      </c>
    </row>
    <row r="211" spans="1:19">
      <c r="A211" s="865"/>
      <c r="B211" s="134"/>
      <c r="C211" s="52">
        <f t="shared" si="28"/>
        <v>1</v>
      </c>
      <c r="D211" s="863"/>
      <c r="E211" s="52">
        <f t="shared" si="29"/>
        <v>1</v>
      </c>
      <c r="F211" s="863"/>
      <c r="G211" s="52">
        <f t="shared" si="30"/>
        <v>1</v>
      </c>
      <c r="H211" s="863"/>
      <c r="I211" s="52">
        <f t="shared" si="31"/>
        <v>1</v>
      </c>
      <c r="J211" s="863"/>
      <c r="K211" s="52">
        <f t="shared" si="32"/>
        <v>1</v>
      </c>
      <c r="L211" s="863"/>
      <c r="M211" s="52">
        <f t="shared" si="33"/>
        <v>1</v>
      </c>
      <c r="N211" s="863"/>
      <c r="O211" s="52">
        <f t="shared" si="34"/>
        <v>1</v>
      </c>
      <c r="P211" s="863"/>
      <c r="Q211" s="52">
        <f t="shared" si="35"/>
        <v>1</v>
      </c>
      <c r="R211" s="390">
        <f t="shared" si="36"/>
        <v>0</v>
      </c>
      <c r="S211" s="699">
        <f t="shared" si="37"/>
        <v>0</v>
      </c>
    </row>
    <row r="212" spans="1:19">
      <c r="A212" s="865"/>
      <c r="B212" s="134"/>
      <c r="C212" s="52">
        <f t="shared" si="28"/>
        <v>1</v>
      </c>
      <c r="D212" s="863"/>
      <c r="E212" s="52">
        <f t="shared" si="29"/>
        <v>1</v>
      </c>
      <c r="F212" s="863"/>
      <c r="G212" s="52">
        <f t="shared" si="30"/>
        <v>1</v>
      </c>
      <c r="H212" s="863"/>
      <c r="I212" s="52">
        <f t="shared" si="31"/>
        <v>1</v>
      </c>
      <c r="J212" s="863"/>
      <c r="K212" s="52">
        <f t="shared" si="32"/>
        <v>1</v>
      </c>
      <c r="L212" s="863"/>
      <c r="M212" s="52">
        <f t="shared" si="33"/>
        <v>1</v>
      </c>
      <c r="N212" s="863"/>
      <c r="O212" s="52">
        <f t="shared" si="34"/>
        <v>1</v>
      </c>
      <c r="P212" s="863"/>
      <c r="Q212" s="52">
        <f t="shared" si="35"/>
        <v>1</v>
      </c>
      <c r="R212" s="390">
        <f t="shared" si="36"/>
        <v>0</v>
      </c>
      <c r="S212" s="699">
        <f t="shared" si="37"/>
        <v>0</v>
      </c>
    </row>
    <row r="213" spans="1:19">
      <c r="A213" s="865"/>
      <c r="B213" s="134"/>
      <c r="C213" s="52">
        <f t="shared" si="28"/>
        <v>1</v>
      </c>
      <c r="D213" s="863"/>
      <c r="E213" s="52">
        <f t="shared" si="29"/>
        <v>1</v>
      </c>
      <c r="F213" s="863"/>
      <c r="G213" s="52">
        <f t="shared" si="30"/>
        <v>1</v>
      </c>
      <c r="H213" s="863"/>
      <c r="I213" s="52">
        <f t="shared" si="31"/>
        <v>1</v>
      </c>
      <c r="J213" s="863"/>
      <c r="K213" s="52">
        <f t="shared" si="32"/>
        <v>1</v>
      </c>
      <c r="L213" s="863"/>
      <c r="M213" s="52">
        <f t="shared" si="33"/>
        <v>1</v>
      </c>
      <c r="N213" s="863"/>
      <c r="O213" s="52">
        <f t="shared" si="34"/>
        <v>1</v>
      </c>
      <c r="P213" s="863"/>
      <c r="Q213" s="52">
        <f t="shared" si="35"/>
        <v>1</v>
      </c>
      <c r="R213" s="390">
        <f t="shared" si="36"/>
        <v>0</v>
      </c>
      <c r="S213" s="699">
        <f t="shared" si="37"/>
        <v>0</v>
      </c>
    </row>
    <row r="214" spans="1:19">
      <c r="A214" s="865"/>
      <c r="B214" s="134"/>
      <c r="C214" s="52">
        <f t="shared" si="28"/>
        <v>1</v>
      </c>
      <c r="D214" s="863"/>
      <c r="E214" s="52">
        <f t="shared" si="29"/>
        <v>1</v>
      </c>
      <c r="F214" s="863"/>
      <c r="G214" s="52">
        <f t="shared" si="30"/>
        <v>1</v>
      </c>
      <c r="H214" s="863"/>
      <c r="I214" s="52">
        <f t="shared" si="31"/>
        <v>1</v>
      </c>
      <c r="J214" s="863"/>
      <c r="K214" s="52">
        <f t="shared" si="32"/>
        <v>1</v>
      </c>
      <c r="L214" s="863"/>
      <c r="M214" s="52">
        <f t="shared" si="33"/>
        <v>1</v>
      </c>
      <c r="N214" s="863"/>
      <c r="O214" s="52">
        <f t="shared" si="34"/>
        <v>1</v>
      </c>
      <c r="P214" s="863"/>
      <c r="Q214" s="52">
        <f t="shared" si="35"/>
        <v>1</v>
      </c>
      <c r="R214" s="390">
        <f t="shared" si="36"/>
        <v>0</v>
      </c>
      <c r="S214" s="699">
        <f t="shared" si="37"/>
        <v>0</v>
      </c>
    </row>
    <row r="215" spans="1:19">
      <c r="A215" s="865"/>
      <c r="B215" s="134"/>
      <c r="C215" s="52">
        <f t="shared" si="28"/>
        <v>1</v>
      </c>
      <c r="D215" s="863"/>
      <c r="E215" s="52">
        <f t="shared" si="29"/>
        <v>1</v>
      </c>
      <c r="F215" s="863"/>
      <c r="G215" s="52">
        <f t="shared" si="30"/>
        <v>1</v>
      </c>
      <c r="H215" s="863"/>
      <c r="I215" s="52">
        <f t="shared" si="31"/>
        <v>1</v>
      </c>
      <c r="J215" s="863"/>
      <c r="K215" s="52">
        <f t="shared" si="32"/>
        <v>1</v>
      </c>
      <c r="L215" s="863"/>
      <c r="M215" s="52">
        <f t="shared" si="33"/>
        <v>1</v>
      </c>
      <c r="N215" s="863"/>
      <c r="O215" s="52">
        <f t="shared" si="34"/>
        <v>1</v>
      </c>
      <c r="P215" s="863"/>
      <c r="Q215" s="52">
        <f t="shared" si="35"/>
        <v>1</v>
      </c>
      <c r="R215" s="390">
        <f t="shared" si="36"/>
        <v>0</v>
      </c>
      <c r="S215" s="699">
        <f t="shared" si="37"/>
        <v>0</v>
      </c>
    </row>
    <row r="216" spans="1:19">
      <c r="A216" s="865"/>
      <c r="B216" s="134"/>
      <c r="C216" s="52">
        <f t="shared" si="28"/>
        <v>1</v>
      </c>
      <c r="D216" s="863"/>
      <c r="E216" s="52">
        <f t="shared" si="29"/>
        <v>1</v>
      </c>
      <c r="F216" s="863"/>
      <c r="G216" s="52">
        <f t="shared" si="30"/>
        <v>1</v>
      </c>
      <c r="H216" s="863"/>
      <c r="I216" s="52">
        <f t="shared" si="31"/>
        <v>1</v>
      </c>
      <c r="J216" s="863"/>
      <c r="K216" s="52">
        <f t="shared" si="32"/>
        <v>1</v>
      </c>
      <c r="L216" s="863"/>
      <c r="M216" s="52">
        <f t="shared" si="33"/>
        <v>1</v>
      </c>
      <c r="N216" s="863"/>
      <c r="O216" s="52">
        <f t="shared" si="34"/>
        <v>1</v>
      </c>
      <c r="P216" s="863"/>
      <c r="Q216" s="52">
        <f t="shared" si="35"/>
        <v>1</v>
      </c>
      <c r="R216" s="390">
        <f t="shared" si="36"/>
        <v>0</v>
      </c>
      <c r="S216" s="699">
        <f t="shared" si="37"/>
        <v>0</v>
      </c>
    </row>
    <row r="217" spans="1:19">
      <c r="A217" s="865"/>
      <c r="B217" s="134"/>
      <c r="C217" s="52">
        <f t="shared" si="28"/>
        <v>1</v>
      </c>
      <c r="D217" s="863"/>
      <c r="E217" s="52">
        <f t="shared" si="29"/>
        <v>1</v>
      </c>
      <c r="F217" s="863"/>
      <c r="G217" s="52">
        <f t="shared" si="30"/>
        <v>1</v>
      </c>
      <c r="H217" s="863"/>
      <c r="I217" s="52">
        <f t="shared" si="31"/>
        <v>1</v>
      </c>
      <c r="J217" s="863"/>
      <c r="K217" s="52">
        <f t="shared" si="32"/>
        <v>1</v>
      </c>
      <c r="L217" s="863"/>
      <c r="M217" s="52">
        <f t="shared" si="33"/>
        <v>1</v>
      </c>
      <c r="N217" s="863"/>
      <c r="O217" s="52">
        <f t="shared" si="34"/>
        <v>1</v>
      </c>
      <c r="P217" s="863"/>
      <c r="Q217" s="52">
        <f t="shared" si="35"/>
        <v>1</v>
      </c>
      <c r="R217" s="390">
        <f t="shared" si="36"/>
        <v>0</v>
      </c>
      <c r="S217" s="699">
        <f t="shared" si="37"/>
        <v>0</v>
      </c>
    </row>
    <row r="218" spans="1:19">
      <c r="A218" s="865"/>
      <c r="B218" s="134"/>
      <c r="C218" s="52">
        <f t="shared" ref="C218:C281" si="38">IF(B218="",1,(LOOKUP(B218,$3:$3,$4:$4)-LOOKUP($B$24,$3:$3,$4:$4)+100)/100)</f>
        <v>1</v>
      </c>
      <c r="D218" s="863"/>
      <c r="E218" s="52">
        <f t="shared" ref="E218:E281" si="39">(SUMIF($5:$5,D218,$6:$6)-SUMIF($5:$5,$D$24,$6:$6)+100)/100</f>
        <v>1</v>
      </c>
      <c r="F218" s="863"/>
      <c r="G218" s="52">
        <f t="shared" ref="G218:G281" si="40">(SUMIF($7:$7,F218,$8:$8)-SUMIF($7:$7,$F$24,$8:$8)+100)/100</f>
        <v>1</v>
      </c>
      <c r="H218" s="863"/>
      <c r="I218" s="52">
        <f t="shared" ref="I218:I281" si="41">(SUMIF($9:$9,H218,$10:$10)-SUMIF($9:$9,$H$24,$10:$10)+100)/100</f>
        <v>1</v>
      </c>
      <c r="J218" s="863"/>
      <c r="K218" s="52">
        <f t="shared" ref="K218:K281" si="42">(SUMIF($11:$11,J218,$12:$12)-SUMIF($11:$11,$J$24,$12:$12)+100)/100</f>
        <v>1</v>
      </c>
      <c r="L218" s="863"/>
      <c r="M218" s="52">
        <f t="shared" ref="M218:M281" si="43">(SUMIF($13:$13,L218,$14:$14)-SUMIF($13:$13,$L$24,$14:$14)+100)/100</f>
        <v>1</v>
      </c>
      <c r="N218" s="863"/>
      <c r="O218" s="52">
        <f t="shared" ref="O218:O281" si="44">(SUMIF($15:$15,N218,$16:$16)-SUMIF($15:$15,$N$24,$16:$16)+100)/100</f>
        <v>1</v>
      </c>
      <c r="P218" s="863"/>
      <c r="Q218" s="52">
        <f t="shared" ref="Q218:Q281" si="45">(SUMIF($17:$17,P218,$18:$18)-SUMIF($17:$17,$P$24,$18:$18)+100)/100</f>
        <v>1</v>
      </c>
      <c r="R218" s="390">
        <f t="shared" ref="R218:R281" si="46">IF(B218="",0,ROUND($R$24*C218*E218*G218*I218*K218*M218*O218*Q218,0))</f>
        <v>0</v>
      </c>
      <c r="S218" s="699">
        <f t="shared" si="37"/>
        <v>0</v>
      </c>
    </row>
    <row r="219" spans="1:19">
      <c r="A219" s="865"/>
      <c r="B219" s="134"/>
      <c r="C219" s="52">
        <f t="shared" si="38"/>
        <v>1</v>
      </c>
      <c r="D219" s="863"/>
      <c r="E219" s="52">
        <f t="shared" si="39"/>
        <v>1</v>
      </c>
      <c r="F219" s="863"/>
      <c r="G219" s="52">
        <f t="shared" si="40"/>
        <v>1</v>
      </c>
      <c r="H219" s="863"/>
      <c r="I219" s="52">
        <f t="shared" si="41"/>
        <v>1</v>
      </c>
      <c r="J219" s="863"/>
      <c r="K219" s="52">
        <f t="shared" si="42"/>
        <v>1</v>
      </c>
      <c r="L219" s="863"/>
      <c r="M219" s="52">
        <f t="shared" si="43"/>
        <v>1</v>
      </c>
      <c r="N219" s="863"/>
      <c r="O219" s="52">
        <f t="shared" si="44"/>
        <v>1</v>
      </c>
      <c r="P219" s="863"/>
      <c r="Q219" s="52">
        <f t="shared" si="45"/>
        <v>1</v>
      </c>
      <c r="R219" s="390">
        <f t="shared" si="46"/>
        <v>0</v>
      </c>
      <c r="S219" s="699">
        <f t="shared" si="37"/>
        <v>0</v>
      </c>
    </row>
    <row r="220" spans="1:19">
      <c r="A220" s="865"/>
      <c r="B220" s="134"/>
      <c r="C220" s="52">
        <f t="shared" si="38"/>
        <v>1</v>
      </c>
      <c r="D220" s="863"/>
      <c r="E220" s="52">
        <f t="shared" si="39"/>
        <v>1</v>
      </c>
      <c r="F220" s="863"/>
      <c r="G220" s="52">
        <f t="shared" si="40"/>
        <v>1</v>
      </c>
      <c r="H220" s="863"/>
      <c r="I220" s="52">
        <f t="shared" si="41"/>
        <v>1</v>
      </c>
      <c r="J220" s="863"/>
      <c r="K220" s="52">
        <f t="shared" si="42"/>
        <v>1</v>
      </c>
      <c r="L220" s="863"/>
      <c r="M220" s="52">
        <f t="shared" si="43"/>
        <v>1</v>
      </c>
      <c r="N220" s="863"/>
      <c r="O220" s="52">
        <f t="shared" si="44"/>
        <v>1</v>
      </c>
      <c r="P220" s="863"/>
      <c r="Q220" s="52">
        <f t="shared" si="45"/>
        <v>1</v>
      </c>
      <c r="R220" s="390">
        <f t="shared" si="46"/>
        <v>0</v>
      </c>
      <c r="S220" s="699">
        <f t="shared" si="37"/>
        <v>0</v>
      </c>
    </row>
    <row r="221" spans="1:19">
      <c r="A221" s="865"/>
      <c r="B221" s="134"/>
      <c r="C221" s="52">
        <f t="shared" si="38"/>
        <v>1</v>
      </c>
      <c r="D221" s="863"/>
      <c r="E221" s="52">
        <f t="shared" si="39"/>
        <v>1</v>
      </c>
      <c r="F221" s="863"/>
      <c r="G221" s="52">
        <f t="shared" si="40"/>
        <v>1</v>
      </c>
      <c r="H221" s="863"/>
      <c r="I221" s="52">
        <f t="shared" si="41"/>
        <v>1</v>
      </c>
      <c r="J221" s="863"/>
      <c r="K221" s="52">
        <f t="shared" si="42"/>
        <v>1</v>
      </c>
      <c r="L221" s="863"/>
      <c r="M221" s="52">
        <f t="shared" si="43"/>
        <v>1</v>
      </c>
      <c r="N221" s="863"/>
      <c r="O221" s="52">
        <f t="shared" si="44"/>
        <v>1</v>
      </c>
      <c r="P221" s="863"/>
      <c r="Q221" s="52">
        <f t="shared" si="45"/>
        <v>1</v>
      </c>
      <c r="R221" s="390">
        <f t="shared" si="46"/>
        <v>0</v>
      </c>
      <c r="S221" s="699">
        <f t="shared" si="37"/>
        <v>0</v>
      </c>
    </row>
    <row r="222" spans="1:19">
      <c r="A222" s="865"/>
      <c r="B222" s="134"/>
      <c r="C222" s="52">
        <f t="shared" si="38"/>
        <v>1</v>
      </c>
      <c r="D222" s="863"/>
      <c r="E222" s="52">
        <f t="shared" si="39"/>
        <v>1</v>
      </c>
      <c r="F222" s="863"/>
      <c r="G222" s="52">
        <f t="shared" si="40"/>
        <v>1</v>
      </c>
      <c r="H222" s="863"/>
      <c r="I222" s="52">
        <f t="shared" si="41"/>
        <v>1</v>
      </c>
      <c r="J222" s="863"/>
      <c r="K222" s="52">
        <f t="shared" si="42"/>
        <v>1</v>
      </c>
      <c r="L222" s="863"/>
      <c r="M222" s="52">
        <f t="shared" si="43"/>
        <v>1</v>
      </c>
      <c r="N222" s="863"/>
      <c r="O222" s="52">
        <f t="shared" si="44"/>
        <v>1</v>
      </c>
      <c r="P222" s="863"/>
      <c r="Q222" s="52">
        <f t="shared" si="45"/>
        <v>1</v>
      </c>
      <c r="R222" s="390">
        <f t="shared" si="46"/>
        <v>0</v>
      </c>
      <c r="S222" s="699">
        <f t="shared" si="37"/>
        <v>0</v>
      </c>
    </row>
    <row r="223" spans="1:19">
      <c r="A223" s="865"/>
      <c r="B223" s="134"/>
      <c r="C223" s="52">
        <f t="shared" si="38"/>
        <v>1</v>
      </c>
      <c r="D223" s="863"/>
      <c r="E223" s="52">
        <f t="shared" si="39"/>
        <v>1</v>
      </c>
      <c r="F223" s="863"/>
      <c r="G223" s="52">
        <f t="shared" si="40"/>
        <v>1</v>
      </c>
      <c r="H223" s="863"/>
      <c r="I223" s="52">
        <f t="shared" si="41"/>
        <v>1</v>
      </c>
      <c r="J223" s="863"/>
      <c r="K223" s="52">
        <f t="shared" si="42"/>
        <v>1</v>
      </c>
      <c r="L223" s="863"/>
      <c r="M223" s="52">
        <f t="shared" si="43"/>
        <v>1</v>
      </c>
      <c r="N223" s="863"/>
      <c r="O223" s="52">
        <f t="shared" si="44"/>
        <v>1</v>
      </c>
      <c r="P223" s="863"/>
      <c r="Q223" s="52">
        <f t="shared" si="45"/>
        <v>1</v>
      </c>
      <c r="R223" s="390">
        <f t="shared" si="46"/>
        <v>0</v>
      </c>
      <c r="S223" s="699">
        <f t="shared" ref="S223:S286" si="47">ROUND(R223*B223/10000,0)</f>
        <v>0</v>
      </c>
    </row>
    <row r="224" spans="1:19">
      <c r="A224" s="865"/>
      <c r="B224" s="134"/>
      <c r="C224" s="52">
        <f t="shared" si="38"/>
        <v>1</v>
      </c>
      <c r="D224" s="863"/>
      <c r="E224" s="52">
        <f t="shared" si="39"/>
        <v>1</v>
      </c>
      <c r="F224" s="863"/>
      <c r="G224" s="52">
        <f t="shared" si="40"/>
        <v>1</v>
      </c>
      <c r="H224" s="863"/>
      <c r="I224" s="52">
        <f t="shared" si="41"/>
        <v>1</v>
      </c>
      <c r="J224" s="863"/>
      <c r="K224" s="52">
        <f t="shared" si="42"/>
        <v>1</v>
      </c>
      <c r="L224" s="863"/>
      <c r="M224" s="52">
        <f t="shared" si="43"/>
        <v>1</v>
      </c>
      <c r="N224" s="863"/>
      <c r="O224" s="52">
        <f t="shared" si="44"/>
        <v>1</v>
      </c>
      <c r="P224" s="863"/>
      <c r="Q224" s="52">
        <f t="shared" si="45"/>
        <v>1</v>
      </c>
      <c r="R224" s="390">
        <f t="shared" si="46"/>
        <v>0</v>
      </c>
      <c r="S224" s="699">
        <f t="shared" si="47"/>
        <v>0</v>
      </c>
    </row>
    <row r="225" spans="1:19">
      <c r="A225" s="865"/>
      <c r="B225" s="134"/>
      <c r="C225" s="52">
        <f t="shared" si="38"/>
        <v>1</v>
      </c>
      <c r="D225" s="863"/>
      <c r="E225" s="52">
        <f t="shared" si="39"/>
        <v>1</v>
      </c>
      <c r="F225" s="863"/>
      <c r="G225" s="52">
        <f t="shared" si="40"/>
        <v>1</v>
      </c>
      <c r="H225" s="863"/>
      <c r="I225" s="52">
        <f t="shared" si="41"/>
        <v>1</v>
      </c>
      <c r="J225" s="863"/>
      <c r="K225" s="52">
        <f t="shared" si="42"/>
        <v>1</v>
      </c>
      <c r="L225" s="863"/>
      <c r="M225" s="52">
        <f t="shared" si="43"/>
        <v>1</v>
      </c>
      <c r="N225" s="863"/>
      <c r="O225" s="52">
        <f t="shared" si="44"/>
        <v>1</v>
      </c>
      <c r="P225" s="863"/>
      <c r="Q225" s="52">
        <f t="shared" si="45"/>
        <v>1</v>
      </c>
      <c r="R225" s="390">
        <f t="shared" si="46"/>
        <v>0</v>
      </c>
      <c r="S225" s="699">
        <f t="shared" si="47"/>
        <v>0</v>
      </c>
    </row>
    <row r="226" spans="1:19">
      <c r="A226" s="865"/>
      <c r="B226" s="134"/>
      <c r="C226" s="52">
        <f t="shared" si="38"/>
        <v>1</v>
      </c>
      <c r="D226" s="863"/>
      <c r="E226" s="52">
        <f t="shared" si="39"/>
        <v>1</v>
      </c>
      <c r="F226" s="863"/>
      <c r="G226" s="52">
        <f t="shared" si="40"/>
        <v>1</v>
      </c>
      <c r="H226" s="863"/>
      <c r="I226" s="52">
        <f t="shared" si="41"/>
        <v>1</v>
      </c>
      <c r="J226" s="863"/>
      <c r="K226" s="52">
        <f t="shared" si="42"/>
        <v>1</v>
      </c>
      <c r="L226" s="863"/>
      <c r="M226" s="52">
        <f t="shared" si="43"/>
        <v>1</v>
      </c>
      <c r="N226" s="863"/>
      <c r="O226" s="52">
        <f t="shared" si="44"/>
        <v>1</v>
      </c>
      <c r="P226" s="863"/>
      <c r="Q226" s="52">
        <f t="shared" si="45"/>
        <v>1</v>
      </c>
      <c r="R226" s="390">
        <f t="shared" si="46"/>
        <v>0</v>
      </c>
      <c r="S226" s="699">
        <f t="shared" si="47"/>
        <v>0</v>
      </c>
    </row>
    <row r="227" spans="1:19">
      <c r="A227" s="865"/>
      <c r="B227" s="134"/>
      <c r="C227" s="52">
        <f t="shared" si="38"/>
        <v>1</v>
      </c>
      <c r="D227" s="863"/>
      <c r="E227" s="52">
        <f t="shared" si="39"/>
        <v>1</v>
      </c>
      <c r="F227" s="863"/>
      <c r="G227" s="52">
        <f t="shared" si="40"/>
        <v>1</v>
      </c>
      <c r="H227" s="863"/>
      <c r="I227" s="52">
        <f t="shared" si="41"/>
        <v>1</v>
      </c>
      <c r="J227" s="863"/>
      <c r="K227" s="52">
        <f t="shared" si="42"/>
        <v>1</v>
      </c>
      <c r="L227" s="863"/>
      <c r="M227" s="52">
        <f t="shared" si="43"/>
        <v>1</v>
      </c>
      <c r="N227" s="863"/>
      <c r="O227" s="52">
        <f t="shared" si="44"/>
        <v>1</v>
      </c>
      <c r="P227" s="863"/>
      <c r="Q227" s="52">
        <f t="shared" si="45"/>
        <v>1</v>
      </c>
      <c r="R227" s="390">
        <f t="shared" si="46"/>
        <v>0</v>
      </c>
      <c r="S227" s="699">
        <f t="shared" si="47"/>
        <v>0</v>
      </c>
    </row>
    <row r="228" spans="1:19">
      <c r="A228" s="865"/>
      <c r="B228" s="134"/>
      <c r="C228" s="52">
        <f t="shared" si="38"/>
        <v>1</v>
      </c>
      <c r="D228" s="863"/>
      <c r="E228" s="52">
        <f t="shared" si="39"/>
        <v>1</v>
      </c>
      <c r="F228" s="863"/>
      <c r="G228" s="52">
        <f t="shared" si="40"/>
        <v>1</v>
      </c>
      <c r="H228" s="863"/>
      <c r="I228" s="52">
        <f t="shared" si="41"/>
        <v>1</v>
      </c>
      <c r="J228" s="863"/>
      <c r="K228" s="52">
        <f t="shared" si="42"/>
        <v>1</v>
      </c>
      <c r="L228" s="863"/>
      <c r="M228" s="52">
        <f t="shared" si="43"/>
        <v>1</v>
      </c>
      <c r="N228" s="863"/>
      <c r="O228" s="52">
        <f t="shared" si="44"/>
        <v>1</v>
      </c>
      <c r="P228" s="863"/>
      <c r="Q228" s="52">
        <f t="shared" si="45"/>
        <v>1</v>
      </c>
      <c r="R228" s="390">
        <f t="shared" si="46"/>
        <v>0</v>
      </c>
      <c r="S228" s="699">
        <f t="shared" si="47"/>
        <v>0</v>
      </c>
    </row>
    <row r="229" spans="1:19">
      <c r="A229" s="865"/>
      <c r="B229" s="134"/>
      <c r="C229" s="52">
        <f t="shared" si="38"/>
        <v>1</v>
      </c>
      <c r="D229" s="863"/>
      <c r="E229" s="52">
        <f t="shared" si="39"/>
        <v>1</v>
      </c>
      <c r="F229" s="863"/>
      <c r="G229" s="52">
        <f t="shared" si="40"/>
        <v>1</v>
      </c>
      <c r="H229" s="863"/>
      <c r="I229" s="52">
        <f t="shared" si="41"/>
        <v>1</v>
      </c>
      <c r="J229" s="863"/>
      <c r="K229" s="52">
        <f t="shared" si="42"/>
        <v>1</v>
      </c>
      <c r="L229" s="863"/>
      <c r="M229" s="52">
        <f t="shared" si="43"/>
        <v>1</v>
      </c>
      <c r="N229" s="863"/>
      <c r="O229" s="52">
        <f t="shared" si="44"/>
        <v>1</v>
      </c>
      <c r="P229" s="863"/>
      <c r="Q229" s="52">
        <f t="shared" si="45"/>
        <v>1</v>
      </c>
      <c r="R229" s="390">
        <f t="shared" si="46"/>
        <v>0</v>
      </c>
      <c r="S229" s="699">
        <f t="shared" si="47"/>
        <v>0</v>
      </c>
    </row>
    <row r="230" spans="1:19">
      <c r="A230" s="865"/>
      <c r="B230" s="134"/>
      <c r="C230" s="52">
        <f t="shared" si="38"/>
        <v>1</v>
      </c>
      <c r="D230" s="863"/>
      <c r="E230" s="52">
        <f t="shared" si="39"/>
        <v>1</v>
      </c>
      <c r="F230" s="863"/>
      <c r="G230" s="52">
        <f t="shared" si="40"/>
        <v>1</v>
      </c>
      <c r="H230" s="863"/>
      <c r="I230" s="52">
        <f t="shared" si="41"/>
        <v>1</v>
      </c>
      <c r="J230" s="863"/>
      <c r="K230" s="52">
        <f t="shared" si="42"/>
        <v>1</v>
      </c>
      <c r="L230" s="863"/>
      <c r="M230" s="52">
        <f t="shared" si="43"/>
        <v>1</v>
      </c>
      <c r="N230" s="863"/>
      <c r="O230" s="52">
        <f t="shared" si="44"/>
        <v>1</v>
      </c>
      <c r="P230" s="863"/>
      <c r="Q230" s="52">
        <f t="shared" si="45"/>
        <v>1</v>
      </c>
      <c r="R230" s="390">
        <f t="shared" si="46"/>
        <v>0</v>
      </c>
      <c r="S230" s="699">
        <f t="shared" si="47"/>
        <v>0</v>
      </c>
    </row>
    <row r="231" spans="1:19">
      <c r="A231" s="865"/>
      <c r="B231" s="134"/>
      <c r="C231" s="52">
        <f t="shared" si="38"/>
        <v>1</v>
      </c>
      <c r="D231" s="863"/>
      <c r="E231" s="52">
        <f t="shared" si="39"/>
        <v>1</v>
      </c>
      <c r="F231" s="863"/>
      <c r="G231" s="52">
        <f t="shared" si="40"/>
        <v>1</v>
      </c>
      <c r="H231" s="863"/>
      <c r="I231" s="52">
        <f t="shared" si="41"/>
        <v>1</v>
      </c>
      <c r="J231" s="863"/>
      <c r="K231" s="52">
        <f t="shared" si="42"/>
        <v>1</v>
      </c>
      <c r="L231" s="863"/>
      <c r="M231" s="52">
        <f t="shared" si="43"/>
        <v>1</v>
      </c>
      <c r="N231" s="863"/>
      <c r="O231" s="52">
        <f t="shared" si="44"/>
        <v>1</v>
      </c>
      <c r="P231" s="863"/>
      <c r="Q231" s="52">
        <f t="shared" si="45"/>
        <v>1</v>
      </c>
      <c r="R231" s="390">
        <f t="shared" si="46"/>
        <v>0</v>
      </c>
      <c r="S231" s="699">
        <f t="shared" si="47"/>
        <v>0</v>
      </c>
    </row>
    <row r="232" spans="1:19">
      <c r="A232" s="865"/>
      <c r="B232" s="134"/>
      <c r="C232" s="52">
        <f t="shared" si="38"/>
        <v>1</v>
      </c>
      <c r="D232" s="863"/>
      <c r="E232" s="52">
        <f t="shared" si="39"/>
        <v>1</v>
      </c>
      <c r="F232" s="863"/>
      <c r="G232" s="52">
        <f t="shared" si="40"/>
        <v>1</v>
      </c>
      <c r="H232" s="863"/>
      <c r="I232" s="52">
        <f t="shared" si="41"/>
        <v>1</v>
      </c>
      <c r="J232" s="863"/>
      <c r="K232" s="52">
        <f t="shared" si="42"/>
        <v>1</v>
      </c>
      <c r="L232" s="863"/>
      <c r="M232" s="52">
        <f t="shared" si="43"/>
        <v>1</v>
      </c>
      <c r="N232" s="863"/>
      <c r="O232" s="52">
        <f t="shared" si="44"/>
        <v>1</v>
      </c>
      <c r="P232" s="863"/>
      <c r="Q232" s="52">
        <f t="shared" si="45"/>
        <v>1</v>
      </c>
      <c r="R232" s="390">
        <f t="shared" si="46"/>
        <v>0</v>
      </c>
      <c r="S232" s="699">
        <f t="shared" si="47"/>
        <v>0</v>
      </c>
    </row>
    <row r="233" spans="1:19">
      <c r="A233" s="865"/>
      <c r="B233" s="134"/>
      <c r="C233" s="52">
        <f t="shared" si="38"/>
        <v>1</v>
      </c>
      <c r="D233" s="863"/>
      <c r="E233" s="52">
        <f t="shared" si="39"/>
        <v>1</v>
      </c>
      <c r="F233" s="863"/>
      <c r="G233" s="52">
        <f t="shared" si="40"/>
        <v>1</v>
      </c>
      <c r="H233" s="863"/>
      <c r="I233" s="52">
        <f t="shared" si="41"/>
        <v>1</v>
      </c>
      <c r="J233" s="863"/>
      <c r="K233" s="52">
        <f t="shared" si="42"/>
        <v>1</v>
      </c>
      <c r="L233" s="863"/>
      <c r="M233" s="52">
        <f t="shared" si="43"/>
        <v>1</v>
      </c>
      <c r="N233" s="863"/>
      <c r="O233" s="52">
        <f t="shared" si="44"/>
        <v>1</v>
      </c>
      <c r="P233" s="863"/>
      <c r="Q233" s="52">
        <f t="shared" si="45"/>
        <v>1</v>
      </c>
      <c r="R233" s="390">
        <f t="shared" si="46"/>
        <v>0</v>
      </c>
      <c r="S233" s="699">
        <f t="shared" si="47"/>
        <v>0</v>
      </c>
    </row>
    <row r="234" spans="1:19">
      <c r="A234" s="865"/>
      <c r="B234" s="134"/>
      <c r="C234" s="52">
        <f t="shared" si="38"/>
        <v>1</v>
      </c>
      <c r="D234" s="863"/>
      <c r="E234" s="52">
        <f t="shared" si="39"/>
        <v>1</v>
      </c>
      <c r="F234" s="863"/>
      <c r="G234" s="52">
        <f t="shared" si="40"/>
        <v>1</v>
      </c>
      <c r="H234" s="863"/>
      <c r="I234" s="52">
        <f t="shared" si="41"/>
        <v>1</v>
      </c>
      <c r="J234" s="863"/>
      <c r="K234" s="52">
        <f t="shared" si="42"/>
        <v>1</v>
      </c>
      <c r="L234" s="863"/>
      <c r="M234" s="52">
        <f t="shared" si="43"/>
        <v>1</v>
      </c>
      <c r="N234" s="863"/>
      <c r="O234" s="52">
        <f t="shared" si="44"/>
        <v>1</v>
      </c>
      <c r="P234" s="863"/>
      <c r="Q234" s="52">
        <f t="shared" si="45"/>
        <v>1</v>
      </c>
      <c r="R234" s="390">
        <f t="shared" si="46"/>
        <v>0</v>
      </c>
      <c r="S234" s="699">
        <f t="shared" si="47"/>
        <v>0</v>
      </c>
    </row>
    <row r="235" spans="1:19">
      <c r="A235" s="865"/>
      <c r="B235" s="134"/>
      <c r="C235" s="52">
        <f t="shared" si="38"/>
        <v>1</v>
      </c>
      <c r="D235" s="863"/>
      <c r="E235" s="52">
        <f t="shared" si="39"/>
        <v>1</v>
      </c>
      <c r="F235" s="863"/>
      <c r="G235" s="52">
        <f t="shared" si="40"/>
        <v>1</v>
      </c>
      <c r="H235" s="863"/>
      <c r="I235" s="52">
        <f t="shared" si="41"/>
        <v>1</v>
      </c>
      <c r="J235" s="863"/>
      <c r="K235" s="52">
        <f t="shared" si="42"/>
        <v>1</v>
      </c>
      <c r="L235" s="863"/>
      <c r="M235" s="52">
        <f t="shared" si="43"/>
        <v>1</v>
      </c>
      <c r="N235" s="863"/>
      <c r="O235" s="52">
        <f t="shared" si="44"/>
        <v>1</v>
      </c>
      <c r="P235" s="863"/>
      <c r="Q235" s="52">
        <f t="shared" si="45"/>
        <v>1</v>
      </c>
      <c r="R235" s="390">
        <f t="shared" si="46"/>
        <v>0</v>
      </c>
      <c r="S235" s="699">
        <f t="shared" si="47"/>
        <v>0</v>
      </c>
    </row>
    <row r="236" spans="1:19">
      <c r="A236" s="865"/>
      <c r="B236" s="134"/>
      <c r="C236" s="52">
        <f t="shared" si="38"/>
        <v>1</v>
      </c>
      <c r="D236" s="863"/>
      <c r="E236" s="52">
        <f t="shared" si="39"/>
        <v>1</v>
      </c>
      <c r="F236" s="863"/>
      <c r="G236" s="52">
        <f t="shared" si="40"/>
        <v>1</v>
      </c>
      <c r="H236" s="863"/>
      <c r="I236" s="52">
        <f t="shared" si="41"/>
        <v>1</v>
      </c>
      <c r="J236" s="863"/>
      <c r="K236" s="52">
        <f t="shared" si="42"/>
        <v>1</v>
      </c>
      <c r="L236" s="863"/>
      <c r="M236" s="52">
        <f t="shared" si="43"/>
        <v>1</v>
      </c>
      <c r="N236" s="863"/>
      <c r="O236" s="52">
        <f t="shared" si="44"/>
        <v>1</v>
      </c>
      <c r="P236" s="863"/>
      <c r="Q236" s="52">
        <f t="shared" si="45"/>
        <v>1</v>
      </c>
      <c r="R236" s="390">
        <f t="shared" si="46"/>
        <v>0</v>
      </c>
      <c r="S236" s="699">
        <f t="shared" si="47"/>
        <v>0</v>
      </c>
    </row>
    <row r="237" spans="1:19">
      <c r="A237" s="865"/>
      <c r="B237" s="134"/>
      <c r="C237" s="52">
        <f t="shared" si="38"/>
        <v>1</v>
      </c>
      <c r="D237" s="863"/>
      <c r="E237" s="52">
        <f t="shared" si="39"/>
        <v>1</v>
      </c>
      <c r="F237" s="863"/>
      <c r="G237" s="52">
        <f t="shared" si="40"/>
        <v>1</v>
      </c>
      <c r="H237" s="863"/>
      <c r="I237" s="52">
        <f t="shared" si="41"/>
        <v>1</v>
      </c>
      <c r="J237" s="863"/>
      <c r="K237" s="52">
        <f t="shared" si="42"/>
        <v>1</v>
      </c>
      <c r="L237" s="863"/>
      <c r="M237" s="52">
        <f t="shared" si="43"/>
        <v>1</v>
      </c>
      <c r="N237" s="863"/>
      <c r="O237" s="52">
        <f t="shared" si="44"/>
        <v>1</v>
      </c>
      <c r="P237" s="863"/>
      <c r="Q237" s="52">
        <f t="shared" si="45"/>
        <v>1</v>
      </c>
      <c r="R237" s="390">
        <f t="shared" si="46"/>
        <v>0</v>
      </c>
      <c r="S237" s="699">
        <f t="shared" si="47"/>
        <v>0</v>
      </c>
    </row>
    <row r="238" spans="1:19">
      <c r="A238" s="865"/>
      <c r="B238" s="134"/>
      <c r="C238" s="52">
        <f t="shared" si="38"/>
        <v>1</v>
      </c>
      <c r="D238" s="863"/>
      <c r="E238" s="52">
        <f t="shared" si="39"/>
        <v>1</v>
      </c>
      <c r="F238" s="863"/>
      <c r="G238" s="52">
        <f t="shared" si="40"/>
        <v>1</v>
      </c>
      <c r="H238" s="863"/>
      <c r="I238" s="52">
        <f t="shared" si="41"/>
        <v>1</v>
      </c>
      <c r="J238" s="863"/>
      <c r="K238" s="52">
        <f t="shared" si="42"/>
        <v>1</v>
      </c>
      <c r="L238" s="863"/>
      <c r="M238" s="52">
        <f t="shared" si="43"/>
        <v>1</v>
      </c>
      <c r="N238" s="863"/>
      <c r="O238" s="52">
        <f t="shared" si="44"/>
        <v>1</v>
      </c>
      <c r="P238" s="863"/>
      <c r="Q238" s="52">
        <f t="shared" si="45"/>
        <v>1</v>
      </c>
      <c r="R238" s="390">
        <f t="shared" si="46"/>
        <v>0</v>
      </c>
      <c r="S238" s="699">
        <f t="shared" si="47"/>
        <v>0</v>
      </c>
    </row>
    <row r="239" spans="1:19">
      <c r="A239" s="865"/>
      <c r="B239" s="134"/>
      <c r="C239" s="52">
        <f t="shared" si="38"/>
        <v>1</v>
      </c>
      <c r="D239" s="863"/>
      <c r="E239" s="52">
        <f t="shared" si="39"/>
        <v>1</v>
      </c>
      <c r="F239" s="863"/>
      <c r="G239" s="52">
        <f t="shared" si="40"/>
        <v>1</v>
      </c>
      <c r="H239" s="863"/>
      <c r="I239" s="52">
        <f t="shared" si="41"/>
        <v>1</v>
      </c>
      <c r="J239" s="863"/>
      <c r="K239" s="52">
        <f t="shared" si="42"/>
        <v>1</v>
      </c>
      <c r="L239" s="863"/>
      <c r="M239" s="52">
        <f t="shared" si="43"/>
        <v>1</v>
      </c>
      <c r="N239" s="863"/>
      <c r="O239" s="52">
        <f t="shared" si="44"/>
        <v>1</v>
      </c>
      <c r="P239" s="863"/>
      <c r="Q239" s="52">
        <f t="shared" si="45"/>
        <v>1</v>
      </c>
      <c r="R239" s="390">
        <f t="shared" si="46"/>
        <v>0</v>
      </c>
      <c r="S239" s="699">
        <f t="shared" si="47"/>
        <v>0</v>
      </c>
    </row>
    <row r="240" spans="1:19">
      <c r="A240" s="865"/>
      <c r="B240" s="134"/>
      <c r="C240" s="52">
        <f t="shared" si="38"/>
        <v>1</v>
      </c>
      <c r="D240" s="863"/>
      <c r="E240" s="52">
        <f t="shared" si="39"/>
        <v>1</v>
      </c>
      <c r="F240" s="863"/>
      <c r="G240" s="52">
        <f t="shared" si="40"/>
        <v>1</v>
      </c>
      <c r="H240" s="863"/>
      <c r="I240" s="52">
        <f t="shared" si="41"/>
        <v>1</v>
      </c>
      <c r="J240" s="863"/>
      <c r="K240" s="52">
        <f t="shared" si="42"/>
        <v>1</v>
      </c>
      <c r="L240" s="863"/>
      <c r="M240" s="52">
        <f t="shared" si="43"/>
        <v>1</v>
      </c>
      <c r="N240" s="863"/>
      <c r="O240" s="52">
        <f t="shared" si="44"/>
        <v>1</v>
      </c>
      <c r="P240" s="863"/>
      <c r="Q240" s="52">
        <f t="shared" si="45"/>
        <v>1</v>
      </c>
      <c r="R240" s="390">
        <f t="shared" si="46"/>
        <v>0</v>
      </c>
      <c r="S240" s="699">
        <f t="shared" si="47"/>
        <v>0</v>
      </c>
    </row>
    <row r="241" spans="1:19">
      <c r="A241" s="865"/>
      <c r="B241" s="134"/>
      <c r="C241" s="52">
        <f t="shared" si="38"/>
        <v>1</v>
      </c>
      <c r="D241" s="863"/>
      <c r="E241" s="52">
        <f t="shared" si="39"/>
        <v>1</v>
      </c>
      <c r="F241" s="863"/>
      <c r="G241" s="52">
        <f t="shared" si="40"/>
        <v>1</v>
      </c>
      <c r="H241" s="863"/>
      <c r="I241" s="52">
        <f t="shared" si="41"/>
        <v>1</v>
      </c>
      <c r="J241" s="863"/>
      <c r="K241" s="52">
        <f t="shared" si="42"/>
        <v>1</v>
      </c>
      <c r="L241" s="863"/>
      <c r="M241" s="52">
        <f t="shared" si="43"/>
        <v>1</v>
      </c>
      <c r="N241" s="863"/>
      <c r="O241" s="52">
        <f t="shared" si="44"/>
        <v>1</v>
      </c>
      <c r="P241" s="863"/>
      <c r="Q241" s="52">
        <f t="shared" si="45"/>
        <v>1</v>
      </c>
      <c r="R241" s="390">
        <f t="shared" si="46"/>
        <v>0</v>
      </c>
      <c r="S241" s="699">
        <f t="shared" si="47"/>
        <v>0</v>
      </c>
    </row>
    <row r="242" spans="1:19">
      <c r="A242" s="865"/>
      <c r="B242" s="134"/>
      <c r="C242" s="52">
        <f t="shared" si="38"/>
        <v>1</v>
      </c>
      <c r="D242" s="863"/>
      <c r="E242" s="52">
        <f t="shared" si="39"/>
        <v>1</v>
      </c>
      <c r="F242" s="863"/>
      <c r="G242" s="52">
        <f t="shared" si="40"/>
        <v>1</v>
      </c>
      <c r="H242" s="863"/>
      <c r="I242" s="52">
        <f t="shared" si="41"/>
        <v>1</v>
      </c>
      <c r="J242" s="863"/>
      <c r="K242" s="52">
        <f t="shared" si="42"/>
        <v>1</v>
      </c>
      <c r="L242" s="863"/>
      <c r="M242" s="52">
        <f t="shared" si="43"/>
        <v>1</v>
      </c>
      <c r="N242" s="863"/>
      <c r="O242" s="52">
        <f t="shared" si="44"/>
        <v>1</v>
      </c>
      <c r="P242" s="863"/>
      <c r="Q242" s="52">
        <f t="shared" si="45"/>
        <v>1</v>
      </c>
      <c r="R242" s="390">
        <f t="shared" si="46"/>
        <v>0</v>
      </c>
      <c r="S242" s="699">
        <f t="shared" si="47"/>
        <v>0</v>
      </c>
    </row>
    <row r="243" spans="1:19">
      <c r="A243" s="865"/>
      <c r="B243" s="134"/>
      <c r="C243" s="52">
        <f t="shared" si="38"/>
        <v>1</v>
      </c>
      <c r="D243" s="863"/>
      <c r="E243" s="52">
        <f t="shared" si="39"/>
        <v>1</v>
      </c>
      <c r="F243" s="863"/>
      <c r="G243" s="52">
        <f t="shared" si="40"/>
        <v>1</v>
      </c>
      <c r="H243" s="863"/>
      <c r="I243" s="52">
        <f t="shared" si="41"/>
        <v>1</v>
      </c>
      <c r="J243" s="863"/>
      <c r="K243" s="52">
        <f t="shared" si="42"/>
        <v>1</v>
      </c>
      <c r="L243" s="863"/>
      <c r="M243" s="52">
        <f t="shared" si="43"/>
        <v>1</v>
      </c>
      <c r="N243" s="863"/>
      <c r="O243" s="52">
        <f t="shared" si="44"/>
        <v>1</v>
      </c>
      <c r="P243" s="863"/>
      <c r="Q243" s="52">
        <f t="shared" si="45"/>
        <v>1</v>
      </c>
      <c r="R243" s="390">
        <f t="shared" si="46"/>
        <v>0</v>
      </c>
      <c r="S243" s="699">
        <f t="shared" si="47"/>
        <v>0</v>
      </c>
    </row>
    <row r="244" spans="1:19">
      <c r="A244" s="865"/>
      <c r="B244" s="134"/>
      <c r="C244" s="52">
        <f t="shared" si="38"/>
        <v>1</v>
      </c>
      <c r="D244" s="863"/>
      <c r="E244" s="52">
        <f t="shared" si="39"/>
        <v>1</v>
      </c>
      <c r="F244" s="863"/>
      <c r="G244" s="52">
        <f t="shared" si="40"/>
        <v>1</v>
      </c>
      <c r="H244" s="863"/>
      <c r="I244" s="52">
        <f t="shared" si="41"/>
        <v>1</v>
      </c>
      <c r="J244" s="863"/>
      <c r="K244" s="52">
        <f t="shared" si="42"/>
        <v>1</v>
      </c>
      <c r="L244" s="863"/>
      <c r="M244" s="52">
        <f t="shared" si="43"/>
        <v>1</v>
      </c>
      <c r="N244" s="863"/>
      <c r="O244" s="52">
        <f t="shared" si="44"/>
        <v>1</v>
      </c>
      <c r="P244" s="863"/>
      <c r="Q244" s="52">
        <f t="shared" si="45"/>
        <v>1</v>
      </c>
      <c r="R244" s="390">
        <f t="shared" si="46"/>
        <v>0</v>
      </c>
      <c r="S244" s="699">
        <f t="shared" si="47"/>
        <v>0</v>
      </c>
    </row>
    <row r="245" spans="1:19">
      <c r="A245" s="865"/>
      <c r="B245" s="134"/>
      <c r="C245" s="52">
        <f t="shared" si="38"/>
        <v>1</v>
      </c>
      <c r="D245" s="863"/>
      <c r="E245" s="52">
        <f t="shared" si="39"/>
        <v>1</v>
      </c>
      <c r="F245" s="863"/>
      <c r="G245" s="52">
        <f t="shared" si="40"/>
        <v>1</v>
      </c>
      <c r="H245" s="863"/>
      <c r="I245" s="52">
        <f t="shared" si="41"/>
        <v>1</v>
      </c>
      <c r="J245" s="863"/>
      <c r="K245" s="52">
        <f t="shared" si="42"/>
        <v>1</v>
      </c>
      <c r="L245" s="863"/>
      <c r="M245" s="52">
        <f t="shared" si="43"/>
        <v>1</v>
      </c>
      <c r="N245" s="863"/>
      <c r="O245" s="52">
        <f t="shared" si="44"/>
        <v>1</v>
      </c>
      <c r="P245" s="863"/>
      <c r="Q245" s="52">
        <f t="shared" si="45"/>
        <v>1</v>
      </c>
      <c r="R245" s="390">
        <f t="shared" si="46"/>
        <v>0</v>
      </c>
      <c r="S245" s="699">
        <f t="shared" si="47"/>
        <v>0</v>
      </c>
    </row>
    <row r="246" spans="1:19">
      <c r="A246" s="865"/>
      <c r="B246" s="134"/>
      <c r="C246" s="52">
        <f t="shared" si="38"/>
        <v>1</v>
      </c>
      <c r="D246" s="863"/>
      <c r="E246" s="52">
        <f t="shared" si="39"/>
        <v>1</v>
      </c>
      <c r="F246" s="863"/>
      <c r="G246" s="52">
        <f t="shared" si="40"/>
        <v>1</v>
      </c>
      <c r="H246" s="863"/>
      <c r="I246" s="52">
        <f t="shared" si="41"/>
        <v>1</v>
      </c>
      <c r="J246" s="863"/>
      <c r="K246" s="52">
        <f t="shared" si="42"/>
        <v>1</v>
      </c>
      <c r="L246" s="863"/>
      <c r="M246" s="52">
        <f t="shared" si="43"/>
        <v>1</v>
      </c>
      <c r="N246" s="863"/>
      <c r="O246" s="52">
        <f t="shared" si="44"/>
        <v>1</v>
      </c>
      <c r="P246" s="863"/>
      <c r="Q246" s="52">
        <f t="shared" si="45"/>
        <v>1</v>
      </c>
      <c r="R246" s="390">
        <f t="shared" si="46"/>
        <v>0</v>
      </c>
      <c r="S246" s="699">
        <f t="shared" si="47"/>
        <v>0</v>
      </c>
    </row>
    <row r="247" spans="1:19">
      <c r="A247" s="865"/>
      <c r="B247" s="134"/>
      <c r="C247" s="52">
        <f t="shared" si="38"/>
        <v>1</v>
      </c>
      <c r="D247" s="863"/>
      <c r="E247" s="52">
        <f t="shared" si="39"/>
        <v>1</v>
      </c>
      <c r="F247" s="863"/>
      <c r="G247" s="52">
        <f t="shared" si="40"/>
        <v>1</v>
      </c>
      <c r="H247" s="863"/>
      <c r="I247" s="52">
        <f t="shared" si="41"/>
        <v>1</v>
      </c>
      <c r="J247" s="863"/>
      <c r="K247" s="52">
        <f t="shared" si="42"/>
        <v>1</v>
      </c>
      <c r="L247" s="863"/>
      <c r="M247" s="52">
        <f t="shared" si="43"/>
        <v>1</v>
      </c>
      <c r="N247" s="863"/>
      <c r="O247" s="52">
        <f t="shared" si="44"/>
        <v>1</v>
      </c>
      <c r="P247" s="863"/>
      <c r="Q247" s="52">
        <f t="shared" si="45"/>
        <v>1</v>
      </c>
      <c r="R247" s="390">
        <f t="shared" si="46"/>
        <v>0</v>
      </c>
      <c r="S247" s="699">
        <f t="shared" si="47"/>
        <v>0</v>
      </c>
    </row>
    <row r="248" spans="1:19">
      <c r="A248" s="865"/>
      <c r="B248" s="134"/>
      <c r="C248" s="52">
        <f t="shared" si="38"/>
        <v>1</v>
      </c>
      <c r="D248" s="863"/>
      <c r="E248" s="52">
        <f t="shared" si="39"/>
        <v>1</v>
      </c>
      <c r="F248" s="863"/>
      <c r="G248" s="52">
        <f t="shared" si="40"/>
        <v>1</v>
      </c>
      <c r="H248" s="863"/>
      <c r="I248" s="52">
        <f t="shared" si="41"/>
        <v>1</v>
      </c>
      <c r="J248" s="863"/>
      <c r="K248" s="52">
        <f t="shared" si="42"/>
        <v>1</v>
      </c>
      <c r="L248" s="863"/>
      <c r="M248" s="52">
        <f t="shared" si="43"/>
        <v>1</v>
      </c>
      <c r="N248" s="863"/>
      <c r="O248" s="52">
        <f t="shared" si="44"/>
        <v>1</v>
      </c>
      <c r="P248" s="863"/>
      <c r="Q248" s="52">
        <f t="shared" si="45"/>
        <v>1</v>
      </c>
      <c r="R248" s="390">
        <f t="shared" si="46"/>
        <v>0</v>
      </c>
      <c r="S248" s="699">
        <f t="shared" si="47"/>
        <v>0</v>
      </c>
    </row>
    <row r="249" spans="1:19">
      <c r="A249" s="865"/>
      <c r="B249" s="134"/>
      <c r="C249" s="52">
        <f t="shared" si="38"/>
        <v>1</v>
      </c>
      <c r="D249" s="863"/>
      <c r="E249" s="52">
        <f t="shared" si="39"/>
        <v>1</v>
      </c>
      <c r="F249" s="863"/>
      <c r="G249" s="52">
        <f t="shared" si="40"/>
        <v>1</v>
      </c>
      <c r="H249" s="863"/>
      <c r="I249" s="52">
        <f t="shared" si="41"/>
        <v>1</v>
      </c>
      <c r="J249" s="863"/>
      <c r="K249" s="52">
        <f t="shared" si="42"/>
        <v>1</v>
      </c>
      <c r="L249" s="863"/>
      <c r="M249" s="52">
        <f t="shared" si="43"/>
        <v>1</v>
      </c>
      <c r="N249" s="863"/>
      <c r="O249" s="52">
        <f t="shared" si="44"/>
        <v>1</v>
      </c>
      <c r="P249" s="863"/>
      <c r="Q249" s="52">
        <f t="shared" si="45"/>
        <v>1</v>
      </c>
      <c r="R249" s="390">
        <f t="shared" si="46"/>
        <v>0</v>
      </c>
      <c r="S249" s="699">
        <f t="shared" si="47"/>
        <v>0</v>
      </c>
    </row>
    <row r="250" spans="1:19">
      <c r="A250" s="865"/>
      <c r="B250" s="134"/>
      <c r="C250" s="52">
        <f t="shared" si="38"/>
        <v>1</v>
      </c>
      <c r="D250" s="863"/>
      <c r="E250" s="52">
        <f t="shared" si="39"/>
        <v>1</v>
      </c>
      <c r="F250" s="863"/>
      <c r="G250" s="52">
        <f t="shared" si="40"/>
        <v>1</v>
      </c>
      <c r="H250" s="863"/>
      <c r="I250" s="52">
        <f t="shared" si="41"/>
        <v>1</v>
      </c>
      <c r="J250" s="863"/>
      <c r="K250" s="52">
        <f t="shared" si="42"/>
        <v>1</v>
      </c>
      <c r="L250" s="863"/>
      <c r="M250" s="52">
        <f t="shared" si="43"/>
        <v>1</v>
      </c>
      <c r="N250" s="863"/>
      <c r="O250" s="52">
        <f t="shared" si="44"/>
        <v>1</v>
      </c>
      <c r="P250" s="863"/>
      <c r="Q250" s="52">
        <f t="shared" si="45"/>
        <v>1</v>
      </c>
      <c r="R250" s="390">
        <f t="shared" si="46"/>
        <v>0</v>
      </c>
      <c r="S250" s="699">
        <f t="shared" si="47"/>
        <v>0</v>
      </c>
    </row>
    <row r="251" spans="1:19">
      <c r="A251" s="865"/>
      <c r="B251" s="134"/>
      <c r="C251" s="52">
        <f t="shared" si="38"/>
        <v>1</v>
      </c>
      <c r="D251" s="863"/>
      <c r="E251" s="52">
        <f t="shared" si="39"/>
        <v>1</v>
      </c>
      <c r="F251" s="863"/>
      <c r="G251" s="52">
        <f t="shared" si="40"/>
        <v>1</v>
      </c>
      <c r="H251" s="863"/>
      <c r="I251" s="52">
        <f t="shared" si="41"/>
        <v>1</v>
      </c>
      <c r="J251" s="863"/>
      <c r="K251" s="52">
        <f t="shared" si="42"/>
        <v>1</v>
      </c>
      <c r="L251" s="863"/>
      <c r="M251" s="52">
        <f t="shared" si="43"/>
        <v>1</v>
      </c>
      <c r="N251" s="863"/>
      <c r="O251" s="52">
        <f t="shared" si="44"/>
        <v>1</v>
      </c>
      <c r="P251" s="863"/>
      <c r="Q251" s="52">
        <f t="shared" si="45"/>
        <v>1</v>
      </c>
      <c r="R251" s="390">
        <f t="shared" si="46"/>
        <v>0</v>
      </c>
      <c r="S251" s="699">
        <f t="shared" si="47"/>
        <v>0</v>
      </c>
    </row>
    <row r="252" spans="1:19">
      <c r="A252" s="865"/>
      <c r="B252" s="134"/>
      <c r="C252" s="52">
        <f t="shared" si="38"/>
        <v>1</v>
      </c>
      <c r="D252" s="863"/>
      <c r="E252" s="52">
        <f t="shared" si="39"/>
        <v>1</v>
      </c>
      <c r="F252" s="863"/>
      <c r="G252" s="52">
        <f t="shared" si="40"/>
        <v>1</v>
      </c>
      <c r="H252" s="863"/>
      <c r="I252" s="52">
        <f t="shared" si="41"/>
        <v>1</v>
      </c>
      <c r="J252" s="863"/>
      <c r="K252" s="52">
        <f t="shared" si="42"/>
        <v>1</v>
      </c>
      <c r="L252" s="863"/>
      <c r="M252" s="52">
        <f t="shared" si="43"/>
        <v>1</v>
      </c>
      <c r="N252" s="863"/>
      <c r="O252" s="52">
        <f t="shared" si="44"/>
        <v>1</v>
      </c>
      <c r="P252" s="863"/>
      <c r="Q252" s="52">
        <f t="shared" si="45"/>
        <v>1</v>
      </c>
      <c r="R252" s="390">
        <f t="shared" si="46"/>
        <v>0</v>
      </c>
      <c r="S252" s="699">
        <f t="shared" si="47"/>
        <v>0</v>
      </c>
    </row>
    <row r="253" spans="1:19">
      <c r="A253" s="865"/>
      <c r="B253" s="134"/>
      <c r="C253" s="52">
        <f t="shared" si="38"/>
        <v>1</v>
      </c>
      <c r="D253" s="863"/>
      <c r="E253" s="52">
        <f t="shared" si="39"/>
        <v>1</v>
      </c>
      <c r="F253" s="863"/>
      <c r="G253" s="52">
        <f t="shared" si="40"/>
        <v>1</v>
      </c>
      <c r="H253" s="863"/>
      <c r="I253" s="52">
        <f t="shared" si="41"/>
        <v>1</v>
      </c>
      <c r="J253" s="863"/>
      <c r="K253" s="52">
        <f t="shared" si="42"/>
        <v>1</v>
      </c>
      <c r="L253" s="863"/>
      <c r="M253" s="52">
        <f t="shared" si="43"/>
        <v>1</v>
      </c>
      <c r="N253" s="863"/>
      <c r="O253" s="52">
        <f t="shared" si="44"/>
        <v>1</v>
      </c>
      <c r="P253" s="863"/>
      <c r="Q253" s="52">
        <f t="shared" si="45"/>
        <v>1</v>
      </c>
      <c r="R253" s="390">
        <f t="shared" si="46"/>
        <v>0</v>
      </c>
      <c r="S253" s="699">
        <f t="shared" si="47"/>
        <v>0</v>
      </c>
    </row>
    <row r="254" spans="1:19">
      <c r="A254" s="865"/>
      <c r="B254" s="134"/>
      <c r="C254" s="52">
        <f t="shared" si="38"/>
        <v>1</v>
      </c>
      <c r="D254" s="863"/>
      <c r="E254" s="52">
        <f t="shared" si="39"/>
        <v>1</v>
      </c>
      <c r="F254" s="863"/>
      <c r="G254" s="52">
        <f t="shared" si="40"/>
        <v>1</v>
      </c>
      <c r="H254" s="863"/>
      <c r="I254" s="52">
        <f t="shared" si="41"/>
        <v>1</v>
      </c>
      <c r="J254" s="863"/>
      <c r="K254" s="52">
        <f t="shared" si="42"/>
        <v>1</v>
      </c>
      <c r="L254" s="863"/>
      <c r="M254" s="52">
        <f t="shared" si="43"/>
        <v>1</v>
      </c>
      <c r="N254" s="863"/>
      <c r="O254" s="52">
        <f t="shared" si="44"/>
        <v>1</v>
      </c>
      <c r="P254" s="863"/>
      <c r="Q254" s="52">
        <f t="shared" si="45"/>
        <v>1</v>
      </c>
      <c r="R254" s="390">
        <f t="shared" si="46"/>
        <v>0</v>
      </c>
      <c r="S254" s="699">
        <f t="shared" si="47"/>
        <v>0</v>
      </c>
    </row>
    <row r="255" spans="1:19">
      <c r="A255" s="865"/>
      <c r="B255" s="134"/>
      <c r="C255" s="52">
        <f t="shared" si="38"/>
        <v>1</v>
      </c>
      <c r="D255" s="863"/>
      <c r="E255" s="52">
        <f t="shared" si="39"/>
        <v>1</v>
      </c>
      <c r="F255" s="863"/>
      <c r="G255" s="52">
        <f t="shared" si="40"/>
        <v>1</v>
      </c>
      <c r="H255" s="863"/>
      <c r="I255" s="52">
        <f t="shared" si="41"/>
        <v>1</v>
      </c>
      <c r="J255" s="863"/>
      <c r="K255" s="52">
        <f t="shared" si="42"/>
        <v>1</v>
      </c>
      <c r="L255" s="863"/>
      <c r="M255" s="52">
        <f t="shared" si="43"/>
        <v>1</v>
      </c>
      <c r="N255" s="863"/>
      <c r="O255" s="52">
        <f t="shared" si="44"/>
        <v>1</v>
      </c>
      <c r="P255" s="863"/>
      <c r="Q255" s="52">
        <f t="shared" si="45"/>
        <v>1</v>
      </c>
      <c r="R255" s="390">
        <f t="shared" si="46"/>
        <v>0</v>
      </c>
      <c r="S255" s="699">
        <f t="shared" si="47"/>
        <v>0</v>
      </c>
    </row>
    <row r="256" spans="1:19">
      <c r="A256" s="865"/>
      <c r="B256" s="134"/>
      <c r="C256" s="52">
        <f t="shared" si="38"/>
        <v>1</v>
      </c>
      <c r="D256" s="863"/>
      <c r="E256" s="52">
        <f t="shared" si="39"/>
        <v>1</v>
      </c>
      <c r="F256" s="863"/>
      <c r="G256" s="52">
        <f t="shared" si="40"/>
        <v>1</v>
      </c>
      <c r="H256" s="863"/>
      <c r="I256" s="52">
        <f t="shared" si="41"/>
        <v>1</v>
      </c>
      <c r="J256" s="863"/>
      <c r="K256" s="52">
        <f t="shared" si="42"/>
        <v>1</v>
      </c>
      <c r="L256" s="863"/>
      <c r="M256" s="52">
        <f t="shared" si="43"/>
        <v>1</v>
      </c>
      <c r="N256" s="863"/>
      <c r="O256" s="52">
        <f t="shared" si="44"/>
        <v>1</v>
      </c>
      <c r="P256" s="863"/>
      <c r="Q256" s="52">
        <f t="shared" si="45"/>
        <v>1</v>
      </c>
      <c r="R256" s="390">
        <f t="shared" si="46"/>
        <v>0</v>
      </c>
      <c r="S256" s="699">
        <f t="shared" si="47"/>
        <v>0</v>
      </c>
    </row>
    <row r="257" spans="1:19">
      <c r="A257" s="865"/>
      <c r="B257" s="134"/>
      <c r="C257" s="52">
        <f t="shared" si="38"/>
        <v>1</v>
      </c>
      <c r="D257" s="863"/>
      <c r="E257" s="52">
        <f t="shared" si="39"/>
        <v>1</v>
      </c>
      <c r="F257" s="863"/>
      <c r="G257" s="52">
        <f t="shared" si="40"/>
        <v>1</v>
      </c>
      <c r="H257" s="863"/>
      <c r="I257" s="52">
        <f t="shared" si="41"/>
        <v>1</v>
      </c>
      <c r="J257" s="863"/>
      <c r="K257" s="52">
        <f t="shared" si="42"/>
        <v>1</v>
      </c>
      <c r="L257" s="863"/>
      <c r="M257" s="52">
        <f t="shared" si="43"/>
        <v>1</v>
      </c>
      <c r="N257" s="863"/>
      <c r="O257" s="52">
        <f t="shared" si="44"/>
        <v>1</v>
      </c>
      <c r="P257" s="863"/>
      <c r="Q257" s="52">
        <f t="shared" si="45"/>
        <v>1</v>
      </c>
      <c r="R257" s="390">
        <f t="shared" si="46"/>
        <v>0</v>
      </c>
      <c r="S257" s="699">
        <f t="shared" si="47"/>
        <v>0</v>
      </c>
    </row>
    <row r="258" spans="1:19">
      <c r="A258" s="865"/>
      <c r="B258" s="134"/>
      <c r="C258" s="52">
        <f t="shared" si="38"/>
        <v>1</v>
      </c>
      <c r="D258" s="863"/>
      <c r="E258" s="52">
        <f t="shared" si="39"/>
        <v>1</v>
      </c>
      <c r="F258" s="863"/>
      <c r="G258" s="52">
        <f t="shared" si="40"/>
        <v>1</v>
      </c>
      <c r="H258" s="863"/>
      <c r="I258" s="52">
        <f t="shared" si="41"/>
        <v>1</v>
      </c>
      <c r="J258" s="863"/>
      <c r="K258" s="52">
        <f t="shared" si="42"/>
        <v>1</v>
      </c>
      <c r="L258" s="863"/>
      <c r="M258" s="52">
        <f t="shared" si="43"/>
        <v>1</v>
      </c>
      <c r="N258" s="863"/>
      <c r="O258" s="52">
        <f t="shared" si="44"/>
        <v>1</v>
      </c>
      <c r="P258" s="863"/>
      <c r="Q258" s="52">
        <f t="shared" si="45"/>
        <v>1</v>
      </c>
      <c r="R258" s="390">
        <f t="shared" si="46"/>
        <v>0</v>
      </c>
      <c r="S258" s="699">
        <f t="shared" si="47"/>
        <v>0</v>
      </c>
    </row>
    <row r="259" spans="1:19">
      <c r="A259" s="865"/>
      <c r="B259" s="134"/>
      <c r="C259" s="52">
        <f t="shared" si="38"/>
        <v>1</v>
      </c>
      <c r="D259" s="863"/>
      <c r="E259" s="52">
        <f t="shared" si="39"/>
        <v>1</v>
      </c>
      <c r="F259" s="863"/>
      <c r="G259" s="52">
        <f t="shared" si="40"/>
        <v>1</v>
      </c>
      <c r="H259" s="863"/>
      <c r="I259" s="52">
        <f t="shared" si="41"/>
        <v>1</v>
      </c>
      <c r="J259" s="863"/>
      <c r="K259" s="52">
        <f t="shared" si="42"/>
        <v>1</v>
      </c>
      <c r="L259" s="863"/>
      <c r="M259" s="52">
        <f t="shared" si="43"/>
        <v>1</v>
      </c>
      <c r="N259" s="863"/>
      <c r="O259" s="52">
        <f t="shared" si="44"/>
        <v>1</v>
      </c>
      <c r="P259" s="863"/>
      <c r="Q259" s="52">
        <f t="shared" si="45"/>
        <v>1</v>
      </c>
      <c r="R259" s="390">
        <f t="shared" si="46"/>
        <v>0</v>
      </c>
      <c r="S259" s="699">
        <f t="shared" si="47"/>
        <v>0</v>
      </c>
    </row>
    <row r="260" spans="1:19">
      <c r="A260" s="865"/>
      <c r="B260" s="134"/>
      <c r="C260" s="52">
        <f t="shared" si="38"/>
        <v>1</v>
      </c>
      <c r="D260" s="863"/>
      <c r="E260" s="52">
        <f t="shared" si="39"/>
        <v>1</v>
      </c>
      <c r="F260" s="863"/>
      <c r="G260" s="52">
        <f t="shared" si="40"/>
        <v>1</v>
      </c>
      <c r="H260" s="863"/>
      <c r="I260" s="52">
        <f t="shared" si="41"/>
        <v>1</v>
      </c>
      <c r="J260" s="863"/>
      <c r="K260" s="52">
        <f t="shared" si="42"/>
        <v>1</v>
      </c>
      <c r="L260" s="863"/>
      <c r="M260" s="52">
        <f t="shared" si="43"/>
        <v>1</v>
      </c>
      <c r="N260" s="863"/>
      <c r="O260" s="52">
        <f t="shared" si="44"/>
        <v>1</v>
      </c>
      <c r="P260" s="863"/>
      <c r="Q260" s="52">
        <f t="shared" si="45"/>
        <v>1</v>
      </c>
      <c r="R260" s="390">
        <f t="shared" si="46"/>
        <v>0</v>
      </c>
      <c r="S260" s="699">
        <f t="shared" si="47"/>
        <v>0</v>
      </c>
    </row>
    <row r="261" spans="1:19">
      <c r="A261" s="865"/>
      <c r="B261" s="134"/>
      <c r="C261" s="52">
        <f t="shared" si="38"/>
        <v>1</v>
      </c>
      <c r="D261" s="863"/>
      <c r="E261" s="52">
        <f t="shared" si="39"/>
        <v>1</v>
      </c>
      <c r="F261" s="863"/>
      <c r="G261" s="52">
        <f t="shared" si="40"/>
        <v>1</v>
      </c>
      <c r="H261" s="863"/>
      <c r="I261" s="52">
        <f t="shared" si="41"/>
        <v>1</v>
      </c>
      <c r="J261" s="863"/>
      <c r="K261" s="52">
        <f t="shared" si="42"/>
        <v>1</v>
      </c>
      <c r="L261" s="863"/>
      <c r="M261" s="52">
        <f t="shared" si="43"/>
        <v>1</v>
      </c>
      <c r="N261" s="863"/>
      <c r="O261" s="52">
        <f t="shared" si="44"/>
        <v>1</v>
      </c>
      <c r="P261" s="863"/>
      <c r="Q261" s="52">
        <f t="shared" si="45"/>
        <v>1</v>
      </c>
      <c r="R261" s="390">
        <f t="shared" si="46"/>
        <v>0</v>
      </c>
      <c r="S261" s="699">
        <f t="shared" si="47"/>
        <v>0</v>
      </c>
    </row>
    <row r="262" spans="1:19">
      <c r="A262" s="865"/>
      <c r="B262" s="134"/>
      <c r="C262" s="52">
        <f t="shared" si="38"/>
        <v>1</v>
      </c>
      <c r="D262" s="863"/>
      <c r="E262" s="52">
        <f t="shared" si="39"/>
        <v>1</v>
      </c>
      <c r="F262" s="863"/>
      <c r="G262" s="52">
        <f t="shared" si="40"/>
        <v>1</v>
      </c>
      <c r="H262" s="863"/>
      <c r="I262" s="52">
        <f t="shared" si="41"/>
        <v>1</v>
      </c>
      <c r="J262" s="863"/>
      <c r="K262" s="52">
        <f t="shared" si="42"/>
        <v>1</v>
      </c>
      <c r="L262" s="863"/>
      <c r="M262" s="52">
        <f t="shared" si="43"/>
        <v>1</v>
      </c>
      <c r="N262" s="863"/>
      <c r="O262" s="52">
        <f t="shared" si="44"/>
        <v>1</v>
      </c>
      <c r="P262" s="863"/>
      <c r="Q262" s="52">
        <f t="shared" si="45"/>
        <v>1</v>
      </c>
      <c r="R262" s="390">
        <f t="shared" si="46"/>
        <v>0</v>
      </c>
      <c r="S262" s="699">
        <f t="shared" si="47"/>
        <v>0</v>
      </c>
    </row>
    <row r="263" spans="1:19">
      <c r="A263" s="865"/>
      <c r="B263" s="134"/>
      <c r="C263" s="52">
        <f t="shared" si="38"/>
        <v>1</v>
      </c>
      <c r="D263" s="863"/>
      <c r="E263" s="52">
        <f t="shared" si="39"/>
        <v>1</v>
      </c>
      <c r="F263" s="863"/>
      <c r="G263" s="52">
        <f t="shared" si="40"/>
        <v>1</v>
      </c>
      <c r="H263" s="863"/>
      <c r="I263" s="52">
        <f t="shared" si="41"/>
        <v>1</v>
      </c>
      <c r="J263" s="863"/>
      <c r="K263" s="52">
        <f t="shared" si="42"/>
        <v>1</v>
      </c>
      <c r="L263" s="863"/>
      <c r="M263" s="52">
        <f t="shared" si="43"/>
        <v>1</v>
      </c>
      <c r="N263" s="863"/>
      <c r="O263" s="52">
        <f t="shared" si="44"/>
        <v>1</v>
      </c>
      <c r="P263" s="863"/>
      <c r="Q263" s="52">
        <f t="shared" si="45"/>
        <v>1</v>
      </c>
      <c r="R263" s="390">
        <f t="shared" si="46"/>
        <v>0</v>
      </c>
      <c r="S263" s="699">
        <f t="shared" si="47"/>
        <v>0</v>
      </c>
    </row>
    <row r="264" spans="1:19">
      <c r="A264" s="865"/>
      <c r="B264" s="134"/>
      <c r="C264" s="52">
        <f t="shared" si="38"/>
        <v>1</v>
      </c>
      <c r="D264" s="863"/>
      <c r="E264" s="52">
        <f t="shared" si="39"/>
        <v>1</v>
      </c>
      <c r="F264" s="863"/>
      <c r="G264" s="52">
        <f t="shared" si="40"/>
        <v>1</v>
      </c>
      <c r="H264" s="863"/>
      <c r="I264" s="52">
        <f t="shared" si="41"/>
        <v>1</v>
      </c>
      <c r="J264" s="863"/>
      <c r="K264" s="52">
        <f t="shared" si="42"/>
        <v>1</v>
      </c>
      <c r="L264" s="863"/>
      <c r="M264" s="52">
        <f t="shared" si="43"/>
        <v>1</v>
      </c>
      <c r="N264" s="863"/>
      <c r="O264" s="52">
        <f t="shared" si="44"/>
        <v>1</v>
      </c>
      <c r="P264" s="863"/>
      <c r="Q264" s="52">
        <f t="shared" si="45"/>
        <v>1</v>
      </c>
      <c r="R264" s="390">
        <f t="shared" si="46"/>
        <v>0</v>
      </c>
      <c r="S264" s="699">
        <f t="shared" si="47"/>
        <v>0</v>
      </c>
    </row>
    <row r="265" spans="1:19">
      <c r="A265" s="865"/>
      <c r="B265" s="134"/>
      <c r="C265" s="52">
        <f t="shared" si="38"/>
        <v>1</v>
      </c>
      <c r="D265" s="863"/>
      <c r="E265" s="52">
        <f t="shared" si="39"/>
        <v>1</v>
      </c>
      <c r="F265" s="863"/>
      <c r="G265" s="52">
        <f t="shared" si="40"/>
        <v>1</v>
      </c>
      <c r="H265" s="863"/>
      <c r="I265" s="52">
        <f t="shared" si="41"/>
        <v>1</v>
      </c>
      <c r="J265" s="863"/>
      <c r="K265" s="52">
        <f t="shared" si="42"/>
        <v>1</v>
      </c>
      <c r="L265" s="863"/>
      <c r="M265" s="52">
        <f t="shared" si="43"/>
        <v>1</v>
      </c>
      <c r="N265" s="863"/>
      <c r="O265" s="52">
        <f t="shared" si="44"/>
        <v>1</v>
      </c>
      <c r="P265" s="863"/>
      <c r="Q265" s="52">
        <f t="shared" si="45"/>
        <v>1</v>
      </c>
      <c r="R265" s="390">
        <f t="shared" si="46"/>
        <v>0</v>
      </c>
      <c r="S265" s="699">
        <f t="shared" si="47"/>
        <v>0</v>
      </c>
    </row>
    <row r="266" spans="1:19">
      <c r="A266" s="865"/>
      <c r="B266" s="134"/>
      <c r="C266" s="52">
        <f t="shared" si="38"/>
        <v>1</v>
      </c>
      <c r="D266" s="863"/>
      <c r="E266" s="52">
        <f t="shared" si="39"/>
        <v>1</v>
      </c>
      <c r="F266" s="863"/>
      <c r="G266" s="52">
        <f t="shared" si="40"/>
        <v>1</v>
      </c>
      <c r="H266" s="863"/>
      <c r="I266" s="52">
        <f t="shared" si="41"/>
        <v>1</v>
      </c>
      <c r="J266" s="863"/>
      <c r="K266" s="52">
        <f t="shared" si="42"/>
        <v>1</v>
      </c>
      <c r="L266" s="863"/>
      <c r="M266" s="52">
        <f t="shared" si="43"/>
        <v>1</v>
      </c>
      <c r="N266" s="863"/>
      <c r="O266" s="52">
        <f t="shared" si="44"/>
        <v>1</v>
      </c>
      <c r="P266" s="863"/>
      <c r="Q266" s="52">
        <f t="shared" si="45"/>
        <v>1</v>
      </c>
      <c r="R266" s="390">
        <f t="shared" si="46"/>
        <v>0</v>
      </c>
      <c r="S266" s="699">
        <f t="shared" si="47"/>
        <v>0</v>
      </c>
    </row>
    <row r="267" spans="1:19">
      <c r="A267" s="865"/>
      <c r="B267" s="134"/>
      <c r="C267" s="52">
        <f t="shared" si="38"/>
        <v>1</v>
      </c>
      <c r="D267" s="863"/>
      <c r="E267" s="52">
        <f t="shared" si="39"/>
        <v>1</v>
      </c>
      <c r="F267" s="863"/>
      <c r="G267" s="52">
        <f t="shared" si="40"/>
        <v>1</v>
      </c>
      <c r="H267" s="863"/>
      <c r="I267" s="52">
        <f t="shared" si="41"/>
        <v>1</v>
      </c>
      <c r="J267" s="863"/>
      <c r="K267" s="52">
        <f t="shared" si="42"/>
        <v>1</v>
      </c>
      <c r="L267" s="863"/>
      <c r="M267" s="52">
        <f t="shared" si="43"/>
        <v>1</v>
      </c>
      <c r="N267" s="863"/>
      <c r="O267" s="52">
        <f t="shared" si="44"/>
        <v>1</v>
      </c>
      <c r="P267" s="863"/>
      <c r="Q267" s="52">
        <f t="shared" si="45"/>
        <v>1</v>
      </c>
      <c r="R267" s="390">
        <f t="shared" si="46"/>
        <v>0</v>
      </c>
      <c r="S267" s="699">
        <f t="shared" si="47"/>
        <v>0</v>
      </c>
    </row>
    <row r="268" spans="1:19">
      <c r="A268" s="865"/>
      <c r="B268" s="134"/>
      <c r="C268" s="52">
        <f t="shared" si="38"/>
        <v>1</v>
      </c>
      <c r="D268" s="863"/>
      <c r="E268" s="52">
        <f t="shared" si="39"/>
        <v>1</v>
      </c>
      <c r="F268" s="863"/>
      <c r="G268" s="52">
        <f t="shared" si="40"/>
        <v>1</v>
      </c>
      <c r="H268" s="863"/>
      <c r="I268" s="52">
        <f t="shared" si="41"/>
        <v>1</v>
      </c>
      <c r="J268" s="863"/>
      <c r="K268" s="52">
        <f t="shared" si="42"/>
        <v>1</v>
      </c>
      <c r="L268" s="863"/>
      <c r="M268" s="52">
        <f t="shared" si="43"/>
        <v>1</v>
      </c>
      <c r="N268" s="863"/>
      <c r="O268" s="52">
        <f t="shared" si="44"/>
        <v>1</v>
      </c>
      <c r="P268" s="863"/>
      <c r="Q268" s="52">
        <f t="shared" si="45"/>
        <v>1</v>
      </c>
      <c r="R268" s="390">
        <f t="shared" si="46"/>
        <v>0</v>
      </c>
      <c r="S268" s="699">
        <f t="shared" si="47"/>
        <v>0</v>
      </c>
    </row>
    <row r="269" spans="1:19">
      <c r="A269" s="865"/>
      <c r="B269" s="134"/>
      <c r="C269" s="52">
        <f t="shared" si="38"/>
        <v>1</v>
      </c>
      <c r="D269" s="863"/>
      <c r="E269" s="52">
        <f t="shared" si="39"/>
        <v>1</v>
      </c>
      <c r="F269" s="863"/>
      <c r="G269" s="52">
        <f t="shared" si="40"/>
        <v>1</v>
      </c>
      <c r="H269" s="863"/>
      <c r="I269" s="52">
        <f t="shared" si="41"/>
        <v>1</v>
      </c>
      <c r="J269" s="863"/>
      <c r="K269" s="52">
        <f t="shared" si="42"/>
        <v>1</v>
      </c>
      <c r="L269" s="863"/>
      <c r="M269" s="52">
        <f t="shared" si="43"/>
        <v>1</v>
      </c>
      <c r="N269" s="863"/>
      <c r="O269" s="52">
        <f t="shared" si="44"/>
        <v>1</v>
      </c>
      <c r="P269" s="863"/>
      <c r="Q269" s="52">
        <f t="shared" si="45"/>
        <v>1</v>
      </c>
      <c r="R269" s="390">
        <f t="shared" si="46"/>
        <v>0</v>
      </c>
      <c r="S269" s="699">
        <f t="shared" si="47"/>
        <v>0</v>
      </c>
    </row>
    <row r="270" spans="1:19">
      <c r="A270" s="865"/>
      <c r="B270" s="134"/>
      <c r="C270" s="52">
        <f t="shared" si="38"/>
        <v>1</v>
      </c>
      <c r="D270" s="863"/>
      <c r="E270" s="52">
        <f t="shared" si="39"/>
        <v>1</v>
      </c>
      <c r="F270" s="863"/>
      <c r="G270" s="52">
        <f t="shared" si="40"/>
        <v>1</v>
      </c>
      <c r="H270" s="863"/>
      <c r="I270" s="52">
        <f t="shared" si="41"/>
        <v>1</v>
      </c>
      <c r="J270" s="863"/>
      <c r="K270" s="52">
        <f t="shared" si="42"/>
        <v>1</v>
      </c>
      <c r="L270" s="863"/>
      <c r="M270" s="52">
        <f t="shared" si="43"/>
        <v>1</v>
      </c>
      <c r="N270" s="863"/>
      <c r="O270" s="52">
        <f t="shared" si="44"/>
        <v>1</v>
      </c>
      <c r="P270" s="863"/>
      <c r="Q270" s="52">
        <f t="shared" si="45"/>
        <v>1</v>
      </c>
      <c r="R270" s="390">
        <f t="shared" si="46"/>
        <v>0</v>
      </c>
      <c r="S270" s="699">
        <f t="shared" si="47"/>
        <v>0</v>
      </c>
    </row>
    <row r="271" spans="1:19">
      <c r="A271" s="865"/>
      <c r="B271" s="134"/>
      <c r="C271" s="52">
        <f t="shared" si="38"/>
        <v>1</v>
      </c>
      <c r="D271" s="863"/>
      <c r="E271" s="52">
        <f t="shared" si="39"/>
        <v>1</v>
      </c>
      <c r="F271" s="863"/>
      <c r="G271" s="52">
        <f t="shared" si="40"/>
        <v>1</v>
      </c>
      <c r="H271" s="863"/>
      <c r="I271" s="52">
        <f t="shared" si="41"/>
        <v>1</v>
      </c>
      <c r="J271" s="863"/>
      <c r="K271" s="52">
        <f t="shared" si="42"/>
        <v>1</v>
      </c>
      <c r="L271" s="863"/>
      <c r="M271" s="52">
        <f t="shared" si="43"/>
        <v>1</v>
      </c>
      <c r="N271" s="863"/>
      <c r="O271" s="52">
        <f t="shared" si="44"/>
        <v>1</v>
      </c>
      <c r="P271" s="863"/>
      <c r="Q271" s="52">
        <f t="shared" si="45"/>
        <v>1</v>
      </c>
      <c r="R271" s="390">
        <f t="shared" si="46"/>
        <v>0</v>
      </c>
      <c r="S271" s="699">
        <f t="shared" si="47"/>
        <v>0</v>
      </c>
    </row>
    <row r="272" spans="1:19">
      <c r="A272" s="865"/>
      <c r="B272" s="134"/>
      <c r="C272" s="52">
        <f t="shared" si="38"/>
        <v>1</v>
      </c>
      <c r="D272" s="863"/>
      <c r="E272" s="52">
        <f t="shared" si="39"/>
        <v>1</v>
      </c>
      <c r="F272" s="863"/>
      <c r="G272" s="52">
        <f t="shared" si="40"/>
        <v>1</v>
      </c>
      <c r="H272" s="863"/>
      <c r="I272" s="52">
        <f t="shared" si="41"/>
        <v>1</v>
      </c>
      <c r="J272" s="863"/>
      <c r="K272" s="52">
        <f t="shared" si="42"/>
        <v>1</v>
      </c>
      <c r="L272" s="863"/>
      <c r="M272" s="52">
        <f t="shared" si="43"/>
        <v>1</v>
      </c>
      <c r="N272" s="863"/>
      <c r="O272" s="52">
        <f t="shared" si="44"/>
        <v>1</v>
      </c>
      <c r="P272" s="863"/>
      <c r="Q272" s="52">
        <f t="shared" si="45"/>
        <v>1</v>
      </c>
      <c r="R272" s="390">
        <f t="shared" si="46"/>
        <v>0</v>
      </c>
      <c r="S272" s="699">
        <f t="shared" si="47"/>
        <v>0</v>
      </c>
    </row>
    <row r="273" spans="1:19">
      <c r="A273" s="865"/>
      <c r="B273" s="134"/>
      <c r="C273" s="52">
        <f t="shared" si="38"/>
        <v>1</v>
      </c>
      <c r="D273" s="863"/>
      <c r="E273" s="52">
        <f t="shared" si="39"/>
        <v>1</v>
      </c>
      <c r="F273" s="863"/>
      <c r="G273" s="52">
        <f t="shared" si="40"/>
        <v>1</v>
      </c>
      <c r="H273" s="863"/>
      <c r="I273" s="52">
        <f t="shared" si="41"/>
        <v>1</v>
      </c>
      <c r="J273" s="863"/>
      <c r="K273" s="52">
        <f t="shared" si="42"/>
        <v>1</v>
      </c>
      <c r="L273" s="863"/>
      <c r="M273" s="52">
        <f t="shared" si="43"/>
        <v>1</v>
      </c>
      <c r="N273" s="863"/>
      <c r="O273" s="52">
        <f t="shared" si="44"/>
        <v>1</v>
      </c>
      <c r="P273" s="863"/>
      <c r="Q273" s="52">
        <f t="shared" si="45"/>
        <v>1</v>
      </c>
      <c r="R273" s="390">
        <f t="shared" si="46"/>
        <v>0</v>
      </c>
      <c r="S273" s="699">
        <f t="shared" si="47"/>
        <v>0</v>
      </c>
    </row>
    <row r="274" spans="1:19">
      <c r="A274" s="865"/>
      <c r="B274" s="134"/>
      <c r="C274" s="52">
        <f t="shared" si="38"/>
        <v>1</v>
      </c>
      <c r="D274" s="863"/>
      <c r="E274" s="52">
        <f t="shared" si="39"/>
        <v>1</v>
      </c>
      <c r="F274" s="863"/>
      <c r="G274" s="52">
        <f t="shared" si="40"/>
        <v>1</v>
      </c>
      <c r="H274" s="863"/>
      <c r="I274" s="52">
        <f t="shared" si="41"/>
        <v>1</v>
      </c>
      <c r="J274" s="863"/>
      <c r="K274" s="52">
        <f t="shared" si="42"/>
        <v>1</v>
      </c>
      <c r="L274" s="863"/>
      <c r="M274" s="52">
        <f t="shared" si="43"/>
        <v>1</v>
      </c>
      <c r="N274" s="863"/>
      <c r="O274" s="52">
        <f t="shared" si="44"/>
        <v>1</v>
      </c>
      <c r="P274" s="863"/>
      <c r="Q274" s="52">
        <f t="shared" si="45"/>
        <v>1</v>
      </c>
      <c r="R274" s="390">
        <f t="shared" si="46"/>
        <v>0</v>
      </c>
      <c r="S274" s="699">
        <f t="shared" si="47"/>
        <v>0</v>
      </c>
    </row>
    <row r="275" spans="1:19">
      <c r="A275" s="865"/>
      <c r="B275" s="134"/>
      <c r="C275" s="52">
        <f t="shared" si="38"/>
        <v>1</v>
      </c>
      <c r="D275" s="863"/>
      <c r="E275" s="52">
        <f t="shared" si="39"/>
        <v>1</v>
      </c>
      <c r="F275" s="863"/>
      <c r="G275" s="52">
        <f t="shared" si="40"/>
        <v>1</v>
      </c>
      <c r="H275" s="863"/>
      <c r="I275" s="52">
        <f t="shared" si="41"/>
        <v>1</v>
      </c>
      <c r="J275" s="863"/>
      <c r="K275" s="52">
        <f t="shared" si="42"/>
        <v>1</v>
      </c>
      <c r="L275" s="863"/>
      <c r="M275" s="52">
        <f t="shared" si="43"/>
        <v>1</v>
      </c>
      <c r="N275" s="863"/>
      <c r="O275" s="52">
        <f t="shared" si="44"/>
        <v>1</v>
      </c>
      <c r="P275" s="863"/>
      <c r="Q275" s="52">
        <f t="shared" si="45"/>
        <v>1</v>
      </c>
      <c r="R275" s="390">
        <f t="shared" si="46"/>
        <v>0</v>
      </c>
      <c r="S275" s="699">
        <f t="shared" si="47"/>
        <v>0</v>
      </c>
    </row>
    <row r="276" spans="1:19">
      <c r="A276" s="865"/>
      <c r="B276" s="134"/>
      <c r="C276" s="52">
        <f t="shared" si="38"/>
        <v>1</v>
      </c>
      <c r="D276" s="863"/>
      <c r="E276" s="52">
        <f t="shared" si="39"/>
        <v>1</v>
      </c>
      <c r="F276" s="863"/>
      <c r="G276" s="52">
        <f t="shared" si="40"/>
        <v>1</v>
      </c>
      <c r="H276" s="863"/>
      <c r="I276" s="52">
        <f t="shared" si="41"/>
        <v>1</v>
      </c>
      <c r="J276" s="863"/>
      <c r="K276" s="52">
        <f t="shared" si="42"/>
        <v>1</v>
      </c>
      <c r="L276" s="863"/>
      <c r="M276" s="52">
        <f t="shared" si="43"/>
        <v>1</v>
      </c>
      <c r="N276" s="863"/>
      <c r="O276" s="52">
        <f t="shared" si="44"/>
        <v>1</v>
      </c>
      <c r="P276" s="863"/>
      <c r="Q276" s="52">
        <f t="shared" si="45"/>
        <v>1</v>
      </c>
      <c r="R276" s="390">
        <f t="shared" si="46"/>
        <v>0</v>
      </c>
      <c r="S276" s="699">
        <f t="shared" si="47"/>
        <v>0</v>
      </c>
    </row>
    <row r="277" spans="1:19">
      <c r="A277" s="865"/>
      <c r="B277" s="134"/>
      <c r="C277" s="52">
        <f t="shared" si="38"/>
        <v>1</v>
      </c>
      <c r="D277" s="863"/>
      <c r="E277" s="52">
        <f t="shared" si="39"/>
        <v>1</v>
      </c>
      <c r="F277" s="863"/>
      <c r="G277" s="52">
        <f t="shared" si="40"/>
        <v>1</v>
      </c>
      <c r="H277" s="863"/>
      <c r="I277" s="52">
        <f t="shared" si="41"/>
        <v>1</v>
      </c>
      <c r="J277" s="863"/>
      <c r="K277" s="52">
        <f t="shared" si="42"/>
        <v>1</v>
      </c>
      <c r="L277" s="863"/>
      <c r="M277" s="52">
        <f t="shared" si="43"/>
        <v>1</v>
      </c>
      <c r="N277" s="863"/>
      <c r="O277" s="52">
        <f t="shared" si="44"/>
        <v>1</v>
      </c>
      <c r="P277" s="863"/>
      <c r="Q277" s="52">
        <f t="shared" si="45"/>
        <v>1</v>
      </c>
      <c r="R277" s="390">
        <f t="shared" si="46"/>
        <v>0</v>
      </c>
      <c r="S277" s="699">
        <f t="shared" si="47"/>
        <v>0</v>
      </c>
    </row>
    <row r="278" spans="1:19">
      <c r="A278" s="865"/>
      <c r="B278" s="134"/>
      <c r="C278" s="52">
        <f t="shared" si="38"/>
        <v>1</v>
      </c>
      <c r="D278" s="863"/>
      <c r="E278" s="52">
        <f t="shared" si="39"/>
        <v>1</v>
      </c>
      <c r="F278" s="863"/>
      <c r="G278" s="52">
        <f t="shared" si="40"/>
        <v>1</v>
      </c>
      <c r="H278" s="863"/>
      <c r="I278" s="52">
        <f t="shared" si="41"/>
        <v>1</v>
      </c>
      <c r="J278" s="863"/>
      <c r="K278" s="52">
        <f t="shared" si="42"/>
        <v>1</v>
      </c>
      <c r="L278" s="863"/>
      <c r="M278" s="52">
        <f t="shared" si="43"/>
        <v>1</v>
      </c>
      <c r="N278" s="863"/>
      <c r="O278" s="52">
        <f t="shared" si="44"/>
        <v>1</v>
      </c>
      <c r="P278" s="863"/>
      <c r="Q278" s="52">
        <f t="shared" si="45"/>
        <v>1</v>
      </c>
      <c r="R278" s="390">
        <f t="shared" si="46"/>
        <v>0</v>
      </c>
      <c r="S278" s="699">
        <f t="shared" si="47"/>
        <v>0</v>
      </c>
    </row>
    <row r="279" spans="1:19">
      <c r="A279" s="865"/>
      <c r="B279" s="134"/>
      <c r="C279" s="52">
        <f t="shared" si="38"/>
        <v>1</v>
      </c>
      <c r="D279" s="863"/>
      <c r="E279" s="52">
        <f t="shared" si="39"/>
        <v>1</v>
      </c>
      <c r="F279" s="863"/>
      <c r="G279" s="52">
        <f t="shared" si="40"/>
        <v>1</v>
      </c>
      <c r="H279" s="863"/>
      <c r="I279" s="52">
        <f t="shared" si="41"/>
        <v>1</v>
      </c>
      <c r="J279" s="863"/>
      <c r="K279" s="52">
        <f t="shared" si="42"/>
        <v>1</v>
      </c>
      <c r="L279" s="863"/>
      <c r="M279" s="52">
        <f t="shared" si="43"/>
        <v>1</v>
      </c>
      <c r="N279" s="863"/>
      <c r="O279" s="52">
        <f t="shared" si="44"/>
        <v>1</v>
      </c>
      <c r="P279" s="863"/>
      <c r="Q279" s="52">
        <f t="shared" si="45"/>
        <v>1</v>
      </c>
      <c r="R279" s="390">
        <f t="shared" si="46"/>
        <v>0</v>
      </c>
      <c r="S279" s="699">
        <f t="shared" si="47"/>
        <v>0</v>
      </c>
    </row>
    <row r="280" spans="1:19">
      <c r="A280" s="865"/>
      <c r="B280" s="134"/>
      <c r="C280" s="52">
        <f t="shared" si="38"/>
        <v>1</v>
      </c>
      <c r="D280" s="863"/>
      <c r="E280" s="52">
        <f t="shared" si="39"/>
        <v>1</v>
      </c>
      <c r="F280" s="863"/>
      <c r="G280" s="52">
        <f t="shared" si="40"/>
        <v>1</v>
      </c>
      <c r="H280" s="863"/>
      <c r="I280" s="52">
        <f t="shared" si="41"/>
        <v>1</v>
      </c>
      <c r="J280" s="863"/>
      <c r="K280" s="52">
        <f t="shared" si="42"/>
        <v>1</v>
      </c>
      <c r="L280" s="863"/>
      <c r="M280" s="52">
        <f t="shared" si="43"/>
        <v>1</v>
      </c>
      <c r="N280" s="863"/>
      <c r="O280" s="52">
        <f t="shared" si="44"/>
        <v>1</v>
      </c>
      <c r="P280" s="863"/>
      <c r="Q280" s="52">
        <f t="shared" si="45"/>
        <v>1</v>
      </c>
      <c r="R280" s="390">
        <f t="shared" si="46"/>
        <v>0</v>
      </c>
      <c r="S280" s="699">
        <f t="shared" si="47"/>
        <v>0</v>
      </c>
    </row>
    <row r="281" spans="1:19">
      <c r="A281" s="865"/>
      <c r="B281" s="134"/>
      <c r="C281" s="52">
        <f t="shared" si="38"/>
        <v>1</v>
      </c>
      <c r="D281" s="863"/>
      <c r="E281" s="52">
        <f t="shared" si="39"/>
        <v>1</v>
      </c>
      <c r="F281" s="863"/>
      <c r="G281" s="52">
        <f t="shared" si="40"/>
        <v>1</v>
      </c>
      <c r="H281" s="863"/>
      <c r="I281" s="52">
        <f t="shared" si="41"/>
        <v>1</v>
      </c>
      <c r="J281" s="863"/>
      <c r="K281" s="52">
        <f t="shared" si="42"/>
        <v>1</v>
      </c>
      <c r="L281" s="863"/>
      <c r="M281" s="52">
        <f t="shared" si="43"/>
        <v>1</v>
      </c>
      <c r="N281" s="863"/>
      <c r="O281" s="52">
        <f t="shared" si="44"/>
        <v>1</v>
      </c>
      <c r="P281" s="863"/>
      <c r="Q281" s="52">
        <f t="shared" si="45"/>
        <v>1</v>
      </c>
      <c r="R281" s="390">
        <f t="shared" si="46"/>
        <v>0</v>
      </c>
      <c r="S281" s="699">
        <f t="shared" si="47"/>
        <v>0</v>
      </c>
    </row>
    <row r="282" spans="1:19">
      <c r="A282" s="865"/>
      <c r="B282" s="134"/>
      <c r="C282" s="52">
        <f t="shared" ref="C282:C345" si="48">IF(B282="",1,(LOOKUP(B282,$3:$3,$4:$4)-LOOKUP($B$24,$3:$3,$4:$4)+100)/100)</f>
        <v>1</v>
      </c>
      <c r="D282" s="863"/>
      <c r="E282" s="52">
        <f t="shared" ref="E282:E345" si="49">(SUMIF($5:$5,D282,$6:$6)-SUMIF($5:$5,$D$24,$6:$6)+100)/100</f>
        <v>1</v>
      </c>
      <c r="F282" s="863"/>
      <c r="G282" s="52">
        <f t="shared" ref="G282:G345" si="50">(SUMIF($7:$7,F282,$8:$8)-SUMIF($7:$7,$F$24,$8:$8)+100)/100</f>
        <v>1</v>
      </c>
      <c r="H282" s="863"/>
      <c r="I282" s="52">
        <f t="shared" ref="I282:I345" si="51">(SUMIF($9:$9,H282,$10:$10)-SUMIF($9:$9,$H$24,$10:$10)+100)/100</f>
        <v>1</v>
      </c>
      <c r="J282" s="863"/>
      <c r="K282" s="52">
        <f t="shared" ref="K282:K345" si="52">(SUMIF($11:$11,J282,$12:$12)-SUMIF($11:$11,$J$24,$12:$12)+100)/100</f>
        <v>1</v>
      </c>
      <c r="L282" s="863"/>
      <c r="M282" s="52">
        <f t="shared" ref="M282:M345" si="53">(SUMIF($13:$13,L282,$14:$14)-SUMIF($13:$13,$L$24,$14:$14)+100)/100</f>
        <v>1</v>
      </c>
      <c r="N282" s="863"/>
      <c r="O282" s="52">
        <f t="shared" ref="O282:O345" si="54">(SUMIF($15:$15,N282,$16:$16)-SUMIF($15:$15,$N$24,$16:$16)+100)/100</f>
        <v>1</v>
      </c>
      <c r="P282" s="863"/>
      <c r="Q282" s="52">
        <f t="shared" ref="Q282:Q345" si="55">(SUMIF($17:$17,P282,$18:$18)-SUMIF($17:$17,$P$24,$18:$18)+100)/100</f>
        <v>1</v>
      </c>
      <c r="R282" s="390">
        <f t="shared" ref="R282:R345" si="56">IF(B282="",0,ROUND($R$24*C282*E282*G282*I282*K282*M282*O282*Q282,0))</f>
        <v>0</v>
      </c>
      <c r="S282" s="699">
        <f t="shared" si="47"/>
        <v>0</v>
      </c>
    </row>
    <row r="283" spans="1:19">
      <c r="A283" s="865"/>
      <c r="B283" s="134"/>
      <c r="C283" s="52">
        <f t="shared" si="48"/>
        <v>1</v>
      </c>
      <c r="D283" s="863"/>
      <c r="E283" s="52">
        <f t="shared" si="49"/>
        <v>1</v>
      </c>
      <c r="F283" s="863"/>
      <c r="G283" s="52">
        <f t="shared" si="50"/>
        <v>1</v>
      </c>
      <c r="H283" s="863"/>
      <c r="I283" s="52">
        <f t="shared" si="51"/>
        <v>1</v>
      </c>
      <c r="J283" s="863"/>
      <c r="K283" s="52">
        <f t="shared" si="52"/>
        <v>1</v>
      </c>
      <c r="L283" s="863"/>
      <c r="M283" s="52">
        <f t="shared" si="53"/>
        <v>1</v>
      </c>
      <c r="N283" s="863"/>
      <c r="O283" s="52">
        <f t="shared" si="54"/>
        <v>1</v>
      </c>
      <c r="P283" s="863"/>
      <c r="Q283" s="52">
        <f t="shared" si="55"/>
        <v>1</v>
      </c>
      <c r="R283" s="390">
        <f t="shared" si="56"/>
        <v>0</v>
      </c>
      <c r="S283" s="699">
        <f t="shared" si="47"/>
        <v>0</v>
      </c>
    </row>
    <row r="284" spans="1:19">
      <c r="A284" s="865"/>
      <c r="B284" s="134"/>
      <c r="C284" s="52">
        <f t="shared" si="48"/>
        <v>1</v>
      </c>
      <c r="D284" s="863"/>
      <c r="E284" s="52">
        <f t="shared" si="49"/>
        <v>1</v>
      </c>
      <c r="F284" s="863"/>
      <c r="G284" s="52">
        <f t="shared" si="50"/>
        <v>1</v>
      </c>
      <c r="H284" s="863"/>
      <c r="I284" s="52">
        <f t="shared" si="51"/>
        <v>1</v>
      </c>
      <c r="J284" s="863"/>
      <c r="K284" s="52">
        <f t="shared" si="52"/>
        <v>1</v>
      </c>
      <c r="L284" s="863"/>
      <c r="M284" s="52">
        <f t="shared" si="53"/>
        <v>1</v>
      </c>
      <c r="N284" s="863"/>
      <c r="O284" s="52">
        <f t="shared" si="54"/>
        <v>1</v>
      </c>
      <c r="P284" s="863"/>
      <c r="Q284" s="52">
        <f t="shared" si="55"/>
        <v>1</v>
      </c>
      <c r="R284" s="390">
        <f t="shared" si="56"/>
        <v>0</v>
      </c>
      <c r="S284" s="699">
        <f t="shared" si="47"/>
        <v>0</v>
      </c>
    </row>
    <row r="285" spans="1:19">
      <c r="A285" s="865"/>
      <c r="B285" s="134"/>
      <c r="C285" s="52">
        <f t="shared" si="48"/>
        <v>1</v>
      </c>
      <c r="D285" s="863"/>
      <c r="E285" s="52">
        <f t="shared" si="49"/>
        <v>1</v>
      </c>
      <c r="F285" s="863"/>
      <c r="G285" s="52">
        <f t="shared" si="50"/>
        <v>1</v>
      </c>
      <c r="H285" s="863"/>
      <c r="I285" s="52">
        <f t="shared" si="51"/>
        <v>1</v>
      </c>
      <c r="J285" s="863"/>
      <c r="K285" s="52">
        <f t="shared" si="52"/>
        <v>1</v>
      </c>
      <c r="L285" s="863"/>
      <c r="M285" s="52">
        <f t="shared" si="53"/>
        <v>1</v>
      </c>
      <c r="N285" s="863"/>
      <c r="O285" s="52">
        <f t="shared" si="54"/>
        <v>1</v>
      </c>
      <c r="P285" s="863"/>
      <c r="Q285" s="52">
        <f t="shared" si="55"/>
        <v>1</v>
      </c>
      <c r="R285" s="390">
        <f t="shared" si="56"/>
        <v>0</v>
      </c>
      <c r="S285" s="699">
        <f t="shared" si="47"/>
        <v>0</v>
      </c>
    </row>
    <row r="286" spans="1:19">
      <c r="A286" s="865"/>
      <c r="B286" s="134"/>
      <c r="C286" s="52">
        <f t="shared" si="48"/>
        <v>1</v>
      </c>
      <c r="D286" s="863"/>
      <c r="E286" s="52">
        <f t="shared" si="49"/>
        <v>1</v>
      </c>
      <c r="F286" s="863"/>
      <c r="G286" s="52">
        <f t="shared" si="50"/>
        <v>1</v>
      </c>
      <c r="H286" s="863"/>
      <c r="I286" s="52">
        <f t="shared" si="51"/>
        <v>1</v>
      </c>
      <c r="J286" s="863"/>
      <c r="K286" s="52">
        <f t="shared" si="52"/>
        <v>1</v>
      </c>
      <c r="L286" s="863"/>
      <c r="M286" s="52">
        <f t="shared" si="53"/>
        <v>1</v>
      </c>
      <c r="N286" s="863"/>
      <c r="O286" s="52">
        <f t="shared" si="54"/>
        <v>1</v>
      </c>
      <c r="P286" s="863"/>
      <c r="Q286" s="52">
        <f t="shared" si="55"/>
        <v>1</v>
      </c>
      <c r="R286" s="390">
        <f t="shared" si="56"/>
        <v>0</v>
      </c>
      <c r="S286" s="699">
        <f t="shared" si="47"/>
        <v>0</v>
      </c>
    </row>
    <row r="287" spans="1:19">
      <c r="A287" s="865"/>
      <c r="B287" s="134"/>
      <c r="C287" s="52">
        <f t="shared" si="48"/>
        <v>1</v>
      </c>
      <c r="D287" s="863"/>
      <c r="E287" s="52">
        <f t="shared" si="49"/>
        <v>1</v>
      </c>
      <c r="F287" s="863"/>
      <c r="G287" s="52">
        <f t="shared" si="50"/>
        <v>1</v>
      </c>
      <c r="H287" s="863"/>
      <c r="I287" s="52">
        <f t="shared" si="51"/>
        <v>1</v>
      </c>
      <c r="J287" s="863"/>
      <c r="K287" s="52">
        <f t="shared" si="52"/>
        <v>1</v>
      </c>
      <c r="L287" s="863"/>
      <c r="M287" s="52">
        <f t="shared" si="53"/>
        <v>1</v>
      </c>
      <c r="N287" s="863"/>
      <c r="O287" s="52">
        <f t="shared" si="54"/>
        <v>1</v>
      </c>
      <c r="P287" s="863"/>
      <c r="Q287" s="52">
        <f t="shared" si="55"/>
        <v>1</v>
      </c>
      <c r="R287" s="390">
        <f t="shared" si="56"/>
        <v>0</v>
      </c>
      <c r="S287" s="699">
        <f t="shared" ref="S287:S320" si="57">ROUND(R287*B287/10000,0)</f>
        <v>0</v>
      </c>
    </row>
    <row r="288" spans="1:19">
      <c r="A288" s="865"/>
      <c r="B288" s="134"/>
      <c r="C288" s="52">
        <f t="shared" si="48"/>
        <v>1</v>
      </c>
      <c r="D288" s="863"/>
      <c r="E288" s="52">
        <f t="shared" si="49"/>
        <v>1</v>
      </c>
      <c r="F288" s="863"/>
      <c r="G288" s="52">
        <f t="shared" si="50"/>
        <v>1</v>
      </c>
      <c r="H288" s="863"/>
      <c r="I288" s="52">
        <f t="shared" si="51"/>
        <v>1</v>
      </c>
      <c r="J288" s="863"/>
      <c r="K288" s="52">
        <f t="shared" si="52"/>
        <v>1</v>
      </c>
      <c r="L288" s="863"/>
      <c r="M288" s="52">
        <f t="shared" si="53"/>
        <v>1</v>
      </c>
      <c r="N288" s="863"/>
      <c r="O288" s="52">
        <f t="shared" si="54"/>
        <v>1</v>
      </c>
      <c r="P288" s="863"/>
      <c r="Q288" s="52">
        <f t="shared" si="55"/>
        <v>1</v>
      </c>
      <c r="R288" s="390">
        <f t="shared" si="56"/>
        <v>0</v>
      </c>
      <c r="S288" s="699">
        <f t="shared" si="57"/>
        <v>0</v>
      </c>
    </row>
    <row r="289" spans="1:19">
      <c r="A289" s="865"/>
      <c r="B289" s="134"/>
      <c r="C289" s="52">
        <f t="shared" si="48"/>
        <v>1</v>
      </c>
      <c r="D289" s="863"/>
      <c r="E289" s="52">
        <f t="shared" si="49"/>
        <v>1</v>
      </c>
      <c r="F289" s="863"/>
      <c r="G289" s="52">
        <f t="shared" si="50"/>
        <v>1</v>
      </c>
      <c r="H289" s="863"/>
      <c r="I289" s="52">
        <f t="shared" si="51"/>
        <v>1</v>
      </c>
      <c r="J289" s="863"/>
      <c r="K289" s="52">
        <f t="shared" si="52"/>
        <v>1</v>
      </c>
      <c r="L289" s="863"/>
      <c r="M289" s="52">
        <f t="shared" si="53"/>
        <v>1</v>
      </c>
      <c r="N289" s="863"/>
      <c r="O289" s="52">
        <f t="shared" si="54"/>
        <v>1</v>
      </c>
      <c r="P289" s="863"/>
      <c r="Q289" s="52">
        <f t="shared" si="55"/>
        <v>1</v>
      </c>
      <c r="R289" s="390">
        <f t="shared" si="56"/>
        <v>0</v>
      </c>
      <c r="S289" s="699">
        <f t="shared" si="57"/>
        <v>0</v>
      </c>
    </row>
    <row r="290" spans="1:19">
      <c r="A290" s="865"/>
      <c r="B290" s="134"/>
      <c r="C290" s="52">
        <f t="shared" si="48"/>
        <v>1</v>
      </c>
      <c r="D290" s="863"/>
      <c r="E290" s="52">
        <f t="shared" si="49"/>
        <v>1</v>
      </c>
      <c r="F290" s="863"/>
      <c r="G290" s="52">
        <f t="shared" si="50"/>
        <v>1</v>
      </c>
      <c r="H290" s="863"/>
      <c r="I290" s="52">
        <f t="shared" si="51"/>
        <v>1</v>
      </c>
      <c r="J290" s="863"/>
      <c r="K290" s="52">
        <f t="shared" si="52"/>
        <v>1</v>
      </c>
      <c r="L290" s="863"/>
      <c r="M290" s="52">
        <f t="shared" si="53"/>
        <v>1</v>
      </c>
      <c r="N290" s="863"/>
      <c r="O290" s="52">
        <f t="shared" si="54"/>
        <v>1</v>
      </c>
      <c r="P290" s="863"/>
      <c r="Q290" s="52">
        <f t="shared" si="55"/>
        <v>1</v>
      </c>
      <c r="R290" s="390">
        <f t="shared" si="56"/>
        <v>0</v>
      </c>
      <c r="S290" s="699">
        <f t="shared" si="57"/>
        <v>0</v>
      </c>
    </row>
    <row r="291" spans="1:19">
      <c r="A291" s="865"/>
      <c r="B291" s="134"/>
      <c r="C291" s="52">
        <f t="shared" si="48"/>
        <v>1</v>
      </c>
      <c r="D291" s="863"/>
      <c r="E291" s="52">
        <f t="shared" si="49"/>
        <v>1</v>
      </c>
      <c r="F291" s="863"/>
      <c r="G291" s="52">
        <f t="shared" si="50"/>
        <v>1</v>
      </c>
      <c r="H291" s="863"/>
      <c r="I291" s="52">
        <f t="shared" si="51"/>
        <v>1</v>
      </c>
      <c r="J291" s="863"/>
      <c r="K291" s="52">
        <f t="shared" si="52"/>
        <v>1</v>
      </c>
      <c r="L291" s="863"/>
      <c r="M291" s="52">
        <f t="shared" si="53"/>
        <v>1</v>
      </c>
      <c r="N291" s="863"/>
      <c r="O291" s="52">
        <f t="shared" si="54"/>
        <v>1</v>
      </c>
      <c r="P291" s="863"/>
      <c r="Q291" s="52">
        <f t="shared" si="55"/>
        <v>1</v>
      </c>
      <c r="R291" s="390">
        <f t="shared" si="56"/>
        <v>0</v>
      </c>
      <c r="S291" s="699">
        <f t="shared" si="57"/>
        <v>0</v>
      </c>
    </row>
    <row r="292" spans="1:19">
      <c r="A292" s="865"/>
      <c r="B292" s="134"/>
      <c r="C292" s="52">
        <f t="shared" si="48"/>
        <v>1</v>
      </c>
      <c r="D292" s="863"/>
      <c r="E292" s="52">
        <f t="shared" si="49"/>
        <v>1</v>
      </c>
      <c r="F292" s="863"/>
      <c r="G292" s="52">
        <f t="shared" si="50"/>
        <v>1</v>
      </c>
      <c r="H292" s="863"/>
      <c r="I292" s="52">
        <f t="shared" si="51"/>
        <v>1</v>
      </c>
      <c r="J292" s="863"/>
      <c r="K292" s="52">
        <f t="shared" si="52"/>
        <v>1</v>
      </c>
      <c r="L292" s="863"/>
      <c r="M292" s="52">
        <f t="shared" si="53"/>
        <v>1</v>
      </c>
      <c r="N292" s="863"/>
      <c r="O292" s="52">
        <f t="shared" si="54"/>
        <v>1</v>
      </c>
      <c r="P292" s="863"/>
      <c r="Q292" s="52">
        <f t="shared" si="55"/>
        <v>1</v>
      </c>
      <c r="R292" s="390">
        <f t="shared" si="56"/>
        <v>0</v>
      </c>
      <c r="S292" s="699">
        <f t="shared" si="57"/>
        <v>0</v>
      </c>
    </row>
    <row r="293" spans="1:19">
      <c r="A293" s="865"/>
      <c r="B293" s="134"/>
      <c r="C293" s="52">
        <f t="shared" si="48"/>
        <v>1</v>
      </c>
      <c r="D293" s="863"/>
      <c r="E293" s="52">
        <f t="shared" si="49"/>
        <v>1</v>
      </c>
      <c r="F293" s="863"/>
      <c r="G293" s="52">
        <f t="shared" si="50"/>
        <v>1</v>
      </c>
      <c r="H293" s="863"/>
      <c r="I293" s="52">
        <f t="shared" si="51"/>
        <v>1</v>
      </c>
      <c r="J293" s="863"/>
      <c r="K293" s="52">
        <f t="shared" si="52"/>
        <v>1</v>
      </c>
      <c r="L293" s="863"/>
      <c r="M293" s="52">
        <f t="shared" si="53"/>
        <v>1</v>
      </c>
      <c r="N293" s="863"/>
      <c r="O293" s="52">
        <f t="shared" si="54"/>
        <v>1</v>
      </c>
      <c r="P293" s="863"/>
      <c r="Q293" s="52">
        <f t="shared" si="55"/>
        <v>1</v>
      </c>
      <c r="R293" s="390">
        <f t="shared" si="56"/>
        <v>0</v>
      </c>
      <c r="S293" s="699">
        <f t="shared" si="57"/>
        <v>0</v>
      </c>
    </row>
    <row r="294" spans="1:19">
      <c r="A294" s="865"/>
      <c r="B294" s="134"/>
      <c r="C294" s="52">
        <f t="shared" si="48"/>
        <v>1</v>
      </c>
      <c r="D294" s="863"/>
      <c r="E294" s="52">
        <f t="shared" si="49"/>
        <v>1</v>
      </c>
      <c r="F294" s="863"/>
      <c r="G294" s="52">
        <f t="shared" si="50"/>
        <v>1</v>
      </c>
      <c r="H294" s="863"/>
      <c r="I294" s="52">
        <f t="shared" si="51"/>
        <v>1</v>
      </c>
      <c r="J294" s="863"/>
      <c r="K294" s="52">
        <f t="shared" si="52"/>
        <v>1</v>
      </c>
      <c r="L294" s="863"/>
      <c r="M294" s="52">
        <f t="shared" si="53"/>
        <v>1</v>
      </c>
      <c r="N294" s="863"/>
      <c r="O294" s="52">
        <f t="shared" si="54"/>
        <v>1</v>
      </c>
      <c r="P294" s="863"/>
      <c r="Q294" s="52">
        <f t="shared" si="55"/>
        <v>1</v>
      </c>
      <c r="R294" s="390">
        <f t="shared" si="56"/>
        <v>0</v>
      </c>
      <c r="S294" s="699">
        <f t="shared" si="57"/>
        <v>0</v>
      </c>
    </row>
    <row r="295" spans="1:19">
      <c r="A295" s="865"/>
      <c r="B295" s="134"/>
      <c r="C295" s="52">
        <f t="shared" si="48"/>
        <v>1</v>
      </c>
      <c r="D295" s="863"/>
      <c r="E295" s="52">
        <f t="shared" si="49"/>
        <v>1</v>
      </c>
      <c r="F295" s="863"/>
      <c r="G295" s="52">
        <f t="shared" si="50"/>
        <v>1</v>
      </c>
      <c r="H295" s="863"/>
      <c r="I295" s="52">
        <f t="shared" si="51"/>
        <v>1</v>
      </c>
      <c r="J295" s="863"/>
      <c r="K295" s="52">
        <f t="shared" si="52"/>
        <v>1</v>
      </c>
      <c r="L295" s="863"/>
      <c r="M295" s="52">
        <f t="shared" si="53"/>
        <v>1</v>
      </c>
      <c r="N295" s="863"/>
      <c r="O295" s="52">
        <f t="shared" si="54"/>
        <v>1</v>
      </c>
      <c r="P295" s="863"/>
      <c r="Q295" s="52">
        <f t="shared" si="55"/>
        <v>1</v>
      </c>
      <c r="R295" s="390">
        <f t="shared" si="56"/>
        <v>0</v>
      </c>
      <c r="S295" s="699">
        <f t="shared" si="57"/>
        <v>0</v>
      </c>
    </row>
    <row r="296" spans="1:19">
      <c r="A296" s="865"/>
      <c r="B296" s="134"/>
      <c r="C296" s="52">
        <f t="shared" si="48"/>
        <v>1</v>
      </c>
      <c r="D296" s="863"/>
      <c r="E296" s="52">
        <f t="shared" si="49"/>
        <v>1</v>
      </c>
      <c r="F296" s="863"/>
      <c r="G296" s="52">
        <f t="shared" si="50"/>
        <v>1</v>
      </c>
      <c r="H296" s="863"/>
      <c r="I296" s="52">
        <f t="shared" si="51"/>
        <v>1</v>
      </c>
      <c r="J296" s="863"/>
      <c r="K296" s="52">
        <f t="shared" si="52"/>
        <v>1</v>
      </c>
      <c r="L296" s="863"/>
      <c r="M296" s="52">
        <f t="shared" si="53"/>
        <v>1</v>
      </c>
      <c r="N296" s="863"/>
      <c r="O296" s="52">
        <f t="shared" si="54"/>
        <v>1</v>
      </c>
      <c r="P296" s="863"/>
      <c r="Q296" s="52">
        <f t="shared" si="55"/>
        <v>1</v>
      </c>
      <c r="R296" s="390">
        <f t="shared" si="56"/>
        <v>0</v>
      </c>
      <c r="S296" s="699">
        <f t="shared" si="57"/>
        <v>0</v>
      </c>
    </row>
    <row r="297" spans="1:19">
      <c r="A297" s="865"/>
      <c r="B297" s="134"/>
      <c r="C297" s="52">
        <f t="shared" si="48"/>
        <v>1</v>
      </c>
      <c r="D297" s="863"/>
      <c r="E297" s="52">
        <f t="shared" si="49"/>
        <v>1</v>
      </c>
      <c r="F297" s="863"/>
      <c r="G297" s="52">
        <f t="shared" si="50"/>
        <v>1</v>
      </c>
      <c r="H297" s="863"/>
      <c r="I297" s="52">
        <f t="shared" si="51"/>
        <v>1</v>
      </c>
      <c r="J297" s="863"/>
      <c r="K297" s="52">
        <f t="shared" si="52"/>
        <v>1</v>
      </c>
      <c r="L297" s="863"/>
      <c r="M297" s="52">
        <f t="shared" si="53"/>
        <v>1</v>
      </c>
      <c r="N297" s="863"/>
      <c r="O297" s="52">
        <f t="shared" si="54"/>
        <v>1</v>
      </c>
      <c r="P297" s="863"/>
      <c r="Q297" s="52">
        <f t="shared" si="55"/>
        <v>1</v>
      </c>
      <c r="R297" s="390">
        <f t="shared" si="56"/>
        <v>0</v>
      </c>
      <c r="S297" s="699">
        <f t="shared" si="57"/>
        <v>0</v>
      </c>
    </row>
    <row r="298" spans="1:19">
      <c r="A298" s="865"/>
      <c r="B298" s="134"/>
      <c r="C298" s="52">
        <f t="shared" si="48"/>
        <v>1</v>
      </c>
      <c r="D298" s="863"/>
      <c r="E298" s="52">
        <f t="shared" si="49"/>
        <v>1</v>
      </c>
      <c r="F298" s="863"/>
      <c r="G298" s="52">
        <f t="shared" si="50"/>
        <v>1</v>
      </c>
      <c r="H298" s="863"/>
      <c r="I298" s="52">
        <f t="shared" si="51"/>
        <v>1</v>
      </c>
      <c r="J298" s="863"/>
      <c r="K298" s="52">
        <f t="shared" si="52"/>
        <v>1</v>
      </c>
      <c r="L298" s="863"/>
      <c r="M298" s="52">
        <f t="shared" si="53"/>
        <v>1</v>
      </c>
      <c r="N298" s="863"/>
      <c r="O298" s="52">
        <f t="shared" si="54"/>
        <v>1</v>
      </c>
      <c r="P298" s="863"/>
      <c r="Q298" s="52">
        <f t="shared" si="55"/>
        <v>1</v>
      </c>
      <c r="R298" s="390">
        <f t="shared" si="56"/>
        <v>0</v>
      </c>
      <c r="S298" s="699">
        <f t="shared" si="57"/>
        <v>0</v>
      </c>
    </row>
    <row r="299" spans="1:19">
      <c r="A299" s="865"/>
      <c r="B299" s="134"/>
      <c r="C299" s="52">
        <f t="shared" si="48"/>
        <v>1</v>
      </c>
      <c r="D299" s="863"/>
      <c r="E299" s="52">
        <f t="shared" si="49"/>
        <v>1</v>
      </c>
      <c r="F299" s="863"/>
      <c r="G299" s="52">
        <f t="shared" si="50"/>
        <v>1</v>
      </c>
      <c r="H299" s="863"/>
      <c r="I299" s="52">
        <f t="shared" si="51"/>
        <v>1</v>
      </c>
      <c r="J299" s="863"/>
      <c r="K299" s="52">
        <f t="shared" si="52"/>
        <v>1</v>
      </c>
      <c r="L299" s="863"/>
      <c r="M299" s="52">
        <f t="shared" si="53"/>
        <v>1</v>
      </c>
      <c r="N299" s="863"/>
      <c r="O299" s="52">
        <f t="shared" si="54"/>
        <v>1</v>
      </c>
      <c r="P299" s="863"/>
      <c r="Q299" s="52">
        <f t="shared" si="55"/>
        <v>1</v>
      </c>
      <c r="R299" s="390">
        <f t="shared" si="56"/>
        <v>0</v>
      </c>
      <c r="S299" s="699">
        <f t="shared" si="57"/>
        <v>0</v>
      </c>
    </row>
    <row r="300" spans="1:19">
      <c r="A300" s="865"/>
      <c r="B300" s="134"/>
      <c r="C300" s="52">
        <f t="shared" si="48"/>
        <v>1</v>
      </c>
      <c r="D300" s="863"/>
      <c r="E300" s="52">
        <f t="shared" si="49"/>
        <v>1</v>
      </c>
      <c r="F300" s="863"/>
      <c r="G300" s="52">
        <f t="shared" si="50"/>
        <v>1</v>
      </c>
      <c r="H300" s="863"/>
      <c r="I300" s="52">
        <f t="shared" si="51"/>
        <v>1</v>
      </c>
      <c r="J300" s="863"/>
      <c r="K300" s="52">
        <f t="shared" si="52"/>
        <v>1</v>
      </c>
      <c r="L300" s="863"/>
      <c r="M300" s="52">
        <f t="shared" si="53"/>
        <v>1</v>
      </c>
      <c r="N300" s="863"/>
      <c r="O300" s="52">
        <f t="shared" si="54"/>
        <v>1</v>
      </c>
      <c r="P300" s="863"/>
      <c r="Q300" s="52">
        <f t="shared" si="55"/>
        <v>1</v>
      </c>
      <c r="R300" s="390">
        <f t="shared" si="56"/>
        <v>0</v>
      </c>
      <c r="S300" s="699">
        <f t="shared" si="57"/>
        <v>0</v>
      </c>
    </row>
    <row r="301" spans="1:19">
      <c r="A301" s="865"/>
      <c r="B301" s="134"/>
      <c r="C301" s="52">
        <f t="shared" si="48"/>
        <v>1</v>
      </c>
      <c r="D301" s="863"/>
      <c r="E301" s="52">
        <f t="shared" si="49"/>
        <v>1</v>
      </c>
      <c r="F301" s="863"/>
      <c r="G301" s="52">
        <f t="shared" si="50"/>
        <v>1</v>
      </c>
      <c r="H301" s="863"/>
      <c r="I301" s="52">
        <f t="shared" si="51"/>
        <v>1</v>
      </c>
      <c r="J301" s="863"/>
      <c r="K301" s="52">
        <f t="shared" si="52"/>
        <v>1</v>
      </c>
      <c r="L301" s="863"/>
      <c r="M301" s="52">
        <f t="shared" si="53"/>
        <v>1</v>
      </c>
      <c r="N301" s="863"/>
      <c r="O301" s="52">
        <f t="shared" si="54"/>
        <v>1</v>
      </c>
      <c r="P301" s="863"/>
      <c r="Q301" s="52">
        <f t="shared" si="55"/>
        <v>1</v>
      </c>
      <c r="R301" s="390">
        <f t="shared" si="56"/>
        <v>0</v>
      </c>
      <c r="S301" s="699">
        <f t="shared" si="57"/>
        <v>0</v>
      </c>
    </row>
    <row r="302" spans="1:19">
      <c r="A302" s="865"/>
      <c r="B302" s="134"/>
      <c r="C302" s="52">
        <f t="shared" si="48"/>
        <v>1</v>
      </c>
      <c r="D302" s="863"/>
      <c r="E302" s="52">
        <f t="shared" si="49"/>
        <v>1</v>
      </c>
      <c r="F302" s="863"/>
      <c r="G302" s="52">
        <f t="shared" si="50"/>
        <v>1</v>
      </c>
      <c r="H302" s="863"/>
      <c r="I302" s="52">
        <f t="shared" si="51"/>
        <v>1</v>
      </c>
      <c r="J302" s="863"/>
      <c r="K302" s="52">
        <f t="shared" si="52"/>
        <v>1</v>
      </c>
      <c r="L302" s="863"/>
      <c r="M302" s="52">
        <f t="shared" si="53"/>
        <v>1</v>
      </c>
      <c r="N302" s="863"/>
      <c r="O302" s="52">
        <f t="shared" si="54"/>
        <v>1</v>
      </c>
      <c r="P302" s="863"/>
      <c r="Q302" s="52">
        <f t="shared" si="55"/>
        <v>1</v>
      </c>
      <c r="R302" s="390">
        <f t="shared" si="56"/>
        <v>0</v>
      </c>
      <c r="S302" s="699">
        <f t="shared" si="57"/>
        <v>0</v>
      </c>
    </row>
    <row r="303" spans="1:19">
      <c r="A303" s="865"/>
      <c r="B303" s="134"/>
      <c r="C303" s="52">
        <f t="shared" si="48"/>
        <v>1</v>
      </c>
      <c r="D303" s="863"/>
      <c r="E303" s="52">
        <f t="shared" si="49"/>
        <v>1</v>
      </c>
      <c r="F303" s="863"/>
      <c r="G303" s="52">
        <f t="shared" si="50"/>
        <v>1</v>
      </c>
      <c r="H303" s="863"/>
      <c r="I303" s="52">
        <f t="shared" si="51"/>
        <v>1</v>
      </c>
      <c r="J303" s="863"/>
      <c r="K303" s="52">
        <f t="shared" si="52"/>
        <v>1</v>
      </c>
      <c r="L303" s="863"/>
      <c r="M303" s="52">
        <f t="shared" si="53"/>
        <v>1</v>
      </c>
      <c r="N303" s="863"/>
      <c r="O303" s="52">
        <f t="shared" si="54"/>
        <v>1</v>
      </c>
      <c r="P303" s="863"/>
      <c r="Q303" s="52">
        <f t="shared" si="55"/>
        <v>1</v>
      </c>
      <c r="R303" s="390">
        <f t="shared" si="56"/>
        <v>0</v>
      </c>
      <c r="S303" s="699">
        <f t="shared" si="57"/>
        <v>0</v>
      </c>
    </row>
    <row r="304" spans="1:19">
      <c r="A304" s="865"/>
      <c r="B304" s="134"/>
      <c r="C304" s="52">
        <f t="shared" si="48"/>
        <v>1</v>
      </c>
      <c r="D304" s="863"/>
      <c r="E304" s="52">
        <f t="shared" si="49"/>
        <v>1</v>
      </c>
      <c r="F304" s="863"/>
      <c r="G304" s="52">
        <f t="shared" si="50"/>
        <v>1</v>
      </c>
      <c r="H304" s="863"/>
      <c r="I304" s="52">
        <f t="shared" si="51"/>
        <v>1</v>
      </c>
      <c r="J304" s="863"/>
      <c r="K304" s="52">
        <f t="shared" si="52"/>
        <v>1</v>
      </c>
      <c r="L304" s="863"/>
      <c r="M304" s="52">
        <f t="shared" si="53"/>
        <v>1</v>
      </c>
      <c r="N304" s="863"/>
      <c r="O304" s="52">
        <f t="shared" si="54"/>
        <v>1</v>
      </c>
      <c r="P304" s="863"/>
      <c r="Q304" s="52">
        <f t="shared" si="55"/>
        <v>1</v>
      </c>
      <c r="R304" s="390">
        <f t="shared" si="56"/>
        <v>0</v>
      </c>
      <c r="S304" s="699">
        <f t="shared" si="57"/>
        <v>0</v>
      </c>
    </row>
    <row r="305" spans="1:19">
      <c r="A305" s="865"/>
      <c r="B305" s="134"/>
      <c r="C305" s="52">
        <f t="shared" si="48"/>
        <v>1</v>
      </c>
      <c r="D305" s="863"/>
      <c r="E305" s="52">
        <f t="shared" si="49"/>
        <v>1</v>
      </c>
      <c r="F305" s="863"/>
      <c r="G305" s="52">
        <f t="shared" si="50"/>
        <v>1</v>
      </c>
      <c r="H305" s="863"/>
      <c r="I305" s="52">
        <f t="shared" si="51"/>
        <v>1</v>
      </c>
      <c r="J305" s="863"/>
      <c r="K305" s="52">
        <f t="shared" si="52"/>
        <v>1</v>
      </c>
      <c r="L305" s="863"/>
      <c r="M305" s="52">
        <f t="shared" si="53"/>
        <v>1</v>
      </c>
      <c r="N305" s="863"/>
      <c r="O305" s="52">
        <f t="shared" si="54"/>
        <v>1</v>
      </c>
      <c r="P305" s="863"/>
      <c r="Q305" s="52">
        <f t="shared" si="55"/>
        <v>1</v>
      </c>
      <c r="R305" s="390">
        <f t="shared" si="56"/>
        <v>0</v>
      </c>
      <c r="S305" s="699">
        <f t="shared" si="57"/>
        <v>0</v>
      </c>
    </row>
    <row r="306" spans="1:19">
      <c r="A306" s="865"/>
      <c r="B306" s="134"/>
      <c r="C306" s="52">
        <f t="shared" si="48"/>
        <v>1</v>
      </c>
      <c r="D306" s="863"/>
      <c r="E306" s="52">
        <f t="shared" si="49"/>
        <v>1</v>
      </c>
      <c r="F306" s="863"/>
      <c r="G306" s="52">
        <f t="shared" si="50"/>
        <v>1</v>
      </c>
      <c r="H306" s="863"/>
      <c r="I306" s="52">
        <f t="shared" si="51"/>
        <v>1</v>
      </c>
      <c r="J306" s="863"/>
      <c r="K306" s="52">
        <f t="shared" si="52"/>
        <v>1</v>
      </c>
      <c r="L306" s="863"/>
      <c r="M306" s="52">
        <f t="shared" si="53"/>
        <v>1</v>
      </c>
      <c r="N306" s="863"/>
      <c r="O306" s="52">
        <f t="shared" si="54"/>
        <v>1</v>
      </c>
      <c r="P306" s="863"/>
      <c r="Q306" s="52">
        <f t="shared" si="55"/>
        <v>1</v>
      </c>
      <c r="R306" s="390">
        <f t="shared" si="56"/>
        <v>0</v>
      </c>
      <c r="S306" s="699">
        <f t="shared" si="57"/>
        <v>0</v>
      </c>
    </row>
    <row r="307" spans="1:19">
      <c r="A307" s="865"/>
      <c r="B307" s="134"/>
      <c r="C307" s="52">
        <f t="shared" si="48"/>
        <v>1</v>
      </c>
      <c r="D307" s="863"/>
      <c r="E307" s="52">
        <f t="shared" si="49"/>
        <v>1</v>
      </c>
      <c r="F307" s="863"/>
      <c r="G307" s="52">
        <f t="shared" si="50"/>
        <v>1</v>
      </c>
      <c r="H307" s="863"/>
      <c r="I307" s="52">
        <f t="shared" si="51"/>
        <v>1</v>
      </c>
      <c r="J307" s="863"/>
      <c r="K307" s="52">
        <f t="shared" si="52"/>
        <v>1</v>
      </c>
      <c r="L307" s="863"/>
      <c r="M307" s="52">
        <f t="shared" si="53"/>
        <v>1</v>
      </c>
      <c r="N307" s="863"/>
      <c r="O307" s="52">
        <f t="shared" si="54"/>
        <v>1</v>
      </c>
      <c r="P307" s="863"/>
      <c r="Q307" s="52">
        <f t="shared" si="55"/>
        <v>1</v>
      </c>
      <c r="R307" s="390">
        <f t="shared" si="56"/>
        <v>0</v>
      </c>
      <c r="S307" s="699">
        <f t="shared" si="57"/>
        <v>0</v>
      </c>
    </row>
    <row r="308" spans="1:19">
      <c r="A308" s="865"/>
      <c r="B308" s="134"/>
      <c r="C308" s="52">
        <f t="shared" si="48"/>
        <v>1</v>
      </c>
      <c r="D308" s="863"/>
      <c r="E308" s="52">
        <f t="shared" si="49"/>
        <v>1</v>
      </c>
      <c r="F308" s="863"/>
      <c r="G308" s="52">
        <f t="shared" si="50"/>
        <v>1</v>
      </c>
      <c r="H308" s="863"/>
      <c r="I308" s="52">
        <f t="shared" si="51"/>
        <v>1</v>
      </c>
      <c r="J308" s="863"/>
      <c r="K308" s="52">
        <f t="shared" si="52"/>
        <v>1</v>
      </c>
      <c r="L308" s="863"/>
      <c r="M308" s="52">
        <f t="shared" si="53"/>
        <v>1</v>
      </c>
      <c r="N308" s="863"/>
      <c r="O308" s="52">
        <f t="shared" si="54"/>
        <v>1</v>
      </c>
      <c r="P308" s="863"/>
      <c r="Q308" s="52">
        <f t="shared" si="55"/>
        <v>1</v>
      </c>
      <c r="R308" s="390">
        <f t="shared" si="56"/>
        <v>0</v>
      </c>
      <c r="S308" s="699">
        <f t="shared" si="57"/>
        <v>0</v>
      </c>
    </row>
    <row r="309" spans="1:19">
      <c r="A309" s="865"/>
      <c r="B309" s="134"/>
      <c r="C309" s="52">
        <f t="shared" si="48"/>
        <v>1</v>
      </c>
      <c r="D309" s="863"/>
      <c r="E309" s="52">
        <f t="shared" si="49"/>
        <v>1</v>
      </c>
      <c r="F309" s="863"/>
      <c r="G309" s="52">
        <f t="shared" si="50"/>
        <v>1</v>
      </c>
      <c r="H309" s="863"/>
      <c r="I309" s="52">
        <f t="shared" si="51"/>
        <v>1</v>
      </c>
      <c r="J309" s="863"/>
      <c r="K309" s="52">
        <f t="shared" si="52"/>
        <v>1</v>
      </c>
      <c r="L309" s="863"/>
      <c r="M309" s="52">
        <f t="shared" si="53"/>
        <v>1</v>
      </c>
      <c r="N309" s="863"/>
      <c r="O309" s="52">
        <f t="shared" si="54"/>
        <v>1</v>
      </c>
      <c r="P309" s="863"/>
      <c r="Q309" s="52">
        <f t="shared" si="55"/>
        <v>1</v>
      </c>
      <c r="R309" s="390">
        <f t="shared" si="56"/>
        <v>0</v>
      </c>
      <c r="S309" s="699">
        <f t="shared" si="57"/>
        <v>0</v>
      </c>
    </row>
    <row r="310" spans="1:19">
      <c r="A310" s="865"/>
      <c r="B310" s="134"/>
      <c r="C310" s="52">
        <f t="shared" si="48"/>
        <v>1</v>
      </c>
      <c r="D310" s="863"/>
      <c r="E310" s="52">
        <f t="shared" si="49"/>
        <v>1</v>
      </c>
      <c r="F310" s="863"/>
      <c r="G310" s="52">
        <f t="shared" si="50"/>
        <v>1</v>
      </c>
      <c r="H310" s="863"/>
      <c r="I310" s="52">
        <f t="shared" si="51"/>
        <v>1</v>
      </c>
      <c r="J310" s="863"/>
      <c r="K310" s="52">
        <f t="shared" si="52"/>
        <v>1</v>
      </c>
      <c r="L310" s="863"/>
      <c r="M310" s="52">
        <f t="shared" si="53"/>
        <v>1</v>
      </c>
      <c r="N310" s="863"/>
      <c r="O310" s="52">
        <f t="shared" si="54"/>
        <v>1</v>
      </c>
      <c r="P310" s="863"/>
      <c r="Q310" s="52">
        <f t="shared" si="55"/>
        <v>1</v>
      </c>
      <c r="R310" s="390">
        <f t="shared" si="56"/>
        <v>0</v>
      </c>
      <c r="S310" s="699">
        <f t="shared" si="57"/>
        <v>0</v>
      </c>
    </row>
    <row r="311" spans="1:19">
      <c r="A311" s="865"/>
      <c r="B311" s="134"/>
      <c r="C311" s="52">
        <f t="shared" si="48"/>
        <v>1</v>
      </c>
      <c r="D311" s="863"/>
      <c r="E311" s="52">
        <f t="shared" si="49"/>
        <v>1</v>
      </c>
      <c r="F311" s="863"/>
      <c r="G311" s="52">
        <f t="shared" si="50"/>
        <v>1</v>
      </c>
      <c r="H311" s="863"/>
      <c r="I311" s="52">
        <f t="shared" si="51"/>
        <v>1</v>
      </c>
      <c r="J311" s="863"/>
      <c r="K311" s="52">
        <f t="shared" si="52"/>
        <v>1</v>
      </c>
      <c r="L311" s="863"/>
      <c r="M311" s="52">
        <f t="shared" si="53"/>
        <v>1</v>
      </c>
      <c r="N311" s="863"/>
      <c r="O311" s="52">
        <f t="shared" si="54"/>
        <v>1</v>
      </c>
      <c r="P311" s="863"/>
      <c r="Q311" s="52">
        <f t="shared" si="55"/>
        <v>1</v>
      </c>
      <c r="R311" s="390">
        <f t="shared" si="56"/>
        <v>0</v>
      </c>
      <c r="S311" s="699">
        <f t="shared" si="57"/>
        <v>0</v>
      </c>
    </row>
    <row r="312" spans="1:19">
      <c r="A312" s="865"/>
      <c r="B312" s="134"/>
      <c r="C312" s="52">
        <f t="shared" si="48"/>
        <v>1</v>
      </c>
      <c r="D312" s="863"/>
      <c r="E312" s="52">
        <f t="shared" si="49"/>
        <v>1</v>
      </c>
      <c r="F312" s="863"/>
      <c r="G312" s="52">
        <f t="shared" si="50"/>
        <v>1</v>
      </c>
      <c r="H312" s="863"/>
      <c r="I312" s="52">
        <f t="shared" si="51"/>
        <v>1</v>
      </c>
      <c r="J312" s="863"/>
      <c r="K312" s="52">
        <f t="shared" si="52"/>
        <v>1</v>
      </c>
      <c r="L312" s="863"/>
      <c r="M312" s="52">
        <f t="shared" si="53"/>
        <v>1</v>
      </c>
      <c r="N312" s="863"/>
      <c r="O312" s="52">
        <f t="shared" si="54"/>
        <v>1</v>
      </c>
      <c r="P312" s="863"/>
      <c r="Q312" s="52">
        <f t="shared" si="55"/>
        <v>1</v>
      </c>
      <c r="R312" s="390">
        <f t="shared" si="56"/>
        <v>0</v>
      </c>
      <c r="S312" s="699">
        <f t="shared" si="57"/>
        <v>0</v>
      </c>
    </row>
    <row r="313" spans="1:19">
      <c r="A313" s="865"/>
      <c r="B313" s="134"/>
      <c r="C313" s="52">
        <f t="shared" si="48"/>
        <v>1</v>
      </c>
      <c r="D313" s="863"/>
      <c r="E313" s="52">
        <f t="shared" si="49"/>
        <v>1</v>
      </c>
      <c r="F313" s="863"/>
      <c r="G313" s="52">
        <f t="shared" si="50"/>
        <v>1</v>
      </c>
      <c r="H313" s="863"/>
      <c r="I313" s="52">
        <f t="shared" si="51"/>
        <v>1</v>
      </c>
      <c r="J313" s="863"/>
      <c r="K313" s="52">
        <f t="shared" si="52"/>
        <v>1</v>
      </c>
      <c r="L313" s="863"/>
      <c r="M313" s="52">
        <f t="shared" si="53"/>
        <v>1</v>
      </c>
      <c r="N313" s="863"/>
      <c r="O313" s="52">
        <f t="shared" si="54"/>
        <v>1</v>
      </c>
      <c r="P313" s="863"/>
      <c r="Q313" s="52">
        <f t="shared" si="55"/>
        <v>1</v>
      </c>
      <c r="R313" s="390">
        <f t="shared" si="56"/>
        <v>0</v>
      </c>
      <c r="S313" s="699">
        <f t="shared" si="57"/>
        <v>0</v>
      </c>
    </row>
    <row r="314" spans="1:19">
      <c r="A314" s="865"/>
      <c r="B314" s="134"/>
      <c r="C314" s="52">
        <f t="shared" si="48"/>
        <v>1</v>
      </c>
      <c r="D314" s="863"/>
      <c r="E314" s="52">
        <f t="shared" si="49"/>
        <v>1</v>
      </c>
      <c r="F314" s="863"/>
      <c r="G314" s="52">
        <f t="shared" si="50"/>
        <v>1</v>
      </c>
      <c r="H314" s="863"/>
      <c r="I314" s="52">
        <f t="shared" si="51"/>
        <v>1</v>
      </c>
      <c r="J314" s="863"/>
      <c r="K314" s="52">
        <f t="shared" si="52"/>
        <v>1</v>
      </c>
      <c r="L314" s="863"/>
      <c r="M314" s="52">
        <f t="shared" si="53"/>
        <v>1</v>
      </c>
      <c r="N314" s="863"/>
      <c r="O314" s="52">
        <f t="shared" si="54"/>
        <v>1</v>
      </c>
      <c r="P314" s="863"/>
      <c r="Q314" s="52">
        <f t="shared" si="55"/>
        <v>1</v>
      </c>
      <c r="R314" s="390">
        <f t="shared" si="56"/>
        <v>0</v>
      </c>
      <c r="S314" s="699">
        <f t="shared" si="57"/>
        <v>0</v>
      </c>
    </row>
    <row r="315" spans="1:19">
      <c r="A315" s="865"/>
      <c r="B315" s="134"/>
      <c r="C315" s="52">
        <f t="shared" si="48"/>
        <v>1</v>
      </c>
      <c r="D315" s="863"/>
      <c r="E315" s="52">
        <f t="shared" si="49"/>
        <v>1</v>
      </c>
      <c r="F315" s="863"/>
      <c r="G315" s="52">
        <f t="shared" si="50"/>
        <v>1</v>
      </c>
      <c r="H315" s="863"/>
      <c r="I315" s="52">
        <f t="shared" si="51"/>
        <v>1</v>
      </c>
      <c r="J315" s="863"/>
      <c r="K315" s="52">
        <f t="shared" si="52"/>
        <v>1</v>
      </c>
      <c r="L315" s="863"/>
      <c r="M315" s="52">
        <f t="shared" si="53"/>
        <v>1</v>
      </c>
      <c r="N315" s="863"/>
      <c r="O315" s="52">
        <f t="shared" si="54"/>
        <v>1</v>
      </c>
      <c r="P315" s="863"/>
      <c r="Q315" s="52">
        <f t="shared" si="55"/>
        <v>1</v>
      </c>
      <c r="R315" s="390">
        <f t="shared" si="56"/>
        <v>0</v>
      </c>
      <c r="S315" s="699">
        <f t="shared" si="57"/>
        <v>0</v>
      </c>
    </row>
    <row r="316" spans="1:19">
      <c r="A316" s="865"/>
      <c r="B316" s="134"/>
      <c r="C316" s="52">
        <f t="shared" si="48"/>
        <v>1</v>
      </c>
      <c r="D316" s="863"/>
      <c r="E316" s="52">
        <f t="shared" si="49"/>
        <v>1</v>
      </c>
      <c r="F316" s="863"/>
      <c r="G316" s="52">
        <f t="shared" si="50"/>
        <v>1</v>
      </c>
      <c r="H316" s="863"/>
      <c r="I316" s="52">
        <f t="shared" si="51"/>
        <v>1</v>
      </c>
      <c r="J316" s="863"/>
      <c r="K316" s="52">
        <f t="shared" si="52"/>
        <v>1</v>
      </c>
      <c r="L316" s="863"/>
      <c r="M316" s="52">
        <f t="shared" si="53"/>
        <v>1</v>
      </c>
      <c r="N316" s="863"/>
      <c r="O316" s="52">
        <f t="shared" si="54"/>
        <v>1</v>
      </c>
      <c r="P316" s="863"/>
      <c r="Q316" s="52">
        <f t="shared" si="55"/>
        <v>1</v>
      </c>
      <c r="R316" s="390">
        <f t="shared" si="56"/>
        <v>0</v>
      </c>
      <c r="S316" s="699">
        <f t="shared" si="57"/>
        <v>0</v>
      </c>
    </row>
    <row r="317" spans="1:19">
      <c r="A317" s="865"/>
      <c r="B317" s="134"/>
      <c r="C317" s="52">
        <f t="shared" si="48"/>
        <v>1</v>
      </c>
      <c r="D317" s="863"/>
      <c r="E317" s="52">
        <f t="shared" si="49"/>
        <v>1</v>
      </c>
      <c r="F317" s="863"/>
      <c r="G317" s="52">
        <f t="shared" si="50"/>
        <v>1</v>
      </c>
      <c r="H317" s="863"/>
      <c r="I317" s="52">
        <f t="shared" si="51"/>
        <v>1</v>
      </c>
      <c r="J317" s="863"/>
      <c r="K317" s="52">
        <f t="shared" si="52"/>
        <v>1</v>
      </c>
      <c r="L317" s="863"/>
      <c r="M317" s="52">
        <f t="shared" si="53"/>
        <v>1</v>
      </c>
      <c r="N317" s="863"/>
      <c r="O317" s="52">
        <f t="shared" si="54"/>
        <v>1</v>
      </c>
      <c r="P317" s="863"/>
      <c r="Q317" s="52">
        <f t="shared" si="55"/>
        <v>1</v>
      </c>
      <c r="R317" s="390">
        <f t="shared" si="56"/>
        <v>0</v>
      </c>
      <c r="S317" s="699">
        <f t="shared" si="57"/>
        <v>0</v>
      </c>
    </row>
    <row r="318" spans="1:19">
      <c r="A318" s="865"/>
      <c r="B318" s="134"/>
      <c r="C318" s="52">
        <f t="shared" si="48"/>
        <v>1</v>
      </c>
      <c r="D318" s="863"/>
      <c r="E318" s="52">
        <f t="shared" si="49"/>
        <v>1</v>
      </c>
      <c r="F318" s="863"/>
      <c r="G318" s="52">
        <f t="shared" si="50"/>
        <v>1</v>
      </c>
      <c r="H318" s="863"/>
      <c r="I318" s="52">
        <f t="shared" si="51"/>
        <v>1</v>
      </c>
      <c r="J318" s="863"/>
      <c r="K318" s="52">
        <f t="shared" si="52"/>
        <v>1</v>
      </c>
      <c r="L318" s="863"/>
      <c r="M318" s="52">
        <f t="shared" si="53"/>
        <v>1</v>
      </c>
      <c r="N318" s="863"/>
      <c r="O318" s="52">
        <f t="shared" si="54"/>
        <v>1</v>
      </c>
      <c r="P318" s="863"/>
      <c r="Q318" s="52">
        <f t="shared" si="55"/>
        <v>1</v>
      </c>
      <c r="R318" s="390">
        <f t="shared" si="56"/>
        <v>0</v>
      </c>
      <c r="S318" s="699">
        <f t="shared" si="57"/>
        <v>0</v>
      </c>
    </row>
    <row r="319" spans="1:19">
      <c r="A319" s="865"/>
      <c r="B319" s="134"/>
      <c r="C319" s="52">
        <f t="shared" si="48"/>
        <v>1</v>
      </c>
      <c r="D319" s="863"/>
      <c r="E319" s="52">
        <f t="shared" si="49"/>
        <v>1</v>
      </c>
      <c r="F319" s="863"/>
      <c r="G319" s="52">
        <f t="shared" si="50"/>
        <v>1</v>
      </c>
      <c r="H319" s="863"/>
      <c r="I319" s="52">
        <f t="shared" si="51"/>
        <v>1</v>
      </c>
      <c r="J319" s="863"/>
      <c r="K319" s="52">
        <f t="shared" si="52"/>
        <v>1</v>
      </c>
      <c r="L319" s="863"/>
      <c r="M319" s="52">
        <f t="shared" si="53"/>
        <v>1</v>
      </c>
      <c r="N319" s="863"/>
      <c r="O319" s="52">
        <f t="shared" si="54"/>
        <v>1</v>
      </c>
      <c r="P319" s="863"/>
      <c r="Q319" s="52">
        <f t="shared" si="55"/>
        <v>1</v>
      </c>
      <c r="R319" s="390">
        <f t="shared" si="56"/>
        <v>0</v>
      </c>
      <c r="S319" s="699">
        <f t="shared" si="57"/>
        <v>0</v>
      </c>
    </row>
    <row r="320" spans="1:19">
      <c r="A320" s="865"/>
      <c r="B320" s="134"/>
      <c r="C320" s="52">
        <f t="shared" si="48"/>
        <v>1</v>
      </c>
      <c r="D320" s="863"/>
      <c r="E320" s="52">
        <f t="shared" si="49"/>
        <v>1</v>
      </c>
      <c r="F320" s="863"/>
      <c r="G320" s="52">
        <f t="shared" si="50"/>
        <v>1</v>
      </c>
      <c r="H320" s="863"/>
      <c r="I320" s="52">
        <f t="shared" si="51"/>
        <v>1</v>
      </c>
      <c r="J320" s="863"/>
      <c r="K320" s="52">
        <f t="shared" si="52"/>
        <v>1</v>
      </c>
      <c r="L320" s="863"/>
      <c r="M320" s="52">
        <f t="shared" si="53"/>
        <v>1</v>
      </c>
      <c r="N320" s="863"/>
      <c r="O320" s="52">
        <f t="shared" si="54"/>
        <v>1</v>
      </c>
      <c r="P320" s="863"/>
      <c r="Q320" s="52">
        <f t="shared" si="55"/>
        <v>1</v>
      </c>
      <c r="R320" s="390">
        <f t="shared" si="56"/>
        <v>0</v>
      </c>
      <c r="S320" s="699">
        <f t="shared" si="57"/>
        <v>0</v>
      </c>
    </row>
    <row r="321" spans="1:19">
      <c r="A321" s="865"/>
      <c r="B321" s="134"/>
      <c r="C321" s="52">
        <f t="shared" si="48"/>
        <v>1</v>
      </c>
      <c r="D321" s="863"/>
      <c r="E321" s="52">
        <f t="shared" si="49"/>
        <v>1</v>
      </c>
      <c r="F321" s="863"/>
      <c r="G321" s="52">
        <f t="shared" si="50"/>
        <v>1</v>
      </c>
      <c r="H321" s="863"/>
      <c r="I321" s="52">
        <f t="shared" si="51"/>
        <v>1</v>
      </c>
      <c r="J321" s="863"/>
      <c r="K321" s="52">
        <f t="shared" si="52"/>
        <v>1</v>
      </c>
      <c r="L321" s="863"/>
      <c r="M321" s="52">
        <f t="shared" si="53"/>
        <v>1</v>
      </c>
      <c r="N321" s="863"/>
      <c r="O321" s="52">
        <f t="shared" si="54"/>
        <v>1</v>
      </c>
      <c r="P321" s="863"/>
      <c r="Q321" s="52">
        <f t="shared" si="55"/>
        <v>1</v>
      </c>
      <c r="R321" s="390">
        <f t="shared" si="56"/>
        <v>0</v>
      </c>
      <c r="S321" s="699">
        <f t="shared" ref="S321:S384" si="58">ROUND(R321*B321/10000,0)</f>
        <v>0</v>
      </c>
    </row>
    <row r="322" spans="1:19">
      <c r="A322" s="865"/>
      <c r="B322" s="134"/>
      <c r="C322" s="52">
        <f t="shared" si="48"/>
        <v>1</v>
      </c>
      <c r="D322" s="863"/>
      <c r="E322" s="52">
        <f t="shared" si="49"/>
        <v>1</v>
      </c>
      <c r="F322" s="863"/>
      <c r="G322" s="52">
        <f t="shared" si="50"/>
        <v>1</v>
      </c>
      <c r="H322" s="863"/>
      <c r="I322" s="52">
        <f t="shared" si="51"/>
        <v>1</v>
      </c>
      <c r="J322" s="863"/>
      <c r="K322" s="52">
        <f t="shared" si="52"/>
        <v>1</v>
      </c>
      <c r="L322" s="863"/>
      <c r="M322" s="52">
        <f t="shared" si="53"/>
        <v>1</v>
      </c>
      <c r="N322" s="863"/>
      <c r="O322" s="52">
        <f t="shared" si="54"/>
        <v>1</v>
      </c>
      <c r="P322" s="863"/>
      <c r="Q322" s="52">
        <f t="shared" si="55"/>
        <v>1</v>
      </c>
      <c r="R322" s="390">
        <f t="shared" si="56"/>
        <v>0</v>
      </c>
      <c r="S322" s="699">
        <f t="shared" si="58"/>
        <v>0</v>
      </c>
    </row>
    <row r="323" spans="1:19">
      <c r="A323" s="865"/>
      <c r="B323" s="134"/>
      <c r="C323" s="52">
        <f t="shared" si="48"/>
        <v>1</v>
      </c>
      <c r="D323" s="863"/>
      <c r="E323" s="52">
        <f t="shared" si="49"/>
        <v>1</v>
      </c>
      <c r="F323" s="863"/>
      <c r="G323" s="52">
        <f t="shared" si="50"/>
        <v>1</v>
      </c>
      <c r="H323" s="863"/>
      <c r="I323" s="52">
        <f t="shared" si="51"/>
        <v>1</v>
      </c>
      <c r="J323" s="863"/>
      <c r="K323" s="52">
        <f t="shared" si="52"/>
        <v>1</v>
      </c>
      <c r="L323" s="863"/>
      <c r="M323" s="52">
        <f t="shared" si="53"/>
        <v>1</v>
      </c>
      <c r="N323" s="863"/>
      <c r="O323" s="52">
        <f t="shared" si="54"/>
        <v>1</v>
      </c>
      <c r="P323" s="863"/>
      <c r="Q323" s="52">
        <f t="shared" si="55"/>
        <v>1</v>
      </c>
      <c r="R323" s="390">
        <f t="shared" si="56"/>
        <v>0</v>
      </c>
      <c r="S323" s="699">
        <f t="shared" si="58"/>
        <v>0</v>
      </c>
    </row>
    <row r="324" spans="1:19">
      <c r="A324" s="865"/>
      <c r="B324" s="134"/>
      <c r="C324" s="52">
        <f t="shared" si="48"/>
        <v>1</v>
      </c>
      <c r="D324" s="863"/>
      <c r="E324" s="52">
        <f t="shared" si="49"/>
        <v>1</v>
      </c>
      <c r="F324" s="863"/>
      <c r="G324" s="52">
        <f t="shared" si="50"/>
        <v>1</v>
      </c>
      <c r="H324" s="863"/>
      <c r="I324" s="52">
        <f t="shared" si="51"/>
        <v>1</v>
      </c>
      <c r="J324" s="863"/>
      <c r="K324" s="52">
        <f t="shared" si="52"/>
        <v>1</v>
      </c>
      <c r="L324" s="863"/>
      <c r="M324" s="52">
        <f t="shared" si="53"/>
        <v>1</v>
      </c>
      <c r="N324" s="863"/>
      <c r="O324" s="52">
        <f t="shared" si="54"/>
        <v>1</v>
      </c>
      <c r="P324" s="863"/>
      <c r="Q324" s="52">
        <f t="shared" si="55"/>
        <v>1</v>
      </c>
      <c r="R324" s="390">
        <f t="shared" si="56"/>
        <v>0</v>
      </c>
      <c r="S324" s="699">
        <f t="shared" si="58"/>
        <v>0</v>
      </c>
    </row>
    <row r="325" spans="1:19">
      <c r="A325" s="865"/>
      <c r="B325" s="134"/>
      <c r="C325" s="52">
        <f t="shared" si="48"/>
        <v>1</v>
      </c>
      <c r="D325" s="863"/>
      <c r="E325" s="52">
        <f t="shared" si="49"/>
        <v>1</v>
      </c>
      <c r="F325" s="863"/>
      <c r="G325" s="52">
        <f t="shared" si="50"/>
        <v>1</v>
      </c>
      <c r="H325" s="863"/>
      <c r="I325" s="52">
        <f t="shared" si="51"/>
        <v>1</v>
      </c>
      <c r="J325" s="863"/>
      <c r="K325" s="52">
        <f t="shared" si="52"/>
        <v>1</v>
      </c>
      <c r="L325" s="863"/>
      <c r="M325" s="52">
        <f t="shared" si="53"/>
        <v>1</v>
      </c>
      <c r="N325" s="863"/>
      <c r="O325" s="52">
        <f t="shared" si="54"/>
        <v>1</v>
      </c>
      <c r="P325" s="863"/>
      <c r="Q325" s="52">
        <f t="shared" si="55"/>
        <v>1</v>
      </c>
      <c r="R325" s="390">
        <f t="shared" si="56"/>
        <v>0</v>
      </c>
      <c r="S325" s="699">
        <f t="shared" si="58"/>
        <v>0</v>
      </c>
    </row>
    <row r="326" spans="1:19">
      <c r="A326" s="865"/>
      <c r="B326" s="134"/>
      <c r="C326" s="52">
        <f t="shared" si="48"/>
        <v>1</v>
      </c>
      <c r="D326" s="863"/>
      <c r="E326" s="52">
        <f t="shared" si="49"/>
        <v>1</v>
      </c>
      <c r="F326" s="863"/>
      <c r="G326" s="52">
        <f t="shared" si="50"/>
        <v>1</v>
      </c>
      <c r="H326" s="863"/>
      <c r="I326" s="52">
        <f t="shared" si="51"/>
        <v>1</v>
      </c>
      <c r="J326" s="863"/>
      <c r="K326" s="52">
        <f t="shared" si="52"/>
        <v>1</v>
      </c>
      <c r="L326" s="863"/>
      <c r="M326" s="52">
        <f t="shared" si="53"/>
        <v>1</v>
      </c>
      <c r="N326" s="863"/>
      <c r="O326" s="52">
        <f t="shared" si="54"/>
        <v>1</v>
      </c>
      <c r="P326" s="863"/>
      <c r="Q326" s="52">
        <f t="shared" si="55"/>
        <v>1</v>
      </c>
      <c r="R326" s="390">
        <f t="shared" si="56"/>
        <v>0</v>
      </c>
      <c r="S326" s="699">
        <f t="shared" si="58"/>
        <v>0</v>
      </c>
    </row>
    <row r="327" spans="1:19">
      <c r="A327" s="865"/>
      <c r="B327" s="134"/>
      <c r="C327" s="52">
        <f t="shared" si="48"/>
        <v>1</v>
      </c>
      <c r="D327" s="863"/>
      <c r="E327" s="52">
        <f t="shared" si="49"/>
        <v>1</v>
      </c>
      <c r="F327" s="863"/>
      <c r="G327" s="52">
        <f t="shared" si="50"/>
        <v>1</v>
      </c>
      <c r="H327" s="863"/>
      <c r="I327" s="52">
        <f t="shared" si="51"/>
        <v>1</v>
      </c>
      <c r="J327" s="863"/>
      <c r="K327" s="52">
        <f t="shared" si="52"/>
        <v>1</v>
      </c>
      <c r="L327" s="863"/>
      <c r="M327" s="52">
        <f t="shared" si="53"/>
        <v>1</v>
      </c>
      <c r="N327" s="863"/>
      <c r="O327" s="52">
        <f t="shared" si="54"/>
        <v>1</v>
      </c>
      <c r="P327" s="863"/>
      <c r="Q327" s="52">
        <f t="shared" si="55"/>
        <v>1</v>
      </c>
      <c r="R327" s="390">
        <f t="shared" si="56"/>
        <v>0</v>
      </c>
      <c r="S327" s="699">
        <f t="shared" si="58"/>
        <v>0</v>
      </c>
    </row>
    <row r="328" spans="1:19">
      <c r="A328" s="865"/>
      <c r="B328" s="134"/>
      <c r="C328" s="52">
        <f t="shared" si="48"/>
        <v>1</v>
      </c>
      <c r="D328" s="863"/>
      <c r="E328" s="52">
        <f t="shared" si="49"/>
        <v>1</v>
      </c>
      <c r="F328" s="863"/>
      <c r="G328" s="52">
        <f t="shared" si="50"/>
        <v>1</v>
      </c>
      <c r="H328" s="863"/>
      <c r="I328" s="52">
        <f t="shared" si="51"/>
        <v>1</v>
      </c>
      <c r="J328" s="863"/>
      <c r="K328" s="52">
        <f t="shared" si="52"/>
        <v>1</v>
      </c>
      <c r="L328" s="863"/>
      <c r="M328" s="52">
        <f t="shared" si="53"/>
        <v>1</v>
      </c>
      <c r="N328" s="863"/>
      <c r="O328" s="52">
        <f t="shared" si="54"/>
        <v>1</v>
      </c>
      <c r="P328" s="863"/>
      <c r="Q328" s="52">
        <f t="shared" si="55"/>
        <v>1</v>
      </c>
      <c r="R328" s="390">
        <f t="shared" si="56"/>
        <v>0</v>
      </c>
      <c r="S328" s="699">
        <f t="shared" si="58"/>
        <v>0</v>
      </c>
    </row>
    <row r="329" spans="1:19">
      <c r="A329" s="865"/>
      <c r="B329" s="134"/>
      <c r="C329" s="52">
        <f t="shared" si="48"/>
        <v>1</v>
      </c>
      <c r="D329" s="863"/>
      <c r="E329" s="52">
        <f t="shared" si="49"/>
        <v>1</v>
      </c>
      <c r="F329" s="863"/>
      <c r="G329" s="52">
        <f t="shared" si="50"/>
        <v>1</v>
      </c>
      <c r="H329" s="863"/>
      <c r="I329" s="52">
        <f t="shared" si="51"/>
        <v>1</v>
      </c>
      <c r="J329" s="863"/>
      <c r="K329" s="52">
        <f t="shared" si="52"/>
        <v>1</v>
      </c>
      <c r="L329" s="863"/>
      <c r="M329" s="52">
        <f t="shared" si="53"/>
        <v>1</v>
      </c>
      <c r="N329" s="863"/>
      <c r="O329" s="52">
        <f t="shared" si="54"/>
        <v>1</v>
      </c>
      <c r="P329" s="863"/>
      <c r="Q329" s="52">
        <f t="shared" si="55"/>
        <v>1</v>
      </c>
      <c r="R329" s="390">
        <f t="shared" si="56"/>
        <v>0</v>
      </c>
      <c r="S329" s="699">
        <f t="shared" si="58"/>
        <v>0</v>
      </c>
    </row>
    <row r="330" spans="1:19">
      <c r="A330" s="865"/>
      <c r="B330" s="134"/>
      <c r="C330" s="52">
        <f t="shared" si="48"/>
        <v>1</v>
      </c>
      <c r="D330" s="863"/>
      <c r="E330" s="52">
        <f t="shared" si="49"/>
        <v>1</v>
      </c>
      <c r="F330" s="863"/>
      <c r="G330" s="52">
        <f t="shared" si="50"/>
        <v>1</v>
      </c>
      <c r="H330" s="863"/>
      <c r="I330" s="52">
        <f t="shared" si="51"/>
        <v>1</v>
      </c>
      <c r="J330" s="863"/>
      <c r="K330" s="52">
        <f t="shared" si="52"/>
        <v>1</v>
      </c>
      <c r="L330" s="863"/>
      <c r="M330" s="52">
        <f t="shared" si="53"/>
        <v>1</v>
      </c>
      <c r="N330" s="863"/>
      <c r="O330" s="52">
        <f t="shared" si="54"/>
        <v>1</v>
      </c>
      <c r="P330" s="863"/>
      <c r="Q330" s="52">
        <f t="shared" si="55"/>
        <v>1</v>
      </c>
      <c r="R330" s="390">
        <f t="shared" si="56"/>
        <v>0</v>
      </c>
      <c r="S330" s="699">
        <f t="shared" si="58"/>
        <v>0</v>
      </c>
    </row>
    <row r="331" spans="1:19">
      <c r="A331" s="865"/>
      <c r="B331" s="134"/>
      <c r="C331" s="52">
        <f t="shared" si="48"/>
        <v>1</v>
      </c>
      <c r="D331" s="863"/>
      <c r="E331" s="52">
        <f t="shared" si="49"/>
        <v>1</v>
      </c>
      <c r="F331" s="863"/>
      <c r="G331" s="52">
        <f t="shared" si="50"/>
        <v>1</v>
      </c>
      <c r="H331" s="863"/>
      <c r="I331" s="52">
        <f t="shared" si="51"/>
        <v>1</v>
      </c>
      <c r="J331" s="863"/>
      <c r="K331" s="52">
        <f t="shared" si="52"/>
        <v>1</v>
      </c>
      <c r="L331" s="863"/>
      <c r="M331" s="52">
        <f t="shared" si="53"/>
        <v>1</v>
      </c>
      <c r="N331" s="863"/>
      <c r="O331" s="52">
        <f t="shared" si="54"/>
        <v>1</v>
      </c>
      <c r="P331" s="863"/>
      <c r="Q331" s="52">
        <f t="shared" si="55"/>
        <v>1</v>
      </c>
      <c r="R331" s="390">
        <f t="shared" si="56"/>
        <v>0</v>
      </c>
      <c r="S331" s="699">
        <f t="shared" si="58"/>
        <v>0</v>
      </c>
    </row>
    <row r="332" spans="1:19">
      <c r="A332" s="865"/>
      <c r="B332" s="134"/>
      <c r="C332" s="52">
        <f t="shared" si="48"/>
        <v>1</v>
      </c>
      <c r="D332" s="863"/>
      <c r="E332" s="52">
        <f t="shared" si="49"/>
        <v>1</v>
      </c>
      <c r="F332" s="863"/>
      <c r="G332" s="52">
        <f t="shared" si="50"/>
        <v>1</v>
      </c>
      <c r="H332" s="863"/>
      <c r="I332" s="52">
        <f t="shared" si="51"/>
        <v>1</v>
      </c>
      <c r="J332" s="863"/>
      <c r="K332" s="52">
        <f t="shared" si="52"/>
        <v>1</v>
      </c>
      <c r="L332" s="863"/>
      <c r="M332" s="52">
        <f t="shared" si="53"/>
        <v>1</v>
      </c>
      <c r="N332" s="863"/>
      <c r="O332" s="52">
        <f t="shared" si="54"/>
        <v>1</v>
      </c>
      <c r="P332" s="863"/>
      <c r="Q332" s="52">
        <f t="shared" si="55"/>
        <v>1</v>
      </c>
      <c r="R332" s="390">
        <f t="shared" si="56"/>
        <v>0</v>
      </c>
      <c r="S332" s="699">
        <f t="shared" si="58"/>
        <v>0</v>
      </c>
    </row>
    <row r="333" spans="1:19">
      <c r="A333" s="865"/>
      <c r="B333" s="134"/>
      <c r="C333" s="52">
        <f t="shared" si="48"/>
        <v>1</v>
      </c>
      <c r="D333" s="863"/>
      <c r="E333" s="52">
        <f t="shared" si="49"/>
        <v>1</v>
      </c>
      <c r="F333" s="863"/>
      <c r="G333" s="52">
        <f t="shared" si="50"/>
        <v>1</v>
      </c>
      <c r="H333" s="863"/>
      <c r="I333" s="52">
        <f t="shared" si="51"/>
        <v>1</v>
      </c>
      <c r="J333" s="863"/>
      <c r="K333" s="52">
        <f t="shared" si="52"/>
        <v>1</v>
      </c>
      <c r="L333" s="863"/>
      <c r="M333" s="52">
        <f t="shared" si="53"/>
        <v>1</v>
      </c>
      <c r="N333" s="863"/>
      <c r="O333" s="52">
        <f t="shared" si="54"/>
        <v>1</v>
      </c>
      <c r="P333" s="863"/>
      <c r="Q333" s="52">
        <f t="shared" si="55"/>
        <v>1</v>
      </c>
      <c r="R333" s="390">
        <f t="shared" si="56"/>
        <v>0</v>
      </c>
      <c r="S333" s="699">
        <f t="shared" si="58"/>
        <v>0</v>
      </c>
    </row>
    <row r="334" spans="1:19">
      <c r="A334" s="865"/>
      <c r="B334" s="134"/>
      <c r="C334" s="52">
        <f t="shared" si="48"/>
        <v>1</v>
      </c>
      <c r="D334" s="863"/>
      <c r="E334" s="52">
        <f t="shared" si="49"/>
        <v>1</v>
      </c>
      <c r="F334" s="863"/>
      <c r="G334" s="52">
        <f t="shared" si="50"/>
        <v>1</v>
      </c>
      <c r="H334" s="863"/>
      <c r="I334" s="52">
        <f t="shared" si="51"/>
        <v>1</v>
      </c>
      <c r="J334" s="863"/>
      <c r="K334" s="52">
        <f t="shared" si="52"/>
        <v>1</v>
      </c>
      <c r="L334" s="863"/>
      <c r="M334" s="52">
        <f t="shared" si="53"/>
        <v>1</v>
      </c>
      <c r="N334" s="863"/>
      <c r="O334" s="52">
        <f t="shared" si="54"/>
        <v>1</v>
      </c>
      <c r="P334" s="863"/>
      <c r="Q334" s="52">
        <f t="shared" si="55"/>
        <v>1</v>
      </c>
      <c r="R334" s="390">
        <f t="shared" si="56"/>
        <v>0</v>
      </c>
      <c r="S334" s="699">
        <f t="shared" si="58"/>
        <v>0</v>
      </c>
    </row>
    <row r="335" spans="1:19">
      <c r="A335" s="865"/>
      <c r="B335" s="134"/>
      <c r="C335" s="52">
        <f t="shared" si="48"/>
        <v>1</v>
      </c>
      <c r="D335" s="863"/>
      <c r="E335" s="52">
        <f t="shared" si="49"/>
        <v>1</v>
      </c>
      <c r="F335" s="863"/>
      <c r="G335" s="52">
        <f t="shared" si="50"/>
        <v>1</v>
      </c>
      <c r="H335" s="863"/>
      <c r="I335" s="52">
        <f t="shared" si="51"/>
        <v>1</v>
      </c>
      <c r="J335" s="863"/>
      <c r="K335" s="52">
        <f t="shared" si="52"/>
        <v>1</v>
      </c>
      <c r="L335" s="863"/>
      <c r="M335" s="52">
        <f t="shared" si="53"/>
        <v>1</v>
      </c>
      <c r="N335" s="863"/>
      <c r="O335" s="52">
        <f t="shared" si="54"/>
        <v>1</v>
      </c>
      <c r="P335" s="863"/>
      <c r="Q335" s="52">
        <f t="shared" si="55"/>
        <v>1</v>
      </c>
      <c r="R335" s="390">
        <f t="shared" si="56"/>
        <v>0</v>
      </c>
      <c r="S335" s="699">
        <f t="shared" si="58"/>
        <v>0</v>
      </c>
    </row>
    <row r="336" spans="1:19">
      <c r="A336" s="865"/>
      <c r="B336" s="134"/>
      <c r="C336" s="52">
        <f t="shared" si="48"/>
        <v>1</v>
      </c>
      <c r="D336" s="863"/>
      <c r="E336" s="52">
        <f t="shared" si="49"/>
        <v>1</v>
      </c>
      <c r="F336" s="863"/>
      <c r="G336" s="52">
        <f t="shared" si="50"/>
        <v>1</v>
      </c>
      <c r="H336" s="863"/>
      <c r="I336" s="52">
        <f t="shared" si="51"/>
        <v>1</v>
      </c>
      <c r="J336" s="863"/>
      <c r="K336" s="52">
        <f t="shared" si="52"/>
        <v>1</v>
      </c>
      <c r="L336" s="863"/>
      <c r="M336" s="52">
        <f t="shared" si="53"/>
        <v>1</v>
      </c>
      <c r="N336" s="863"/>
      <c r="O336" s="52">
        <f t="shared" si="54"/>
        <v>1</v>
      </c>
      <c r="P336" s="863"/>
      <c r="Q336" s="52">
        <f t="shared" si="55"/>
        <v>1</v>
      </c>
      <c r="R336" s="390">
        <f t="shared" si="56"/>
        <v>0</v>
      </c>
      <c r="S336" s="699">
        <f t="shared" si="58"/>
        <v>0</v>
      </c>
    </row>
    <row r="337" spans="1:19">
      <c r="A337" s="865"/>
      <c r="B337" s="134"/>
      <c r="C337" s="52">
        <f t="shared" si="48"/>
        <v>1</v>
      </c>
      <c r="D337" s="863"/>
      <c r="E337" s="52">
        <f t="shared" si="49"/>
        <v>1</v>
      </c>
      <c r="F337" s="863"/>
      <c r="G337" s="52">
        <f t="shared" si="50"/>
        <v>1</v>
      </c>
      <c r="H337" s="863"/>
      <c r="I337" s="52">
        <f t="shared" si="51"/>
        <v>1</v>
      </c>
      <c r="J337" s="863"/>
      <c r="K337" s="52">
        <f t="shared" si="52"/>
        <v>1</v>
      </c>
      <c r="L337" s="863"/>
      <c r="M337" s="52">
        <f t="shared" si="53"/>
        <v>1</v>
      </c>
      <c r="N337" s="863"/>
      <c r="O337" s="52">
        <f t="shared" si="54"/>
        <v>1</v>
      </c>
      <c r="P337" s="863"/>
      <c r="Q337" s="52">
        <f t="shared" si="55"/>
        <v>1</v>
      </c>
      <c r="R337" s="390">
        <f t="shared" si="56"/>
        <v>0</v>
      </c>
      <c r="S337" s="699">
        <f t="shared" si="58"/>
        <v>0</v>
      </c>
    </row>
    <row r="338" spans="1:19">
      <c r="A338" s="865"/>
      <c r="B338" s="134"/>
      <c r="C338" s="52">
        <f t="shared" si="48"/>
        <v>1</v>
      </c>
      <c r="D338" s="863"/>
      <c r="E338" s="52">
        <f t="shared" si="49"/>
        <v>1</v>
      </c>
      <c r="F338" s="863"/>
      <c r="G338" s="52">
        <f t="shared" si="50"/>
        <v>1</v>
      </c>
      <c r="H338" s="863"/>
      <c r="I338" s="52">
        <f t="shared" si="51"/>
        <v>1</v>
      </c>
      <c r="J338" s="863"/>
      <c r="K338" s="52">
        <f t="shared" si="52"/>
        <v>1</v>
      </c>
      <c r="L338" s="863"/>
      <c r="M338" s="52">
        <f t="shared" si="53"/>
        <v>1</v>
      </c>
      <c r="N338" s="863"/>
      <c r="O338" s="52">
        <f t="shared" si="54"/>
        <v>1</v>
      </c>
      <c r="P338" s="863"/>
      <c r="Q338" s="52">
        <f t="shared" si="55"/>
        <v>1</v>
      </c>
      <c r="R338" s="390">
        <f t="shared" si="56"/>
        <v>0</v>
      </c>
      <c r="S338" s="699">
        <f t="shared" si="58"/>
        <v>0</v>
      </c>
    </row>
    <row r="339" spans="1:19">
      <c r="A339" s="865"/>
      <c r="B339" s="134"/>
      <c r="C339" s="52">
        <f t="shared" si="48"/>
        <v>1</v>
      </c>
      <c r="D339" s="863"/>
      <c r="E339" s="52">
        <f t="shared" si="49"/>
        <v>1</v>
      </c>
      <c r="F339" s="863"/>
      <c r="G339" s="52">
        <f t="shared" si="50"/>
        <v>1</v>
      </c>
      <c r="H339" s="863"/>
      <c r="I339" s="52">
        <f t="shared" si="51"/>
        <v>1</v>
      </c>
      <c r="J339" s="863"/>
      <c r="K339" s="52">
        <f t="shared" si="52"/>
        <v>1</v>
      </c>
      <c r="L339" s="863"/>
      <c r="M339" s="52">
        <f t="shared" si="53"/>
        <v>1</v>
      </c>
      <c r="N339" s="863"/>
      <c r="O339" s="52">
        <f t="shared" si="54"/>
        <v>1</v>
      </c>
      <c r="P339" s="863"/>
      <c r="Q339" s="52">
        <f t="shared" si="55"/>
        <v>1</v>
      </c>
      <c r="R339" s="390">
        <f t="shared" si="56"/>
        <v>0</v>
      </c>
      <c r="S339" s="699">
        <f t="shared" si="58"/>
        <v>0</v>
      </c>
    </row>
    <row r="340" spans="1:19">
      <c r="A340" s="865"/>
      <c r="B340" s="134"/>
      <c r="C340" s="52">
        <f t="shared" si="48"/>
        <v>1</v>
      </c>
      <c r="D340" s="863"/>
      <c r="E340" s="52">
        <f t="shared" si="49"/>
        <v>1</v>
      </c>
      <c r="F340" s="863"/>
      <c r="G340" s="52">
        <f t="shared" si="50"/>
        <v>1</v>
      </c>
      <c r="H340" s="863"/>
      <c r="I340" s="52">
        <f t="shared" si="51"/>
        <v>1</v>
      </c>
      <c r="J340" s="863"/>
      <c r="K340" s="52">
        <f t="shared" si="52"/>
        <v>1</v>
      </c>
      <c r="L340" s="863"/>
      <c r="M340" s="52">
        <f t="shared" si="53"/>
        <v>1</v>
      </c>
      <c r="N340" s="863"/>
      <c r="O340" s="52">
        <f t="shared" si="54"/>
        <v>1</v>
      </c>
      <c r="P340" s="863"/>
      <c r="Q340" s="52">
        <f t="shared" si="55"/>
        <v>1</v>
      </c>
      <c r="R340" s="390">
        <f t="shared" si="56"/>
        <v>0</v>
      </c>
      <c r="S340" s="699">
        <f t="shared" si="58"/>
        <v>0</v>
      </c>
    </row>
    <row r="341" spans="1:19">
      <c r="A341" s="865"/>
      <c r="B341" s="134"/>
      <c r="C341" s="52">
        <f t="shared" si="48"/>
        <v>1</v>
      </c>
      <c r="D341" s="863"/>
      <c r="E341" s="52">
        <f t="shared" si="49"/>
        <v>1</v>
      </c>
      <c r="F341" s="863"/>
      <c r="G341" s="52">
        <f t="shared" si="50"/>
        <v>1</v>
      </c>
      <c r="H341" s="863"/>
      <c r="I341" s="52">
        <f t="shared" si="51"/>
        <v>1</v>
      </c>
      <c r="J341" s="863"/>
      <c r="K341" s="52">
        <f t="shared" si="52"/>
        <v>1</v>
      </c>
      <c r="L341" s="863"/>
      <c r="M341" s="52">
        <f t="shared" si="53"/>
        <v>1</v>
      </c>
      <c r="N341" s="863"/>
      <c r="O341" s="52">
        <f t="shared" si="54"/>
        <v>1</v>
      </c>
      <c r="P341" s="863"/>
      <c r="Q341" s="52">
        <f t="shared" si="55"/>
        <v>1</v>
      </c>
      <c r="R341" s="390">
        <f t="shared" si="56"/>
        <v>0</v>
      </c>
      <c r="S341" s="699">
        <f t="shared" si="58"/>
        <v>0</v>
      </c>
    </row>
    <row r="342" spans="1:19">
      <c r="A342" s="865"/>
      <c r="B342" s="134"/>
      <c r="C342" s="52">
        <f t="shared" si="48"/>
        <v>1</v>
      </c>
      <c r="D342" s="863"/>
      <c r="E342" s="52">
        <f t="shared" si="49"/>
        <v>1</v>
      </c>
      <c r="F342" s="863"/>
      <c r="G342" s="52">
        <f t="shared" si="50"/>
        <v>1</v>
      </c>
      <c r="H342" s="863"/>
      <c r="I342" s="52">
        <f t="shared" si="51"/>
        <v>1</v>
      </c>
      <c r="J342" s="863"/>
      <c r="K342" s="52">
        <f t="shared" si="52"/>
        <v>1</v>
      </c>
      <c r="L342" s="863"/>
      <c r="M342" s="52">
        <f t="shared" si="53"/>
        <v>1</v>
      </c>
      <c r="N342" s="863"/>
      <c r="O342" s="52">
        <f t="shared" si="54"/>
        <v>1</v>
      </c>
      <c r="P342" s="863"/>
      <c r="Q342" s="52">
        <f t="shared" si="55"/>
        <v>1</v>
      </c>
      <c r="R342" s="390">
        <f t="shared" si="56"/>
        <v>0</v>
      </c>
      <c r="S342" s="699">
        <f t="shared" si="58"/>
        <v>0</v>
      </c>
    </row>
    <row r="343" spans="1:19">
      <c r="A343" s="865"/>
      <c r="B343" s="134"/>
      <c r="C343" s="52">
        <f t="shared" si="48"/>
        <v>1</v>
      </c>
      <c r="D343" s="863"/>
      <c r="E343" s="52">
        <f t="shared" si="49"/>
        <v>1</v>
      </c>
      <c r="F343" s="863"/>
      <c r="G343" s="52">
        <f t="shared" si="50"/>
        <v>1</v>
      </c>
      <c r="H343" s="863"/>
      <c r="I343" s="52">
        <f t="shared" si="51"/>
        <v>1</v>
      </c>
      <c r="J343" s="863"/>
      <c r="K343" s="52">
        <f t="shared" si="52"/>
        <v>1</v>
      </c>
      <c r="L343" s="863"/>
      <c r="M343" s="52">
        <f t="shared" si="53"/>
        <v>1</v>
      </c>
      <c r="N343" s="863"/>
      <c r="O343" s="52">
        <f t="shared" si="54"/>
        <v>1</v>
      </c>
      <c r="P343" s="863"/>
      <c r="Q343" s="52">
        <f t="shared" si="55"/>
        <v>1</v>
      </c>
      <c r="R343" s="390">
        <f t="shared" si="56"/>
        <v>0</v>
      </c>
      <c r="S343" s="699">
        <f t="shared" si="58"/>
        <v>0</v>
      </c>
    </row>
    <row r="344" spans="1:19">
      <c r="A344" s="865"/>
      <c r="B344" s="134"/>
      <c r="C344" s="52">
        <f t="shared" si="48"/>
        <v>1</v>
      </c>
      <c r="D344" s="863"/>
      <c r="E344" s="52">
        <f t="shared" si="49"/>
        <v>1</v>
      </c>
      <c r="F344" s="863"/>
      <c r="G344" s="52">
        <f t="shared" si="50"/>
        <v>1</v>
      </c>
      <c r="H344" s="863"/>
      <c r="I344" s="52">
        <f t="shared" si="51"/>
        <v>1</v>
      </c>
      <c r="J344" s="863"/>
      <c r="K344" s="52">
        <f t="shared" si="52"/>
        <v>1</v>
      </c>
      <c r="L344" s="863"/>
      <c r="M344" s="52">
        <f t="shared" si="53"/>
        <v>1</v>
      </c>
      <c r="N344" s="863"/>
      <c r="O344" s="52">
        <f t="shared" si="54"/>
        <v>1</v>
      </c>
      <c r="P344" s="863"/>
      <c r="Q344" s="52">
        <f t="shared" si="55"/>
        <v>1</v>
      </c>
      <c r="R344" s="390">
        <f t="shared" si="56"/>
        <v>0</v>
      </c>
      <c r="S344" s="699">
        <f t="shared" si="58"/>
        <v>0</v>
      </c>
    </row>
    <row r="345" spans="1:19">
      <c r="A345" s="865"/>
      <c r="B345" s="134"/>
      <c r="C345" s="52">
        <f t="shared" si="48"/>
        <v>1</v>
      </c>
      <c r="D345" s="863"/>
      <c r="E345" s="52">
        <f t="shared" si="49"/>
        <v>1</v>
      </c>
      <c r="F345" s="863"/>
      <c r="G345" s="52">
        <f t="shared" si="50"/>
        <v>1</v>
      </c>
      <c r="H345" s="863"/>
      <c r="I345" s="52">
        <f t="shared" si="51"/>
        <v>1</v>
      </c>
      <c r="J345" s="863"/>
      <c r="K345" s="52">
        <f t="shared" si="52"/>
        <v>1</v>
      </c>
      <c r="L345" s="863"/>
      <c r="M345" s="52">
        <f t="shared" si="53"/>
        <v>1</v>
      </c>
      <c r="N345" s="863"/>
      <c r="O345" s="52">
        <f t="shared" si="54"/>
        <v>1</v>
      </c>
      <c r="P345" s="863"/>
      <c r="Q345" s="52">
        <f t="shared" si="55"/>
        <v>1</v>
      </c>
      <c r="R345" s="390">
        <f t="shared" si="56"/>
        <v>0</v>
      </c>
      <c r="S345" s="699">
        <f t="shared" si="58"/>
        <v>0</v>
      </c>
    </row>
    <row r="346" spans="1:19">
      <c r="A346" s="865"/>
      <c r="B346" s="134"/>
      <c r="C346" s="52">
        <f t="shared" ref="C346:C409" si="59">IF(B346="",1,(LOOKUP(B346,$3:$3,$4:$4)-LOOKUP($B$24,$3:$3,$4:$4)+100)/100)</f>
        <v>1</v>
      </c>
      <c r="D346" s="863"/>
      <c r="E346" s="52">
        <f t="shared" ref="E346:E409" si="60">(SUMIF($5:$5,D346,$6:$6)-SUMIF($5:$5,$D$24,$6:$6)+100)/100</f>
        <v>1</v>
      </c>
      <c r="F346" s="863"/>
      <c r="G346" s="52">
        <f t="shared" ref="G346:G409" si="61">(SUMIF($7:$7,F346,$8:$8)-SUMIF($7:$7,$F$24,$8:$8)+100)/100</f>
        <v>1</v>
      </c>
      <c r="H346" s="863"/>
      <c r="I346" s="52">
        <f t="shared" ref="I346:I409" si="62">(SUMIF($9:$9,H346,$10:$10)-SUMIF($9:$9,$H$24,$10:$10)+100)/100</f>
        <v>1</v>
      </c>
      <c r="J346" s="863"/>
      <c r="K346" s="52">
        <f t="shared" ref="K346:K409" si="63">(SUMIF($11:$11,J346,$12:$12)-SUMIF($11:$11,$J$24,$12:$12)+100)/100</f>
        <v>1</v>
      </c>
      <c r="L346" s="863"/>
      <c r="M346" s="52">
        <f t="shared" ref="M346:M409" si="64">(SUMIF($13:$13,L346,$14:$14)-SUMIF($13:$13,$L$24,$14:$14)+100)/100</f>
        <v>1</v>
      </c>
      <c r="N346" s="863"/>
      <c r="O346" s="52">
        <f t="shared" ref="O346:O409" si="65">(SUMIF($15:$15,N346,$16:$16)-SUMIF($15:$15,$N$24,$16:$16)+100)/100</f>
        <v>1</v>
      </c>
      <c r="P346" s="863"/>
      <c r="Q346" s="52">
        <f t="shared" ref="Q346:Q409" si="66">(SUMIF($17:$17,P346,$18:$18)-SUMIF($17:$17,$P$24,$18:$18)+100)/100</f>
        <v>1</v>
      </c>
      <c r="R346" s="390">
        <f t="shared" ref="R346:R409" si="67">IF(B346="",0,ROUND($R$24*C346*E346*G346*I346*K346*M346*O346*Q346,0))</f>
        <v>0</v>
      </c>
      <c r="S346" s="699">
        <f t="shared" si="58"/>
        <v>0</v>
      </c>
    </row>
    <row r="347" spans="1:19">
      <c r="A347" s="865"/>
      <c r="B347" s="134"/>
      <c r="C347" s="52">
        <f t="shared" si="59"/>
        <v>1</v>
      </c>
      <c r="D347" s="863"/>
      <c r="E347" s="52">
        <f t="shared" si="60"/>
        <v>1</v>
      </c>
      <c r="F347" s="863"/>
      <c r="G347" s="52">
        <f t="shared" si="61"/>
        <v>1</v>
      </c>
      <c r="H347" s="863"/>
      <c r="I347" s="52">
        <f t="shared" si="62"/>
        <v>1</v>
      </c>
      <c r="J347" s="863"/>
      <c r="K347" s="52">
        <f t="shared" si="63"/>
        <v>1</v>
      </c>
      <c r="L347" s="863"/>
      <c r="M347" s="52">
        <f t="shared" si="64"/>
        <v>1</v>
      </c>
      <c r="N347" s="863"/>
      <c r="O347" s="52">
        <f t="shared" si="65"/>
        <v>1</v>
      </c>
      <c r="P347" s="863"/>
      <c r="Q347" s="52">
        <f t="shared" si="66"/>
        <v>1</v>
      </c>
      <c r="R347" s="390">
        <f t="shared" si="67"/>
        <v>0</v>
      </c>
      <c r="S347" s="699">
        <f t="shared" si="58"/>
        <v>0</v>
      </c>
    </row>
    <row r="348" spans="1:19">
      <c r="A348" s="865"/>
      <c r="B348" s="134"/>
      <c r="C348" s="52">
        <f t="shared" si="59"/>
        <v>1</v>
      </c>
      <c r="D348" s="863"/>
      <c r="E348" s="52">
        <f t="shared" si="60"/>
        <v>1</v>
      </c>
      <c r="F348" s="863"/>
      <c r="G348" s="52">
        <f t="shared" si="61"/>
        <v>1</v>
      </c>
      <c r="H348" s="863"/>
      <c r="I348" s="52">
        <f t="shared" si="62"/>
        <v>1</v>
      </c>
      <c r="J348" s="863"/>
      <c r="K348" s="52">
        <f t="shared" si="63"/>
        <v>1</v>
      </c>
      <c r="L348" s="863"/>
      <c r="M348" s="52">
        <f t="shared" si="64"/>
        <v>1</v>
      </c>
      <c r="N348" s="863"/>
      <c r="O348" s="52">
        <f t="shared" si="65"/>
        <v>1</v>
      </c>
      <c r="P348" s="863"/>
      <c r="Q348" s="52">
        <f t="shared" si="66"/>
        <v>1</v>
      </c>
      <c r="R348" s="390">
        <f t="shared" si="67"/>
        <v>0</v>
      </c>
      <c r="S348" s="699">
        <f t="shared" si="58"/>
        <v>0</v>
      </c>
    </row>
    <row r="349" spans="1:19">
      <c r="A349" s="865"/>
      <c r="B349" s="134"/>
      <c r="C349" s="52">
        <f t="shared" si="59"/>
        <v>1</v>
      </c>
      <c r="D349" s="863"/>
      <c r="E349" s="52">
        <f t="shared" si="60"/>
        <v>1</v>
      </c>
      <c r="F349" s="863"/>
      <c r="G349" s="52">
        <f t="shared" si="61"/>
        <v>1</v>
      </c>
      <c r="H349" s="863"/>
      <c r="I349" s="52">
        <f t="shared" si="62"/>
        <v>1</v>
      </c>
      <c r="J349" s="863"/>
      <c r="K349" s="52">
        <f t="shared" si="63"/>
        <v>1</v>
      </c>
      <c r="L349" s="863"/>
      <c r="M349" s="52">
        <f t="shared" si="64"/>
        <v>1</v>
      </c>
      <c r="N349" s="863"/>
      <c r="O349" s="52">
        <f t="shared" si="65"/>
        <v>1</v>
      </c>
      <c r="P349" s="863"/>
      <c r="Q349" s="52">
        <f t="shared" si="66"/>
        <v>1</v>
      </c>
      <c r="R349" s="390">
        <f t="shared" si="67"/>
        <v>0</v>
      </c>
      <c r="S349" s="699">
        <f t="shared" si="58"/>
        <v>0</v>
      </c>
    </row>
    <row r="350" spans="1:19">
      <c r="A350" s="865"/>
      <c r="B350" s="134"/>
      <c r="C350" s="52">
        <f t="shared" si="59"/>
        <v>1</v>
      </c>
      <c r="D350" s="863"/>
      <c r="E350" s="52">
        <f t="shared" si="60"/>
        <v>1</v>
      </c>
      <c r="F350" s="863"/>
      <c r="G350" s="52">
        <f t="shared" si="61"/>
        <v>1</v>
      </c>
      <c r="H350" s="863"/>
      <c r="I350" s="52">
        <f t="shared" si="62"/>
        <v>1</v>
      </c>
      <c r="J350" s="863"/>
      <c r="K350" s="52">
        <f t="shared" si="63"/>
        <v>1</v>
      </c>
      <c r="L350" s="863"/>
      <c r="M350" s="52">
        <f t="shared" si="64"/>
        <v>1</v>
      </c>
      <c r="N350" s="863"/>
      <c r="O350" s="52">
        <f t="shared" si="65"/>
        <v>1</v>
      </c>
      <c r="P350" s="863"/>
      <c r="Q350" s="52">
        <f t="shared" si="66"/>
        <v>1</v>
      </c>
      <c r="R350" s="390">
        <f t="shared" si="67"/>
        <v>0</v>
      </c>
      <c r="S350" s="699">
        <f t="shared" si="58"/>
        <v>0</v>
      </c>
    </row>
    <row r="351" spans="1:19">
      <c r="A351" s="865"/>
      <c r="B351" s="134"/>
      <c r="C351" s="52">
        <f t="shared" si="59"/>
        <v>1</v>
      </c>
      <c r="D351" s="863"/>
      <c r="E351" s="52">
        <f t="shared" si="60"/>
        <v>1</v>
      </c>
      <c r="F351" s="863"/>
      <c r="G351" s="52">
        <f t="shared" si="61"/>
        <v>1</v>
      </c>
      <c r="H351" s="863"/>
      <c r="I351" s="52">
        <f t="shared" si="62"/>
        <v>1</v>
      </c>
      <c r="J351" s="863"/>
      <c r="K351" s="52">
        <f t="shared" si="63"/>
        <v>1</v>
      </c>
      <c r="L351" s="863"/>
      <c r="M351" s="52">
        <f t="shared" si="64"/>
        <v>1</v>
      </c>
      <c r="N351" s="863"/>
      <c r="O351" s="52">
        <f t="shared" si="65"/>
        <v>1</v>
      </c>
      <c r="P351" s="863"/>
      <c r="Q351" s="52">
        <f t="shared" si="66"/>
        <v>1</v>
      </c>
      <c r="R351" s="390">
        <f t="shared" si="67"/>
        <v>0</v>
      </c>
      <c r="S351" s="699">
        <f t="shared" si="58"/>
        <v>0</v>
      </c>
    </row>
    <row r="352" spans="1:19">
      <c r="A352" s="865"/>
      <c r="B352" s="134"/>
      <c r="C352" s="52">
        <f t="shared" si="59"/>
        <v>1</v>
      </c>
      <c r="D352" s="863"/>
      <c r="E352" s="52">
        <f t="shared" si="60"/>
        <v>1</v>
      </c>
      <c r="F352" s="863"/>
      <c r="G352" s="52">
        <f t="shared" si="61"/>
        <v>1</v>
      </c>
      <c r="H352" s="863"/>
      <c r="I352" s="52">
        <f t="shared" si="62"/>
        <v>1</v>
      </c>
      <c r="J352" s="863"/>
      <c r="K352" s="52">
        <f t="shared" si="63"/>
        <v>1</v>
      </c>
      <c r="L352" s="863"/>
      <c r="M352" s="52">
        <f t="shared" si="64"/>
        <v>1</v>
      </c>
      <c r="N352" s="863"/>
      <c r="O352" s="52">
        <f t="shared" si="65"/>
        <v>1</v>
      </c>
      <c r="P352" s="863"/>
      <c r="Q352" s="52">
        <f t="shared" si="66"/>
        <v>1</v>
      </c>
      <c r="R352" s="390">
        <f t="shared" si="67"/>
        <v>0</v>
      </c>
      <c r="S352" s="699">
        <f t="shared" si="58"/>
        <v>0</v>
      </c>
    </row>
    <row r="353" spans="1:19">
      <c r="A353" s="865"/>
      <c r="B353" s="134"/>
      <c r="C353" s="52">
        <f t="shared" si="59"/>
        <v>1</v>
      </c>
      <c r="D353" s="863"/>
      <c r="E353" s="52">
        <f t="shared" si="60"/>
        <v>1</v>
      </c>
      <c r="F353" s="863"/>
      <c r="G353" s="52">
        <f t="shared" si="61"/>
        <v>1</v>
      </c>
      <c r="H353" s="863"/>
      <c r="I353" s="52">
        <f t="shared" si="62"/>
        <v>1</v>
      </c>
      <c r="J353" s="863"/>
      <c r="K353" s="52">
        <f t="shared" si="63"/>
        <v>1</v>
      </c>
      <c r="L353" s="863"/>
      <c r="M353" s="52">
        <f t="shared" si="64"/>
        <v>1</v>
      </c>
      <c r="N353" s="863"/>
      <c r="O353" s="52">
        <f t="shared" si="65"/>
        <v>1</v>
      </c>
      <c r="P353" s="863"/>
      <c r="Q353" s="52">
        <f t="shared" si="66"/>
        <v>1</v>
      </c>
      <c r="R353" s="390">
        <f t="shared" si="67"/>
        <v>0</v>
      </c>
      <c r="S353" s="699">
        <f t="shared" si="58"/>
        <v>0</v>
      </c>
    </row>
    <row r="354" spans="1:19">
      <c r="A354" s="865"/>
      <c r="B354" s="134"/>
      <c r="C354" s="52">
        <f t="shared" si="59"/>
        <v>1</v>
      </c>
      <c r="D354" s="863"/>
      <c r="E354" s="52">
        <f t="shared" si="60"/>
        <v>1</v>
      </c>
      <c r="F354" s="863"/>
      <c r="G354" s="52">
        <f t="shared" si="61"/>
        <v>1</v>
      </c>
      <c r="H354" s="863"/>
      <c r="I354" s="52">
        <f t="shared" si="62"/>
        <v>1</v>
      </c>
      <c r="J354" s="863"/>
      <c r="K354" s="52">
        <f t="shared" si="63"/>
        <v>1</v>
      </c>
      <c r="L354" s="863"/>
      <c r="M354" s="52">
        <f t="shared" si="64"/>
        <v>1</v>
      </c>
      <c r="N354" s="863"/>
      <c r="O354" s="52">
        <f t="shared" si="65"/>
        <v>1</v>
      </c>
      <c r="P354" s="863"/>
      <c r="Q354" s="52">
        <f t="shared" si="66"/>
        <v>1</v>
      </c>
      <c r="R354" s="390">
        <f t="shared" si="67"/>
        <v>0</v>
      </c>
      <c r="S354" s="699">
        <f t="shared" si="58"/>
        <v>0</v>
      </c>
    </row>
    <row r="355" spans="1:19">
      <c r="A355" s="865"/>
      <c r="B355" s="134"/>
      <c r="C355" s="52">
        <f t="shared" si="59"/>
        <v>1</v>
      </c>
      <c r="D355" s="863"/>
      <c r="E355" s="52">
        <f t="shared" si="60"/>
        <v>1</v>
      </c>
      <c r="F355" s="863"/>
      <c r="G355" s="52">
        <f t="shared" si="61"/>
        <v>1</v>
      </c>
      <c r="H355" s="863"/>
      <c r="I355" s="52">
        <f t="shared" si="62"/>
        <v>1</v>
      </c>
      <c r="J355" s="863"/>
      <c r="K355" s="52">
        <f t="shared" si="63"/>
        <v>1</v>
      </c>
      <c r="L355" s="863"/>
      <c r="M355" s="52">
        <f t="shared" si="64"/>
        <v>1</v>
      </c>
      <c r="N355" s="863"/>
      <c r="O355" s="52">
        <f t="shared" si="65"/>
        <v>1</v>
      </c>
      <c r="P355" s="863"/>
      <c r="Q355" s="52">
        <f t="shared" si="66"/>
        <v>1</v>
      </c>
      <c r="R355" s="390">
        <f t="shared" si="67"/>
        <v>0</v>
      </c>
      <c r="S355" s="699">
        <f t="shared" si="58"/>
        <v>0</v>
      </c>
    </row>
    <row r="356" spans="1:19">
      <c r="A356" s="865"/>
      <c r="B356" s="134"/>
      <c r="C356" s="52">
        <f t="shared" si="59"/>
        <v>1</v>
      </c>
      <c r="D356" s="863"/>
      <c r="E356" s="52">
        <f t="shared" si="60"/>
        <v>1</v>
      </c>
      <c r="F356" s="863"/>
      <c r="G356" s="52">
        <f t="shared" si="61"/>
        <v>1</v>
      </c>
      <c r="H356" s="863"/>
      <c r="I356" s="52">
        <f t="shared" si="62"/>
        <v>1</v>
      </c>
      <c r="J356" s="863"/>
      <c r="K356" s="52">
        <f t="shared" si="63"/>
        <v>1</v>
      </c>
      <c r="L356" s="863"/>
      <c r="M356" s="52">
        <f t="shared" si="64"/>
        <v>1</v>
      </c>
      <c r="N356" s="863"/>
      <c r="O356" s="52">
        <f t="shared" si="65"/>
        <v>1</v>
      </c>
      <c r="P356" s="863"/>
      <c r="Q356" s="52">
        <f t="shared" si="66"/>
        <v>1</v>
      </c>
      <c r="R356" s="390">
        <f t="shared" si="67"/>
        <v>0</v>
      </c>
      <c r="S356" s="699">
        <f t="shared" si="58"/>
        <v>0</v>
      </c>
    </row>
    <row r="357" spans="1:19">
      <c r="A357" s="865"/>
      <c r="B357" s="134"/>
      <c r="C357" s="52">
        <f t="shared" si="59"/>
        <v>1</v>
      </c>
      <c r="D357" s="863"/>
      <c r="E357" s="52">
        <f t="shared" si="60"/>
        <v>1</v>
      </c>
      <c r="F357" s="863"/>
      <c r="G357" s="52">
        <f t="shared" si="61"/>
        <v>1</v>
      </c>
      <c r="H357" s="863"/>
      <c r="I357" s="52">
        <f t="shared" si="62"/>
        <v>1</v>
      </c>
      <c r="J357" s="863"/>
      <c r="K357" s="52">
        <f t="shared" si="63"/>
        <v>1</v>
      </c>
      <c r="L357" s="863"/>
      <c r="M357" s="52">
        <f t="shared" si="64"/>
        <v>1</v>
      </c>
      <c r="N357" s="863"/>
      <c r="O357" s="52">
        <f t="shared" si="65"/>
        <v>1</v>
      </c>
      <c r="P357" s="863"/>
      <c r="Q357" s="52">
        <f t="shared" si="66"/>
        <v>1</v>
      </c>
      <c r="R357" s="390">
        <f t="shared" si="67"/>
        <v>0</v>
      </c>
      <c r="S357" s="699">
        <f t="shared" si="58"/>
        <v>0</v>
      </c>
    </row>
    <row r="358" spans="1:19">
      <c r="A358" s="865"/>
      <c r="B358" s="134"/>
      <c r="C358" s="52">
        <f t="shared" si="59"/>
        <v>1</v>
      </c>
      <c r="D358" s="863"/>
      <c r="E358" s="52">
        <f t="shared" si="60"/>
        <v>1</v>
      </c>
      <c r="F358" s="863"/>
      <c r="G358" s="52">
        <f t="shared" si="61"/>
        <v>1</v>
      </c>
      <c r="H358" s="863"/>
      <c r="I358" s="52">
        <f t="shared" si="62"/>
        <v>1</v>
      </c>
      <c r="J358" s="863"/>
      <c r="K358" s="52">
        <f t="shared" si="63"/>
        <v>1</v>
      </c>
      <c r="L358" s="863"/>
      <c r="M358" s="52">
        <f t="shared" si="64"/>
        <v>1</v>
      </c>
      <c r="N358" s="863"/>
      <c r="O358" s="52">
        <f t="shared" si="65"/>
        <v>1</v>
      </c>
      <c r="P358" s="863"/>
      <c r="Q358" s="52">
        <f t="shared" si="66"/>
        <v>1</v>
      </c>
      <c r="R358" s="390">
        <f t="shared" si="67"/>
        <v>0</v>
      </c>
      <c r="S358" s="699">
        <f t="shared" si="58"/>
        <v>0</v>
      </c>
    </row>
    <row r="359" spans="1:19">
      <c r="A359" s="865"/>
      <c r="B359" s="134"/>
      <c r="C359" s="52">
        <f t="shared" si="59"/>
        <v>1</v>
      </c>
      <c r="D359" s="863"/>
      <c r="E359" s="52">
        <f t="shared" si="60"/>
        <v>1</v>
      </c>
      <c r="F359" s="863"/>
      <c r="G359" s="52">
        <f t="shared" si="61"/>
        <v>1</v>
      </c>
      <c r="H359" s="863"/>
      <c r="I359" s="52">
        <f t="shared" si="62"/>
        <v>1</v>
      </c>
      <c r="J359" s="863"/>
      <c r="K359" s="52">
        <f t="shared" si="63"/>
        <v>1</v>
      </c>
      <c r="L359" s="863"/>
      <c r="M359" s="52">
        <f t="shared" si="64"/>
        <v>1</v>
      </c>
      <c r="N359" s="863"/>
      <c r="O359" s="52">
        <f t="shared" si="65"/>
        <v>1</v>
      </c>
      <c r="P359" s="863"/>
      <c r="Q359" s="52">
        <f t="shared" si="66"/>
        <v>1</v>
      </c>
      <c r="R359" s="390">
        <f t="shared" si="67"/>
        <v>0</v>
      </c>
      <c r="S359" s="699">
        <f t="shared" si="58"/>
        <v>0</v>
      </c>
    </row>
    <row r="360" spans="1:19">
      <c r="A360" s="865"/>
      <c r="B360" s="134"/>
      <c r="C360" s="52">
        <f t="shared" si="59"/>
        <v>1</v>
      </c>
      <c r="D360" s="863"/>
      <c r="E360" s="52">
        <f t="shared" si="60"/>
        <v>1</v>
      </c>
      <c r="F360" s="863"/>
      <c r="G360" s="52">
        <f t="shared" si="61"/>
        <v>1</v>
      </c>
      <c r="H360" s="863"/>
      <c r="I360" s="52">
        <f t="shared" si="62"/>
        <v>1</v>
      </c>
      <c r="J360" s="863"/>
      <c r="K360" s="52">
        <f t="shared" si="63"/>
        <v>1</v>
      </c>
      <c r="L360" s="863"/>
      <c r="M360" s="52">
        <f t="shared" si="64"/>
        <v>1</v>
      </c>
      <c r="N360" s="863"/>
      <c r="O360" s="52">
        <f t="shared" si="65"/>
        <v>1</v>
      </c>
      <c r="P360" s="863"/>
      <c r="Q360" s="52">
        <f t="shared" si="66"/>
        <v>1</v>
      </c>
      <c r="R360" s="390">
        <f t="shared" si="67"/>
        <v>0</v>
      </c>
      <c r="S360" s="699">
        <f t="shared" si="58"/>
        <v>0</v>
      </c>
    </row>
    <row r="361" spans="1:19">
      <c r="A361" s="865"/>
      <c r="B361" s="134"/>
      <c r="C361" s="52">
        <f t="shared" si="59"/>
        <v>1</v>
      </c>
      <c r="D361" s="863"/>
      <c r="E361" s="52">
        <f t="shared" si="60"/>
        <v>1</v>
      </c>
      <c r="F361" s="863"/>
      <c r="G361" s="52">
        <f t="shared" si="61"/>
        <v>1</v>
      </c>
      <c r="H361" s="863"/>
      <c r="I361" s="52">
        <f t="shared" si="62"/>
        <v>1</v>
      </c>
      <c r="J361" s="863"/>
      <c r="K361" s="52">
        <f t="shared" si="63"/>
        <v>1</v>
      </c>
      <c r="L361" s="863"/>
      <c r="M361" s="52">
        <f t="shared" si="64"/>
        <v>1</v>
      </c>
      <c r="N361" s="863"/>
      <c r="O361" s="52">
        <f t="shared" si="65"/>
        <v>1</v>
      </c>
      <c r="P361" s="863"/>
      <c r="Q361" s="52">
        <f t="shared" si="66"/>
        <v>1</v>
      </c>
      <c r="R361" s="390">
        <f t="shared" si="67"/>
        <v>0</v>
      </c>
      <c r="S361" s="699">
        <f t="shared" si="58"/>
        <v>0</v>
      </c>
    </row>
    <row r="362" spans="1:19">
      <c r="A362" s="865"/>
      <c r="B362" s="134"/>
      <c r="C362" s="52">
        <f t="shared" si="59"/>
        <v>1</v>
      </c>
      <c r="D362" s="863"/>
      <c r="E362" s="52">
        <f t="shared" si="60"/>
        <v>1</v>
      </c>
      <c r="F362" s="863"/>
      <c r="G362" s="52">
        <f t="shared" si="61"/>
        <v>1</v>
      </c>
      <c r="H362" s="863"/>
      <c r="I362" s="52">
        <f t="shared" si="62"/>
        <v>1</v>
      </c>
      <c r="J362" s="863"/>
      <c r="K362" s="52">
        <f t="shared" si="63"/>
        <v>1</v>
      </c>
      <c r="L362" s="863"/>
      <c r="M362" s="52">
        <f t="shared" si="64"/>
        <v>1</v>
      </c>
      <c r="N362" s="863"/>
      <c r="O362" s="52">
        <f t="shared" si="65"/>
        <v>1</v>
      </c>
      <c r="P362" s="863"/>
      <c r="Q362" s="52">
        <f t="shared" si="66"/>
        <v>1</v>
      </c>
      <c r="R362" s="390">
        <f t="shared" si="67"/>
        <v>0</v>
      </c>
      <c r="S362" s="699">
        <f t="shared" si="58"/>
        <v>0</v>
      </c>
    </row>
    <row r="363" spans="1:19">
      <c r="A363" s="865"/>
      <c r="B363" s="134"/>
      <c r="C363" s="52">
        <f t="shared" si="59"/>
        <v>1</v>
      </c>
      <c r="D363" s="863"/>
      <c r="E363" s="52">
        <f t="shared" si="60"/>
        <v>1</v>
      </c>
      <c r="F363" s="863"/>
      <c r="G363" s="52">
        <f t="shared" si="61"/>
        <v>1</v>
      </c>
      <c r="H363" s="863"/>
      <c r="I363" s="52">
        <f t="shared" si="62"/>
        <v>1</v>
      </c>
      <c r="J363" s="863"/>
      <c r="K363" s="52">
        <f t="shared" si="63"/>
        <v>1</v>
      </c>
      <c r="L363" s="863"/>
      <c r="M363" s="52">
        <f t="shared" si="64"/>
        <v>1</v>
      </c>
      <c r="N363" s="863"/>
      <c r="O363" s="52">
        <f t="shared" si="65"/>
        <v>1</v>
      </c>
      <c r="P363" s="863"/>
      <c r="Q363" s="52">
        <f t="shared" si="66"/>
        <v>1</v>
      </c>
      <c r="R363" s="390">
        <f t="shared" si="67"/>
        <v>0</v>
      </c>
      <c r="S363" s="699">
        <f t="shared" si="58"/>
        <v>0</v>
      </c>
    </row>
    <row r="364" spans="1:19">
      <c r="A364" s="865"/>
      <c r="B364" s="134"/>
      <c r="C364" s="52">
        <f t="shared" si="59"/>
        <v>1</v>
      </c>
      <c r="D364" s="863"/>
      <c r="E364" s="52">
        <f t="shared" si="60"/>
        <v>1</v>
      </c>
      <c r="F364" s="863"/>
      <c r="G364" s="52">
        <f t="shared" si="61"/>
        <v>1</v>
      </c>
      <c r="H364" s="863"/>
      <c r="I364" s="52">
        <f t="shared" si="62"/>
        <v>1</v>
      </c>
      <c r="J364" s="863"/>
      <c r="K364" s="52">
        <f t="shared" si="63"/>
        <v>1</v>
      </c>
      <c r="L364" s="863"/>
      <c r="M364" s="52">
        <f t="shared" si="64"/>
        <v>1</v>
      </c>
      <c r="N364" s="863"/>
      <c r="O364" s="52">
        <f t="shared" si="65"/>
        <v>1</v>
      </c>
      <c r="P364" s="863"/>
      <c r="Q364" s="52">
        <f t="shared" si="66"/>
        <v>1</v>
      </c>
      <c r="R364" s="390">
        <f t="shared" si="67"/>
        <v>0</v>
      </c>
      <c r="S364" s="699">
        <f t="shared" si="58"/>
        <v>0</v>
      </c>
    </row>
    <row r="365" spans="1:19">
      <c r="A365" s="865"/>
      <c r="B365" s="134"/>
      <c r="C365" s="52">
        <f t="shared" si="59"/>
        <v>1</v>
      </c>
      <c r="D365" s="863"/>
      <c r="E365" s="52">
        <f t="shared" si="60"/>
        <v>1</v>
      </c>
      <c r="F365" s="863"/>
      <c r="G365" s="52">
        <f t="shared" si="61"/>
        <v>1</v>
      </c>
      <c r="H365" s="863"/>
      <c r="I365" s="52">
        <f t="shared" si="62"/>
        <v>1</v>
      </c>
      <c r="J365" s="863"/>
      <c r="K365" s="52">
        <f t="shared" si="63"/>
        <v>1</v>
      </c>
      <c r="L365" s="863"/>
      <c r="M365" s="52">
        <f t="shared" si="64"/>
        <v>1</v>
      </c>
      <c r="N365" s="863"/>
      <c r="O365" s="52">
        <f t="shared" si="65"/>
        <v>1</v>
      </c>
      <c r="P365" s="863"/>
      <c r="Q365" s="52">
        <f t="shared" si="66"/>
        <v>1</v>
      </c>
      <c r="R365" s="390">
        <f t="shared" si="67"/>
        <v>0</v>
      </c>
      <c r="S365" s="699">
        <f t="shared" si="58"/>
        <v>0</v>
      </c>
    </row>
    <row r="366" spans="1:19">
      <c r="A366" s="865"/>
      <c r="B366" s="134"/>
      <c r="C366" s="52">
        <f t="shared" si="59"/>
        <v>1</v>
      </c>
      <c r="D366" s="863"/>
      <c r="E366" s="52">
        <f t="shared" si="60"/>
        <v>1</v>
      </c>
      <c r="F366" s="863"/>
      <c r="G366" s="52">
        <f t="shared" si="61"/>
        <v>1</v>
      </c>
      <c r="H366" s="863"/>
      <c r="I366" s="52">
        <f t="shared" si="62"/>
        <v>1</v>
      </c>
      <c r="J366" s="863"/>
      <c r="K366" s="52">
        <f t="shared" si="63"/>
        <v>1</v>
      </c>
      <c r="L366" s="863"/>
      <c r="M366" s="52">
        <f t="shared" si="64"/>
        <v>1</v>
      </c>
      <c r="N366" s="863"/>
      <c r="O366" s="52">
        <f t="shared" si="65"/>
        <v>1</v>
      </c>
      <c r="P366" s="863"/>
      <c r="Q366" s="52">
        <f t="shared" si="66"/>
        <v>1</v>
      </c>
      <c r="R366" s="390">
        <f t="shared" si="67"/>
        <v>0</v>
      </c>
      <c r="S366" s="699">
        <f t="shared" si="58"/>
        <v>0</v>
      </c>
    </row>
    <row r="367" spans="1:19">
      <c r="A367" s="865"/>
      <c r="B367" s="134"/>
      <c r="C367" s="52">
        <f t="shared" si="59"/>
        <v>1</v>
      </c>
      <c r="D367" s="863"/>
      <c r="E367" s="52">
        <f t="shared" si="60"/>
        <v>1</v>
      </c>
      <c r="F367" s="863"/>
      <c r="G367" s="52">
        <f t="shared" si="61"/>
        <v>1</v>
      </c>
      <c r="H367" s="863"/>
      <c r="I367" s="52">
        <f t="shared" si="62"/>
        <v>1</v>
      </c>
      <c r="J367" s="863"/>
      <c r="K367" s="52">
        <f t="shared" si="63"/>
        <v>1</v>
      </c>
      <c r="L367" s="863"/>
      <c r="M367" s="52">
        <f t="shared" si="64"/>
        <v>1</v>
      </c>
      <c r="N367" s="863"/>
      <c r="O367" s="52">
        <f t="shared" si="65"/>
        <v>1</v>
      </c>
      <c r="P367" s="863"/>
      <c r="Q367" s="52">
        <f t="shared" si="66"/>
        <v>1</v>
      </c>
      <c r="R367" s="390">
        <f t="shared" si="67"/>
        <v>0</v>
      </c>
      <c r="S367" s="699">
        <f t="shared" si="58"/>
        <v>0</v>
      </c>
    </row>
    <row r="368" spans="1:19">
      <c r="A368" s="865"/>
      <c r="B368" s="134"/>
      <c r="C368" s="52">
        <f t="shared" si="59"/>
        <v>1</v>
      </c>
      <c r="D368" s="863"/>
      <c r="E368" s="52">
        <f t="shared" si="60"/>
        <v>1</v>
      </c>
      <c r="F368" s="863"/>
      <c r="G368" s="52">
        <f t="shared" si="61"/>
        <v>1</v>
      </c>
      <c r="H368" s="863"/>
      <c r="I368" s="52">
        <f t="shared" si="62"/>
        <v>1</v>
      </c>
      <c r="J368" s="863"/>
      <c r="K368" s="52">
        <f t="shared" si="63"/>
        <v>1</v>
      </c>
      <c r="L368" s="863"/>
      <c r="M368" s="52">
        <f t="shared" si="64"/>
        <v>1</v>
      </c>
      <c r="N368" s="863"/>
      <c r="O368" s="52">
        <f t="shared" si="65"/>
        <v>1</v>
      </c>
      <c r="P368" s="863"/>
      <c r="Q368" s="52">
        <f t="shared" si="66"/>
        <v>1</v>
      </c>
      <c r="R368" s="390">
        <f t="shared" si="67"/>
        <v>0</v>
      </c>
      <c r="S368" s="699">
        <f t="shared" si="58"/>
        <v>0</v>
      </c>
    </row>
    <row r="369" spans="1:19">
      <c r="A369" s="865"/>
      <c r="B369" s="134"/>
      <c r="C369" s="52">
        <f t="shared" si="59"/>
        <v>1</v>
      </c>
      <c r="D369" s="863"/>
      <c r="E369" s="52">
        <f t="shared" si="60"/>
        <v>1</v>
      </c>
      <c r="F369" s="863"/>
      <c r="G369" s="52">
        <f t="shared" si="61"/>
        <v>1</v>
      </c>
      <c r="H369" s="863"/>
      <c r="I369" s="52">
        <f t="shared" si="62"/>
        <v>1</v>
      </c>
      <c r="J369" s="863"/>
      <c r="K369" s="52">
        <f t="shared" si="63"/>
        <v>1</v>
      </c>
      <c r="L369" s="863"/>
      <c r="M369" s="52">
        <f t="shared" si="64"/>
        <v>1</v>
      </c>
      <c r="N369" s="863"/>
      <c r="O369" s="52">
        <f t="shared" si="65"/>
        <v>1</v>
      </c>
      <c r="P369" s="863"/>
      <c r="Q369" s="52">
        <f t="shared" si="66"/>
        <v>1</v>
      </c>
      <c r="R369" s="390">
        <f t="shared" si="67"/>
        <v>0</v>
      </c>
      <c r="S369" s="699">
        <f t="shared" si="58"/>
        <v>0</v>
      </c>
    </row>
    <row r="370" spans="1:19">
      <c r="A370" s="865"/>
      <c r="B370" s="134"/>
      <c r="C370" s="52">
        <f t="shared" si="59"/>
        <v>1</v>
      </c>
      <c r="D370" s="863"/>
      <c r="E370" s="52">
        <f t="shared" si="60"/>
        <v>1</v>
      </c>
      <c r="F370" s="863"/>
      <c r="G370" s="52">
        <f t="shared" si="61"/>
        <v>1</v>
      </c>
      <c r="H370" s="863"/>
      <c r="I370" s="52">
        <f t="shared" si="62"/>
        <v>1</v>
      </c>
      <c r="J370" s="863"/>
      <c r="K370" s="52">
        <f t="shared" si="63"/>
        <v>1</v>
      </c>
      <c r="L370" s="863"/>
      <c r="M370" s="52">
        <f t="shared" si="64"/>
        <v>1</v>
      </c>
      <c r="N370" s="863"/>
      <c r="O370" s="52">
        <f t="shared" si="65"/>
        <v>1</v>
      </c>
      <c r="P370" s="863"/>
      <c r="Q370" s="52">
        <f t="shared" si="66"/>
        <v>1</v>
      </c>
      <c r="R370" s="390">
        <f t="shared" si="67"/>
        <v>0</v>
      </c>
      <c r="S370" s="699">
        <f t="shared" si="58"/>
        <v>0</v>
      </c>
    </row>
    <row r="371" spans="1:19">
      <c r="A371" s="865"/>
      <c r="B371" s="134"/>
      <c r="C371" s="52">
        <f t="shared" si="59"/>
        <v>1</v>
      </c>
      <c r="D371" s="863"/>
      <c r="E371" s="52">
        <f t="shared" si="60"/>
        <v>1</v>
      </c>
      <c r="F371" s="863"/>
      <c r="G371" s="52">
        <f t="shared" si="61"/>
        <v>1</v>
      </c>
      <c r="H371" s="863"/>
      <c r="I371" s="52">
        <f t="shared" si="62"/>
        <v>1</v>
      </c>
      <c r="J371" s="863"/>
      <c r="K371" s="52">
        <f t="shared" si="63"/>
        <v>1</v>
      </c>
      <c r="L371" s="863"/>
      <c r="M371" s="52">
        <f t="shared" si="64"/>
        <v>1</v>
      </c>
      <c r="N371" s="863"/>
      <c r="O371" s="52">
        <f t="shared" si="65"/>
        <v>1</v>
      </c>
      <c r="P371" s="863"/>
      <c r="Q371" s="52">
        <f t="shared" si="66"/>
        <v>1</v>
      </c>
      <c r="R371" s="390">
        <f t="shared" si="67"/>
        <v>0</v>
      </c>
      <c r="S371" s="699">
        <f t="shared" si="58"/>
        <v>0</v>
      </c>
    </row>
    <row r="372" spans="1:19">
      <c r="A372" s="865"/>
      <c r="B372" s="134"/>
      <c r="C372" s="52">
        <f t="shared" si="59"/>
        <v>1</v>
      </c>
      <c r="D372" s="863"/>
      <c r="E372" s="52">
        <f t="shared" si="60"/>
        <v>1</v>
      </c>
      <c r="F372" s="863"/>
      <c r="G372" s="52">
        <f t="shared" si="61"/>
        <v>1</v>
      </c>
      <c r="H372" s="863"/>
      <c r="I372" s="52">
        <f t="shared" si="62"/>
        <v>1</v>
      </c>
      <c r="J372" s="863"/>
      <c r="K372" s="52">
        <f t="shared" si="63"/>
        <v>1</v>
      </c>
      <c r="L372" s="863"/>
      <c r="M372" s="52">
        <f t="shared" si="64"/>
        <v>1</v>
      </c>
      <c r="N372" s="863"/>
      <c r="O372" s="52">
        <f t="shared" si="65"/>
        <v>1</v>
      </c>
      <c r="P372" s="863"/>
      <c r="Q372" s="52">
        <f t="shared" si="66"/>
        <v>1</v>
      </c>
      <c r="R372" s="390">
        <f t="shared" si="67"/>
        <v>0</v>
      </c>
      <c r="S372" s="699">
        <f t="shared" si="58"/>
        <v>0</v>
      </c>
    </row>
    <row r="373" spans="1:19">
      <c r="A373" s="865"/>
      <c r="B373" s="134"/>
      <c r="C373" s="52">
        <f t="shared" si="59"/>
        <v>1</v>
      </c>
      <c r="D373" s="863"/>
      <c r="E373" s="52">
        <f t="shared" si="60"/>
        <v>1</v>
      </c>
      <c r="F373" s="863"/>
      <c r="G373" s="52">
        <f t="shared" si="61"/>
        <v>1</v>
      </c>
      <c r="H373" s="863"/>
      <c r="I373" s="52">
        <f t="shared" si="62"/>
        <v>1</v>
      </c>
      <c r="J373" s="863"/>
      <c r="K373" s="52">
        <f t="shared" si="63"/>
        <v>1</v>
      </c>
      <c r="L373" s="863"/>
      <c r="M373" s="52">
        <f t="shared" si="64"/>
        <v>1</v>
      </c>
      <c r="N373" s="863"/>
      <c r="O373" s="52">
        <f t="shared" si="65"/>
        <v>1</v>
      </c>
      <c r="P373" s="863"/>
      <c r="Q373" s="52">
        <f t="shared" si="66"/>
        <v>1</v>
      </c>
      <c r="R373" s="390">
        <f t="shared" si="67"/>
        <v>0</v>
      </c>
      <c r="S373" s="699">
        <f t="shared" si="58"/>
        <v>0</v>
      </c>
    </row>
    <row r="374" spans="1:19">
      <c r="A374" s="865"/>
      <c r="B374" s="134"/>
      <c r="C374" s="52">
        <f t="shared" si="59"/>
        <v>1</v>
      </c>
      <c r="D374" s="863"/>
      <c r="E374" s="52">
        <f t="shared" si="60"/>
        <v>1</v>
      </c>
      <c r="F374" s="863"/>
      <c r="G374" s="52">
        <f t="shared" si="61"/>
        <v>1</v>
      </c>
      <c r="H374" s="863"/>
      <c r="I374" s="52">
        <f t="shared" si="62"/>
        <v>1</v>
      </c>
      <c r="J374" s="863"/>
      <c r="K374" s="52">
        <f t="shared" si="63"/>
        <v>1</v>
      </c>
      <c r="L374" s="863"/>
      <c r="M374" s="52">
        <f t="shared" si="64"/>
        <v>1</v>
      </c>
      <c r="N374" s="863"/>
      <c r="O374" s="52">
        <f t="shared" si="65"/>
        <v>1</v>
      </c>
      <c r="P374" s="863"/>
      <c r="Q374" s="52">
        <f t="shared" si="66"/>
        <v>1</v>
      </c>
      <c r="R374" s="390">
        <f t="shared" si="67"/>
        <v>0</v>
      </c>
      <c r="S374" s="699">
        <f t="shared" si="58"/>
        <v>0</v>
      </c>
    </row>
    <row r="375" spans="1:19">
      <c r="A375" s="865"/>
      <c r="B375" s="134"/>
      <c r="C375" s="52">
        <f t="shared" si="59"/>
        <v>1</v>
      </c>
      <c r="D375" s="863"/>
      <c r="E375" s="52">
        <f t="shared" si="60"/>
        <v>1</v>
      </c>
      <c r="F375" s="863"/>
      <c r="G375" s="52">
        <f t="shared" si="61"/>
        <v>1</v>
      </c>
      <c r="H375" s="863"/>
      <c r="I375" s="52">
        <f t="shared" si="62"/>
        <v>1</v>
      </c>
      <c r="J375" s="863"/>
      <c r="K375" s="52">
        <f t="shared" si="63"/>
        <v>1</v>
      </c>
      <c r="L375" s="863"/>
      <c r="M375" s="52">
        <f t="shared" si="64"/>
        <v>1</v>
      </c>
      <c r="N375" s="863"/>
      <c r="O375" s="52">
        <f t="shared" si="65"/>
        <v>1</v>
      </c>
      <c r="P375" s="863"/>
      <c r="Q375" s="52">
        <f t="shared" si="66"/>
        <v>1</v>
      </c>
      <c r="R375" s="390">
        <f t="shared" si="67"/>
        <v>0</v>
      </c>
      <c r="S375" s="699">
        <f t="shared" si="58"/>
        <v>0</v>
      </c>
    </row>
    <row r="376" spans="1:19">
      <c r="A376" s="865"/>
      <c r="B376" s="134"/>
      <c r="C376" s="52">
        <f t="shared" si="59"/>
        <v>1</v>
      </c>
      <c r="D376" s="863"/>
      <c r="E376" s="52">
        <f t="shared" si="60"/>
        <v>1</v>
      </c>
      <c r="F376" s="863"/>
      <c r="G376" s="52">
        <f t="shared" si="61"/>
        <v>1</v>
      </c>
      <c r="H376" s="863"/>
      <c r="I376" s="52">
        <f t="shared" si="62"/>
        <v>1</v>
      </c>
      <c r="J376" s="863"/>
      <c r="K376" s="52">
        <f t="shared" si="63"/>
        <v>1</v>
      </c>
      <c r="L376" s="863"/>
      <c r="M376" s="52">
        <f t="shared" si="64"/>
        <v>1</v>
      </c>
      <c r="N376" s="863"/>
      <c r="O376" s="52">
        <f t="shared" si="65"/>
        <v>1</v>
      </c>
      <c r="P376" s="863"/>
      <c r="Q376" s="52">
        <f t="shared" si="66"/>
        <v>1</v>
      </c>
      <c r="R376" s="390">
        <f t="shared" si="67"/>
        <v>0</v>
      </c>
      <c r="S376" s="699">
        <f t="shared" si="58"/>
        <v>0</v>
      </c>
    </row>
    <row r="377" spans="1:19">
      <c r="A377" s="865"/>
      <c r="B377" s="134"/>
      <c r="C377" s="52">
        <f t="shared" si="59"/>
        <v>1</v>
      </c>
      <c r="D377" s="863"/>
      <c r="E377" s="52">
        <f t="shared" si="60"/>
        <v>1</v>
      </c>
      <c r="F377" s="863"/>
      <c r="G377" s="52">
        <f t="shared" si="61"/>
        <v>1</v>
      </c>
      <c r="H377" s="863"/>
      <c r="I377" s="52">
        <f t="shared" si="62"/>
        <v>1</v>
      </c>
      <c r="J377" s="863"/>
      <c r="K377" s="52">
        <f t="shared" si="63"/>
        <v>1</v>
      </c>
      <c r="L377" s="863"/>
      <c r="M377" s="52">
        <f t="shared" si="64"/>
        <v>1</v>
      </c>
      <c r="N377" s="863"/>
      <c r="O377" s="52">
        <f t="shared" si="65"/>
        <v>1</v>
      </c>
      <c r="P377" s="863"/>
      <c r="Q377" s="52">
        <f t="shared" si="66"/>
        <v>1</v>
      </c>
      <c r="R377" s="390">
        <f t="shared" si="67"/>
        <v>0</v>
      </c>
      <c r="S377" s="699">
        <f t="shared" si="58"/>
        <v>0</v>
      </c>
    </row>
    <row r="378" spans="1:19">
      <c r="A378" s="865"/>
      <c r="B378" s="134"/>
      <c r="C378" s="52">
        <f t="shared" si="59"/>
        <v>1</v>
      </c>
      <c r="D378" s="863"/>
      <c r="E378" s="52">
        <f t="shared" si="60"/>
        <v>1</v>
      </c>
      <c r="F378" s="863"/>
      <c r="G378" s="52">
        <f t="shared" si="61"/>
        <v>1</v>
      </c>
      <c r="H378" s="863"/>
      <c r="I378" s="52">
        <f t="shared" si="62"/>
        <v>1</v>
      </c>
      <c r="J378" s="863"/>
      <c r="K378" s="52">
        <f t="shared" si="63"/>
        <v>1</v>
      </c>
      <c r="L378" s="863"/>
      <c r="M378" s="52">
        <f t="shared" si="64"/>
        <v>1</v>
      </c>
      <c r="N378" s="863"/>
      <c r="O378" s="52">
        <f t="shared" si="65"/>
        <v>1</v>
      </c>
      <c r="P378" s="863"/>
      <c r="Q378" s="52">
        <f t="shared" si="66"/>
        <v>1</v>
      </c>
      <c r="R378" s="390">
        <f t="shared" si="67"/>
        <v>0</v>
      </c>
      <c r="S378" s="699">
        <f t="shared" si="58"/>
        <v>0</v>
      </c>
    </row>
    <row r="379" spans="1:19">
      <c r="A379" s="865"/>
      <c r="B379" s="134"/>
      <c r="C379" s="52">
        <f t="shared" si="59"/>
        <v>1</v>
      </c>
      <c r="D379" s="863"/>
      <c r="E379" s="52">
        <f t="shared" si="60"/>
        <v>1</v>
      </c>
      <c r="F379" s="863"/>
      <c r="G379" s="52">
        <f t="shared" si="61"/>
        <v>1</v>
      </c>
      <c r="H379" s="863"/>
      <c r="I379" s="52">
        <f t="shared" si="62"/>
        <v>1</v>
      </c>
      <c r="J379" s="863"/>
      <c r="K379" s="52">
        <f t="shared" si="63"/>
        <v>1</v>
      </c>
      <c r="L379" s="863"/>
      <c r="M379" s="52">
        <f t="shared" si="64"/>
        <v>1</v>
      </c>
      <c r="N379" s="863"/>
      <c r="O379" s="52">
        <f t="shared" si="65"/>
        <v>1</v>
      </c>
      <c r="P379" s="863"/>
      <c r="Q379" s="52">
        <f t="shared" si="66"/>
        <v>1</v>
      </c>
      <c r="R379" s="390">
        <f t="shared" si="67"/>
        <v>0</v>
      </c>
      <c r="S379" s="699">
        <f t="shared" si="58"/>
        <v>0</v>
      </c>
    </row>
    <row r="380" spans="1:19">
      <c r="A380" s="865"/>
      <c r="B380" s="134"/>
      <c r="C380" s="52">
        <f t="shared" si="59"/>
        <v>1</v>
      </c>
      <c r="D380" s="863"/>
      <c r="E380" s="52">
        <f t="shared" si="60"/>
        <v>1</v>
      </c>
      <c r="F380" s="863"/>
      <c r="G380" s="52">
        <f t="shared" si="61"/>
        <v>1</v>
      </c>
      <c r="H380" s="863"/>
      <c r="I380" s="52">
        <f t="shared" si="62"/>
        <v>1</v>
      </c>
      <c r="J380" s="863"/>
      <c r="K380" s="52">
        <f t="shared" si="63"/>
        <v>1</v>
      </c>
      <c r="L380" s="863"/>
      <c r="M380" s="52">
        <f t="shared" si="64"/>
        <v>1</v>
      </c>
      <c r="N380" s="863"/>
      <c r="O380" s="52">
        <f t="shared" si="65"/>
        <v>1</v>
      </c>
      <c r="P380" s="863"/>
      <c r="Q380" s="52">
        <f t="shared" si="66"/>
        <v>1</v>
      </c>
      <c r="R380" s="390">
        <f t="shared" si="67"/>
        <v>0</v>
      </c>
      <c r="S380" s="699">
        <f t="shared" si="58"/>
        <v>0</v>
      </c>
    </row>
    <row r="381" spans="1:19">
      <c r="A381" s="865"/>
      <c r="B381" s="134"/>
      <c r="C381" s="52">
        <f t="shared" si="59"/>
        <v>1</v>
      </c>
      <c r="D381" s="863"/>
      <c r="E381" s="52">
        <f t="shared" si="60"/>
        <v>1</v>
      </c>
      <c r="F381" s="863"/>
      <c r="G381" s="52">
        <f t="shared" si="61"/>
        <v>1</v>
      </c>
      <c r="H381" s="863"/>
      <c r="I381" s="52">
        <f t="shared" si="62"/>
        <v>1</v>
      </c>
      <c r="J381" s="863"/>
      <c r="K381" s="52">
        <f t="shared" si="63"/>
        <v>1</v>
      </c>
      <c r="L381" s="863"/>
      <c r="M381" s="52">
        <f t="shared" si="64"/>
        <v>1</v>
      </c>
      <c r="N381" s="863"/>
      <c r="O381" s="52">
        <f t="shared" si="65"/>
        <v>1</v>
      </c>
      <c r="P381" s="863"/>
      <c r="Q381" s="52">
        <f t="shared" si="66"/>
        <v>1</v>
      </c>
      <c r="R381" s="390">
        <f t="shared" si="67"/>
        <v>0</v>
      </c>
      <c r="S381" s="699">
        <f t="shared" si="58"/>
        <v>0</v>
      </c>
    </row>
    <row r="382" spans="1:19">
      <c r="A382" s="865"/>
      <c r="B382" s="134"/>
      <c r="C382" s="52">
        <f t="shared" si="59"/>
        <v>1</v>
      </c>
      <c r="D382" s="863"/>
      <c r="E382" s="52">
        <f t="shared" si="60"/>
        <v>1</v>
      </c>
      <c r="F382" s="863"/>
      <c r="G382" s="52">
        <f t="shared" si="61"/>
        <v>1</v>
      </c>
      <c r="H382" s="863"/>
      <c r="I382" s="52">
        <f t="shared" si="62"/>
        <v>1</v>
      </c>
      <c r="J382" s="863"/>
      <c r="K382" s="52">
        <f t="shared" si="63"/>
        <v>1</v>
      </c>
      <c r="L382" s="863"/>
      <c r="M382" s="52">
        <f t="shared" si="64"/>
        <v>1</v>
      </c>
      <c r="N382" s="863"/>
      <c r="O382" s="52">
        <f t="shared" si="65"/>
        <v>1</v>
      </c>
      <c r="P382" s="863"/>
      <c r="Q382" s="52">
        <f t="shared" si="66"/>
        <v>1</v>
      </c>
      <c r="R382" s="390">
        <f t="shared" si="67"/>
        <v>0</v>
      </c>
      <c r="S382" s="699">
        <f t="shared" si="58"/>
        <v>0</v>
      </c>
    </row>
    <row r="383" spans="1:19">
      <c r="A383" s="865"/>
      <c r="B383" s="134"/>
      <c r="C383" s="52">
        <f t="shared" si="59"/>
        <v>1</v>
      </c>
      <c r="D383" s="863"/>
      <c r="E383" s="52">
        <f t="shared" si="60"/>
        <v>1</v>
      </c>
      <c r="F383" s="863"/>
      <c r="G383" s="52">
        <f t="shared" si="61"/>
        <v>1</v>
      </c>
      <c r="H383" s="863"/>
      <c r="I383" s="52">
        <f t="shared" si="62"/>
        <v>1</v>
      </c>
      <c r="J383" s="863"/>
      <c r="K383" s="52">
        <f t="shared" si="63"/>
        <v>1</v>
      </c>
      <c r="L383" s="863"/>
      <c r="M383" s="52">
        <f t="shared" si="64"/>
        <v>1</v>
      </c>
      <c r="N383" s="863"/>
      <c r="O383" s="52">
        <f t="shared" si="65"/>
        <v>1</v>
      </c>
      <c r="P383" s="863"/>
      <c r="Q383" s="52">
        <f t="shared" si="66"/>
        <v>1</v>
      </c>
      <c r="R383" s="390">
        <f t="shared" si="67"/>
        <v>0</v>
      </c>
      <c r="S383" s="699">
        <f t="shared" si="58"/>
        <v>0</v>
      </c>
    </row>
    <row r="384" spans="1:19">
      <c r="A384" s="865"/>
      <c r="B384" s="134"/>
      <c r="C384" s="52">
        <f t="shared" si="59"/>
        <v>1</v>
      </c>
      <c r="D384" s="863"/>
      <c r="E384" s="52">
        <f t="shared" si="60"/>
        <v>1</v>
      </c>
      <c r="F384" s="863"/>
      <c r="G384" s="52">
        <f t="shared" si="61"/>
        <v>1</v>
      </c>
      <c r="H384" s="863"/>
      <c r="I384" s="52">
        <f t="shared" si="62"/>
        <v>1</v>
      </c>
      <c r="J384" s="863"/>
      <c r="K384" s="52">
        <f t="shared" si="63"/>
        <v>1</v>
      </c>
      <c r="L384" s="863"/>
      <c r="M384" s="52">
        <f t="shared" si="64"/>
        <v>1</v>
      </c>
      <c r="N384" s="863"/>
      <c r="O384" s="52">
        <f t="shared" si="65"/>
        <v>1</v>
      </c>
      <c r="P384" s="863"/>
      <c r="Q384" s="52">
        <f t="shared" si="66"/>
        <v>1</v>
      </c>
      <c r="R384" s="390">
        <f t="shared" si="67"/>
        <v>0</v>
      </c>
      <c r="S384" s="699">
        <f t="shared" si="58"/>
        <v>0</v>
      </c>
    </row>
    <row r="385" spans="1:19">
      <c r="A385" s="865"/>
      <c r="B385" s="134"/>
      <c r="C385" s="52">
        <f t="shared" si="59"/>
        <v>1</v>
      </c>
      <c r="D385" s="863"/>
      <c r="E385" s="52">
        <f t="shared" si="60"/>
        <v>1</v>
      </c>
      <c r="F385" s="863"/>
      <c r="G385" s="52">
        <f t="shared" si="61"/>
        <v>1</v>
      </c>
      <c r="H385" s="863"/>
      <c r="I385" s="52">
        <f t="shared" si="62"/>
        <v>1</v>
      </c>
      <c r="J385" s="863"/>
      <c r="K385" s="52">
        <f t="shared" si="63"/>
        <v>1</v>
      </c>
      <c r="L385" s="863"/>
      <c r="M385" s="52">
        <f t="shared" si="64"/>
        <v>1</v>
      </c>
      <c r="N385" s="863"/>
      <c r="O385" s="52">
        <f t="shared" si="65"/>
        <v>1</v>
      </c>
      <c r="P385" s="863"/>
      <c r="Q385" s="52">
        <f t="shared" si="66"/>
        <v>1</v>
      </c>
      <c r="R385" s="390">
        <f t="shared" si="67"/>
        <v>0</v>
      </c>
      <c r="S385" s="699">
        <f t="shared" ref="S385:S422" si="68">ROUND(R385*B385/10000,0)</f>
        <v>0</v>
      </c>
    </row>
    <row r="386" spans="1:19">
      <c r="A386" s="865"/>
      <c r="B386" s="134"/>
      <c r="C386" s="52">
        <f t="shared" si="59"/>
        <v>1</v>
      </c>
      <c r="D386" s="863"/>
      <c r="E386" s="52">
        <f t="shared" si="60"/>
        <v>1</v>
      </c>
      <c r="F386" s="863"/>
      <c r="G386" s="52">
        <f t="shared" si="61"/>
        <v>1</v>
      </c>
      <c r="H386" s="863"/>
      <c r="I386" s="52">
        <f t="shared" si="62"/>
        <v>1</v>
      </c>
      <c r="J386" s="863"/>
      <c r="K386" s="52">
        <f t="shared" si="63"/>
        <v>1</v>
      </c>
      <c r="L386" s="863"/>
      <c r="M386" s="52">
        <f t="shared" si="64"/>
        <v>1</v>
      </c>
      <c r="N386" s="863"/>
      <c r="O386" s="52">
        <f t="shared" si="65"/>
        <v>1</v>
      </c>
      <c r="P386" s="863"/>
      <c r="Q386" s="52">
        <f t="shared" si="66"/>
        <v>1</v>
      </c>
      <c r="R386" s="390">
        <f t="shared" si="67"/>
        <v>0</v>
      </c>
      <c r="S386" s="699">
        <f t="shared" si="68"/>
        <v>0</v>
      </c>
    </row>
    <row r="387" spans="1:19">
      <c r="A387" s="865"/>
      <c r="B387" s="134"/>
      <c r="C387" s="52">
        <f t="shared" si="59"/>
        <v>1</v>
      </c>
      <c r="D387" s="863"/>
      <c r="E387" s="52">
        <f t="shared" si="60"/>
        <v>1</v>
      </c>
      <c r="F387" s="863"/>
      <c r="G387" s="52">
        <f t="shared" si="61"/>
        <v>1</v>
      </c>
      <c r="H387" s="863"/>
      <c r="I387" s="52">
        <f t="shared" si="62"/>
        <v>1</v>
      </c>
      <c r="J387" s="863"/>
      <c r="K387" s="52">
        <f t="shared" si="63"/>
        <v>1</v>
      </c>
      <c r="L387" s="863"/>
      <c r="M387" s="52">
        <f t="shared" si="64"/>
        <v>1</v>
      </c>
      <c r="N387" s="863"/>
      <c r="O387" s="52">
        <f t="shared" si="65"/>
        <v>1</v>
      </c>
      <c r="P387" s="863"/>
      <c r="Q387" s="52">
        <f t="shared" si="66"/>
        <v>1</v>
      </c>
      <c r="R387" s="390">
        <f t="shared" si="67"/>
        <v>0</v>
      </c>
      <c r="S387" s="699">
        <f t="shared" si="68"/>
        <v>0</v>
      </c>
    </row>
    <row r="388" spans="1:19">
      <c r="A388" s="865"/>
      <c r="B388" s="134"/>
      <c r="C388" s="52">
        <f t="shared" si="59"/>
        <v>1</v>
      </c>
      <c r="D388" s="863"/>
      <c r="E388" s="52">
        <f t="shared" si="60"/>
        <v>1</v>
      </c>
      <c r="F388" s="863"/>
      <c r="G388" s="52">
        <f t="shared" si="61"/>
        <v>1</v>
      </c>
      <c r="H388" s="863"/>
      <c r="I388" s="52">
        <f t="shared" si="62"/>
        <v>1</v>
      </c>
      <c r="J388" s="863"/>
      <c r="K388" s="52">
        <f t="shared" si="63"/>
        <v>1</v>
      </c>
      <c r="L388" s="863"/>
      <c r="M388" s="52">
        <f t="shared" si="64"/>
        <v>1</v>
      </c>
      <c r="N388" s="863"/>
      <c r="O388" s="52">
        <f t="shared" si="65"/>
        <v>1</v>
      </c>
      <c r="P388" s="863"/>
      <c r="Q388" s="52">
        <f t="shared" si="66"/>
        <v>1</v>
      </c>
      <c r="R388" s="390">
        <f t="shared" si="67"/>
        <v>0</v>
      </c>
      <c r="S388" s="699">
        <f t="shared" si="68"/>
        <v>0</v>
      </c>
    </row>
    <row r="389" spans="1:19">
      <c r="A389" s="865"/>
      <c r="B389" s="134"/>
      <c r="C389" s="52">
        <f t="shared" si="59"/>
        <v>1</v>
      </c>
      <c r="D389" s="863"/>
      <c r="E389" s="52">
        <f t="shared" si="60"/>
        <v>1</v>
      </c>
      <c r="F389" s="863"/>
      <c r="G389" s="52">
        <f t="shared" si="61"/>
        <v>1</v>
      </c>
      <c r="H389" s="863"/>
      <c r="I389" s="52">
        <f t="shared" si="62"/>
        <v>1</v>
      </c>
      <c r="J389" s="863"/>
      <c r="K389" s="52">
        <f t="shared" si="63"/>
        <v>1</v>
      </c>
      <c r="L389" s="863"/>
      <c r="M389" s="52">
        <f t="shared" si="64"/>
        <v>1</v>
      </c>
      <c r="N389" s="863"/>
      <c r="O389" s="52">
        <f t="shared" si="65"/>
        <v>1</v>
      </c>
      <c r="P389" s="863"/>
      <c r="Q389" s="52">
        <f t="shared" si="66"/>
        <v>1</v>
      </c>
      <c r="R389" s="390">
        <f t="shared" si="67"/>
        <v>0</v>
      </c>
      <c r="S389" s="699">
        <f t="shared" si="68"/>
        <v>0</v>
      </c>
    </row>
    <row r="390" spans="1:19">
      <c r="A390" s="865"/>
      <c r="B390" s="134"/>
      <c r="C390" s="52">
        <f t="shared" si="59"/>
        <v>1</v>
      </c>
      <c r="D390" s="863"/>
      <c r="E390" s="52">
        <f t="shared" si="60"/>
        <v>1</v>
      </c>
      <c r="F390" s="863"/>
      <c r="G390" s="52">
        <f t="shared" si="61"/>
        <v>1</v>
      </c>
      <c r="H390" s="863"/>
      <c r="I390" s="52">
        <f t="shared" si="62"/>
        <v>1</v>
      </c>
      <c r="J390" s="863"/>
      <c r="K390" s="52">
        <f t="shared" si="63"/>
        <v>1</v>
      </c>
      <c r="L390" s="863"/>
      <c r="M390" s="52">
        <f t="shared" si="64"/>
        <v>1</v>
      </c>
      <c r="N390" s="863"/>
      <c r="O390" s="52">
        <f t="shared" si="65"/>
        <v>1</v>
      </c>
      <c r="P390" s="863"/>
      <c r="Q390" s="52">
        <f t="shared" si="66"/>
        <v>1</v>
      </c>
      <c r="R390" s="390">
        <f t="shared" si="67"/>
        <v>0</v>
      </c>
      <c r="S390" s="699">
        <f t="shared" si="68"/>
        <v>0</v>
      </c>
    </row>
    <row r="391" spans="1:19">
      <c r="A391" s="865"/>
      <c r="B391" s="134"/>
      <c r="C391" s="52">
        <f t="shared" si="59"/>
        <v>1</v>
      </c>
      <c r="D391" s="863"/>
      <c r="E391" s="52">
        <f t="shared" si="60"/>
        <v>1</v>
      </c>
      <c r="F391" s="863"/>
      <c r="G391" s="52">
        <f t="shared" si="61"/>
        <v>1</v>
      </c>
      <c r="H391" s="863"/>
      <c r="I391" s="52">
        <f t="shared" si="62"/>
        <v>1</v>
      </c>
      <c r="J391" s="863"/>
      <c r="K391" s="52">
        <f t="shared" si="63"/>
        <v>1</v>
      </c>
      <c r="L391" s="863"/>
      <c r="M391" s="52">
        <f t="shared" si="64"/>
        <v>1</v>
      </c>
      <c r="N391" s="863"/>
      <c r="O391" s="52">
        <f t="shared" si="65"/>
        <v>1</v>
      </c>
      <c r="P391" s="863"/>
      <c r="Q391" s="52">
        <f t="shared" si="66"/>
        <v>1</v>
      </c>
      <c r="R391" s="390">
        <f t="shared" si="67"/>
        <v>0</v>
      </c>
      <c r="S391" s="699">
        <f t="shared" si="68"/>
        <v>0</v>
      </c>
    </row>
    <row r="392" spans="1:19">
      <c r="A392" s="865"/>
      <c r="B392" s="134"/>
      <c r="C392" s="52">
        <f t="shared" si="59"/>
        <v>1</v>
      </c>
      <c r="D392" s="863"/>
      <c r="E392" s="52">
        <f t="shared" si="60"/>
        <v>1</v>
      </c>
      <c r="F392" s="863"/>
      <c r="G392" s="52">
        <f t="shared" si="61"/>
        <v>1</v>
      </c>
      <c r="H392" s="863"/>
      <c r="I392" s="52">
        <f t="shared" si="62"/>
        <v>1</v>
      </c>
      <c r="J392" s="863"/>
      <c r="K392" s="52">
        <f t="shared" si="63"/>
        <v>1</v>
      </c>
      <c r="L392" s="863"/>
      <c r="M392" s="52">
        <f t="shared" si="64"/>
        <v>1</v>
      </c>
      <c r="N392" s="863"/>
      <c r="O392" s="52">
        <f t="shared" si="65"/>
        <v>1</v>
      </c>
      <c r="P392" s="863"/>
      <c r="Q392" s="52">
        <f t="shared" si="66"/>
        <v>1</v>
      </c>
      <c r="R392" s="390">
        <f t="shared" si="67"/>
        <v>0</v>
      </c>
      <c r="S392" s="699">
        <f t="shared" si="68"/>
        <v>0</v>
      </c>
    </row>
    <row r="393" spans="1:19">
      <c r="A393" s="865"/>
      <c r="B393" s="134"/>
      <c r="C393" s="52">
        <f t="shared" si="59"/>
        <v>1</v>
      </c>
      <c r="D393" s="863"/>
      <c r="E393" s="52">
        <f t="shared" si="60"/>
        <v>1</v>
      </c>
      <c r="F393" s="863"/>
      <c r="G393" s="52">
        <f t="shared" si="61"/>
        <v>1</v>
      </c>
      <c r="H393" s="863"/>
      <c r="I393" s="52">
        <f t="shared" si="62"/>
        <v>1</v>
      </c>
      <c r="J393" s="863"/>
      <c r="K393" s="52">
        <f t="shared" si="63"/>
        <v>1</v>
      </c>
      <c r="L393" s="863"/>
      <c r="M393" s="52">
        <f t="shared" si="64"/>
        <v>1</v>
      </c>
      <c r="N393" s="863"/>
      <c r="O393" s="52">
        <f t="shared" si="65"/>
        <v>1</v>
      </c>
      <c r="P393" s="863"/>
      <c r="Q393" s="52">
        <f t="shared" si="66"/>
        <v>1</v>
      </c>
      <c r="R393" s="390">
        <f t="shared" si="67"/>
        <v>0</v>
      </c>
      <c r="S393" s="699">
        <f t="shared" si="68"/>
        <v>0</v>
      </c>
    </row>
    <row r="394" spans="1:19">
      <c r="A394" s="865"/>
      <c r="B394" s="134"/>
      <c r="C394" s="52">
        <f t="shared" si="59"/>
        <v>1</v>
      </c>
      <c r="D394" s="863"/>
      <c r="E394" s="52">
        <f t="shared" si="60"/>
        <v>1</v>
      </c>
      <c r="F394" s="863"/>
      <c r="G394" s="52">
        <f t="shared" si="61"/>
        <v>1</v>
      </c>
      <c r="H394" s="863"/>
      <c r="I394" s="52">
        <f t="shared" si="62"/>
        <v>1</v>
      </c>
      <c r="J394" s="863"/>
      <c r="K394" s="52">
        <f t="shared" si="63"/>
        <v>1</v>
      </c>
      <c r="L394" s="863"/>
      <c r="M394" s="52">
        <f t="shared" si="64"/>
        <v>1</v>
      </c>
      <c r="N394" s="863"/>
      <c r="O394" s="52">
        <f t="shared" si="65"/>
        <v>1</v>
      </c>
      <c r="P394" s="863"/>
      <c r="Q394" s="52">
        <f t="shared" si="66"/>
        <v>1</v>
      </c>
      <c r="R394" s="390">
        <f t="shared" si="67"/>
        <v>0</v>
      </c>
      <c r="S394" s="699">
        <f t="shared" si="68"/>
        <v>0</v>
      </c>
    </row>
    <row r="395" spans="1:19">
      <c r="A395" s="865"/>
      <c r="B395" s="134"/>
      <c r="C395" s="52">
        <f t="shared" si="59"/>
        <v>1</v>
      </c>
      <c r="D395" s="863"/>
      <c r="E395" s="52">
        <f t="shared" si="60"/>
        <v>1</v>
      </c>
      <c r="F395" s="863"/>
      <c r="G395" s="52">
        <f t="shared" si="61"/>
        <v>1</v>
      </c>
      <c r="H395" s="863"/>
      <c r="I395" s="52">
        <f t="shared" si="62"/>
        <v>1</v>
      </c>
      <c r="J395" s="863"/>
      <c r="K395" s="52">
        <f t="shared" si="63"/>
        <v>1</v>
      </c>
      <c r="L395" s="863"/>
      <c r="M395" s="52">
        <f t="shared" si="64"/>
        <v>1</v>
      </c>
      <c r="N395" s="863"/>
      <c r="O395" s="52">
        <f t="shared" si="65"/>
        <v>1</v>
      </c>
      <c r="P395" s="863"/>
      <c r="Q395" s="52">
        <f t="shared" si="66"/>
        <v>1</v>
      </c>
      <c r="R395" s="390">
        <f t="shared" si="67"/>
        <v>0</v>
      </c>
      <c r="S395" s="699">
        <f t="shared" si="68"/>
        <v>0</v>
      </c>
    </row>
    <row r="396" spans="1:19">
      <c r="A396" s="865"/>
      <c r="B396" s="134"/>
      <c r="C396" s="52">
        <f t="shared" si="59"/>
        <v>1</v>
      </c>
      <c r="D396" s="863"/>
      <c r="E396" s="52">
        <f t="shared" si="60"/>
        <v>1</v>
      </c>
      <c r="F396" s="863"/>
      <c r="G396" s="52">
        <f t="shared" si="61"/>
        <v>1</v>
      </c>
      <c r="H396" s="863"/>
      <c r="I396" s="52">
        <f t="shared" si="62"/>
        <v>1</v>
      </c>
      <c r="J396" s="863"/>
      <c r="K396" s="52">
        <f t="shared" si="63"/>
        <v>1</v>
      </c>
      <c r="L396" s="863"/>
      <c r="M396" s="52">
        <f t="shared" si="64"/>
        <v>1</v>
      </c>
      <c r="N396" s="863"/>
      <c r="O396" s="52">
        <f t="shared" si="65"/>
        <v>1</v>
      </c>
      <c r="P396" s="863"/>
      <c r="Q396" s="52">
        <f t="shared" si="66"/>
        <v>1</v>
      </c>
      <c r="R396" s="390">
        <f t="shared" si="67"/>
        <v>0</v>
      </c>
      <c r="S396" s="699">
        <f t="shared" si="68"/>
        <v>0</v>
      </c>
    </row>
    <row r="397" spans="1:19">
      <c r="A397" s="865"/>
      <c r="B397" s="134"/>
      <c r="C397" s="52">
        <f t="shared" si="59"/>
        <v>1</v>
      </c>
      <c r="D397" s="863"/>
      <c r="E397" s="52">
        <f t="shared" si="60"/>
        <v>1</v>
      </c>
      <c r="F397" s="863"/>
      <c r="G397" s="52">
        <f t="shared" si="61"/>
        <v>1</v>
      </c>
      <c r="H397" s="863"/>
      <c r="I397" s="52">
        <f t="shared" si="62"/>
        <v>1</v>
      </c>
      <c r="J397" s="863"/>
      <c r="K397" s="52">
        <f t="shared" si="63"/>
        <v>1</v>
      </c>
      <c r="L397" s="863"/>
      <c r="M397" s="52">
        <f t="shared" si="64"/>
        <v>1</v>
      </c>
      <c r="N397" s="863"/>
      <c r="O397" s="52">
        <f t="shared" si="65"/>
        <v>1</v>
      </c>
      <c r="P397" s="863"/>
      <c r="Q397" s="52">
        <f t="shared" si="66"/>
        <v>1</v>
      </c>
      <c r="R397" s="390">
        <f t="shared" si="67"/>
        <v>0</v>
      </c>
      <c r="S397" s="699">
        <f t="shared" si="68"/>
        <v>0</v>
      </c>
    </row>
    <row r="398" spans="1:19">
      <c r="A398" s="865"/>
      <c r="B398" s="134"/>
      <c r="C398" s="52">
        <f t="shared" si="59"/>
        <v>1</v>
      </c>
      <c r="D398" s="863"/>
      <c r="E398" s="52">
        <f t="shared" si="60"/>
        <v>1</v>
      </c>
      <c r="F398" s="863"/>
      <c r="G398" s="52">
        <f t="shared" si="61"/>
        <v>1</v>
      </c>
      <c r="H398" s="863"/>
      <c r="I398" s="52">
        <f t="shared" si="62"/>
        <v>1</v>
      </c>
      <c r="J398" s="863"/>
      <c r="K398" s="52">
        <f t="shared" si="63"/>
        <v>1</v>
      </c>
      <c r="L398" s="863"/>
      <c r="M398" s="52">
        <f t="shared" si="64"/>
        <v>1</v>
      </c>
      <c r="N398" s="863"/>
      <c r="O398" s="52">
        <f t="shared" si="65"/>
        <v>1</v>
      </c>
      <c r="P398" s="863"/>
      <c r="Q398" s="52">
        <f t="shared" si="66"/>
        <v>1</v>
      </c>
      <c r="R398" s="390">
        <f t="shared" si="67"/>
        <v>0</v>
      </c>
      <c r="S398" s="699">
        <f t="shared" si="68"/>
        <v>0</v>
      </c>
    </row>
    <row r="399" spans="1:19">
      <c r="A399" s="865"/>
      <c r="B399" s="134"/>
      <c r="C399" s="52">
        <f t="shared" si="59"/>
        <v>1</v>
      </c>
      <c r="D399" s="863"/>
      <c r="E399" s="52">
        <f t="shared" si="60"/>
        <v>1</v>
      </c>
      <c r="F399" s="863"/>
      <c r="G399" s="52">
        <f t="shared" si="61"/>
        <v>1</v>
      </c>
      <c r="H399" s="863"/>
      <c r="I399" s="52">
        <f t="shared" si="62"/>
        <v>1</v>
      </c>
      <c r="J399" s="863"/>
      <c r="K399" s="52">
        <f t="shared" si="63"/>
        <v>1</v>
      </c>
      <c r="L399" s="863"/>
      <c r="M399" s="52">
        <f t="shared" si="64"/>
        <v>1</v>
      </c>
      <c r="N399" s="863"/>
      <c r="O399" s="52">
        <f t="shared" si="65"/>
        <v>1</v>
      </c>
      <c r="P399" s="863"/>
      <c r="Q399" s="52">
        <f t="shared" si="66"/>
        <v>1</v>
      </c>
      <c r="R399" s="390">
        <f t="shared" si="67"/>
        <v>0</v>
      </c>
      <c r="S399" s="699">
        <f t="shared" si="68"/>
        <v>0</v>
      </c>
    </row>
    <row r="400" spans="1:19">
      <c r="A400" s="865"/>
      <c r="B400" s="134"/>
      <c r="C400" s="52">
        <f t="shared" si="59"/>
        <v>1</v>
      </c>
      <c r="D400" s="863"/>
      <c r="E400" s="52">
        <f t="shared" si="60"/>
        <v>1</v>
      </c>
      <c r="F400" s="863"/>
      <c r="G400" s="52">
        <f t="shared" si="61"/>
        <v>1</v>
      </c>
      <c r="H400" s="863"/>
      <c r="I400" s="52">
        <f t="shared" si="62"/>
        <v>1</v>
      </c>
      <c r="J400" s="863"/>
      <c r="K400" s="52">
        <f t="shared" si="63"/>
        <v>1</v>
      </c>
      <c r="L400" s="863"/>
      <c r="M400" s="52">
        <f t="shared" si="64"/>
        <v>1</v>
      </c>
      <c r="N400" s="863"/>
      <c r="O400" s="52">
        <f t="shared" si="65"/>
        <v>1</v>
      </c>
      <c r="P400" s="863"/>
      <c r="Q400" s="52">
        <f t="shared" si="66"/>
        <v>1</v>
      </c>
      <c r="R400" s="390">
        <f t="shared" si="67"/>
        <v>0</v>
      </c>
      <c r="S400" s="699">
        <f t="shared" si="68"/>
        <v>0</v>
      </c>
    </row>
    <row r="401" spans="1:19">
      <c r="A401" s="865"/>
      <c r="B401" s="134"/>
      <c r="C401" s="52">
        <f t="shared" si="59"/>
        <v>1</v>
      </c>
      <c r="D401" s="863"/>
      <c r="E401" s="52">
        <f t="shared" si="60"/>
        <v>1</v>
      </c>
      <c r="F401" s="863"/>
      <c r="G401" s="52">
        <f t="shared" si="61"/>
        <v>1</v>
      </c>
      <c r="H401" s="863"/>
      <c r="I401" s="52">
        <f t="shared" si="62"/>
        <v>1</v>
      </c>
      <c r="J401" s="863"/>
      <c r="K401" s="52">
        <f t="shared" si="63"/>
        <v>1</v>
      </c>
      <c r="L401" s="863"/>
      <c r="M401" s="52">
        <f t="shared" si="64"/>
        <v>1</v>
      </c>
      <c r="N401" s="863"/>
      <c r="O401" s="52">
        <f t="shared" si="65"/>
        <v>1</v>
      </c>
      <c r="P401" s="863"/>
      <c r="Q401" s="52">
        <f t="shared" si="66"/>
        <v>1</v>
      </c>
      <c r="R401" s="390">
        <f t="shared" si="67"/>
        <v>0</v>
      </c>
      <c r="S401" s="699">
        <f t="shared" si="68"/>
        <v>0</v>
      </c>
    </row>
    <row r="402" spans="1:19">
      <c r="A402" s="865"/>
      <c r="B402" s="134"/>
      <c r="C402" s="52">
        <f t="shared" si="59"/>
        <v>1</v>
      </c>
      <c r="D402" s="863"/>
      <c r="E402" s="52">
        <f t="shared" si="60"/>
        <v>1</v>
      </c>
      <c r="F402" s="863"/>
      <c r="G402" s="52">
        <f t="shared" si="61"/>
        <v>1</v>
      </c>
      <c r="H402" s="863"/>
      <c r="I402" s="52">
        <f t="shared" si="62"/>
        <v>1</v>
      </c>
      <c r="J402" s="863"/>
      <c r="K402" s="52">
        <f t="shared" si="63"/>
        <v>1</v>
      </c>
      <c r="L402" s="863"/>
      <c r="M402" s="52">
        <f t="shared" si="64"/>
        <v>1</v>
      </c>
      <c r="N402" s="863"/>
      <c r="O402" s="52">
        <f t="shared" si="65"/>
        <v>1</v>
      </c>
      <c r="P402" s="863"/>
      <c r="Q402" s="52">
        <f t="shared" si="66"/>
        <v>1</v>
      </c>
      <c r="R402" s="390">
        <f t="shared" si="67"/>
        <v>0</v>
      </c>
      <c r="S402" s="699">
        <f t="shared" si="68"/>
        <v>0</v>
      </c>
    </row>
    <row r="403" spans="1:19">
      <c r="A403" s="865"/>
      <c r="B403" s="134"/>
      <c r="C403" s="52">
        <f t="shared" si="59"/>
        <v>1</v>
      </c>
      <c r="D403" s="863"/>
      <c r="E403" s="52">
        <f t="shared" si="60"/>
        <v>1</v>
      </c>
      <c r="F403" s="863"/>
      <c r="G403" s="52">
        <f t="shared" si="61"/>
        <v>1</v>
      </c>
      <c r="H403" s="863"/>
      <c r="I403" s="52">
        <f t="shared" si="62"/>
        <v>1</v>
      </c>
      <c r="J403" s="863"/>
      <c r="K403" s="52">
        <f t="shared" si="63"/>
        <v>1</v>
      </c>
      <c r="L403" s="863"/>
      <c r="M403" s="52">
        <f t="shared" si="64"/>
        <v>1</v>
      </c>
      <c r="N403" s="863"/>
      <c r="O403" s="52">
        <f t="shared" si="65"/>
        <v>1</v>
      </c>
      <c r="P403" s="863"/>
      <c r="Q403" s="52">
        <f t="shared" si="66"/>
        <v>1</v>
      </c>
      <c r="R403" s="390">
        <f t="shared" si="67"/>
        <v>0</v>
      </c>
      <c r="S403" s="699">
        <f t="shared" si="68"/>
        <v>0</v>
      </c>
    </row>
    <row r="404" spans="1:19">
      <c r="A404" s="865"/>
      <c r="B404" s="134"/>
      <c r="C404" s="52">
        <f t="shared" si="59"/>
        <v>1</v>
      </c>
      <c r="D404" s="863"/>
      <c r="E404" s="52">
        <f t="shared" si="60"/>
        <v>1</v>
      </c>
      <c r="F404" s="863"/>
      <c r="G404" s="52">
        <f t="shared" si="61"/>
        <v>1</v>
      </c>
      <c r="H404" s="863"/>
      <c r="I404" s="52">
        <f t="shared" si="62"/>
        <v>1</v>
      </c>
      <c r="J404" s="863"/>
      <c r="K404" s="52">
        <f t="shared" si="63"/>
        <v>1</v>
      </c>
      <c r="L404" s="863"/>
      <c r="M404" s="52">
        <f t="shared" si="64"/>
        <v>1</v>
      </c>
      <c r="N404" s="863"/>
      <c r="O404" s="52">
        <f t="shared" si="65"/>
        <v>1</v>
      </c>
      <c r="P404" s="863"/>
      <c r="Q404" s="52">
        <f t="shared" si="66"/>
        <v>1</v>
      </c>
      <c r="R404" s="390">
        <f t="shared" si="67"/>
        <v>0</v>
      </c>
      <c r="S404" s="699">
        <f t="shared" si="68"/>
        <v>0</v>
      </c>
    </row>
    <row r="405" spans="1:19">
      <c r="A405" s="865"/>
      <c r="B405" s="134"/>
      <c r="C405" s="52">
        <f t="shared" si="59"/>
        <v>1</v>
      </c>
      <c r="D405" s="863"/>
      <c r="E405" s="52">
        <f t="shared" si="60"/>
        <v>1</v>
      </c>
      <c r="F405" s="863"/>
      <c r="G405" s="52">
        <f t="shared" si="61"/>
        <v>1</v>
      </c>
      <c r="H405" s="863"/>
      <c r="I405" s="52">
        <f t="shared" si="62"/>
        <v>1</v>
      </c>
      <c r="J405" s="863"/>
      <c r="K405" s="52">
        <f t="shared" si="63"/>
        <v>1</v>
      </c>
      <c r="L405" s="863"/>
      <c r="M405" s="52">
        <f t="shared" si="64"/>
        <v>1</v>
      </c>
      <c r="N405" s="863"/>
      <c r="O405" s="52">
        <f t="shared" si="65"/>
        <v>1</v>
      </c>
      <c r="P405" s="863"/>
      <c r="Q405" s="52">
        <f t="shared" si="66"/>
        <v>1</v>
      </c>
      <c r="R405" s="390">
        <f t="shared" si="67"/>
        <v>0</v>
      </c>
      <c r="S405" s="699">
        <f t="shared" si="68"/>
        <v>0</v>
      </c>
    </row>
    <row r="406" spans="1:19">
      <c r="A406" s="865"/>
      <c r="B406" s="134"/>
      <c r="C406" s="52">
        <f t="shared" si="59"/>
        <v>1</v>
      </c>
      <c r="D406" s="863"/>
      <c r="E406" s="52">
        <f t="shared" si="60"/>
        <v>1</v>
      </c>
      <c r="F406" s="863"/>
      <c r="G406" s="52">
        <f t="shared" si="61"/>
        <v>1</v>
      </c>
      <c r="H406" s="863"/>
      <c r="I406" s="52">
        <f t="shared" si="62"/>
        <v>1</v>
      </c>
      <c r="J406" s="863"/>
      <c r="K406" s="52">
        <f t="shared" si="63"/>
        <v>1</v>
      </c>
      <c r="L406" s="863"/>
      <c r="M406" s="52">
        <f t="shared" si="64"/>
        <v>1</v>
      </c>
      <c r="N406" s="863"/>
      <c r="O406" s="52">
        <f t="shared" si="65"/>
        <v>1</v>
      </c>
      <c r="P406" s="863"/>
      <c r="Q406" s="52">
        <f t="shared" si="66"/>
        <v>1</v>
      </c>
      <c r="R406" s="390">
        <f t="shared" si="67"/>
        <v>0</v>
      </c>
      <c r="S406" s="699">
        <f t="shared" si="68"/>
        <v>0</v>
      </c>
    </row>
    <row r="407" spans="1:19">
      <c r="A407" s="865"/>
      <c r="B407" s="134"/>
      <c r="C407" s="52">
        <f t="shared" si="59"/>
        <v>1</v>
      </c>
      <c r="D407" s="863"/>
      <c r="E407" s="52">
        <f t="shared" si="60"/>
        <v>1</v>
      </c>
      <c r="F407" s="863"/>
      <c r="G407" s="52">
        <f t="shared" si="61"/>
        <v>1</v>
      </c>
      <c r="H407" s="863"/>
      <c r="I407" s="52">
        <f t="shared" si="62"/>
        <v>1</v>
      </c>
      <c r="J407" s="863"/>
      <c r="K407" s="52">
        <f t="shared" si="63"/>
        <v>1</v>
      </c>
      <c r="L407" s="863"/>
      <c r="M407" s="52">
        <f t="shared" si="64"/>
        <v>1</v>
      </c>
      <c r="N407" s="863"/>
      <c r="O407" s="52">
        <f t="shared" si="65"/>
        <v>1</v>
      </c>
      <c r="P407" s="863"/>
      <c r="Q407" s="52">
        <f t="shared" si="66"/>
        <v>1</v>
      </c>
      <c r="R407" s="390">
        <f t="shared" si="67"/>
        <v>0</v>
      </c>
      <c r="S407" s="699">
        <f t="shared" si="68"/>
        <v>0</v>
      </c>
    </row>
    <row r="408" spans="1:19">
      <c r="A408" s="865"/>
      <c r="B408" s="134"/>
      <c r="C408" s="52">
        <f t="shared" si="59"/>
        <v>1</v>
      </c>
      <c r="D408" s="863"/>
      <c r="E408" s="52">
        <f t="shared" si="60"/>
        <v>1</v>
      </c>
      <c r="F408" s="863"/>
      <c r="G408" s="52">
        <f t="shared" si="61"/>
        <v>1</v>
      </c>
      <c r="H408" s="863"/>
      <c r="I408" s="52">
        <f t="shared" si="62"/>
        <v>1</v>
      </c>
      <c r="J408" s="863"/>
      <c r="K408" s="52">
        <f t="shared" si="63"/>
        <v>1</v>
      </c>
      <c r="L408" s="863"/>
      <c r="M408" s="52">
        <f t="shared" si="64"/>
        <v>1</v>
      </c>
      <c r="N408" s="863"/>
      <c r="O408" s="52">
        <f t="shared" si="65"/>
        <v>1</v>
      </c>
      <c r="P408" s="863"/>
      <c r="Q408" s="52">
        <f t="shared" si="66"/>
        <v>1</v>
      </c>
      <c r="R408" s="390">
        <f t="shared" si="67"/>
        <v>0</v>
      </c>
      <c r="S408" s="699">
        <f t="shared" si="68"/>
        <v>0</v>
      </c>
    </row>
    <row r="409" spans="1:19">
      <c r="A409" s="865"/>
      <c r="B409" s="134"/>
      <c r="C409" s="52">
        <f t="shared" si="59"/>
        <v>1</v>
      </c>
      <c r="D409" s="863"/>
      <c r="E409" s="52">
        <f t="shared" si="60"/>
        <v>1</v>
      </c>
      <c r="F409" s="863"/>
      <c r="G409" s="52">
        <f t="shared" si="61"/>
        <v>1</v>
      </c>
      <c r="H409" s="863"/>
      <c r="I409" s="52">
        <f t="shared" si="62"/>
        <v>1</v>
      </c>
      <c r="J409" s="863"/>
      <c r="K409" s="52">
        <f t="shared" si="63"/>
        <v>1</v>
      </c>
      <c r="L409" s="863"/>
      <c r="M409" s="52">
        <f t="shared" si="64"/>
        <v>1</v>
      </c>
      <c r="N409" s="863"/>
      <c r="O409" s="52">
        <f t="shared" si="65"/>
        <v>1</v>
      </c>
      <c r="P409" s="863"/>
      <c r="Q409" s="52">
        <f t="shared" si="66"/>
        <v>1</v>
      </c>
      <c r="R409" s="390">
        <f t="shared" si="67"/>
        <v>0</v>
      </c>
      <c r="S409" s="699">
        <f t="shared" si="68"/>
        <v>0</v>
      </c>
    </row>
    <row r="410" spans="1:19">
      <c r="A410" s="865"/>
      <c r="B410" s="134"/>
      <c r="C410" s="52">
        <f t="shared" ref="C410:C473" si="69">IF(B410="",1,(LOOKUP(B410,$3:$3,$4:$4)-LOOKUP($B$24,$3:$3,$4:$4)+100)/100)</f>
        <v>1</v>
      </c>
      <c r="D410" s="863"/>
      <c r="E410" s="52">
        <f t="shared" ref="E410:E473" si="70">(SUMIF($5:$5,D410,$6:$6)-SUMIF($5:$5,$D$24,$6:$6)+100)/100</f>
        <v>1</v>
      </c>
      <c r="F410" s="863"/>
      <c r="G410" s="52">
        <f t="shared" ref="G410:G473" si="71">(SUMIF($7:$7,F410,$8:$8)-SUMIF($7:$7,$F$24,$8:$8)+100)/100</f>
        <v>1</v>
      </c>
      <c r="H410" s="863"/>
      <c r="I410" s="52">
        <f t="shared" ref="I410:I473" si="72">(SUMIF($9:$9,H410,$10:$10)-SUMIF($9:$9,$H$24,$10:$10)+100)/100</f>
        <v>1</v>
      </c>
      <c r="J410" s="863"/>
      <c r="K410" s="52">
        <f t="shared" ref="K410:K473" si="73">(SUMIF($11:$11,J410,$12:$12)-SUMIF($11:$11,$J$24,$12:$12)+100)/100</f>
        <v>1</v>
      </c>
      <c r="L410" s="863"/>
      <c r="M410" s="52">
        <f t="shared" ref="M410:M473" si="74">(SUMIF($13:$13,L410,$14:$14)-SUMIF($13:$13,$L$24,$14:$14)+100)/100</f>
        <v>1</v>
      </c>
      <c r="N410" s="863"/>
      <c r="O410" s="52">
        <f t="shared" ref="O410:O473" si="75">(SUMIF($15:$15,N410,$16:$16)-SUMIF($15:$15,$N$24,$16:$16)+100)/100</f>
        <v>1</v>
      </c>
      <c r="P410" s="863"/>
      <c r="Q410" s="52">
        <f t="shared" ref="Q410:Q473" si="76">(SUMIF($17:$17,P410,$18:$18)-SUMIF($17:$17,$P$24,$18:$18)+100)/100</f>
        <v>1</v>
      </c>
      <c r="R410" s="390">
        <f t="shared" ref="R410:R473" si="77">IF(B410="",0,ROUND($R$24*C410*E410*G410*I410*K410*M410*O410*Q410,0))</f>
        <v>0</v>
      </c>
      <c r="S410" s="699">
        <f t="shared" si="68"/>
        <v>0</v>
      </c>
    </row>
    <row r="411" spans="1:19">
      <c r="A411" s="865"/>
      <c r="B411" s="134"/>
      <c r="C411" s="52">
        <f t="shared" si="69"/>
        <v>1</v>
      </c>
      <c r="D411" s="863"/>
      <c r="E411" s="52">
        <f t="shared" si="70"/>
        <v>1</v>
      </c>
      <c r="F411" s="863"/>
      <c r="G411" s="52">
        <f t="shared" si="71"/>
        <v>1</v>
      </c>
      <c r="H411" s="863"/>
      <c r="I411" s="52">
        <f t="shared" si="72"/>
        <v>1</v>
      </c>
      <c r="J411" s="863"/>
      <c r="K411" s="52">
        <f t="shared" si="73"/>
        <v>1</v>
      </c>
      <c r="L411" s="863"/>
      <c r="M411" s="52">
        <f t="shared" si="74"/>
        <v>1</v>
      </c>
      <c r="N411" s="863"/>
      <c r="O411" s="52">
        <f t="shared" si="75"/>
        <v>1</v>
      </c>
      <c r="P411" s="863"/>
      <c r="Q411" s="52">
        <f t="shared" si="76"/>
        <v>1</v>
      </c>
      <c r="R411" s="390">
        <f t="shared" si="77"/>
        <v>0</v>
      </c>
      <c r="S411" s="699">
        <f t="shared" si="68"/>
        <v>0</v>
      </c>
    </row>
    <row r="412" spans="1:19">
      <c r="A412" s="865"/>
      <c r="B412" s="134"/>
      <c r="C412" s="52">
        <f t="shared" si="69"/>
        <v>1</v>
      </c>
      <c r="D412" s="863"/>
      <c r="E412" s="52">
        <f t="shared" si="70"/>
        <v>1</v>
      </c>
      <c r="F412" s="863"/>
      <c r="G412" s="52">
        <f t="shared" si="71"/>
        <v>1</v>
      </c>
      <c r="H412" s="863"/>
      <c r="I412" s="52">
        <f t="shared" si="72"/>
        <v>1</v>
      </c>
      <c r="J412" s="863"/>
      <c r="K412" s="52">
        <f t="shared" si="73"/>
        <v>1</v>
      </c>
      <c r="L412" s="863"/>
      <c r="M412" s="52">
        <f t="shared" si="74"/>
        <v>1</v>
      </c>
      <c r="N412" s="863"/>
      <c r="O412" s="52">
        <f t="shared" si="75"/>
        <v>1</v>
      </c>
      <c r="P412" s="863"/>
      <c r="Q412" s="52">
        <f t="shared" si="76"/>
        <v>1</v>
      </c>
      <c r="R412" s="390">
        <f t="shared" si="77"/>
        <v>0</v>
      </c>
      <c r="S412" s="699">
        <f t="shared" si="68"/>
        <v>0</v>
      </c>
    </row>
    <row r="413" spans="1:19">
      <c r="A413" s="865"/>
      <c r="B413" s="134"/>
      <c r="C413" s="52">
        <f t="shared" si="69"/>
        <v>1</v>
      </c>
      <c r="D413" s="863"/>
      <c r="E413" s="52">
        <f t="shared" si="70"/>
        <v>1</v>
      </c>
      <c r="F413" s="863"/>
      <c r="G413" s="52">
        <f t="shared" si="71"/>
        <v>1</v>
      </c>
      <c r="H413" s="863"/>
      <c r="I413" s="52">
        <f t="shared" si="72"/>
        <v>1</v>
      </c>
      <c r="J413" s="863"/>
      <c r="K413" s="52">
        <f t="shared" si="73"/>
        <v>1</v>
      </c>
      <c r="L413" s="863"/>
      <c r="M413" s="52">
        <f t="shared" si="74"/>
        <v>1</v>
      </c>
      <c r="N413" s="863"/>
      <c r="O413" s="52">
        <f t="shared" si="75"/>
        <v>1</v>
      </c>
      <c r="P413" s="863"/>
      <c r="Q413" s="52">
        <f t="shared" si="76"/>
        <v>1</v>
      </c>
      <c r="R413" s="390">
        <f t="shared" si="77"/>
        <v>0</v>
      </c>
      <c r="S413" s="699">
        <f t="shared" si="68"/>
        <v>0</v>
      </c>
    </row>
    <row r="414" spans="1:19">
      <c r="A414" s="865"/>
      <c r="B414" s="134"/>
      <c r="C414" s="52">
        <f t="shared" si="69"/>
        <v>1</v>
      </c>
      <c r="D414" s="863"/>
      <c r="E414" s="52">
        <f t="shared" si="70"/>
        <v>1</v>
      </c>
      <c r="F414" s="863"/>
      <c r="G414" s="52">
        <f t="shared" si="71"/>
        <v>1</v>
      </c>
      <c r="H414" s="863"/>
      <c r="I414" s="52">
        <f t="shared" si="72"/>
        <v>1</v>
      </c>
      <c r="J414" s="863"/>
      <c r="K414" s="52">
        <f t="shared" si="73"/>
        <v>1</v>
      </c>
      <c r="L414" s="863"/>
      <c r="M414" s="52">
        <f t="shared" si="74"/>
        <v>1</v>
      </c>
      <c r="N414" s="863"/>
      <c r="O414" s="52">
        <f t="shared" si="75"/>
        <v>1</v>
      </c>
      <c r="P414" s="863"/>
      <c r="Q414" s="52">
        <f t="shared" si="76"/>
        <v>1</v>
      </c>
      <c r="R414" s="390">
        <f t="shared" si="77"/>
        <v>0</v>
      </c>
      <c r="S414" s="699">
        <f t="shared" si="68"/>
        <v>0</v>
      </c>
    </row>
    <row r="415" spans="1:19">
      <c r="A415" s="865"/>
      <c r="B415" s="134"/>
      <c r="C415" s="52">
        <f t="shared" si="69"/>
        <v>1</v>
      </c>
      <c r="D415" s="863"/>
      <c r="E415" s="52">
        <f t="shared" si="70"/>
        <v>1</v>
      </c>
      <c r="F415" s="863"/>
      <c r="G415" s="52">
        <f t="shared" si="71"/>
        <v>1</v>
      </c>
      <c r="H415" s="863"/>
      <c r="I415" s="52">
        <f t="shared" si="72"/>
        <v>1</v>
      </c>
      <c r="J415" s="863"/>
      <c r="K415" s="52">
        <f t="shared" si="73"/>
        <v>1</v>
      </c>
      <c r="L415" s="863"/>
      <c r="M415" s="52">
        <f t="shared" si="74"/>
        <v>1</v>
      </c>
      <c r="N415" s="863"/>
      <c r="O415" s="52">
        <f t="shared" si="75"/>
        <v>1</v>
      </c>
      <c r="P415" s="863"/>
      <c r="Q415" s="52">
        <f t="shared" si="76"/>
        <v>1</v>
      </c>
      <c r="R415" s="390">
        <f t="shared" si="77"/>
        <v>0</v>
      </c>
      <c r="S415" s="699">
        <f t="shared" si="68"/>
        <v>0</v>
      </c>
    </row>
    <row r="416" spans="1:19">
      <c r="A416" s="865"/>
      <c r="B416" s="134"/>
      <c r="C416" s="52">
        <f t="shared" si="69"/>
        <v>1</v>
      </c>
      <c r="D416" s="863"/>
      <c r="E416" s="52">
        <f t="shared" si="70"/>
        <v>1</v>
      </c>
      <c r="F416" s="863"/>
      <c r="G416" s="52">
        <f t="shared" si="71"/>
        <v>1</v>
      </c>
      <c r="H416" s="863"/>
      <c r="I416" s="52">
        <f t="shared" si="72"/>
        <v>1</v>
      </c>
      <c r="J416" s="863"/>
      <c r="K416" s="52">
        <f t="shared" si="73"/>
        <v>1</v>
      </c>
      <c r="L416" s="863"/>
      <c r="M416" s="52">
        <f t="shared" si="74"/>
        <v>1</v>
      </c>
      <c r="N416" s="863"/>
      <c r="O416" s="52">
        <f t="shared" si="75"/>
        <v>1</v>
      </c>
      <c r="P416" s="863"/>
      <c r="Q416" s="52">
        <f t="shared" si="76"/>
        <v>1</v>
      </c>
      <c r="R416" s="390">
        <f t="shared" si="77"/>
        <v>0</v>
      </c>
      <c r="S416" s="699">
        <f t="shared" si="68"/>
        <v>0</v>
      </c>
    </row>
    <row r="417" spans="1:19">
      <c r="A417" s="865"/>
      <c r="B417" s="134"/>
      <c r="C417" s="52">
        <f t="shared" si="69"/>
        <v>1</v>
      </c>
      <c r="D417" s="863"/>
      <c r="E417" s="52">
        <f t="shared" si="70"/>
        <v>1</v>
      </c>
      <c r="F417" s="863"/>
      <c r="G417" s="52">
        <f t="shared" si="71"/>
        <v>1</v>
      </c>
      <c r="H417" s="863"/>
      <c r="I417" s="52">
        <f t="shared" si="72"/>
        <v>1</v>
      </c>
      <c r="J417" s="863"/>
      <c r="K417" s="52">
        <f t="shared" si="73"/>
        <v>1</v>
      </c>
      <c r="L417" s="863"/>
      <c r="M417" s="52">
        <f t="shared" si="74"/>
        <v>1</v>
      </c>
      <c r="N417" s="863"/>
      <c r="O417" s="52">
        <f t="shared" si="75"/>
        <v>1</v>
      </c>
      <c r="P417" s="863"/>
      <c r="Q417" s="52">
        <f t="shared" si="76"/>
        <v>1</v>
      </c>
      <c r="R417" s="390">
        <f t="shared" si="77"/>
        <v>0</v>
      </c>
      <c r="S417" s="699">
        <f t="shared" si="68"/>
        <v>0</v>
      </c>
    </row>
    <row r="418" spans="1:19">
      <c r="A418" s="865"/>
      <c r="B418" s="134"/>
      <c r="C418" s="52">
        <f t="shared" si="69"/>
        <v>1</v>
      </c>
      <c r="D418" s="863"/>
      <c r="E418" s="52">
        <f t="shared" si="70"/>
        <v>1</v>
      </c>
      <c r="F418" s="863"/>
      <c r="G418" s="52">
        <f t="shared" si="71"/>
        <v>1</v>
      </c>
      <c r="H418" s="863"/>
      <c r="I418" s="52">
        <f t="shared" si="72"/>
        <v>1</v>
      </c>
      <c r="J418" s="863"/>
      <c r="K418" s="52">
        <f t="shared" si="73"/>
        <v>1</v>
      </c>
      <c r="L418" s="863"/>
      <c r="M418" s="52">
        <f t="shared" si="74"/>
        <v>1</v>
      </c>
      <c r="N418" s="863"/>
      <c r="O418" s="52">
        <f t="shared" si="75"/>
        <v>1</v>
      </c>
      <c r="P418" s="863"/>
      <c r="Q418" s="52">
        <f t="shared" si="76"/>
        <v>1</v>
      </c>
      <c r="R418" s="390">
        <f t="shared" si="77"/>
        <v>0</v>
      </c>
      <c r="S418" s="699">
        <f t="shared" si="68"/>
        <v>0</v>
      </c>
    </row>
    <row r="419" spans="1:19">
      <c r="A419" s="865"/>
      <c r="B419" s="134"/>
      <c r="C419" s="52">
        <f t="shared" si="69"/>
        <v>1</v>
      </c>
      <c r="D419" s="863"/>
      <c r="E419" s="52">
        <f t="shared" si="70"/>
        <v>1</v>
      </c>
      <c r="F419" s="863"/>
      <c r="G419" s="52">
        <f t="shared" si="71"/>
        <v>1</v>
      </c>
      <c r="H419" s="863"/>
      <c r="I419" s="52">
        <f t="shared" si="72"/>
        <v>1</v>
      </c>
      <c r="J419" s="863"/>
      <c r="K419" s="52">
        <f t="shared" si="73"/>
        <v>1</v>
      </c>
      <c r="L419" s="863"/>
      <c r="M419" s="52">
        <f t="shared" si="74"/>
        <v>1</v>
      </c>
      <c r="N419" s="863"/>
      <c r="O419" s="52">
        <f t="shared" si="75"/>
        <v>1</v>
      </c>
      <c r="P419" s="863"/>
      <c r="Q419" s="52">
        <f t="shared" si="76"/>
        <v>1</v>
      </c>
      <c r="R419" s="390">
        <f t="shared" si="77"/>
        <v>0</v>
      </c>
      <c r="S419" s="699">
        <f t="shared" si="68"/>
        <v>0</v>
      </c>
    </row>
    <row r="420" spans="1:19">
      <c r="A420" s="865"/>
      <c r="B420" s="134"/>
      <c r="C420" s="52">
        <f t="shared" si="69"/>
        <v>1</v>
      </c>
      <c r="D420" s="863"/>
      <c r="E420" s="52">
        <f t="shared" si="70"/>
        <v>1</v>
      </c>
      <c r="F420" s="863"/>
      <c r="G420" s="52">
        <f t="shared" si="71"/>
        <v>1</v>
      </c>
      <c r="H420" s="863"/>
      <c r="I420" s="52">
        <f t="shared" si="72"/>
        <v>1</v>
      </c>
      <c r="J420" s="863"/>
      <c r="K420" s="52">
        <f t="shared" si="73"/>
        <v>1</v>
      </c>
      <c r="L420" s="863"/>
      <c r="M420" s="52">
        <f t="shared" si="74"/>
        <v>1</v>
      </c>
      <c r="N420" s="863"/>
      <c r="O420" s="52">
        <f t="shared" si="75"/>
        <v>1</v>
      </c>
      <c r="P420" s="863"/>
      <c r="Q420" s="52">
        <f t="shared" si="76"/>
        <v>1</v>
      </c>
      <c r="R420" s="390">
        <f t="shared" si="77"/>
        <v>0</v>
      </c>
      <c r="S420" s="699">
        <f t="shared" si="68"/>
        <v>0</v>
      </c>
    </row>
    <row r="421" spans="1:19">
      <c r="A421" s="865"/>
      <c r="B421" s="134"/>
      <c r="C421" s="52">
        <f t="shared" si="69"/>
        <v>1</v>
      </c>
      <c r="D421" s="863"/>
      <c r="E421" s="52">
        <f t="shared" si="70"/>
        <v>1</v>
      </c>
      <c r="F421" s="863"/>
      <c r="G421" s="52">
        <f t="shared" si="71"/>
        <v>1</v>
      </c>
      <c r="H421" s="863"/>
      <c r="I421" s="52">
        <f t="shared" si="72"/>
        <v>1</v>
      </c>
      <c r="J421" s="863"/>
      <c r="K421" s="52">
        <f t="shared" si="73"/>
        <v>1</v>
      </c>
      <c r="L421" s="863"/>
      <c r="M421" s="52">
        <f t="shared" si="74"/>
        <v>1</v>
      </c>
      <c r="N421" s="863"/>
      <c r="O421" s="52">
        <f t="shared" si="75"/>
        <v>1</v>
      </c>
      <c r="P421" s="863"/>
      <c r="Q421" s="52">
        <f t="shared" si="76"/>
        <v>1</v>
      </c>
      <c r="R421" s="390">
        <f t="shared" si="77"/>
        <v>0</v>
      </c>
      <c r="S421" s="699">
        <f t="shared" si="68"/>
        <v>0</v>
      </c>
    </row>
    <row r="422" spans="1:19">
      <c r="A422" s="865"/>
      <c r="B422" s="134"/>
      <c r="C422" s="52">
        <f t="shared" si="69"/>
        <v>1</v>
      </c>
      <c r="D422" s="863"/>
      <c r="E422" s="52">
        <f t="shared" si="70"/>
        <v>1</v>
      </c>
      <c r="F422" s="863"/>
      <c r="G422" s="52">
        <f t="shared" si="71"/>
        <v>1</v>
      </c>
      <c r="H422" s="863"/>
      <c r="I422" s="52">
        <f t="shared" si="72"/>
        <v>1</v>
      </c>
      <c r="J422" s="863"/>
      <c r="K422" s="52">
        <f t="shared" si="73"/>
        <v>1</v>
      </c>
      <c r="L422" s="863"/>
      <c r="M422" s="52">
        <f t="shared" si="74"/>
        <v>1</v>
      </c>
      <c r="N422" s="863"/>
      <c r="O422" s="52">
        <f t="shared" si="75"/>
        <v>1</v>
      </c>
      <c r="P422" s="863"/>
      <c r="Q422" s="52">
        <f t="shared" si="76"/>
        <v>1</v>
      </c>
      <c r="R422" s="390">
        <f t="shared" si="77"/>
        <v>0</v>
      </c>
      <c r="S422" s="699">
        <f t="shared" si="68"/>
        <v>0</v>
      </c>
    </row>
    <row r="423" spans="1:19">
      <c r="A423" s="865"/>
      <c r="B423" s="134"/>
      <c r="C423" s="52">
        <f t="shared" si="69"/>
        <v>1</v>
      </c>
      <c r="D423" s="863"/>
      <c r="E423" s="52">
        <f t="shared" si="70"/>
        <v>1</v>
      </c>
      <c r="F423" s="863"/>
      <c r="G423" s="52">
        <f t="shared" si="71"/>
        <v>1</v>
      </c>
      <c r="H423" s="863"/>
      <c r="I423" s="52">
        <f t="shared" si="72"/>
        <v>1</v>
      </c>
      <c r="J423" s="863"/>
      <c r="K423" s="52">
        <f t="shared" si="73"/>
        <v>1</v>
      </c>
      <c r="L423" s="863"/>
      <c r="M423" s="52">
        <f t="shared" si="74"/>
        <v>1</v>
      </c>
      <c r="N423" s="863"/>
      <c r="O423" s="52">
        <f t="shared" si="75"/>
        <v>1</v>
      </c>
      <c r="P423" s="863"/>
      <c r="Q423" s="52">
        <f t="shared" si="76"/>
        <v>1</v>
      </c>
      <c r="R423" s="390">
        <f t="shared" si="77"/>
        <v>0</v>
      </c>
      <c r="S423" s="699">
        <f t="shared" ref="S423:S467" si="78">ROUND(R423*B423/10000,0)</f>
        <v>0</v>
      </c>
    </row>
    <row r="424" spans="1:19">
      <c r="A424" s="865"/>
      <c r="B424" s="134"/>
      <c r="C424" s="52">
        <f t="shared" si="69"/>
        <v>1</v>
      </c>
      <c r="D424" s="863"/>
      <c r="E424" s="52">
        <f t="shared" si="70"/>
        <v>1</v>
      </c>
      <c r="F424" s="863"/>
      <c r="G424" s="52">
        <f t="shared" si="71"/>
        <v>1</v>
      </c>
      <c r="H424" s="863"/>
      <c r="I424" s="52">
        <f t="shared" si="72"/>
        <v>1</v>
      </c>
      <c r="J424" s="863"/>
      <c r="K424" s="52">
        <f t="shared" si="73"/>
        <v>1</v>
      </c>
      <c r="L424" s="863"/>
      <c r="M424" s="52">
        <f t="shared" si="74"/>
        <v>1</v>
      </c>
      <c r="N424" s="863"/>
      <c r="O424" s="52">
        <f t="shared" si="75"/>
        <v>1</v>
      </c>
      <c r="P424" s="863"/>
      <c r="Q424" s="52">
        <f t="shared" si="76"/>
        <v>1</v>
      </c>
      <c r="R424" s="390">
        <f t="shared" si="77"/>
        <v>0</v>
      </c>
      <c r="S424" s="699">
        <f t="shared" si="78"/>
        <v>0</v>
      </c>
    </row>
    <row r="425" spans="1:19">
      <c r="A425" s="865"/>
      <c r="B425" s="134"/>
      <c r="C425" s="52">
        <f t="shared" si="69"/>
        <v>1</v>
      </c>
      <c r="D425" s="863"/>
      <c r="E425" s="52">
        <f t="shared" si="70"/>
        <v>1</v>
      </c>
      <c r="F425" s="863"/>
      <c r="G425" s="52">
        <f t="shared" si="71"/>
        <v>1</v>
      </c>
      <c r="H425" s="863"/>
      <c r="I425" s="52">
        <f t="shared" si="72"/>
        <v>1</v>
      </c>
      <c r="J425" s="863"/>
      <c r="K425" s="52">
        <f t="shared" si="73"/>
        <v>1</v>
      </c>
      <c r="L425" s="863"/>
      <c r="M425" s="52">
        <f t="shared" si="74"/>
        <v>1</v>
      </c>
      <c r="N425" s="863"/>
      <c r="O425" s="52">
        <f t="shared" si="75"/>
        <v>1</v>
      </c>
      <c r="P425" s="863"/>
      <c r="Q425" s="52">
        <f t="shared" si="76"/>
        <v>1</v>
      </c>
      <c r="R425" s="390">
        <f t="shared" si="77"/>
        <v>0</v>
      </c>
      <c r="S425" s="699">
        <f t="shared" si="78"/>
        <v>0</v>
      </c>
    </row>
    <row r="426" spans="1:19">
      <c r="A426" s="865"/>
      <c r="B426" s="134"/>
      <c r="C426" s="52">
        <f t="shared" si="69"/>
        <v>1</v>
      </c>
      <c r="D426" s="863"/>
      <c r="E426" s="52">
        <f t="shared" si="70"/>
        <v>1</v>
      </c>
      <c r="F426" s="863"/>
      <c r="G426" s="52">
        <f t="shared" si="71"/>
        <v>1</v>
      </c>
      <c r="H426" s="863"/>
      <c r="I426" s="52">
        <f t="shared" si="72"/>
        <v>1</v>
      </c>
      <c r="J426" s="863"/>
      <c r="K426" s="52">
        <f t="shared" si="73"/>
        <v>1</v>
      </c>
      <c r="L426" s="863"/>
      <c r="M426" s="52">
        <f t="shared" si="74"/>
        <v>1</v>
      </c>
      <c r="N426" s="863"/>
      <c r="O426" s="52">
        <f t="shared" si="75"/>
        <v>1</v>
      </c>
      <c r="P426" s="863"/>
      <c r="Q426" s="52">
        <f t="shared" si="76"/>
        <v>1</v>
      </c>
      <c r="R426" s="390">
        <f t="shared" si="77"/>
        <v>0</v>
      </c>
      <c r="S426" s="699">
        <f t="shared" si="78"/>
        <v>0</v>
      </c>
    </row>
    <row r="427" spans="1:19">
      <c r="A427" s="865"/>
      <c r="B427" s="134"/>
      <c r="C427" s="52">
        <f t="shared" si="69"/>
        <v>1</v>
      </c>
      <c r="D427" s="863"/>
      <c r="E427" s="52">
        <f t="shared" si="70"/>
        <v>1</v>
      </c>
      <c r="F427" s="863"/>
      <c r="G427" s="52">
        <f t="shared" si="71"/>
        <v>1</v>
      </c>
      <c r="H427" s="863"/>
      <c r="I427" s="52">
        <f t="shared" si="72"/>
        <v>1</v>
      </c>
      <c r="J427" s="863"/>
      <c r="K427" s="52">
        <f t="shared" si="73"/>
        <v>1</v>
      </c>
      <c r="L427" s="863"/>
      <c r="M427" s="52">
        <f t="shared" si="74"/>
        <v>1</v>
      </c>
      <c r="N427" s="863"/>
      <c r="O427" s="52">
        <f t="shared" si="75"/>
        <v>1</v>
      </c>
      <c r="P427" s="863"/>
      <c r="Q427" s="52">
        <f t="shared" si="76"/>
        <v>1</v>
      </c>
      <c r="R427" s="390">
        <f t="shared" si="77"/>
        <v>0</v>
      </c>
      <c r="S427" s="699">
        <f t="shared" si="78"/>
        <v>0</v>
      </c>
    </row>
    <row r="428" spans="1:19">
      <c r="A428" s="865"/>
      <c r="B428" s="134"/>
      <c r="C428" s="52">
        <f t="shared" si="69"/>
        <v>1</v>
      </c>
      <c r="D428" s="863"/>
      <c r="E428" s="52">
        <f t="shared" si="70"/>
        <v>1</v>
      </c>
      <c r="F428" s="863"/>
      <c r="G428" s="52">
        <f t="shared" si="71"/>
        <v>1</v>
      </c>
      <c r="H428" s="863"/>
      <c r="I428" s="52">
        <f t="shared" si="72"/>
        <v>1</v>
      </c>
      <c r="J428" s="863"/>
      <c r="K428" s="52">
        <f t="shared" si="73"/>
        <v>1</v>
      </c>
      <c r="L428" s="863"/>
      <c r="M428" s="52">
        <f t="shared" si="74"/>
        <v>1</v>
      </c>
      <c r="N428" s="863"/>
      <c r="O428" s="52">
        <f t="shared" si="75"/>
        <v>1</v>
      </c>
      <c r="P428" s="863"/>
      <c r="Q428" s="52">
        <f t="shared" si="76"/>
        <v>1</v>
      </c>
      <c r="R428" s="390">
        <f t="shared" si="77"/>
        <v>0</v>
      </c>
      <c r="S428" s="699">
        <f t="shared" si="78"/>
        <v>0</v>
      </c>
    </row>
    <row r="429" spans="1:19">
      <c r="A429" s="865"/>
      <c r="B429" s="134"/>
      <c r="C429" s="52">
        <f t="shared" si="69"/>
        <v>1</v>
      </c>
      <c r="D429" s="863"/>
      <c r="E429" s="52">
        <f t="shared" si="70"/>
        <v>1</v>
      </c>
      <c r="F429" s="863"/>
      <c r="G429" s="52">
        <f t="shared" si="71"/>
        <v>1</v>
      </c>
      <c r="H429" s="863"/>
      <c r="I429" s="52">
        <f t="shared" si="72"/>
        <v>1</v>
      </c>
      <c r="J429" s="863"/>
      <c r="K429" s="52">
        <f t="shared" si="73"/>
        <v>1</v>
      </c>
      <c r="L429" s="863"/>
      <c r="M429" s="52">
        <f t="shared" si="74"/>
        <v>1</v>
      </c>
      <c r="N429" s="863"/>
      <c r="O429" s="52">
        <f t="shared" si="75"/>
        <v>1</v>
      </c>
      <c r="P429" s="863"/>
      <c r="Q429" s="52">
        <f t="shared" si="76"/>
        <v>1</v>
      </c>
      <c r="R429" s="390">
        <f t="shared" si="77"/>
        <v>0</v>
      </c>
      <c r="S429" s="699">
        <f t="shared" si="78"/>
        <v>0</v>
      </c>
    </row>
    <row r="430" spans="1:19">
      <c r="A430" s="865"/>
      <c r="B430" s="134"/>
      <c r="C430" s="52">
        <f t="shared" si="69"/>
        <v>1</v>
      </c>
      <c r="D430" s="863"/>
      <c r="E430" s="52">
        <f t="shared" si="70"/>
        <v>1</v>
      </c>
      <c r="F430" s="863"/>
      <c r="G430" s="52">
        <f t="shared" si="71"/>
        <v>1</v>
      </c>
      <c r="H430" s="863"/>
      <c r="I430" s="52">
        <f t="shared" si="72"/>
        <v>1</v>
      </c>
      <c r="J430" s="863"/>
      <c r="K430" s="52">
        <f t="shared" si="73"/>
        <v>1</v>
      </c>
      <c r="L430" s="863"/>
      <c r="M430" s="52">
        <f t="shared" si="74"/>
        <v>1</v>
      </c>
      <c r="N430" s="863"/>
      <c r="O430" s="52">
        <f t="shared" si="75"/>
        <v>1</v>
      </c>
      <c r="P430" s="863"/>
      <c r="Q430" s="52">
        <f t="shared" si="76"/>
        <v>1</v>
      </c>
      <c r="R430" s="390">
        <f t="shared" si="77"/>
        <v>0</v>
      </c>
      <c r="S430" s="699">
        <f t="shared" si="78"/>
        <v>0</v>
      </c>
    </row>
    <row r="431" spans="1:19">
      <c r="A431" s="865"/>
      <c r="B431" s="134"/>
      <c r="C431" s="52">
        <f t="shared" si="69"/>
        <v>1</v>
      </c>
      <c r="D431" s="863"/>
      <c r="E431" s="52">
        <f t="shared" si="70"/>
        <v>1</v>
      </c>
      <c r="F431" s="863"/>
      <c r="G431" s="52">
        <f t="shared" si="71"/>
        <v>1</v>
      </c>
      <c r="H431" s="863"/>
      <c r="I431" s="52">
        <f t="shared" si="72"/>
        <v>1</v>
      </c>
      <c r="J431" s="863"/>
      <c r="K431" s="52">
        <f t="shared" si="73"/>
        <v>1</v>
      </c>
      <c r="L431" s="863"/>
      <c r="M431" s="52">
        <f t="shared" si="74"/>
        <v>1</v>
      </c>
      <c r="N431" s="863"/>
      <c r="O431" s="52">
        <f t="shared" si="75"/>
        <v>1</v>
      </c>
      <c r="P431" s="863"/>
      <c r="Q431" s="52">
        <f t="shared" si="76"/>
        <v>1</v>
      </c>
      <c r="R431" s="390">
        <f t="shared" si="77"/>
        <v>0</v>
      </c>
      <c r="S431" s="699">
        <f t="shared" si="78"/>
        <v>0</v>
      </c>
    </row>
    <row r="432" spans="1:19">
      <c r="A432" s="865"/>
      <c r="B432" s="134"/>
      <c r="C432" s="52">
        <f t="shared" si="69"/>
        <v>1</v>
      </c>
      <c r="D432" s="863"/>
      <c r="E432" s="52">
        <f t="shared" si="70"/>
        <v>1</v>
      </c>
      <c r="F432" s="863"/>
      <c r="G432" s="52">
        <f t="shared" si="71"/>
        <v>1</v>
      </c>
      <c r="H432" s="863"/>
      <c r="I432" s="52">
        <f t="shared" si="72"/>
        <v>1</v>
      </c>
      <c r="J432" s="863"/>
      <c r="K432" s="52">
        <f t="shared" si="73"/>
        <v>1</v>
      </c>
      <c r="L432" s="863"/>
      <c r="M432" s="52">
        <f t="shared" si="74"/>
        <v>1</v>
      </c>
      <c r="N432" s="863"/>
      <c r="O432" s="52">
        <f t="shared" si="75"/>
        <v>1</v>
      </c>
      <c r="P432" s="863"/>
      <c r="Q432" s="52">
        <f t="shared" si="76"/>
        <v>1</v>
      </c>
      <c r="R432" s="390">
        <f t="shared" si="77"/>
        <v>0</v>
      </c>
      <c r="S432" s="699">
        <f t="shared" si="78"/>
        <v>0</v>
      </c>
    </row>
    <row r="433" spans="1:19">
      <c r="A433" s="865"/>
      <c r="B433" s="134"/>
      <c r="C433" s="52">
        <f t="shared" si="69"/>
        <v>1</v>
      </c>
      <c r="D433" s="863"/>
      <c r="E433" s="52">
        <f t="shared" si="70"/>
        <v>1</v>
      </c>
      <c r="F433" s="863"/>
      <c r="G433" s="52">
        <f t="shared" si="71"/>
        <v>1</v>
      </c>
      <c r="H433" s="863"/>
      <c r="I433" s="52">
        <f t="shared" si="72"/>
        <v>1</v>
      </c>
      <c r="J433" s="863"/>
      <c r="K433" s="52">
        <f t="shared" si="73"/>
        <v>1</v>
      </c>
      <c r="L433" s="863"/>
      <c r="M433" s="52">
        <f t="shared" si="74"/>
        <v>1</v>
      </c>
      <c r="N433" s="863"/>
      <c r="O433" s="52">
        <f t="shared" si="75"/>
        <v>1</v>
      </c>
      <c r="P433" s="863"/>
      <c r="Q433" s="52">
        <f t="shared" si="76"/>
        <v>1</v>
      </c>
      <c r="R433" s="390">
        <f t="shared" si="77"/>
        <v>0</v>
      </c>
      <c r="S433" s="699">
        <f t="shared" si="78"/>
        <v>0</v>
      </c>
    </row>
    <row r="434" spans="1:19">
      <c r="A434" s="865"/>
      <c r="B434" s="134"/>
      <c r="C434" s="52">
        <f t="shared" si="69"/>
        <v>1</v>
      </c>
      <c r="D434" s="863"/>
      <c r="E434" s="52">
        <f t="shared" si="70"/>
        <v>1</v>
      </c>
      <c r="F434" s="863"/>
      <c r="G434" s="52">
        <f t="shared" si="71"/>
        <v>1</v>
      </c>
      <c r="H434" s="863"/>
      <c r="I434" s="52">
        <f t="shared" si="72"/>
        <v>1</v>
      </c>
      <c r="J434" s="863"/>
      <c r="K434" s="52">
        <f t="shared" si="73"/>
        <v>1</v>
      </c>
      <c r="L434" s="863"/>
      <c r="M434" s="52">
        <f t="shared" si="74"/>
        <v>1</v>
      </c>
      <c r="N434" s="863"/>
      <c r="O434" s="52">
        <f t="shared" si="75"/>
        <v>1</v>
      </c>
      <c r="P434" s="863"/>
      <c r="Q434" s="52">
        <f t="shared" si="76"/>
        <v>1</v>
      </c>
      <c r="R434" s="390">
        <f t="shared" si="77"/>
        <v>0</v>
      </c>
      <c r="S434" s="699">
        <f t="shared" si="78"/>
        <v>0</v>
      </c>
    </row>
    <row r="435" spans="1:19">
      <c r="A435" s="865"/>
      <c r="B435" s="134"/>
      <c r="C435" s="52">
        <f t="shared" si="69"/>
        <v>1</v>
      </c>
      <c r="D435" s="863"/>
      <c r="E435" s="52">
        <f t="shared" si="70"/>
        <v>1</v>
      </c>
      <c r="F435" s="863"/>
      <c r="G435" s="52">
        <f t="shared" si="71"/>
        <v>1</v>
      </c>
      <c r="H435" s="863"/>
      <c r="I435" s="52">
        <f t="shared" si="72"/>
        <v>1</v>
      </c>
      <c r="J435" s="863"/>
      <c r="K435" s="52">
        <f t="shared" si="73"/>
        <v>1</v>
      </c>
      <c r="L435" s="863"/>
      <c r="M435" s="52">
        <f t="shared" si="74"/>
        <v>1</v>
      </c>
      <c r="N435" s="863"/>
      <c r="O435" s="52">
        <f t="shared" si="75"/>
        <v>1</v>
      </c>
      <c r="P435" s="863"/>
      <c r="Q435" s="52">
        <f t="shared" si="76"/>
        <v>1</v>
      </c>
      <c r="R435" s="390">
        <f t="shared" si="77"/>
        <v>0</v>
      </c>
      <c r="S435" s="699">
        <f t="shared" si="78"/>
        <v>0</v>
      </c>
    </row>
    <row r="436" spans="1:19">
      <c r="A436" s="865"/>
      <c r="B436" s="134"/>
      <c r="C436" s="52">
        <f t="shared" si="69"/>
        <v>1</v>
      </c>
      <c r="D436" s="863"/>
      <c r="E436" s="52">
        <f t="shared" si="70"/>
        <v>1</v>
      </c>
      <c r="F436" s="863"/>
      <c r="G436" s="52">
        <f t="shared" si="71"/>
        <v>1</v>
      </c>
      <c r="H436" s="863"/>
      <c r="I436" s="52">
        <f t="shared" si="72"/>
        <v>1</v>
      </c>
      <c r="J436" s="863"/>
      <c r="K436" s="52">
        <f t="shared" si="73"/>
        <v>1</v>
      </c>
      <c r="L436" s="863"/>
      <c r="M436" s="52">
        <f t="shared" si="74"/>
        <v>1</v>
      </c>
      <c r="N436" s="863"/>
      <c r="O436" s="52">
        <f t="shared" si="75"/>
        <v>1</v>
      </c>
      <c r="P436" s="863"/>
      <c r="Q436" s="52">
        <f t="shared" si="76"/>
        <v>1</v>
      </c>
      <c r="R436" s="390">
        <f t="shared" si="77"/>
        <v>0</v>
      </c>
      <c r="S436" s="699">
        <f t="shared" si="78"/>
        <v>0</v>
      </c>
    </row>
    <row r="437" spans="1:19">
      <c r="A437" s="865"/>
      <c r="B437" s="134"/>
      <c r="C437" s="52">
        <f t="shared" si="69"/>
        <v>1</v>
      </c>
      <c r="D437" s="863"/>
      <c r="E437" s="52">
        <f t="shared" si="70"/>
        <v>1</v>
      </c>
      <c r="F437" s="863"/>
      <c r="G437" s="52">
        <f t="shared" si="71"/>
        <v>1</v>
      </c>
      <c r="H437" s="863"/>
      <c r="I437" s="52">
        <f t="shared" si="72"/>
        <v>1</v>
      </c>
      <c r="J437" s="863"/>
      <c r="K437" s="52">
        <f t="shared" si="73"/>
        <v>1</v>
      </c>
      <c r="L437" s="863"/>
      <c r="M437" s="52">
        <f t="shared" si="74"/>
        <v>1</v>
      </c>
      <c r="N437" s="863"/>
      <c r="O437" s="52">
        <f t="shared" si="75"/>
        <v>1</v>
      </c>
      <c r="P437" s="863"/>
      <c r="Q437" s="52">
        <f t="shared" si="76"/>
        <v>1</v>
      </c>
      <c r="R437" s="390">
        <f t="shared" si="77"/>
        <v>0</v>
      </c>
      <c r="S437" s="699">
        <f t="shared" si="78"/>
        <v>0</v>
      </c>
    </row>
    <row r="438" spans="1:19">
      <c r="A438" s="865"/>
      <c r="B438" s="134"/>
      <c r="C438" s="52">
        <f t="shared" si="69"/>
        <v>1</v>
      </c>
      <c r="D438" s="863"/>
      <c r="E438" s="52">
        <f t="shared" si="70"/>
        <v>1</v>
      </c>
      <c r="F438" s="863"/>
      <c r="G438" s="52">
        <f t="shared" si="71"/>
        <v>1</v>
      </c>
      <c r="H438" s="863"/>
      <c r="I438" s="52">
        <f t="shared" si="72"/>
        <v>1</v>
      </c>
      <c r="J438" s="863"/>
      <c r="K438" s="52">
        <f t="shared" si="73"/>
        <v>1</v>
      </c>
      <c r="L438" s="863"/>
      <c r="M438" s="52">
        <f t="shared" si="74"/>
        <v>1</v>
      </c>
      <c r="N438" s="863"/>
      <c r="O438" s="52">
        <f t="shared" si="75"/>
        <v>1</v>
      </c>
      <c r="P438" s="863"/>
      <c r="Q438" s="52">
        <f t="shared" si="76"/>
        <v>1</v>
      </c>
      <c r="R438" s="390">
        <f t="shared" si="77"/>
        <v>0</v>
      </c>
      <c r="S438" s="699">
        <f t="shared" si="78"/>
        <v>0</v>
      </c>
    </row>
    <row r="439" spans="1:19">
      <c r="A439" s="865"/>
      <c r="B439" s="134"/>
      <c r="C439" s="52">
        <f t="shared" si="69"/>
        <v>1</v>
      </c>
      <c r="D439" s="863"/>
      <c r="E439" s="52">
        <f t="shared" si="70"/>
        <v>1</v>
      </c>
      <c r="F439" s="863"/>
      <c r="G439" s="52">
        <f t="shared" si="71"/>
        <v>1</v>
      </c>
      <c r="H439" s="863"/>
      <c r="I439" s="52">
        <f t="shared" si="72"/>
        <v>1</v>
      </c>
      <c r="J439" s="863"/>
      <c r="K439" s="52">
        <f t="shared" si="73"/>
        <v>1</v>
      </c>
      <c r="L439" s="863"/>
      <c r="M439" s="52">
        <f t="shared" si="74"/>
        <v>1</v>
      </c>
      <c r="N439" s="863"/>
      <c r="O439" s="52">
        <f t="shared" si="75"/>
        <v>1</v>
      </c>
      <c r="P439" s="863"/>
      <c r="Q439" s="52">
        <f t="shared" si="76"/>
        <v>1</v>
      </c>
      <c r="R439" s="390">
        <f t="shared" si="77"/>
        <v>0</v>
      </c>
      <c r="S439" s="699">
        <f t="shared" si="78"/>
        <v>0</v>
      </c>
    </row>
    <row r="440" spans="1:19">
      <c r="A440" s="865"/>
      <c r="B440" s="134"/>
      <c r="C440" s="52">
        <f t="shared" si="69"/>
        <v>1</v>
      </c>
      <c r="D440" s="863"/>
      <c r="E440" s="52">
        <f t="shared" si="70"/>
        <v>1</v>
      </c>
      <c r="F440" s="863"/>
      <c r="G440" s="52">
        <f t="shared" si="71"/>
        <v>1</v>
      </c>
      <c r="H440" s="863"/>
      <c r="I440" s="52">
        <f t="shared" si="72"/>
        <v>1</v>
      </c>
      <c r="J440" s="863"/>
      <c r="K440" s="52">
        <f t="shared" si="73"/>
        <v>1</v>
      </c>
      <c r="L440" s="863"/>
      <c r="M440" s="52">
        <f t="shared" si="74"/>
        <v>1</v>
      </c>
      <c r="N440" s="863"/>
      <c r="O440" s="52">
        <f t="shared" si="75"/>
        <v>1</v>
      </c>
      <c r="P440" s="863"/>
      <c r="Q440" s="52">
        <f t="shared" si="76"/>
        <v>1</v>
      </c>
      <c r="R440" s="390">
        <f t="shared" si="77"/>
        <v>0</v>
      </c>
      <c r="S440" s="699">
        <f t="shared" si="78"/>
        <v>0</v>
      </c>
    </row>
    <row r="441" spans="1:19">
      <c r="A441" s="865"/>
      <c r="B441" s="134"/>
      <c r="C441" s="52">
        <f t="shared" si="69"/>
        <v>1</v>
      </c>
      <c r="D441" s="863"/>
      <c r="E441" s="52">
        <f t="shared" si="70"/>
        <v>1</v>
      </c>
      <c r="F441" s="863"/>
      <c r="G441" s="52">
        <f t="shared" si="71"/>
        <v>1</v>
      </c>
      <c r="H441" s="863"/>
      <c r="I441" s="52">
        <f t="shared" si="72"/>
        <v>1</v>
      </c>
      <c r="J441" s="863"/>
      <c r="K441" s="52">
        <f t="shared" si="73"/>
        <v>1</v>
      </c>
      <c r="L441" s="863"/>
      <c r="M441" s="52">
        <f t="shared" si="74"/>
        <v>1</v>
      </c>
      <c r="N441" s="863"/>
      <c r="O441" s="52">
        <f t="shared" si="75"/>
        <v>1</v>
      </c>
      <c r="P441" s="863"/>
      <c r="Q441" s="52">
        <f t="shared" si="76"/>
        <v>1</v>
      </c>
      <c r="R441" s="390">
        <f t="shared" si="77"/>
        <v>0</v>
      </c>
      <c r="S441" s="699">
        <f t="shared" si="78"/>
        <v>0</v>
      </c>
    </row>
    <row r="442" spans="1:19">
      <c r="A442" s="865"/>
      <c r="B442" s="134"/>
      <c r="C442" s="52">
        <f t="shared" si="69"/>
        <v>1</v>
      </c>
      <c r="D442" s="863"/>
      <c r="E442" s="52">
        <f t="shared" si="70"/>
        <v>1</v>
      </c>
      <c r="F442" s="863"/>
      <c r="G442" s="52">
        <f t="shared" si="71"/>
        <v>1</v>
      </c>
      <c r="H442" s="863"/>
      <c r="I442" s="52">
        <f t="shared" si="72"/>
        <v>1</v>
      </c>
      <c r="J442" s="863"/>
      <c r="K442" s="52">
        <f t="shared" si="73"/>
        <v>1</v>
      </c>
      <c r="L442" s="863"/>
      <c r="M442" s="52">
        <f t="shared" si="74"/>
        <v>1</v>
      </c>
      <c r="N442" s="863"/>
      <c r="O442" s="52">
        <f t="shared" si="75"/>
        <v>1</v>
      </c>
      <c r="P442" s="863"/>
      <c r="Q442" s="52">
        <f t="shared" si="76"/>
        <v>1</v>
      </c>
      <c r="R442" s="390">
        <f t="shared" si="77"/>
        <v>0</v>
      </c>
      <c r="S442" s="699">
        <f t="shared" si="78"/>
        <v>0</v>
      </c>
    </row>
    <row r="443" spans="1:19">
      <c r="A443" s="865"/>
      <c r="B443" s="134"/>
      <c r="C443" s="52">
        <f t="shared" si="69"/>
        <v>1</v>
      </c>
      <c r="D443" s="863"/>
      <c r="E443" s="52">
        <f t="shared" si="70"/>
        <v>1</v>
      </c>
      <c r="F443" s="863"/>
      <c r="G443" s="52">
        <f t="shared" si="71"/>
        <v>1</v>
      </c>
      <c r="H443" s="863"/>
      <c r="I443" s="52">
        <f t="shared" si="72"/>
        <v>1</v>
      </c>
      <c r="J443" s="863"/>
      <c r="K443" s="52">
        <f t="shared" si="73"/>
        <v>1</v>
      </c>
      <c r="L443" s="863"/>
      <c r="M443" s="52">
        <f t="shared" si="74"/>
        <v>1</v>
      </c>
      <c r="N443" s="863"/>
      <c r="O443" s="52">
        <f t="shared" si="75"/>
        <v>1</v>
      </c>
      <c r="P443" s="863"/>
      <c r="Q443" s="52">
        <f t="shared" si="76"/>
        <v>1</v>
      </c>
      <c r="R443" s="390">
        <f t="shared" si="77"/>
        <v>0</v>
      </c>
      <c r="S443" s="699">
        <f t="shared" si="78"/>
        <v>0</v>
      </c>
    </row>
    <row r="444" spans="1:19">
      <c r="A444" s="865"/>
      <c r="B444" s="134"/>
      <c r="C444" s="52">
        <f t="shared" si="69"/>
        <v>1</v>
      </c>
      <c r="D444" s="863"/>
      <c r="E444" s="52">
        <f t="shared" si="70"/>
        <v>1</v>
      </c>
      <c r="F444" s="863"/>
      <c r="G444" s="52">
        <f t="shared" si="71"/>
        <v>1</v>
      </c>
      <c r="H444" s="863"/>
      <c r="I444" s="52">
        <f t="shared" si="72"/>
        <v>1</v>
      </c>
      <c r="J444" s="863"/>
      <c r="K444" s="52">
        <f t="shared" si="73"/>
        <v>1</v>
      </c>
      <c r="L444" s="863"/>
      <c r="M444" s="52">
        <f t="shared" si="74"/>
        <v>1</v>
      </c>
      <c r="N444" s="863"/>
      <c r="O444" s="52">
        <f t="shared" si="75"/>
        <v>1</v>
      </c>
      <c r="P444" s="863"/>
      <c r="Q444" s="52">
        <f t="shared" si="76"/>
        <v>1</v>
      </c>
      <c r="R444" s="390">
        <f t="shared" si="77"/>
        <v>0</v>
      </c>
      <c r="S444" s="699">
        <f t="shared" si="78"/>
        <v>0</v>
      </c>
    </row>
    <row r="445" spans="1:19">
      <c r="A445" s="865"/>
      <c r="B445" s="134"/>
      <c r="C445" s="52">
        <f t="shared" si="69"/>
        <v>1</v>
      </c>
      <c r="D445" s="863"/>
      <c r="E445" s="52">
        <f t="shared" si="70"/>
        <v>1</v>
      </c>
      <c r="F445" s="863"/>
      <c r="G445" s="52">
        <f t="shared" si="71"/>
        <v>1</v>
      </c>
      <c r="H445" s="863"/>
      <c r="I445" s="52">
        <f t="shared" si="72"/>
        <v>1</v>
      </c>
      <c r="J445" s="863"/>
      <c r="K445" s="52">
        <f t="shared" si="73"/>
        <v>1</v>
      </c>
      <c r="L445" s="863"/>
      <c r="M445" s="52">
        <f t="shared" si="74"/>
        <v>1</v>
      </c>
      <c r="N445" s="863"/>
      <c r="O445" s="52">
        <f t="shared" si="75"/>
        <v>1</v>
      </c>
      <c r="P445" s="863"/>
      <c r="Q445" s="52">
        <f t="shared" si="76"/>
        <v>1</v>
      </c>
      <c r="R445" s="390">
        <f t="shared" si="77"/>
        <v>0</v>
      </c>
      <c r="S445" s="699">
        <f t="shared" si="78"/>
        <v>0</v>
      </c>
    </row>
    <row r="446" spans="1:19">
      <c r="A446" s="865"/>
      <c r="B446" s="134"/>
      <c r="C446" s="52">
        <f t="shared" si="69"/>
        <v>1</v>
      </c>
      <c r="D446" s="863"/>
      <c r="E446" s="52">
        <f t="shared" si="70"/>
        <v>1</v>
      </c>
      <c r="F446" s="863"/>
      <c r="G446" s="52">
        <f t="shared" si="71"/>
        <v>1</v>
      </c>
      <c r="H446" s="863"/>
      <c r="I446" s="52">
        <f t="shared" si="72"/>
        <v>1</v>
      </c>
      <c r="J446" s="863"/>
      <c r="K446" s="52">
        <f t="shared" si="73"/>
        <v>1</v>
      </c>
      <c r="L446" s="863"/>
      <c r="M446" s="52">
        <f t="shared" si="74"/>
        <v>1</v>
      </c>
      <c r="N446" s="863"/>
      <c r="O446" s="52">
        <f t="shared" si="75"/>
        <v>1</v>
      </c>
      <c r="P446" s="863"/>
      <c r="Q446" s="52">
        <f t="shared" si="76"/>
        <v>1</v>
      </c>
      <c r="R446" s="390">
        <f t="shared" si="77"/>
        <v>0</v>
      </c>
      <c r="S446" s="699">
        <f t="shared" si="78"/>
        <v>0</v>
      </c>
    </row>
    <row r="447" spans="1:19">
      <c r="A447" s="865"/>
      <c r="B447" s="134"/>
      <c r="C447" s="52">
        <f t="shared" si="69"/>
        <v>1</v>
      </c>
      <c r="D447" s="863"/>
      <c r="E447" s="52">
        <f t="shared" si="70"/>
        <v>1</v>
      </c>
      <c r="F447" s="863"/>
      <c r="G447" s="52">
        <f t="shared" si="71"/>
        <v>1</v>
      </c>
      <c r="H447" s="863"/>
      <c r="I447" s="52">
        <f t="shared" si="72"/>
        <v>1</v>
      </c>
      <c r="J447" s="863"/>
      <c r="K447" s="52">
        <f t="shared" si="73"/>
        <v>1</v>
      </c>
      <c r="L447" s="863"/>
      <c r="M447" s="52">
        <f t="shared" si="74"/>
        <v>1</v>
      </c>
      <c r="N447" s="863"/>
      <c r="O447" s="52">
        <f t="shared" si="75"/>
        <v>1</v>
      </c>
      <c r="P447" s="863"/>
      <c r="Q447" s="52">
        <f t="shared" si="76"/>
        <v>1</v>
      </c>
      <c r="R447" s="390">
        <f t="shared" si="77"/>
        <v>0</v>
      </c>
      <c r="S447" s="699">
        <f t="shared" si="78"/>
        <v>0</v>
      </c>
    </row>
    <row r="448" spans="1:19">
      <c r="A448" s="865"/>
      <c r="B448" s="134"/>
      <c r="C448" s="52">
        <f t="shared" si="69"/>
        <v>1</v>
      </c>
      <c r="D448" s="863"/>
      <c r="E448" s="52">
        <f t="shared" si="70"/>
        <v>1</v>
      </c>
      <c r="F448" s="863"/>
      <c r="G448" s="52">
        <f t="shared" si="71"/>
        <v>1</v>
      </c>
      <c r="H448" s="863"/>
      <c r="I448" s="52">
        <f t="shared" si="72"/>
        <v>1</v>
      </c>
      <c r="J448" s="863"/>
      <c r="K448" s="52">
        <f t="shared" si="73"/>
        <v>1</v>
      </c>
      <c r="L448" s="863"/>
      <c r="M448" s="52">
        <f t="shared" si="74"/>
        <v>1</v>
      </c>
      <c r="N448" s="863"/>
      <c r="O448" s="52">
        <f t="shared" si="75"/>
        <v>1</v>
      </c>
      <c r="P448" s="863"/>
      <c r="Q448" s="52">
        <f t="shared" si="76"/>
        <v>1</v>
      </c>
      <c r="R448" s="390">
        <f t="shared" si="77"/>
        <v>0</v>
      </c>
      <c r="S448" s="699">
        <f t="shared" si="78"/>
        <v>0</v>
      </c>
    </row>
    <row r="449" spans="1:19">
      <c r="A449" s="865"/>
      <c r="B449" s="134"/>
      <c r="C449" s="52">
        <f t="shared" si="69"/>
        <v>1</v>
      </c>
      <c r="D449" s="863"/>
      <c r="E449" s="52">
        <f t="shared" si="70"/>
        <v>1</v>
      </c>
      <c r="F449" s="863"/>
      <c r="G449" s="52">
        <f t="shared" si="71"/>
        <v>1</v>
      </c>
      <c r="H449" s="863"/>
      <c r="I449" s="52">
        <f t="shared" si="72"/>
        <v>1</v>
      </c>
      <c r="J449" s="863"/>
      <c r="K449" s="52">
        <f t="shared" si="73"/>
        <v>1</v>
      </c>
      <c r="L449" s="863"/>
      <c r="M449" s="52">
        <f t="shared" si="74"/>
        <v>1</v>
      </c>
      <c r="N449" s="863"/>
      <c r="O449" s="52">
        <f t="shared" si="75"/>
        <v>1</v>
      </c>
      <c r="P449" s="863"/>
      <c r="Q449" s="52">
        <f t="shared" si="76"/>
        <v>1</v>
      </c>
      <c r="R449" s="390">
        <f t="shared" si="77"/>
        <v>0</v>
      </c>
      <c r="S449" s="699">
        <f t="shared" si="78"/>
        <v>0</v>
      </c>
    </row>
    <row r="450" spans="1:19">
      <c r="A450" s="865"/>
      <c r="B450" s="134"/>
      <c r="C450" s="52">
        <f t="shared" si="69"/>
        <v>1</v>
      </c>
      <c r="D450" s="863"/>
      <c r="E450" s="52">
        <f t="shared" si="70"/>
        <v>1</v>
      </c>
      <c r="F450" s="863"/>
      <c r="G450" s="52">
        <f t="shared" si="71"/>
        <v>1</v>
      </c>
      <c r="H450" s="863"/>
      <c r="I450" s="52">
        <f t="shared" si="72"/>
        <v>1</v>
      </c>
      <c r="J450" s="863"/>
      <c r="K450" s="52">
        <f t="shared" si="73"/>
        <v>1</v>
      </c>
      <c r="L450" s="863"/>
      <c r="M450" s="52">
        <f t="shared" si="74"/>
        <v>1</v>
      </c>
      <c r="N450" s="863"/>
      <c r="O450" s="52">
        <f t="shared" si="75"/>
        <v>1</v>
      </c>
      <c r="P450" s="863"/>
      <c r="Q450" s="52">
        <f t="shared" si="76"/>
        <v>1</v>
      </c>
      <c r="R450" s="390">
        <f t="shared" si="77"/>
        <v>0</v>
      </c>
      <c r="S450" s="699">
        <f t="shared" si="78"/>
        <v>0</v>
      </c>
    </row>
    <row r="451" spans="1:19">
      <c r="A451" s="865"/>
      <c r="B451" s="134"/>
      <c r="C451" s="52">
        <f t="shared" si="69"/>
        <v>1</v>
      </c>
      <c r="D451" s="863"/>
      <c r="E451" s="52">
        <f t="shared" si="70"/>
        <v>1</v>
      </c>
      <c r="F451" s="863"/>
      <c r="G451" s="52">
        <f t="shared" si="71"/>
        <v>1</v>
      </c>
      <c r="H451" s="863"/>
      <c r="I451" s="52">
        <f t="shared" si="72"/>
        <v>1</v>
      </c>
      <c r="J451" s="863"/>
      <c r="K451" s="52">
        <f t="shared" si="73"/>
        <v>1</v>
      </c>
      <c r="L451" s="863"/>
      <c r="M451" s="52">
        <f t="shared" si="74"/>
        <v>1</v>
      </c>
      <c r="N451" s="863"/>
      <c r="O451" s="52">
        <f t="shared" si="75"/>
        <v>1</v>
      </c>
      <c r="P451" s="863"/>
      <c r="Q451" s="52">
        <f t="shared" si="76"/>
        <v>1</v>
      </c>
      <c r="R451" s="390">
        <f t="shared" si="77"/>
        <v>0</v>
      </c>
      <c r="S451" s="699">
        <f t="shared" si="78"/>
        <v>0</v>
      </c>
    </row>
    <row r="452" spans="1:19">
      <c r="A452" s="865"/>
      <c r="B452" s="134"/>
      <c r="C452" s="52">
        <f t="shared" si="69"/>
        <v>1</v>
      </c>
      <c r="D452" s="863"/>
      <c r="E452" s="52">
        <f t="shared" si="70"/>
        <v>1</v>
      </c>
      <c r="F452" s="863"/>
      <c r="G452" s="52">
        <f t="shared" si="71"/>
        <v>1</v>
      </c>
      <c r="H452" s="863"/>
      <c r="I452" s="52">
        <f t="shared" si="72"/>
        <v>1</v>
      </c>
      <c r="J452" s="863"/>
      <c r="K452" s="52">
        <f t="shared" si="73"/>
        <v>1</v>
      </c>
      <c r="L452" s="863"/>
      <c r="M452" s="52">
        <f t="shared" si="74"/>
        <v>1</v>
      </c>
      <c r="N452" s="863"/>
      <c r="O452" s="52">
        <f t="shared" si="75"/>
        <v>1</v>
      </c>
      <c r="P452" s="863"/>
      <c r="Q452" s="52">
        <f t="shared" si="76"/>
        <v>1</v>
      </c>
      <c r="R452" s="390">
        <f t="shared" si="77"/>
        <v>0</v>
      </c>
      <c r="S452" s="699">
        <f t="shared" si="78"/>
        <v>0</v>
      </c>
    </row>
    <row r="453" spans="1:19">
      <c r="A453" s="865"/>
      <c r="B453" s="134"/>
      <c r="C453" s="52">
        <f t="shared" si="69"/>
        <v>1</v>
      </c>
      <c r="D453" s="863"/>
      <c r="E453" s="52">
        <f t="shared" si="70"/>
        <v>1</v>
      </c>
      <c r="F453" s="863"/>
      <c r="G453" s="52">
        <f t="shared" si="71"/>
        <v>1</v>
      </c>
      <c r="H453" s="863"/>
      <c r="I453" s="52">
        <f t="shared" si="72"/>
        <v>1</v>
      </c>
      <c r="J453" s="863"/>
      <c r="K453" s="52">
        <f t="shared" si="73"/>
        <v>1</v>
      </c>
      <c r="L453" s="863"/>
      <c r="M453" s="52">
        <f t="shared" si="74"/>
        <v>1</v>
      </c>
      <c r="N453" s="863"/>
      <c r="O453" s="52">
        <f t="shared" si="75"/>
        <v>1</v>
      </c>
      <c r="P453" s="863"/>
      <c r="Q453" s="52">
        <f t="shared" si="76"/>
        <v>1</v>
      </c>
      <c r="R453" s="390">
        <f t="shared" si="77"/>
        <v>0</v>
      </c>
      <c r="S453" s="699">
        <f t="shared" si="78"/>
        <v>0</v>
      </c>
    </row>
    <row r="454" spans="1:19">
      <c r="A454" s="865"/>
      <c r="B454" s="134"/>
      <c r="C454" s="52">
        <f t="shared" si="69"/>
        <v>1</v>
      </c>
      <c r="D454" s="863"/>
      <c r="E454" s="52">
        <f t="shared" si="70"/>
        <v>1</v>
      </c>
      <c r="F454" s="863"/>
      <c r="G454" s="52">
        <f t="shared" si="71"/>
        <v>1</v>
      </c>
      <c r="H454" s="863"/>
      <c r="I454" s="52">
        <f t="shared" si="72"/>
        <v>1</v>
      </c>
      <c r="J454" s="863"/>
      <c r="K454" s="52">
        <f t="shared" si="73"/>
        <v>1</v>
      </c>
      <c r="L454" s="863"/>
      <c r="M454" s="52">
        <f t="shared" si="74"/>
        <v>1</v>
      </c>
      <c r="N454" s="863"/>
      <c r="O454" s="52">
        <f t="shared" si="75"/>
        <v>1</v>
      </c>
      <c r="P454" s="863"/>
      <c r="Q454" s="52">
        <f t="shared" si="76"/>
        <v>1</v>
      </c>
      <c r="R454" s="390">
        <f t="shared" si="77"/>
        <v>0</v>
      </c>
      <c r="S454" s="699">
        <f t="shared" si="78"/>
        <v>0</v>
      </c>
    </row>
    <row r="455" spans="1:19">
      <c r="A455" s="865"/>
      <c r="B455" s="134"/>
      <c r="C455" s="52">
        <f t="shared" si="69"/>
        <v>1</v>
      </c>
      <c r="D455" s="863"/>
      <c r="E455" s="52">
        <f t="shared" si="70"/>
        <v>1</v>
      </c>
      <c r="F455" s="863"/>
      <c r="G455" s="52">
        <f t="shared" si="71"/>
        <v>1</v>
      </c>
      <c r="H455" s="863"/>
      <c r="I455" s="52">
        <f t="shared" si="72"/>
        <v>1</v>
      </c>
      <c r="J455" s="863"/>
      <c r="K455" s="52">
        <f t="shared" si="73"/>
        <v>1</v>
      </c>
      <c r="L455" s="863"/>
      <c r="M455" s="52">
        <f t="shared" si="74"/>
        <v>1</v>
      </c>
      <c r="N455" s="863"/>
      <c r="O455" s="52">
        <f t="shared" si="75"/>
        <v>1</v>
      </c>
      <c r="P455" s="863"/>
      <c r="Q455" s="52">
        <f t="shared" si="76"/>
        <v>1</v>
      </c>
      <c r="R455" s="390">
        <f t="shared" si="77"/>
        <v>0</v>
      </c>
      <c r="S455" s="699">
        <f t="shared" si="78"/>
        <v>0</v>
      </c>
    </row>
    <row r="456" spans="1:19">
      <c r="A456" s="865"/>
      <c r="B456" s="134"/>
      <c r="C456" s="52">
        <f t="shared" si="69"/>
        <v>1</v>
      </c>
      <c r="D456" s="863"/>
      <c r="E456" s="52">
        <f t="shared" si="70"/>
        <v>1</v>
      </c>
      <c r="F456" s="863"/>
      <c r="G456" s="52">
        <f t="shared" si="71"/>
        <v>1</v>
      </c>
      <c r="H456" s="863"/>
      <c r="I456" s="52">
        <f t="shared" si="72"/>
        <v>1</v>
      </c>
      <c r="J456" s="863"/>
      <c r="K456" s="52">
        <f t="shared" si="73"/>
        <v>1</v>
      </c>
      <c r="L456" s="863"/>
      <c r="M456" s="52">
        <f t="shared" si="74"/>
        <v>1</v>
      </c>
      <c r="N456" s="863"/>
      <c r="O456" s="52">
        <f t="shared" si="75"/>
        <v>1</v>
      </c>
      <c r="P456" s="863"/>
      <c r="Q456" s="52">
        <f t="shared" si="76"/>
        <v>1</v>
      </c>
      <c r="R456" s="390">
        <f t="shared" si="77"/>
        <v>0</v>
      </c>
      <c r="S456" s="699">
        <f t="shared" si="78"/>
        <v>0</v>
      </c>
    </row>
    <row r="457" spans="1:19">
      <c r="A457" s="865"/>
      <c r="B457" s="134"/>
      <c r="C457" s="52">
        <f t="shared" si="69"/>
        <v>1</v>
      </c>
      <c r="D457" s="863"/>
      <c r="E457" s="52">
        <f t="shared" si="70"/>
        <v>1</v>
      </c>
      <c r="F457" s="863"/>
      <c r="G457" s="52">
        <f t="shared" si="71"/>
        <v>1</v>
      </c>
      <c r="H457" s="863"/>
      <c r="I457" s="52">
        <f t="shared" si="72"/>
        <v>1</v>
      </c>
      <c r="J457" s="863"/>
      <c r="K457" s="52">
        <f t="shared" si="73"/>
        <v>1</v>
      </c>
      <c r="L457" s="863"/>
      <c r="M457" s="52">
        <f t="shared" si="74"/>
        <v>1</v>
      </c>
      <c r="N457" s="863"/>
      <c r="O457" s="52">
        <f t="shared" si="75"/>
        <v>1</v>
      </c>
      <c r="P457" s="863"/>
      <c r="Q457" s="52">
        <f t="shared" si="76"/>
        <v>1</v>
      </c>
      <c r="R457" s="390">
        <f t="shared" si="77"/>
        <v>0</v>
      </c>
      <c r="S457" s="699">
        <f t="shared" si="78"/>
        <v>0</v>
      </c>
    </row>
    <row r="458" spans="1:19">
      <c r="A458" s="865"/>
      <c r="B458" s="134"/>
      <c r="C458" s="52">
        <f t="shared" si="69"/>
        <v>1</v>
      </c>
      <c r="D458" s="863"/>
      <c r="E458" s="52">
        <f t="shared" si="70"/>
        <v>1</v>
      </c>
      <c r="F458" s="863"/>
      <c r="G458" s="52">
        <f t="shared" si="71"/>
        <v>1</v>
      </c>
      <c r="H458" s="863"/>
      <c r="I458" s="52">
        <f t="shared" si="72"/>
        <v>1</v>
      </c>
      <c r="J458" s="863"/>
      <c r="K458" s="52">
        <f t="shared" si="73"/>
        <v>1</v>
      </c>
      <c r="L458" s="863"/>
      <c r="M458" s="52">
        <f t="shared" si="74"/>
        <v>1</v>
      </c>
      <c r="N458" s="863"/>
      <c r="O458" s="52">
        <f t="shared" si="75"/>
        <v>1</v>
      </c>
      <c r="P458" s="863"/>
      <c r="Q458" s="52">
        <f t="shared" si="76"/>
        <v>1</v>
      </c>
      <c r="R458" s="390">
        <f t="shared" si="77"/>
        <v>0</v>
      </c>
      <c r="S458" s="699">
        <f t="shared" si="78"/>
        <v>0</v>
      </c>
    </row>
    <row r="459" spans="1:19">
      <c r="A459" s="865"/>
      <c r="B459" s="134"/>
      <c r="C459" s="52">
        <f t="shared" si="69"/>
        <v>1</v>
      </c>
      <c r="D459" s="863"/>
      <c r="E459" s="52">
        <f t="shared" si="70"/>
        <v>1</v>
      </c>
      <c r="F459" s="863"/>
      <c r="G459" s="52">
        <f t="shared" si="71"/>
        <v>1</v>
      </c>
      <c r="H459" s="863"/>
      <c r="I459" s="52">
        <f t="shared" si="72"/>
        <v>1</v>
      </c>
      <c r="J459" s="863"/>
      <c r="K459" s="52">
        <f t="shared" si="73"/>
        <v>1</v>
      </c>
      <c r="L459" s="863"/>
      <c r="M459" s="52">
        <f t="shared" si="74"/>
        <v>1</v>
      </c>
      <c r="N459" s="863"/>
      <c r="O459" s="52">
        <f t="shared" si="75"/>
        <v>1</v>
      </c>
      <c r="P459" s="863"/>
      <c r="Q459" s="52">
        <f t="shared" si="76"/>
        <v>1</v>
      </c>
      <c r="R459" s="390">
        <f t="shared" si="77"/>
        <v>0</v>
      </c>
      <c r="S459" s="699">
        <f t="shared" si="78"/>
        <v>0</v>
      </c>
    </row>
    <row r="460" spans="1:19">
      <c r="A460" s="865"/>
      <c r="B460" s="134"/>
      <c r="C460" s="52">
        <f t="shared" si="69"/>
        <v>1</v>
      </c>
      <c r="D460" s="863"/>
      <c r="E460" s="52">
        <f t="shared" si="70"/>
        <v>1</v>
      </c>
      <c r="F460" s="863"/>
      <c r="G460" s="52">
        <f t="shared" si="71"/>
        <v>1</v>
      </c>
      <c r="H460" s="863"/>
      <c r="I460" s="52">
        <f t="shared" si="72"/>
        <v>1</v>
      </c>
      <c r="J460" s="863"/>
      <c r="K460" s="52">
        <f t="shared" si="73"/>
        <v>1</v>
      </c>
      <c r="L460" s="863"/>
      <c r="M460" s="52">
        <f t="shared" si="74"/>
        <v>1</v>
      </c>
      <c r="N460" s="863"/>
      <c r="O460" s="52">
        <f t="shared" si="75"/>
        <v>1</v>
      </c>
      <c r="P460" s="863"/>
      <c r="Q460" s="52">
        <f t="shared" si="76"/>
        <v>1</v>
      </c>
      <c r="R460" s="390">
        <f t="shared" si="77"/>
        <v>0</v>
      </c>
      <c r="S460" s="699">
        <f t="shared" si="78"/>
        <v>0</v>
      </c>
    </row>
    <row r="461" spans="1:19">
      <c r="A461" s="865"/>
      <c r="B461" s="134"/>
      <c r="C461" s="52">
        <f t="shared" si="69"/>
        <v>1</v>
      </c>
      <c r="D461" s="863"/>
      <c r="E461" s="52">
        <f t="shared" si="70"/>
        <v>1</v>
      </c>
      <c r="F461" s="863"/>
      <c r="G461" s="52">
        <f t="shared" si="71"/>
        <v>1</v>
      </c>
      <c r="H461" s="863"/>
      <c r="I461" s="52">
        <f t="shared" si="72"/>
        <v>1</v>
      </c>
      <c r="J461" s="863"/>
      <c r="K461" s="52">
        <f t="shared" si="73"/>
        <v>1</v>
      </c>
      <c r="L461" s="863"/>
      <c r="M461" s="52">
        <f t="shared" si="74"/>
        <v>1</v>
      </c>
      <c r="N461" s="863"/>
      <c r="O461" s="52">
        <f t="shared" si="75"/>
        <v>1</v>
      </c>
      <c r="P461" s="863"/>
      <c r="Q461" s="52">
        <f t="shared" si="76"/>
        <v>1</v>
      </c>
      <c r="R461" s="390">
        <f t="shared" si="77"/>
        <v>0</v>
      </c>
      <c r="S461" s="699">
        <f t="shared" si="78"/>
        <v>0</v>
      </c>
    </row>
    <row r="462" spans="1:19">
      <c r="A462" s="865"/>
      <c r="B462" s="134"/>
      <c r="C462" s="52">
        <f t="shared" si="69"/>
        <v>1</v>
      </c>
      <c r="D462" s="863"/>
      <c r="E462" s="52">
        <f t="shared" si="70"/>
        <v>1</v>
      </c>
      <c r="F462" s="863"/>
      <c r="G462" s="52">
        <f t="shared" si="71"/>
        <v>1</v>
      </c>
      <c r="H462" s="863"/>
      <c r="I462" s="52">
        <f t="shared" si="72"/>
        <v>1</v>
      </c>
      <c r="J462" s="863"/>
      <c r="K462" s="52">
        <f t="shared" si="73"/>
        <v>1</v>
      </c>
      <c r="L462" s="863"/>
      <c r="M462" s="52">
        <f t="shared" si="74"/>
        <v>1</v>
      </c>
      <c r="N462" s="863"/>
      <c r="O462" s="52">
        <f t="shared" si="75"/>
        <v>1</v>
      </c>
      <c r="P462" s="863"/>
      <c r="Q462" s="52">
        <f t="shared" si="76"/>
        <v>1</v>
      </c>
      <c r="R462" s="390">
        <f t="shared" si="77"/>
        <v>0</v>
      </c>
      <c r="S462" s="699">
        <f t="shared" si="78"/>
        <v>0</v>
      </c>
    </row>
    <row r="463" spans="1:19">
      <c r="A463" s="865"/>
      <c r="B463" s="134"/>
      <c r="C463" s="52">
        <f t="shared" si="69"/>
        <v>1</v>
      </c>
      <c r="D463" s="863"/>
      <c r="E463" s="52">
        <f t="shared" si="70"/>
        <v>1</v>
      </c>
      <c r="F463" s="863"/>
      <c r="G463" s="52">
        <f t="shared" si="71"/>
        <v>1</v>
      </c>
      <c r="H463" s="863"/>
      <c r="I463" s="52">
        <f t="shared" si="72"/>
        <v>1</v>
      </c>
      <c r="J463" s="863"/>
      <c r="K463" s="52">
        <f t="shared" si="73"/>
        <v>1</v>
      </c>
      <c r="L463" s="863"/>
      <c r="M463" s="52">
        <f t="shared" si="74"/>
        <v>1</v>
      </c>
      <c r="N463" s="863"/>
      <c r="O463" s="52">
        <f t="shared" si="75"/>
        <v>1</v>
      </c>
      <c r="P463" s="863"/>
      <c r="Q463" s="52">
        <f t="shared" si="76"/>
        <v>1</v>
      </c>
      <c r="R463" s="390">
        <f t="shared" si="77"/>
        <v>0</v>
      </c>
      <c r="S463" s="699">
        <f t="shared" si="78"/>
        <v>0</v>
      </c>
    </row>
    <row r="464" spans="1:19">
      <c r="A464" s="865"/>
      <c r="B464" s="134"/>
      <c r="C464" s="52">
        <f t="shared" si="69"/>
        <v>1</v>
      </c>
      <c r="D464" s="863"/>
      <c r="E464" s="52">
        <f t="shared" si="70"/>
        <v>1</v>
      </c>
      <c r="F464" s="863"/>
      <c r="G464" s="52">
        <f t="shared" si="71"/>
        <v>1</v>
      </c>
      <c r="H464" s="863"/>
      <c r="I464" s="52">
        <f t="shared" si="72"/>
        <v>1</v>
      </c>
      <c r="J464" s="863"/>
      <c r="K464" s="52">
        <f t="shared" si="73"/>
        <v>1</v>
      </c>
      <c r="L464" s="863"/>
      <c r="M464" s="52">
        <f t="shared" si="74"/>
        <v>1</v>
      </c>
      <c r="N464" s="863"/>
      <c r="O464" s="52">
        <f t="shared" si="75"/>
        <v>1</v>
      </c>
      <c r="P464" s="863"/>
      <c r="Q464" s="52">
        <f t="shared" si="76"/>
        <v>1</v>
      </c>
      <c r="R464" s="390">
        <f t="shared" si="77"/>
        <v>0</v>
      </c>
      <c r="S464" s="699">
        <f t="shared" si="78"/>
        <v>0</v>
      </c>
    </row>
    <row r="465" spans="1:19">
      <c r="A465" s="865"/>
      <c r="B465" s="134"/>
      <c r="C465" s="52">
        <f t="shared" si="69"/>
        <v>1</v>
      </c>
      <c r="D465" s="863"/>
      <c r="E465" s="52">
        <f t="shared" si="70"/>
        <v>1</v>
      </c>
      <c r="F465" s="863"/>
      <c r="G465" s="52">
        <f t="shared" si="71"/>
        <v>1</v>
      </c>
      <c r="H465" s="863"/>
      <c r="I465" s="52">
        <f t="shared" si="72"/>
        <v>1</v>
      </c>
      <c r="J465" s="863"/>
      <c r="K465" s="52">
        <f t="shared" si="73"/>
        <v>1</v>
      </c>
      <c r="L465" s="863"/>
      <c r="M465" s="52">
        <f t="shared" si="74"/>
        <v>1</v>
      </c>
      <c r="N465" s="863"/>
      <c r="O465" s="52">
        <f t="shared" si="75"/>
        <v>1</v>
      </c>
      <c r="P465" s="863"/>
      <c r="Q465" s="52">
        <f t="shared" si="76"/>
        <v>1</v>
      </c>
      <c r="R465" s="390">
        <f t="shared" si="77"/>
        <v>0</v>
      </c>
      <c r="S465" s="699">
        <f t="shared" si="78"/>
        <v>0</v>
      </c>
    </row>
    <row r="466" spans="1:19">
      <c r="A466" s="865"/>
      <c r="B466" s="134"/>
      <c r="C466" s="52">
        <f t="shared" si="69"/>
        <v>1</v>
      </c>
      <c r="D466" s="863"/>
      <c r="E466" s="52">
        <f t="shared" si="70"/>
        <v>1</v>
      </c>
      <c r="F466" s="863"/>
      <c r="G466" s="52">
        <f t="shared" si="71"/>
        <v>1</v>
      </c>
      <c r="H466" s="863"/>
      <c r="I466" s="52">
        <f t="shared" si="72"/>
        <v>1</v>
      </c>
      <c r="J466" s="863"/>
      <c r="K466" s="52">
        <f t="shared" si="73"/>
        <v>1</v>
      </c>
      <c r="L466" s="863"/>
      <c r="M466" s="52">
        <f t="shared" si="74"/>
        <v>1</v>
      </c>
      <c r="N466" s="863"/>
      <c r="O466" s="52">
        <f t="shared" si="75"/>
        <v>1</v>
      </c>
      <c r="P466" s="863"/>
      <c r="Q466" s="52">
        <f t="shared" si="76"/>
        <v>1</v>
      </c>
      <c r="R466" s="390">
        <f t="shared" si="77"/>
        <v>0</v>
      </c>
      <c r="S466" s="699">
        <f t="shared" si="78"/>
        <v>0</v>
      </c>
    </row>
    <row r="467" spans="1:19">
      <c r="A467" s="865"/>
      <c r="B467" s="134"/>
      <c r="C467" s="52">
        <f t="shared" si="69"/>
        <v>1</v>
      </c>
      <c r="D467" s="863"/>
      <c r="E467" s="52">
        <f t="shared" si="70"/>
        <v>1</v>
      </c>
      <c r="F467" s="863"/>
      <c r="G467" s="52">
        <f t="shared" si="71"/>
        <v>1</v>
      </c>
      <c r="H467" s="863"/>
      <c r="I467" s="52">
        <f t="shared" si="72"/>
        <v>1</v>
      </c>
      <c r="J467" s="863"/>
      <c r="K467" s="52">
        <f t="shared" si="73"/>
        <v>1</v>
      </c>
      <c r="L467" s="863"/>
      <c r="M467" s="52">
        <f t="shared" si="74"/>
        <v>1</v>
      </c>
      <c r="N467" s="863"/>
      <c r="O467" s="52">
        <f t="shared" si="75"/>
        <v>1</v>
      </c>
      <c r="P467" s="863"/>
      <c r="Q467" s="52">
        <f t="shared" si="76"/>
        <v>1</v>
      </c>
      <c r="R467" s="390">
        <f t="shared" si="77"/>
        <v>0</v>
      </c>
      <c r="S467" s="699">
        <f t="shared" si="78"/>
        <v>0</v>
      </c>
    </row>
    <row r="468" spans="1:19">
      <c r="A468" s="865"/>
      <c r="B468" s="134"/>
      <c r="C468" s="52">
        <f t="shared" si="69"/>
        <v>1</v>
      </c>
      <c r="D468" s="863"/>
      <c r="E468" s="52">
        <f t="shared" si="70"/>
        <v>1</v>
      </c>
      <c r="F468" s="863"/>
      <c r="G468" s="52">
        <f t="shared" si="71"/>
        <v>1</v>
      </c>
      <c r="H468" s="863"/>
      <c r="I468" s="52">
        <f t="shared" si="72"/>
        <v>1</v>
      </c>
      <c r="J468" s="863"/>
      <c r="K468" s="52">
        <f t="shared" si="73"/>
        <v>1</v>
      </c>
      <c r="L468" s="863"/>
      <c r="M468" s="52">
        <f t="shared" si="74"/>
        <v>1</v>
      </c>
      <c r="N468" s="863"/>
      <c r="O468" s="52">
        <f t="shared" si="75"/>
        <v>1</v>
      </c>
      <c r="P468" s="863"/>
      <c r="Q468" s="52">
        <f t="shared" si="76"/>
        <v>1</v>
      </c>
      <c r="R468" s="390">
        <f t="shared" si="77"/>
        <v>0</v>
      </c>
      <c r="S468" s="699">
        <f t="shared" ref="S468:S497" si="79">ROUND(R468*B468/10000,0)</f>
        <v>0</v>
      </c>
    </row>
    <row r="469" spans="1:19">
      <c r="A469" s="865"/>
      <c r="B469" s="134"/>
      <c r="C469" s="52">
        <f t="shared" si="69"/>
        <v>1</v>
      </c>
      <c r="D469" s="863"/>
      <c r="E469" s="52">
        <f t="shared" si="70"/>
        <v>1</v>
      </c>
      <c r="F469" s="863"/>
      <c r="G469" s="52">
        <f t="shared" si="71"/>
        <v>1</v>
      </c>
      <c r="H469" s="863"/>
      <c r="I469" s="52">
        <f t="shared" si="72"/>
        <v>1</v>
      </c>
      <c r="J469" s="863"/>
      <c r="K469" s="52">
        <f t="shared" si="73"/>
        <v>1</v>
      </c>
      <c r="L469" s="863"/>
      <c r="M469" s="52">
        <f t="shared" si="74"/>
        <v>1</v>
      </c>
      <c r="N469" s="863"/>
      <c r="O469" s="52">
        <f t="shared" si="75"/>
        <v>1</v>
      </c>
      <c r="P469" s="863"/>
      <c r="Q469" s="52">
        <f t="shared" si="76"/>
        <v>1</v>
      </c>
      <c r="R469" s="390">
        <f t="shared" si="77"/>
        <v>0</v>
      </c>
      <c r="S469" s="699">
        <f t="shared" si="79"/>
        <v>0</v>
      </c>
    </row>
    <row r="470" spans="1:19">
      <c r="A470" s="865"/>
      <c r="B470" s="134"/>
      <c r="C470" s="52">
        <f t="shared" si="69"/>
        <v>1</v>
      </c>
      <c r="D470" s="863"/>
      <c r="E470" s="52">
        <f t="shared" si="70"/>
        <v>1</v>
      </c>
      <c r="F470" s="863"/>
      <c r="G470" s="52">
        <f t="shared" si="71"/>
        <v>1</v>
      </c>
      <c r="H470" s="863"/>
      <c r="I470" s="52">
        <f t="shared" si="72"/>
        <v>1</v>
      </c>
      <c r="J470" s="863"/>
      <c r="K470" s="52">
        <f t="shared" si="73"/>
        <v>1</v>
      </c>
      <c r="L470" s="863"/>
      <c r="M470" s="52">
        <f t="shared" si="74"/>
        <v>1</v>
      </c>
      <c r="N470" s="863"/>
      <c r="O470" s="52">
        <f t="shared" si="75"/>
        <v>1</v>
      </c>
      <c r="P470" s="863"/>
      <c r="Q470" s="52">
        <f t="shared" si="76"/>
        <v>1</v>
      </c>
      <c r="R470" s="390">
        <f t="shared" si="77"/>
        <v>0</v>
      </c>
      <c r="S470" s="699">
        <f t="shared" si="79"/>
        <v>0</v>
      </c>
    </row>
    <row r="471" spans="1:19">
      <c r="A471" s="865"/>
      <c r="B471" s="134"/>
      <c r="C471" s="52">
        <f t="shared" si="69"/>
        <v>1</v>
      </c>
      <c r="D471" s="863"/>
      <c r="E471" s="52">
        <f t="shared" si="70"/>
        <v>1</v>
      </c>
      <c r="F471" s="863"/>
      <c r="G471" s="52">
        <f t="shared" si="71"/>
        <v>1</v>
      </c>
      <c r="H471" s="863"/>
      <c r="I471" s="52">
        <f t="shared" si="72"/>
        <v>1</v>
      </c>
      <c r="J471" s="863"/>
      <c r="K471" s="52">
        <f t="shared" si="73"/>
        <v>1</v>
      </c>
      <c r="L471" s="863"/>
      <c r="M471" s="52">
        <f t="shared" si="74"/>
        <v>1</v>
      </c>
      <c r="N471" s="863"/>
      <c r="O471" s="52">
        <f t="shared" si="75"/>
        <v>1</v>
      </c>
      <c r="P471" s="863"/>
      <c r="Q471" s="52">
        <f t="shared" si="76"/>
        <v>1</v>
      </c>
      <c r="R471" s="390">
        <f t="shared" si="77"/>
        <v>0</v>
      </c>
      <c r="S471" s="699">
        <f t="shared" si="79"/>
        <v>0</v>
      </c>
    </row>
    <row r="472" spans="1:19">
      <c r="A472" s="865"/>
      <c r="B472" s="134"/>
      <c r="C472" s="52">
        <f t="shared" si="69"/>
        <v>1</v>
      </c>
      <c r="D472" s="863"/>
      <c r="E472" s="52">
        <f t="shared" si="70"/>
        <v>1</v>
      </c>
      <c r="F472" s="863"/>
      <c r="G472" s="52">
        <f t="shared" si="71"/>
        <v>1</v>
      </c>
      <c r="H472" s="863"/>
      <c r="I472" s="52">
        <f t="shared" si="72"/>
        <v>1</v>
      </c>
      <c r="J472" s="863"/>
      <c r="K472" s="52">
        <f t="shared" si="73"/>
        <v>1</v>
      </c>
      <c r="L472" s="863"/>
      <c r="M472" s="52">
        <f t="shared" si="74"/>
        <v>1</v>
      </c>
      <c r="N472" s="863"/>
      <c r="O472" s="52">
        <f t="shared" si="75"/>
        <v>1</v>
      </c>
      <c r="P472" s="863"/>
      <c r="Q472" s="52">
        <f t="shared" si="76"/>
        <v>1</v>
      </c>
      <c r="R472" s="390">
        <f t="shared" si="77"/>
        <v>0</v>
      </c>
      <c r="S472" s="699">
        <f t="shared" si="79"/>
        <v>0</v>
      </c>
    </row>
    <row r="473" spans="1:19">
      <c r="A473" s="865"/>
      <c r="B473" s="134"/>
      <c r="C473" s="52">
        <f t="shared" si="69"/>
        <v>1</v>
      </c>
      <c r="D473" s="863"/>
      <c r="E473" s="52">
        <f t="shared" si="70"/>
        <v>1</v>
      </c>
      <c r="F473" s="863"/>
      <c r="G473" s="52">
        <f t="shared" si="71"/>
        <v>1</v>
      </c>
      <c r="H473" s="863"/>
      <c r="I473" s="52">
        <f t="shared" si="72"/>
        <v>1</v>
      </c>
      <c r="J473" s="863"/>
      <c r="K473" s="52">
        <f t="shared" si="73"/>
        <v>1</v>
      </c>
      <c r="L473" s="863"/>
      <c r="M473" s="52">
        <f t="shared" si="74"/>
        <v>1</v>
      </c>
      <c r="N473" s="863"/>
      <c r="O473" s="52">
        <f t="shared" si="75"/>
        <v>1</v>
      </c>
      <c r="P473" s="863"/>
      <c r="Q473" s="52">
        <f t="shared" si="76"/>
        <v>1</v>
      </c>
      <c r="R473" s="390">
        <f t="shared" si="77"/>
        <v>0</v>
      </c>
      <c r="S473" s="699">
        <f t="shared" si="79"/>
        <v>0</v>
      </c>
    </row>
    <row r="474" spans="1:19">
      <c r="A474" s="865"/>
      <c r="B474" s="134"/>
      <c r="C474" s="52">
        <f t="shared" ref="C474:C524" si="80">IF(B474="",1,(LOOKUP(B474,$3:$3,$4:$4)-LOOKUP($B$24,$3:$3,$4:$4)+100)/100)</f>
        <v>1</v>
      </c>
      <c r="D474" s="863"/>
      <c r="E474" s="52">
        <f t="shared" ref="E474:E524" si="81">(SUMIF($5:$5,D474,$6:$6)-SUMIF($5:$5,$D$24,$6:$6)+100)/100</f>
        <v>1</v>
      </c>
      <c r="F474" s="863"/>
      <c r="G474" s="52">
        <f t="shared" ref="G474:G524" si="82">(SUMIF($7:$7,F474,$8:$8)-SUMIF($7:$7,$F$24,$8:$8)+100)/100</f>
        <v>1</v>
      </c>
      <c r="H474" s="863"/>
      <c r="I474" s="52">
        <f t="shared" ref="I474:I524" si="83">(SUMIF($9:$9,H474,$10:$10)-SUMIF($9:$9,$H$24,$10:$10)+100)/100</f>
        <v>1</v>
      </c>
      <c r="J474" s="863"/>
      <c r="K474" s="52">
        <f t="shared" ref="K474:K524" si="84">(SUMIF($11:$11,J474,$12:$12)-SUMIF($11:$11,$J$24,$12:$12)+100)/100</f>
        <v>1</v>
      </c>
      <c r="L474" s="863"/>
      <c r="M474" s="52">
        <f t="shared" ref="M474:M524" si="85">(SUMIF($13:$13,L474,$14:$14)-SUMIF($13:$13,$L$24,$14:$14)+100)/100</f>
        <v>1</v>
      </c>
      <c r="N474" s="863"/>
      <c r="O474" s="52">
        <f t="shared" ref="O474:O524" si="86">(SUMIF($15:$15,N474,$16:$16)-SUMIF($15:$15,$N$24,$16:$16)+100)/100</f>
        <v>1</v>
      </c>
      <c r="P474" s="863"/>
      <c r="Q474" s="52">
        <f t="shared" ref="Q474:Q524" si="87">(SUMIF($17:$17,P474,$18:$18)-SUMIF($17:$17,$P$24,$18:$18)+100)/100</f>
        <v>1</v>
      </c>
      <c r="R474" s="390">
        <f t="shared" ref="R474:R524" si="88">IF(B474="",0,ROUND($R$24*C474*E474*G474*I474*K474*M474*O474*Q474,0))</f>
        <v>0</v>
      </c>
      <c r="S474" s="699">
        <f t="shared" si="79"/>
        <v>0</v>
      </c>
    </row>
    <row r="475" spans="1:19">
      <c r="A475" s="865"/>
      <c r="B475" s="134"/>
      <c r="C475" s="52">
        <f t="shared" si="80"/>
        <v>1</v>
      </c>
      <c r="D475" s="863"/>
      <c r="E475" s="52">
        <f t="shared" si="81"/>
        <v>1</v>
      </c>
      <c r="F475" s="863"/>
      <c r="G475" s="52">
        <f t="shared" si="82"/>
        <v>1</v>
      </c>
      <c r="H475" s="863"/>
      <c r="I475" s="52">
        <f t="shared" si="83"/>
        <v>1</v>
      </c>
      <c r="J475" s="863"/>
      <c r="K475" s="52">
        <f t="shared" si="84"/>
        <v>1</v>
      </c>
      <c r="L475" s="863"/>
      <c r="M475" s="52">
        <f t="shared" si="85"/>
        <v>1</v>
      </c>
      <c r="N475" s="863"/>
      <c r="O475" s="52">
        <f t="shared" si="86"/>
        <v>1</v>
      </c>
      <c r="P475" s="863"/>
      <c r="Q475" s="52">
        <f t="shared" si="87"/>
        <v>1</v>
      </c>
      <c r="R475" s="390">
        <f t="shared" si="88"/>
        <v>0</v>
      </c>
      <c r="S475" s="699">
        <f t="shared" si="79"/>
        <v>0</v>
      </c>
    </row>
    <row r="476" spans="1:19">
      <c r="A476" s="865"/>
      <c r="B476" s="134"/>
      <c r="C476" s="52">
        <f t="shared" si="80"/>
        <v>1</v>
      </c>
      <c r="D476" s="863"/>
      <c r="E476" s="52">
        <f t="shared" si="81"/>
        <v>1</v>
      </c>
      <c r="F476" s="863"/>
      <c r="G476" s="52">
        <f t="shared" si="82"/>
        <v>1</v>
      </c>
      <c r="H476" s="863"/>
      <c r="I476" s="52">
        <f t="shared" si="83"/>
        <v>1</v>
      </c>
      <c r="J476" s="863"/>
      <c r="K476" s="52">
        <f t="shared" si="84"/>
        <v>1</v>
      </c>
      <c r="L476" s="863"/>
      <c r="M476" s="52">
        <f t="shared" si="85"/>
        <v>1</v>
      </c>
      <c r="N476" s="863"/>
      <c r="O476" s="52">
        <f t="shared" si="86"/>
        <v>1</v>
      </c>
      <c r="P476" s="863"/>
      <c r="Q476" s="52">
        <f t="shared" si="87"/>
        <v>1</v>
      </c>
      <c r="R476" s="390">
        <f t="shared" si="88"/>
        <v>0</v>
      </c>
      <c r="S476" s="699">
        <f t="shared" si="79"/>
        <v>0</v>
      </c>
    </row>
    <row r="477" spans="1:19">
      <c r="A477" s="865"/>
      <c r="B477" s="134"/>
      <c r="C477" s="52">
        <f t="shared" si="80"/>
        <v>1</v>
      </c>
      <c r="D477" s="863"/>
      <c r="E477" s="52">
        <f t="shared" si="81"/>
        <v>1</v>
      </c>
      <c r="F477" s="863"/>
      <c r="G477" s="52">
        <f t="shared" si="82"/>
        <v>1</v>
      </c>
      <c r="H477" s="863"/>
      <c r="I477" s="52">
        <f t="shared" si="83"/>
        <v>1</v>
      </c>
      <c r="J477" s="863"/>
      <c r="K477" s="52">
        <f t="shared" si="84"/>
        <v>1</v>
      </c>
      <c r="L477" s="863"/>
      <c r="M477" s="52">
        <f t="shared" si="85"/>
        <v>1</v>
      </c>
      <c r="N477" s="863"/>
      <c r="O477" s="52">
        <f t="shared" si="86"/>
        <v>1</v>
      </c>
      <c r="P477" s="863"/>
      <c r="Q477" s="52">
        <f t="shared" si="87"/>
        <v>1</v>
      </c>
      <c r="R477" s="390">
        <f t="shared" si="88"/>
        <v>0</v>
      </c>
      <c r="S477" s="699">
        <f t="shared" si="79"/>
        <v>0</v>
      </c>
    </row>
    <row r="478" spans="1:19">
      <c r="A478" s="865"/>
      <c r="B478" s="134"/>
      <c r="C478" s="52">
        <f t="shared" si="80"/>
        <v>1</v>
      </c>
      <c r="D478" s="863"/>
      <c r="E478" s="52">
        <f t="shared" si="81"/>
        <v>1</v>
      </c>
      <c r="F478" s="863"/>
      <c r="G478" s="52">
        <f t="shared" si="82"/>
        <v>1</v>
      </c>
      <c r="H478" s="863"/>
      <c r="I478" s="52">
        <f t="shared" si="83"/>
        <v>1</v>
      </c>
      <c r="J478" s="863"/>
      <c r="K478" s="52">
        <f t="shared" si="84"/>
        <v>1</v>
      </c>
      <c r="L478" s="863"/>
      <c r="M478" s="52">
        <f t="shared" si="85"/>
        <v>1</v>
      </c>
      <c r="N478" s="863"/>
      <c r="O478" s="52">
        <f t="shared" si="86"/>
        <v>1</v>
      </c>
      <c r="P478" s="863"/>
      <c r="Q478" s="52">
        <f t="shared" si="87"/>
        <v>1</v>
      </c>
      <c r="R478" s="390">
        <f t="shared" si="88"/>
        <v>0</v>
      </c>
      <c r="S478" s="699">
        <f t="shared" si="79"/>
        <v>0</v>
      </c>
    </row>
    <row r="479" spans="1:19">
      <c r="A479" s="865"/>
      <c r="B479" s="134"/>
      <c r="C479" s="52">
        <f t="shared" si="80"/>
        <v>1</v>
      </c>
      <c r="D479" s="863"/>
      <c r="E479" s="52">
        <f t="shared" si="81"/>
        <v>1</v>
      </c>
      <c r="F479" s="863"/>
      <c r="G479" s="52">
        <f t="shared" si="82"/>
        <v>1</v>
      </c>
      <c r="H479" s="863"/>
      <c r="I479" s="52">
        <f t="shared" si="83"/>
        <v>1</v>
      </c>
      <c r="J479" s="863"/>
      <c r="K479" s="52">
        <f t="shared" si="84"/>
        <v>1</v>
      </c>
      <c r="L479" s="863"/>
      <c r="M479" s="52">
        <f t="shared" si="85"/>
        <v>1</v>
      </c>
      <c r="N479" s="863"/>
      <c r="O479" s="52">
        <f t="shared" si="86"/>
        <v>1</v>
      </c>
      <c r="P479" s="863"/>
      <c r="Q479" s="52">
        <f t="shared" si="87"/>
        <v>1</v>
      </c>
      <c r="R479" s="390">
        <f t="shared" si="88"/>
        <v>0</v>
      </c>
      <c r="S479" s="699">
        <f t="shared" si="79"/>
        <v>0</v>
      </c>
    </row>
    <row r="480" spans="1:19">
      <c r="A480" s="865"/>
      <c r="B480" s="134"/>
      <c r="C480" s="52">
        <f t="shared" si="80"/>
        <v>1</v>
      </c>
      <c r="D480" s="863"/>
      <c r="E480" s="52">
        <f t="shared" si="81"/>
        <v>1</v>
      </c>
      <c r="F480" s="863"/>
      <c r="G480" s="52">
        <f t="shared" si="82"/>
        <v>1</v>
      </c>
      <c r="H480" s="863"/>
      <c r="I480" s="52">
        <f t="shared" si="83"/>
        <v>1</v>
      </c>
      <c r="J480" s="863"/>
      <c r="K480" s="52">
        <f t="shared" si="84"/>
        <v>1</v>
      </c>
      <c r="L480" s="863"/>
      <c r="M480" s="52">
        <f t="shared" si="85"/>
        <v>1</v>
      </c>
      <c r="N480" s="863"/>
      <c r="O480" s="52">
        <f t="shared" si="86"/>
        <v>1</v>
      </c>
      <c r="P480" s="863"/>
      <c r="Q480" s="52">
        <f t="shared" si="87"/>
        <v>1</v>
      </c>
      <c r="R480" s="390">
        <f t="shared" si="88"/>
        <v>0</v>
      </c>
      <c r="S480" s="699">
        <f t="shared" si="79"/>
        <v>0</v>
      </c>
    </row>
    <row r="481" spans="1:19">
      <c r="A481" s="865"/>
      <c r="B481" s="134"/>
      <c r="C481" s="52">
        <f t="shared" si="80"/>
        <v>1</v>
      </c>
      <c r="D481" s="863"/>
      <c r="E481" s="52">
        <f t="shared" si="81"/>
        <v>1</v>
      </c>
      <c r="F481" s="863"/>
      <c r="G481" s="52">
        <f t="shared" si="82"/>
        <v>1</v>
      </c>
      <c r="H481" s="863"/>
      <c r="I481" s="52">
        <f t="shared" si="83"/>
        <v>1</v>
      </c>
      <c r="J481" s="863"/>
      <c r="K481" s="52">
        <f t="shared" si="84"/>
        <v>1</v>
      </c>
      <c r="L481" s="863"/>
      <c r="M481" s="52">
        <f t="shared" si="85"/>
        <v>1</v>
      </c>
      <c r="N481" s="863"/>
      <c r="O481" s="52">
        <f t="shared" si="86"/>
        <v>1</v>
      </c>
      <c r="P481" s="863"/>
      <c r="Q481" s="52">
        <f t="shared" si="87"/>
        <v>1</v>
      </c>
      <c r="R481" s="390">
        <f t="shared" si="88"/>
        <v>0</v>
      </c>
      <c r="S481" s="699">
        <f t="shared" si="79"/>
        <v>0</v>
      </c>
    </row>
    <row r="482" spans="1:19">
      <c r="A482" s="865"/>
      <c r="B482" s="134"/>
      <c r="C482" s="52">
        <f t="shared" si="80"/>
        <v>1</v>
      </c>
      <c r="D482" s="863"/>
      <c r="E482" s="52">
        <f t="shared" si="81"/>
        <v>1</v>
      </c>
      <c r="F482" s="863"/>
      <c r="G482" s="52">
        <f t="shared" si="82"/>
        <v>1</v>
      </c>
      <c r="H482" s="863"/>
      <c r="I482" s="52">
        <f t="shared" si="83"/>
        <v>1</v>
      </c>
      <c r="J482" s="863"/>
      <c r="K482" s="52">
        <f t="shared" si="84"/>
        <v>1</v>
      </c>
      <c r="L482" s="863"/>
      <c r="M482" s="52">
        <f t="shared" si="85"/>
        <v>1</v>
      </c>
      <c r="N482" s="863"/>
      <c r="O482" s="52">
        <f t="shared" si="86"/>
        <v>1</v>
      </c>
      <c r="P482" s="863"/>
      <c r="Q482" s="52">
        <f t="shared" si="87"/>
        <v>1</v>
      </c>
      <c r="R482" s="390">
        <f t="shared" si="88"/>
        <v>0</v>
      </c>
      <c r="S482" s="699">
        <f t="shared" si="79"/>
        <v>0</v>
      </c>
    </row>
    <row r="483" spans="1:19">
      <c r="A483" s="865"/>
      <c r="B483" s="134"/>
      <c r="C483" s="52">
        <f t="shared" si="80"/>
        <v>1</v>
      </c>
      <c r="D483" s="863"/>
      <c r="E483" s="52">
        <f t="shared" si="81"/>
        <v>1</v>
      </c>
      <c r="F483" s="863"/>
      <c r="G483" s="52">
        <f t="shared" si="82"/>
        <v>1</v>
      </c>
      <c r="H483" s="863"/>
      <c r="I483" s="52">
        <f t="shared" si="83"/>
        <v>1</v>
      </c>
      <c r="J483" s="863"/>
      <c r="K483" s="52">
        <f t="shared" si="84"/>
        <v>1</v>
      </c>
      <c r="L483" s="863"/>
      <c r="M483" s="52">
        <f t="shared" si="85"/>
        <v>1</v>
      </c>
      <c r="N483" s="863"/>
      <c r="O483" s="52">
        <f t="shared" si="86"/>
        <v>1</v>
      </c>
      <c r="P483" s="863"/>
      <c r="Q483" s="52">
        <f t="shared" si="87"/>
        <v>1</v>
      </c>
      <c r="R483" s="390">
        <f t="shared" si="88"/>
        <v>0</v>
      </c>
      <c r="S483" s="699">
        <f t="shared" si="79"/>
        <v>0</v>
      </c>
    </row>
    <row r="484" spans="1:19">
      <c r="A484" s="865"/>
      <c r="B484" s="134"/>
      <c r="C484" s="52">
        <f t="shared" si="80"/>
        <v>1</v>
      </c>
      <c r="D484" s="863"/>
      <c r="E484" s="52">
        <f t="shared" si="81"/>
        <v>1</v>
      </c>
      <c r="F484" s="863"/>
      <c r="G484" s="52">
        <f t="shared" si="82"/>
        <v>1</v>
      </c>
      <c r="H484" s="863"/>
      <c r="I484" s="52">
        <f t="shared" si="83"/>
        <v>1</v>
      </c>
      <c r="J484" s="863"/>
      <c r="K484" s="52">
        <f t="shared" si="84"/>
        <v>1</v>
      </c>
      <c r="L484" s="863"/>
      <c r="M484" s="52">
        <f t="shared" si="85"/>
        <v>1</v>
      </c>
      <c r="N484" s="863"/>
      <c r="O484" s="52">
        <f t="shared" si="86"/>
        <v>1</v>
      </c>
      <c r="P484" s="863"/>
      <c r="Q484" s="52">
        <f t="shared" si="87"/>
        <v>1</v>
      </c>
      <c r="R484" s="390">
        <f t="shared" si="88"/>
        <v>0</v>
      </c>
      <c r="S484" s="699">
        <f t="shared" si="79"/>
        <v>0</v>
      </c>
    </row>
    <row r="485" spans="1:19">
      <c r="A485" s="865"/>
      <c r="B485" s="134"/>
      <c r="C485" s="52">
        <f t="shared" si="80"/>
        <v>1</v>
      </c>
      <c r="D485" s="863"/>
      <c r="E485" s="52">
        <f t="shared" si="81"/>
        <v>1</v>
      </c>
      <c r="F485" s="863"/>
      <c r="G485" s="52">
        <f t="shared" si="82"/>
        <v>1</v>
      </c>
      <c r="H485" s="863"/>
      <c r="I485" s="52">
        <f t="shared" si="83"/>
        <v>1</v>
      </c>
      <c r="J485" s="863"/>
      <c r="K485" s="52">
        <f t="shared" si="84"/>
        <v>1</v>
      </c>
      <c r="L485" s="863"/>
      <c r="M485" s="52">
        <f t="shared" si="85"/>
        <v>1</v>
      </c>
      <c r="N485" s="863"/>
      <c r="O485" s="52">
        <f t="shared" si="86"/>
        <v>1</v>
      </c>
      <c r="P485" s="863"/>
      <c r="Q485" s="52">
        <f t="shared" si="87"/>
        <v>1</v>
      </c>
      <c r="R485" s="390">
        <f t="shared" si="88"/>
        <v>0</v>
      </c>
      <c r="S485" s="699">
        <f t="shared" si="79"/>
        <v>0</v>
      </c>
    </row>
    <row r="486" spans="1:19">
      <c r="A486" s="865"/>
      <c r="B486" s="134"/>
      <c r="C486" s="52">
        <f t="shared" si="80"/>
        <v>1</v>
      </c>
      <c r="D486" s="863"/>
      <c r="E486" s="52">
        <f t="shared" si="81"/>
        <v>1</v>
      </c>
      <c r="F486" s="863"/>
      <c r="G486" s="52">
        <f t="shared" si="82"/>
        <v>1</v>
      </c>
      <c r="H486" s="863"/>
      <c r="I486" s="52">
        <f t="shared" si="83"/>
        <v>1</v>
      </c>
      <c r="J486" s="863"/>
      <c r="K486" s="52">
        <f t="shared" si="84"/>
        <v>1</v>
      </c>
      <c r="L486" s="863"/>
      <c r="M486" s="52">
        <f t="shared" si="85"/>
        <v>1</v>
      </c>
      <c r="N486" s="863"/>
      <c r="O486" s="52">
        <f t="shared" si="86"/>
        <v>1</v>
      </c>
      <c r="P486" s="863"/>
      <c r="Q486" s="52">
        <f t="shared" si="87"/>
        <v>1</v>
      </c>
      <c r="R486" s="390">
        <f t="shared" si="88"/>
        <v>0</v>
      </c>
      <c r="S486" s="699">
        <f t="shared" si="79"/>
        <v>0</v>
      </c>
    </row>
    <row r="487" spans="1:19">
      <c r="A487" s="865"/>
      <c r="B487" s="134"/>
      <c r="C487" s="52">
        <f t="shared" si="80"/>
        <v>1</v>
      </c>
      <c r="D487" s="863"/>
      <c r="E487" s="52">
        <f t="shared" si="81"/>
        <v>1</v>
      </c>
      <c r="F487" s="863"/>
      <c r="G487" s="52">
        <f t="shared" si="82"/>
        <v>1</v>
      </c>
      <c r="H487" s="863"/>
      <c r="I487" s="52">
        <f t="shared" si="83"/>
        <v>1</v>
      </c>
      <c r="J487" s="863"/>
      <c r="K487" s="52">
        <f t="shared" si="84"/>
        <v>1</v>
      </c>
      <c r="L487" s="863"/>
      <c r="M487" s="52">
        <f t="shared" si="85"/>
        <v>1</v>
      </c>
      <c r="N487" s="863"/>
      <c r="O487" s="52">
        <f t="shared" si="86"/>
        <v>1</v>
      </c>
      <c r="P487" s="863"/>
      <c r="Q487" s="52">
        <f t="shared" si="87"/>
        <v>1</v>
      </c>
      <c r="R487" s="390">
        <f t="shared" si="88"/>
        <v>0</v>
      </c>
      <c r="S487" s="699">
        <f t="shared" si="79"/>
        <v>0</v>
      </c>
    </row>
    <row r="488" spans="1:19">
      <c r="A488" s="865"/>
      <c r="B488" s="134"/>
      <c r="C488" s="52">
        <f t="shared" si="80"/>
        <v>1</v>
      </c>
      <c r="D488" s="863"/>
      <c r="E488" s="52">
        <f t="shared" si="81"/>
        <v>1</v>
      </c>
      <c r="F488" s="863"/>
      <c r="G488" s="52">
        <f t="shared" si="82"/>
        <v>1</v>
      </c>
      <c r="H488" s="863"/>
      <c r="I488" s="52">
        <f t="shared" si="83"/>
        <v>1</v>
      </c>
      <c r="J488" s="863"/>
      <c r="K488" s="52">
        <f t="shared" si="84"/>
        <v>1</v>
      </c>
      <c r="L488" s="863"/>
      <c r="M488" s="52">
        <f t="shared" si="85"/>
        <v>1</v>
      </c>
      <c r="N488" s="863"/>
      <c r="O488" s="52">
        <f t="shared" si="86"/>
        <v>1</v>
      </c>
      <c r="P488" s="863"/>
      <c r="Q488" s="52">
        <f t="shared" si="87"/>
        <v>1</v>
      </c>
      <c r="R488" s="390">
        <f t="shared" si="88"/>
        <v>0</v>
      </c>
      <c r="S488" s="699">
        <f t="shared" si="79"/>
        <v>0</v>
      </c>
    </row>
    <row r="489" spans="1:19">
      <c r="A489" s="865"/>
      <c r="B489" s="134"/>
      <c r="C489" s="52">
        <f t="shared" si="80"/>
        <v>1</v>
      </c>
      <c r="D489" s="863"/>
      <c r="E489" s="52">
        <f t="shared" si="81"/>
        <v>1</v>
      </c>
      <c r="F489" s="863"/>
      <c r="G489" s="52">
        <f t="shared" si="82"/>
        <v>1</v>
      </c>
      <c r="H489" s="863"/>
      <c r="I489" s="52">
        <f t="shared" si="83"/>
        <v>1</v>
      </c>
      <c r="J489" s="863"/>
      <c r="K489" s="52">
        <f t="shared" si="84"/>
        <v>1</v>
      </c>
      <c r="L489" s="863"/>
      <c r="M489" s="52">
        <f t="shared" si="85"/>
        <v>1</v>
      </c>
      <c r="N489" s="863"/>
      <c r="O489" s="52">
        <f t="shared" si="86"/>
        <v>1</v>
      </c>
      <c r="P489" s="863"/>
      <c r="Q489" s="52">
        <f t="shared" si="87"/>
        <v>1</v>
      </c>
      <c r="R489" s="390">
        <f t="shared" si="88"/>
        <v>0</v>
      </c>
      <c r="S489" s="699">
        <f t="shared" si="79"/>
        <v>0</v>
      </c>
    </row>
    <row r="490" spans="1:19">
      <c r="A490" s="865"/>
      <c r="B490" s="134"/>
      <c r="C490" s="52">
        <f t="shared" si="80"/>
        <v>1</v>
      </c>
      <c r="D490" s="863"/>
      <c r="E490" s="52">
        <f t="shared" si="81"/>
        <v>1</v>
      </c>
      <c r="F490" s="863"/>
      <c r="G490" s="52">
        <f t="shared" si="82"/>
        <v>1</v>
      </c>
      <c r="H490" s="863"/>
      <c r="I490" s="52">
        <f t="shared" si="83"/>
        <v>1</v>
      </c>
      <c r="J490" s="863"/>
      <c r="K490" s="52">
        <f t="shared" si="84"/>
        <v>1</v>
      </c>
      <c r="L490" s="863"/>
      <c r="M490" s="52">
        <f t="shared" si="85"/>
        <v>1</v>
      </c>
      <c r="N490" s="863"/>
      <c r="O490" s="52">
        <f t="shared" si="86"/>
        <v>1</v>
      </c>
      <c r="P490" s="863"/>
      <c r="Q490" s="52">
        <f t="shared" si="87"/>
        <v>1</v>
      </c>
      <c r="R490" s="390">
        <f t="shared" si="88"/>
        <v>0</v>
      </c>
      <c r="S490" s="699">
        <f t="shared" si="79"/>
        <v>0</v>
      </c>
    </row>
    <row r="491" spans="1:19">
      <c r="A491" s="865"/>
      <c r="B491" s="134"/>
      <c r="C491" s="52">
        <f t="shared" si="80"/>
        <v>1</v>
      </c>
      <c r="D491" s="863"/>
      <c r="E491" s="52">
        <f t="shared" si="81"/>
        <v>1</v>
      </c>
      <c r="F491" s="863"/>
      <c r="G491" s="52">
        <f t="shared" si="82"/>
        <v>1</v>
      </c>
      <c r="H491" s="863"/>
      <c r="I491" s="52">
        <f t="shared" si="83"/>
        <v>1</v>
      </c>
      <c r="J491" s="863"/>
      <c r="K491" s="52">
        <f t="shared" si="84"/>
        <v>1</v>
      </c>
      <c r="L491" s="863"/>
      <c r="M491" s="52">
        <f t="shared" si="85"/>
        <v>1</v>
      </c>
      <c r="N491" s="863"/>
      <c r="O491" s="52">
        <f t="shared" si="86"/>
        <v>1</v>
      </c>
      <c r="P491" s="863"/>
      <c r="Q491" s="52">
        <f t="shared" si="87"/>
        <v>1</v>
      </c>
      <c r="R491" s="390">
        <f t="shared" si="88"/>
        <v>0</v>
      </c>
      <c r="S491" s="699">
        <f t="shared" si="79"/>
        <v>0</v>
      </c>
    </row>
    <row r="492" spans="1:19">
      <c r="A492" s="865"/>
      <c r="B492" s="134"/>
      <c r="C492" s="52">
        <f t="shared" si="80"/>
        <v>1</v>
      </c>
      <c r="D492" s="863"/>
      <c r="E492" s="52">
        <f t="shared" si="81"/>
        <v>1</v>
      </c>
      <c r="F492" s="863"/>
      <c r="G492" s="52">
        <f t="shared" si="82"/>
        <v>1</v>
      </c>
      <c r="H492" s="863"/>
      <c r="I492" s="52">
        <f t="shared" si="83"/>
        <v>1</v>
      </c>
      <c r="J492" s="863"/>
      <c r="K492" s="52">
        <f t="shared" si="84"/>
        <v>1</v>
      </c>
      <c r="L492" s="863"/>
      <c r="M492" s="52">
        <f t="shared" si="85"/>
        <v>1</v>
      </c>
      <c r="N492" s="863"/>
      <c r="O492" s="52">
        <f t="shared" si="86"/>
        <v>1</v>
      </c>
      <c r="P492" s="863"/>
      <c r="Q492" s="52">
        <f t="shared" si="87"/>
        <v>1</v>
      </c>
      <c r="R492" s="390">
        <f t="shared" si="88"/>
        <v>0</v>
      </c>
      <c r="S492" s="699">
        <f t="shared" si="79"/>
        <v>0</v>
      </c>
    </row>
    <row r="493" spans="1:19">
      <c r="A493" s="865"/>
      <c r="B493" s="134"/>
      <c r="C493" s="52">
        <f t="shared" si="80"/>
        <v>1</v>
      </c>
      <c r="D493" s="863"/>
      <c r="E493" s="52">
        <f t="shared" si="81"/>
        <v>1</v>
      </c>
      <c r="F493" s="863"/>
      <c r="G493" s="52">
        <f t="shared" si="82"/>
        <v>1</v>
      </c>
      <c r="H493" s="863"/>
      <c r="I493" s="52">
        <f t="shared" si="83"/>
        <v>1</v>
      </c>
      <c r="J493" s="863"/>
      <c r="K493" s="52">
        <f t="shared" si="84"/>
        <v>1</v>
      </c>
      <c r="L493" s="863"/>
      <c r="M493" s="52">
        <f t="shared" si="85"/>
        <v>1</v>
      </c>
      <c r="N493" s="863"/>
      <c r="O493" s="52">
        <f t="shared" si="86"/>
        <v>1</v>
      </c>
      <c r="P493" s="863"/>
      <c r="Q493" s="52">
        <f t="shared" si="87"/>
        <v>1</v>
      </c>
      <c r="R493" s="390">
        <f t="shared" si="88"/>
        <v>0</v>
      </c>
      <c r="S493" s="699">
        <f t="shared" si="79"/>
        <v>0</v>
      </c>
    </row>
    <row r="494" spans="1:19">
      <c r="A494" s="865"/>
      <c r="B494" s="134"/>
      <c r="C494" s="52">
        <f t="shared" si="80"/>
        <v>1</v>
      </c>
      <c r="D494" s="863"/>
      <c r="E494" s="52">
        <f t="shared" si="81"/>
        <v>1</v>
      </c>
      <c r="F494" s="863"/>
      <c r="G494" s="52">
        <f t="shared" si="82"/>
        <v>1</v>
      </c>
      <c r="H494" s="863"/>
      <c r="I494" s="52">
        <f t="shared" si="83"/>
        <v>1</v>
      </c>
      <c r="J494" s="863"/>
      <c r="K494" s="52">
        <f t="shared" si="84"/>
        <v>1</v>
      </c>
      <c r="L494" s="863"/>
      <c r="M494" s="52">
        <f t="shared" si="85"/>
        <v>1</v>
      </c>
      <c r="N494" s="863"/>
      <c r="O494" s="52">
        <f t="shared" si="86"/>
        <v>1</v>
      </c>
      <c r="P494" s="863"/>
      <c r="Q494" s="52">
        <f t="shared" si="87"/>
        <v>1</v>
      </c>
      <c r="R494" s="390">
        <f t="shared" si="88"/>
        <v>0</v>
      </c>
      <c r="S494" s="699">
        <f t="shared" si="79"/>
        <v>0</v>
      </c>
    </row>
    <row r="495" spans="1:19">
      <c r="A495" s="865"/>
      <c r="B495" s="134"/>
      <c r="C495" s="52">
        <f t="shared" si="80"/>
        <v>1</v>
      </c>
      <c r="D495" s="863"/>
      <c r="E495" s="52">
        <f t="shared" si="81"/>
        <v>1</v>
      </c>
      <c r="F495" s="863"/>
      <c r="G495" s="52">
        <f t="shared" si="82"/>
        <v>1</v>
      </c>
      <c r="H495" s="863"/>
      <c r="I495" s="52">
        <f t="shared" si="83"/>
        <v>1</v>
      </c>
      <c r="J495" s="863"/>
      <c r="K495" s="52">
        <f t="shared" si="84"/>
        <v>1</v>
      </c>
      <c r="L495" s="863"/>
      <c r="M495" s="52">
        <f t="shared" si="85"/>
        <v>1</v>
      </c>
      <c r="N495" s="863"/>
      <c r="O495" s="52">
        <f t="shared" si="86"/>
        <v>1</v>
      </c>
      <c r="P495" s="863"/>
      <c r="Q495" s="52">
        <f t="shared" si="87"/>
        <v>1</v>
      </c>
      <c r="R495" s="390">
        <f t="shared" si="88"/>
        <v>0</v>
      </c>
      <c r="S495" s="699">
        <f t="shared" si="79"/>
        <v>0</v>
      </c>
    </row>
    <row r="496" spans="1:19">
      <c r="A496" s="865"/>
      <c r="B496" s="134"/>
      <c r="C496" s="52">
        <f t="shared" si="80"/>
        <v>1</v>
      </c>
      <c r="D496" s="863"/>
      <c r="E496" s="52">
        <f t="shared" si="81"/>
        <v>1</v>
      </c>
      <c r="F496" s="863"/>
      <c r="G496" s="52">
        <f t="shared" si="82"/>
        <v>1</v>
      </c>
      <c r="H496" s="863"/>
      <c r="I496" s="52">
        <f t="shared" si="83"/>
        <v>1</v>
      </c>
      <c r="J496" s="863"/>
      <c r="K496" s="52">
        <f t="shared" si="84"/>
        <v>1</v>
      </c>
      <c r="L496" s="863"/>
      <c r="M496" s="52">
        <f t="shared" si="85"/>
        <v>1</v>
      </c>
      <c r="N496" s="863"/>
      <c r="O496" s="52">
        <f t="shared" si="86"/>
        <v>1</v>
      </c>
      <c r="P496" s="863"/>
      <c r="Q496" s="52">
        <f t="shared" si="87"/>
        <v>1</v>
      </c>
      <c r="R496" s="390">
        <f t="shared" si="88"/>
        <v>0</v>
      </c>
      <c r="S496" s="699">
        <f t="shared" si="79"/>
        <v>0</v>
      </c>
    </row>
    <row r="497" spans="1:19">
      <c r="A497" s="865"/>
      <c r="B497" s="134"/>
      <c r="C497" s="52">
        <f t="shared" si="80"/>
        <v>1</v>
      </c>
      <c r="D497" s="863"/>
      <c r="E497" s="52">
        <f t="shared" si="81"/>
        <v>1</v>
      </c>
      <c r="F497" s="863"/>
      <c r="G497" s="52">
        <f t="shared" si="82"/>
        <v>1</v>
      </c>
      <c r="H497" s="863"/>
      <c r="I497" s="52">
        <f t="shared" si="83"/>
        <v>1</v>
      </c>
      <c r="J497" s="863"/>
      <c r="K497" s="52">
        <f t="shared" si="84"/>
        <v>1</v>
      </c>
      <c r="L497" s="863"/>
      <c r="M497" s="52">
        <f t="shared" si="85"/>
        <v>1</v>
      </c>
      <c r="N497" s="863"/>
      <c r="O497" s="52">
        <f t="shared" si="86"/>
        <v>1</v>
      </c>
      <c r="P497" s="863"/>
      <c r="Q497" s="52">
        <f t="shared" si="87"/>
        <v>1</v>
      </c>
      <c r="R497" s="390">
        <f t="shared" si="88"/>
        <v>0</v>
      </c>
      <c r="S497" s="699">
        <f t="shared" si="79"/>
        <v>0</v>
      </c>
    </row>
    <row r="498" spans="1:19">
      <c r="A498" s="865"/>
      <c r="B498" s="134"/>
      <c r="C498" s="52">
        <f t="shared" si="80"/>
        <v>1</v>
      </c>
      <c r="D498" s="863"/>
      <c r="E498" s="52">
        <f t="shared" si="81"/>
        <v>1</v>
      </c>
      <c r="F498" s="863"/>
      <c r="G498" s="52">
        <f t="shared" si="82"/>
        <v>1</v>
      </c>
      <c r="H498" s="863"/>
      <c r="I498" s="52">
        <f t="shared" si="83"/>
        <v>1</v>
      </c>
      <c r="J498" s="863"/>
      <c r="K498" s="52">
        <f t="shared" si="84"/>
        <v>1</v>
      </c>
      <c r="L498" s="863"/>
      <c r="M498" s="52">
        <f t="shared" si="85"/>
        <v>1</v>
      </c>
      <c r="N498" s="863"/>
      <c r="O498" s="52">
        <f t="shared" si="86"/>
        <v>1</v>
      </c>
      <c r="P498" s="863"/>
      <c r="Q498" s="52">
        <f t="shared" si="87"/>
        <v>1</v>
      </c>
      <c r="R498" s="390">
        <f t="shared" si="88"/>
        <v>0</v>
      </c>
      <c r="S498" s="699">
        <f t="shared" ref="S498:S524" si="89">ROUND(R498*B498/10000,0)</f>
        <v>0</v>
      </c>
    </row>
    <row r="499" spans="1:19">
      <c r="A499" s="865"/>
      <c r="B499" s="134"/>
      <c r="C499" s="52">
        <f t="shared" si="80"/>
        <v>1</v>
      </c>
      <c r="D499" s="863"/>
      <c r="E499" s="52">
        <f t="shared" si="81"/>
        <v>1</v>
      </c>
      <c r="F499" s="863"/>
      <c r="G499" s="52">
        <f t="shared" si="82"/>
        <v>1</v>
      </c>
      <c r="H499" s="863"/>
      <c r="I499" s="52">
        <f t="shared" si="83"/>
        <v>1</v>
      </c>
      <c r="J499" s="863"/>
      <c r="K499" s="52">
        <f t="shared" si="84"/>
        <v>1</v>
      </c>
      <c r="L499" s="863"/>
      <c r="M499" s="52">
        <f t="shared" si="85"/>
        <v>1</v>
      </c>
      <c r="N499" s="863"/>
      <c r="O499" s="52">
        <f t="shared" si="86"/>
        <v>1</v>
      </c>
      <c r="P499" s="863"/>
      <c r="Q499" s="52">
        <f t="shared" si="87"/>
        <v>1</v>
      </c>
      <c r="R499" s="390">
        <f t="shared" si="88"/>
        <v>0</v>
      </c>
      <c r="S499" s="699">
        <f t="shared" si="89"/>
        <v>0</v>
      </c>
    </row>
    <row r="500" spans="1:19">
      <c r="A500" s="865"/>
      <c r="B500" s="134"/>
      <c r="C500" s="52">
        <f t="shared" si="80"/>
        <v>1</v>
      </c>
      <c r="D500" s="863"/>
      <c r="E500" s="52">
        <f t="shared" si="81"/>
        <v>1</v>
      </c>
      <c r="F500" s="863"/>
      <c r="G500" s="52">
        <f t="shared" si="82"/>
        <v>1</v>
      </c>
      <c r="H500" s="863"/>
      <c r="I500" s="52">
        <f t="shared" si="83"/>
        <v>1</v>
      </c>
      <c r="J500" s="863"/>
      <c r="K500" s="52">
        <f t="shared" si="84"/>
        <v>1</v>
      </c>
      <c r="L500" s="863"/>
      <c r="M500" s="52">
        <f t="shared" si="85"/>
        <v>1</v>
      </c>
      <c r="N500" s="863"/>
      <c r="O500" s="52">
        <f t="shared" si="86"/>
        <v>1</v>
      </c>
      <c r="P500" s="863"/>
      <c r="Q500" s="52">
        <f t="shared" si="87"/>
        <v>1</v>
      </c>
      <c r="R500" s="390">
        <f t="shared" si="88"/>
        <v>0</v>
      </c>
      <c r="S500" s="699">
        <f t="shared" si="89"/>
        <v>0</v>
      </c>
    </row>
    <row r="501" spans="1:19">
      <c r="A501" s="865"/>
      <c r="B501" s="134"/>
      <c r="C501" s="52">
        <f t="shared" si="80"/>
        <v>1</v>
      </c>
      <c r="D501" s="863"/>
      <c r="E501" s="52">
        <f t="shared" si="81"/>
        <v>1</v>
      </c>
      <c r="F501" s="863"/>
      <c r="G501" s="52">
        <f t="shared" si="82"/>
        <v>1</v>
      </c>
      <c r="H501" s="863"/>
      <c r="I501" s="52">
        <f t="shared" si="83"/>
        <v>1</v>
      </c>
      <c r="J501" s="863"/>
      <c r="K501" s="52">
        <f t="shared" si="84"/>
        <v>1</v>
      </c>
      <c r="L501" s="863"/>
      <c r="M501" s="52">
        <f t="shared" si="85"/>
        <v>1</v>
      </c>
      <c r="N501" s="863"/>
      <c r="O501" s="52">
        <f t="shared" si="86"/>
        <v>1</v>
      </c>
      <c r="P501" s="863"/>
      <c r="Q501" s="52">
        <f t="shared" si="87"/>
        <v>1</v>
      </c>
      <c r="R501" s="390">
        <f t="shared" si="88"/>
        <v>0</v>
      </c>
      <c r="S501" s="699">
        <f t="shared" si="89"/>
        <v>0</v>
      </c>
    </row>
    <row r="502" spans="1:19">
      <c r="A502" s="865"/>
      <c r="B502" s="134"/>
      <c r="C502" s="52">
        <f t="shared" si="80"/>
        <v>1</v>
      </c>
      <c r="D502" s="863"/>
      <c r="E502" s="52">
        <f t="shared" si="81"/>
        <v>1</v>
      </c>
      <c r="F502" s="863"/>
      <c r="G502" s="52">
        <f t="shared" si="82"/>
        <v>1</v>
      </c>
      <c r="H502" s="863"/>
      <c r="I502" s="52">
        <f t="shared" si="83"/>
        <v>1</v>
      </c>
      <c r="J502" s="863"/>
      <c r="K502" s="52">
        <f t="shared" si="84"/>
        <v>1</v>
      </c>
      <c r="L502" s="863"/>
      <c r="M502" s="52">
        <f t="shared" si="85"/>
        <v>1</v>
      </c>
      <c r="N502" s="863"/>
      <c r="O502" s="52">
        <f t="shared" si="86"/>
        <v>1</v>
      </c>
      <c r="P502" s="863"/>
      <c r="Q502" s="52">
        <f t="shared" si="87"/>
        <v>1</v>
      </c>
      <c r="R502" s="390">
        <f t="shared" si="88"/>
        <v>0</v>
      </c>
      <c r="S502" s="699">
        <f t="shared" si="89"/>
        <v>0</v>
      </c>
    </row>
    <row r="503" spans="1:19">
      <c r="A503" s="865"/>
      <c r="B503" s="134"/>
      <c r="C503" s="52">
        <f t="shared" si="80"/>
        <v>1</v>
      </c>
      <c r="D503" s="863"/>
      <c r="E503" s="52">
        <f t="shared" si="81"/>
        <v>1</v>
      </c>
      <c r="F503" s="863"/>
      <c r="G503" s="52">
        <f t="shared" si="82"/>
        <v>1</v>
      </c>
      <c r="H503" s="863"/>
      <c r="I503" s="52">
        <f t="shared" si="83"/>
        <v>1</v>
      </c>
      <c r="J503" s="863"/>
      <c r="K503" s="52">
        <f t="shared" si="84"/>
        <v>1</v>
      </c>
      <c r="L503" s="863"/>
      <c r="M503" s="52">
        <f t="shared" si="85"/>
        <v>1</v>
      </c>
      <c r="N503" s="863"/>
      <c r="O503" s="52">
        <f t="shared" si="86"/>
        <v>1</v>
      </c>
      <c r="P503" s="863"/>
      <c r="Q503" s="52">
        <f t="shared" si="87"/>
        <v>1</v>
      </c>
      <c r="R503" s="390">
        <f t="shared" si="88"/>
        <v>0</v>
      </c>
      <c r="S503" s="699">
        <f t="shared" si="89"/>
        <v>0</v>
      </c>
    </row>
    <row r="504" spans="1:19">
      <c r="A504" s="865"/>
      <c r="B504" s="134"/>
      <c r="C504" s="52">
        <f t="shared" si="80"/>
        <v>1</v>
      </c>
      <c r="D504" s="863"/>
      <c r="E504" s="52">
        <f t="shared" si="81"/>
        <v>1</v>
      </c>
      <c r="F504" s="863"/>
      <c r="G504" s="52">
        <f t="shared" si="82"/>
        <v>1</v>
      </c>
      <c r="H504" s="863"/>
      <c r="I504" s="52">
        <f t="shared" si="83"/>
        <v>1</v>
      </c>
      <c r="J504" s="863"/>
      <c r="K504" s="52">
        <f t="shared" si="84"/>
        <v>1</v>
      </c>
      <c r="L504" s="863"/>
      <c r="M504" s="52">
        <f t="shared" si="85"/>
        <v>1</v>
      </c>
      <c r="N504" s="863"/>
      <c r="O504" s="52">
        <f t="shared" si="86"/>
        <v>1</v>
      </c>
      <c r="P504" s="863"/>
      <c r="Q504" s="52">
        <f t="shared" si="87"/>
        <v>1</v>
      </c>
      <c r="R504" s="390">
        <f t="shared" si="88"/>
        <v>0</v>
      </c>
      <c r="S504" s="699">
        <f t="shared" si="89"/>
        <v>0</v>
      </c>
    </row>
    <row r="505" spans="1:19">
      <c r="A505" s="865"/>
      <c r="B505" s="134"/>
      <c r="C505" s="52">
        <f t="shared" si="80"/>
        <v>1</v>
      </c>
      <c r="D505" s="863"/>
      <c r="E505" s="52">
        <f t="shared" si="81"/>
        <v>1</v>
      </c>
      <c r="F505" s="863"/>
      <c r="G505" s="52">
        <f t="shared" si="82"/>
        <v>1</v>
      </c>
      <c r="H505" s="863"/>
      <c r="I505" s="52">
        <f t="shared" si="83"/>
        <v>1</v>
      </c>
      <c r="J505" s="863"/>
      <c r="K505" s="52">
        <f t="shared" si="84"/>
        <v>1</v>
      </c>
      <c r="L505" s="863"/>
      <c r="M505" s="52">
        <f t="shared" si="85"/>
        <v>1</v>
      </c>
      <c r="N505" s="863"/>
      <c r="O505" s="52">
        <f t="shared" si="86"/>
        <v>1</v>
      </c>
      <c r="P505" s="863"/>
      <c r="Q505" s="52">
        <f t="shared" si="87"/>
        <v>1</v>
      </c>
      <c r="R505" s="390">
        <f t="shared" si="88"/>
        <v>0</v>
      </c>
      <c r="S505" s="699">
        <f t="shared" si="89"/>
        <v>0</v>
      </c>
    </row>
    <row r="506" spans="1:19">
      <c r="A506" s="865"/>
      <c r="B506" s="134"/>
      <c r="C506" s="52">
        <f t="shared" si="80"/>
        <v>1</v>
      </c>
      <c r="D506" s="863"/>
      <c r="E506" s="52">
        <f t="shared" si="81"/>
        <v>1</v>
      </c>
      <c r="F506" s="863"/>
      <c r="G506" s="52">
        <f t="shared" si="82"/>
        <v>1</v>
      </c>
      <c r="H506" s="863"/>
      <c r="I506" s="52">
        <f t="shared" si="83"/>
        <v>1</v>
      </c>
      <c r="J506" s="863"/>
      <c r="K506" s="52">
        <f t="shared" si="84"/>
        <v>1</v>
      </c>
      <c r="L506" s="863"/>
      <c r="M506" s="52">
        <f t="shared" si="85"/>
        <v>1</v>
      </c>
      <c r="N506" s="863"/>
      <c r="O506" s="52">
        <f t="shared" si="86"/>
        <v>1</v>
      </c>
      <c r="P506" s="863"/>
      <c r="Q506" s="52">
        <f t="shared" si="87"/>
        <v>1</v>
      </c>
      <c r="R506" s="390">
        <f t="shared" si="88"/>
        <v>0</v>
      </c>
      <c r="S506" s="699">
        <f t="shared" si="89"/>
        <v>0</v>
      </c>
    </row>
    <row r="507" spans="1:19">
      <c r="A507" s="865"/>
      <c r="B507" s="134"/>
      <c r="C507" s="52">
        <f t="shared" si="80"/>
        <v>1</v>
      </c>
      <c r="D507" s="863"/>
      <c r="E507" s="52">
        <f t="shared" si="81"/>
        <v>1</v>
      </c>
      <c r="F507" s="863"/>
      <c r="G507" s="52">
        <f t="shared" si="82"/>
        <v>1</v>
      </c>
      <c r="H507" s="863"/>
      <c r="I507" s="52">
        <f t="shared" si="83"/>
        <v>1</v>
      </c>
      <c r="J507" s="863"/>
      <c r="K507" s="52">
        <f t="shared" si="84"/>
        <v>1</v>
      </c>
      <c r="L507" s="863"/>
      <c r="M507" s="52">
        <f t="shared" si="85"/>
        <v>1</v>
      </c>
      <c r="N507" s="863"/>
      <c r="O507" s="52">
        <f t="shared" si="86"/>
        <v>1</v>
      </c>
      <c r="P507" s="863"/>
      <c r="Q507" s="52">
        <f t="shared" si="87"/>
        <v>1</v>
      </c>
      <c r="R507" s="390">
        <f t="shared" si="88"/>
        <v>0</v>
      </c>
      <c r="S507" s="699">
        <f t="shared" si="89"/>
        <v>0</v>
      </c>
    </row>
    <row r="508" spans="1:19">
      <c r="A508" s="865"/>
      <c r="B508" s="134"/>
      <c r="C508" s="52">
        <f t="shared" si="80"/>
        <v>1</v>
      </c>
      <c r="D508" s="863"/>
      <c r="E508" s="52">
        <f t="shared" si="81"/>
        <v>1</v>
      </c>
      <c r="F508" s="863"/>
      <c r="G508" s="52">
        <f t="shared" si="82"/>
        <v>1</v>
      </c>
      <c r="H508" s="863"/>
      <c r="I508" s="52">
        <f t="shared" si="83"/>
        <v>1</v>
      </c>
      <c r="J508" s="863"/>
      <c r="K508" s="52">
        <f t="shared" si="84"/>
        <v>1</v>
      </c>
      <c r="L508" s="863"/>
      <c r="M508" s="52">
        <f t="shared" si="85"/>
        <v>1</v>
      </c>
      <c r="N508" s="863"/>
      <c r="O508" s="52">
        <f t="shared" si="86"/>
        <v>1</v>
      </c>
      <c r="P508" s="863"/>
      <c r="Q508" s="52">
        <f t="shared" si="87"/>
        <v>1</v>
      </c>
      <c r="R508" s="390">
        <f t="shared" si="88"/>
        <v>0</v>
      </c>
      <c r="S508" s="699">
        <f t="shared" si="89"/>
        <v>0</v>
      </c>
    </row>
    <row r="509" spans="1:19">
      <c r="A509" s="865"/>
      <c r="B509" s="134"/>
      <c r="C509" s="52">
        <f t="shared" si="80"/>
        <v>1</v>
      </c>
      <c r="D509" s="863"/>
      <c r="E509" s="52">
        <f t="shared" si="81"/>
        <v>1</v>
      </c>
      <c r="F509" s="863"/>
      <c r="G509" s="52">
        <f t="shared" si="82"/>
        <v>1</v>
      </c>
      <c r="H509" s="863"/>
      <c r="I509" s="52">
        <f t="shared" si="83"/>
        <v>1</v>
      </c>
      <c r="J509" s="863"/>
      <c r="K509" s="52">
        <f t="shared" si="84"/>
        <v>1</v>
      </c>
      <c r="L509" s="863"/>
      <c r="M509" s="52">
        <f t="shared" si="85"/>
        <v>1</v>
      </c>
      <c r="N509" s="863"/>
      <c r="O509" s="52">
        <f t="shared" si="86"/>
        <v>1</v>
      </c>
      <c r="P509" s="863"/>
      <c r="Q509" s="52">
        <f t="shared" si="87"/>
        <v>1</v>
      </c>
      <c r="R509" s="390">
        <f t="shared" si="88"/>
        <v>0</v>
      </c>
      <c r="S509" s="699">
        <f t="shared" si="89"/>
        <v>0</v>
      </c>
    </row>
    <row r="510" spans="1:19">
      <c r="A510" s="865"/>
      <c r="B510" s="134"/>
      <c r="C510" s="52">
        <f t="shared" si="80"/>
        <v>1</v>
      </c>
      <c r="D510" s="863"/>
      <c r="E510" s="52">
        <f t="shared" si="81"/>
        <v>1</v>
      </c>
      <c r="F510" s="863"/>
      <c r="G510" s="52">
        <f t="shared" si="82"/>
        <v>1</v>
      </c>
      <c r="H510" s="863"/>
      <c r="I510" s="52">
        <f t="shared" si="83"/>
        <v>1</v>
      </c>
      <c r="J510" s="863"/>
      <c r="K510" s="52">
        <f t="shared" si="84"/>
        <v>1</v>
      </c>
      <c r="L510" s="863"/>
      <c r="M510" s="52">
        <f t="shared" si="85"/>
        <v>1</v>
      </c>
      <c r="N510" s="863"/>
      <c r="O510" s="52">
        <f t="shared" si="86"/>
        <v>1</v>
      </c>
      <c r="P510" s="863"/>
      <c r="Q510" s="52">
        <f t="shared" si="87"/>
        <v>1</v>
      </c>
      <c r="R510" s="390">
        <f t="shared" si="88"/>
        <v>0</v>
      </c>
      <c r="S510" s="699">
        <f t="shared" si="89"/>
        <v>0</v>
      </c>
    </row>
    <row r="511" spans="1:19">
      <c r="A511" s="865"/>
      <c r="B511" s="134"/>
      <c r="C511" s="52">
        <f t="shared" si="80"/>
        <v>1</v>
      </c>
      <c r="D511" s="863"/>
      <c r="E511" s="52">
        <f t="shared" si="81"/>
        <v>1</v>
      </c>
      <c r="F511" s="863"/>
      <c r="G511" s="52">
        <f t="shared" si="82"/>
        <v>1</v>
      </c>
      <c r="H511" s="863"/>
      <c r="I511" s="52">
        <f t="shared" si="83"/>
        <v>1</v>
      </c>
      <c r="J511" s="863"/>
      <c r="K511" s="52">
        <f t="shared" si="84"/>
        <v>1</v>
      </c>
      <c r="L511" s="863"/>
      <c r="M511" s="52">
        <f t="shared" si="85"/>
        <v>1</v>
      </c>
      <c r="N511" s="863"/>
      <c r="O511" s="52">
        <f t="shared" si="86"/>
        <v>1</v>
      </c>
      <c r="P511" s="863"/>
      <c r="Q511" s="52">
        <f t="shared" si="87"/>
        <v>1</v>
      </c>
      <c r="R511" s="390">
        <f t="shared" si="88"/>
        <v>0</v>
      </c>
      <c r="S511" s="699">
        <f t="shared" si="89"/>
        <v>0</v>
      </c>
    </row>
    <row r="512" spans="1:19">
      <c r="A512" s="865"/>
      <c r="B512" s="134"/>
      <c r="C512" s="52">
        <f t="shared" si="80"/>
        <v>1</v>
      </c>
      <c r="D512" s="863"/>
      <c r="E512" s="52">
        <f t="shared" si="81"/>
        <v>1</v>
      </c>
      <c r="F512" s="863"/>
      <c r="G512" s="52">
        <f t="shared" si="82"/>
        <v>1</v>
      </c>
      <c r="H512" s="863"/>
      <c r="I512" s="52">
        <f t="shared" si="83"/>
        <v>1</v>
      </c>
      <c r="J512" s="863"/>
      <c r="K512" s="52">
        <f t="shared" si="84"/>
        <v>1</v>
      </c>
      <c r="L512" s="863"/>
      <c r="M512" s="52">
        <f t="shared" si="85"/>
        <v>1</v>
      </c>
      <c r="N512" s="863"/>
      <c r="O512" s="52">
        <f t="shared" si="86"/>
        <v>1</v>
      </c>
      <c r="P512" s="863"/>
      <c r="Q512" s="52">
        <f t="shared" si="87"/>
        <v>1</v>
      </c>
      <c r="R512" s="390">
        <f t="shared" si="88"/>
        <v>0</v>
      </c>
      <c r="S512" s="699">
        <f t="shared" si="89"/>
        <v>0</v>
      </c>
    </row>
    <row r="513" spans="1:19">
      <c r="A513" s="865"/>
      <c r="B513" s="134"/>
      <c r="C513" s="52">
        <f t="shared" si="80"/>
        <v>1</v>
      </c>
      <c r="D513" s="863"/>
      <c r="E513" s="52">
        <f t="shared" si="81"/>
        <v>1</v>
      </c>
      <c r="F513" s="863"/>
      <c r="G513" s="52">
        <f t="shared" si="82"/>
        <v>1</v>
      </c>
      <c r="H513" s="863"/>
      <c r="I513" s="52">
        <f t="shared" si="83"/>
        <v>1</v>
      </c>
      <c r="J513" s="863"/>
      <c r="K513" s="52">
        <f t="shared" si="84"/>
        <v>1</v>
      </c>
      <c r="L513" s="863"/>
      <c r="M513" s="52">
        <f t="shared" si="85"/>
        <v>1</v>
      </c>
      <c r="N513" s="863"/>
      <c r="O513" s="52">
        <f t="shared" si="86"/>
        <v>1</v>
      </c>
      <c r="P513" s="863"/>
      <c r="Q513" s="52">
        <f t="shared" si="87"/>
        <v>1</v>
      </c>
      <c r="R513" s="390">
        <f t="shared" si="88"/>
        <v>0</v>
      </c>
      <c r="S513" s="699">
        <f t="shared" si="89"/>
        <v>0</v>
      </c>
    </row>
    <row r="514" spans="1:19">
      <c r="A514" s="865"/>
      <c r="B514" s="134"/>
      <c r="C514" s="52">
        <f t="shared" si="80"/>
        <v>1</v>
      </c>
      <c r="D514" s="863"/>
      <c r="E514" s="52">
        <f t="shared" si="81"/>
        <v>1</v>
      </c>
      <c r="F514" s="863"/>
      <c r="G514" s="52">
        <f t="shared" si="82"/>
        <v>1</v>
      </c>
      <c r="H514" s="863"/>
      <c r="I514" s="52">
        <f t="shared" si="83"/>
        <v>1</v>
      </c>
      <c r="J514" s="863"/>
      <c r="K514" s="52">
        <f t="shared" si="84"/>
        <v>1</v>
      </c>
      <c r="L514" s="863"/>
      <c r="M514" s="52">
        <f t="shared" si="85"/>
        <v>1</v>
      </c>
      <c r="N514" s="863"/>
      <c r="O514" s="52">
        <f t="shared" si="86"/>
        <v>1</v>
      </c>
      <c r="P514" s="863"/>
      <c r="Q514" s="52">
        <f t="shared" si="87"/>
        <v>1</v>
      </c>
      <c r="R514" s="390">
        <f t="shared" si="88"/>
        <v>0</v>
      </c>
      <c r="S514" s="699">
        <f t="shared" si="89"/>
        <v>0</v>
      </c>
    </row>
    <row r="515" spans="1:19">
      <c r="A515" s="865"/>
      <c r="B515" s="134"/>
      <c r="C515" s="52">
        <f t="shared" si="80"/>
        <v>1</v>
      </c>
      <c r="D515" s="863"/>
      <c r="E515" s="52">
        <f t="shared" si="81"/>
        <v>1</v>
      </c>
      <c r="F515" s="863"/>
      <c r="G515" s="52">
        <f t="shared" si="82"/>
        <v>1</v>
      </c>
      <c r="H515" s="863"/>
      <c r="I515" s="52">
        <f t="shared" si="83"/>
        <v>1</v>
      </c>
      <c r="J515" s="863"/>
      <c r="K515" s="52">
        <f t="shared" si="84"/>
        <v>1</v>
      </c>
      <c r="L515" s="863"/>
      <c r="M515" s="52">
        <f t="shared" si="85"/>
        <v>1</v>
      </c>
      <c r="N515" s="863"/>
      <c r="O515" s="52">
        <f t="shared" si="86"/>
        <v>1</v>
      </c>
      <c r="P515" s="863"/>
      <c r="Q515" s="52">
        <f t="shared" si="87"/>
        <v>1</v>
      </c>
      <c r="R515" s="390">
        <f t="shared" si="88"/>
        <v>0</v>
      </c>
      <c r="S515" s="699">
        <f t="shared" si="89"/>
        <v>0</v>
      </c>
    </row>
    <row r="516" spans="1:19">
      <c r="A516" s="865"/>
      <c r="B516" s="134"/>
      <c r="C516" s="52">
        <f t="shared" si="80"/>
        <v>1</v>
      </c>
      <c r="D516" s="863"/>
      <c r="E516" s="52">
        <f t="shared" si="81"/>
        <v>1</v>
      </c>
      <c r="F516" s="863"/>
      <c r="G516" s="52">
        <f t="shared" si="82"/>
        <v>1</v>
      </c>
      <c r="H516" s="863"/>
      <c r="I516" s="52">
        <f t="shared" si="83"/>
        <v>1</v>
      </c>
      <c r="J516" s="863"/>
      <c r="K516" s="52">
        <f t="shared" si="84"/>
        <v>1</v>
      </c>
      <c r="L516" s="863"/>
      <c r="M516" s="52">
        <f t="shared" si="85"/>
        <v>1</v>
      </c>
      <c r="N516" s="863"/>
      <c r="O516" s="52">
        <f t="shared" si="86"/>
        <v>1</v>
      </c>
      <c r="P516" s="863"/>
      <c r="Q516" s="52">
        <f t="shared" si="87"/>
        <v>1</v>
      </c>
      <c r="R516" s="390">
        <f t="shared" si="88"/>
        <v>0</v>
      </c>
      <c r="S516" s="699">
        <f t="shared" si="89"/>
        <v>0</v>
      </c>
    </row>
    <row r="517" spans="1:19">
      <c r="A517" s="865"/>
      <c r="B517" s="134"/>
      <c r="C517" s="52">
        <f t="shared" si="80"/>
        <v>1</v>
      </c>
      <c r="D517" s="863"/>
      <c r="E517" s="52">
        <f t="shared" si="81"/>
        <v>1</v>
      </c>
      <c r="F517" s="863"/>
      <c r="G517" s="52">
        <f t="shared" si="82"/>
        <v>1</v>
      </c>
      <c r="H517" s="863"/>
      <c r="I517" s="52">
        <f t="shared" si="83"/>
        <v>1</v>
      </c>
      <c r="J517" s="863"/>
      <c r="K517" s="52">
        <f t="shared" si="84"/>
        <v>1</v>
      </c>
      <c r="L517" s="863"/>
      <c r="M517" s="52">
        <f t="shared" si="85"/>
        <v>1</v>
      </c>
      <c r="N517" s="863"/>
      <c r="O517" s="52">
        <f t="shared" si="86"/>
        <v>1</v>
      </c>
      <c r="P517" s="863"/>
      <c r="Q517" s="52">
        <f t="shared" si="87"/>
        <v>1</v>
      </c>
      <c r="R517" s="390">
        <f t="shared" si="88"/>
        <v>0</v>
      </c>
      <c r="S517" s="699">
        <f t="shared" si="89"/>
        <v>0</v>
      </c>
    </row>
    <row r="518" spans="1:19">
      <c r="A518" s="865"/>
      <c r="B518" s="134"/>
      <c r="C518" s="52">
        <f t="shared" si="80"/>
        <v>1</v>
      </c>
      <c r="D518" s="863"/>
      <c r="E518" s="52">
        <f t="shared" si="81"/>
        <v>1</v>
      </c>
      <c r="F518" s="863"/>
      <c r="G518" s="52">
        <f t="shared" si="82"/>
        <v>1</v>
      </c>
      <c r="H518" s="863"/>
      <c r="I518" s="52">
        <f t="shared" si="83"/>
        <v>1</v>
      </c>
      <c r="J518" s="863"/>
      <c r="K518" s="52">
        <f t="shared" si="84"/>
        <v>1</v>
      </c>
      <c r="L518" s="863"/>
      <c r="M518" s="52">
        <f t="shared" si="85"/>
        <v>1</v>
      </c>
      <c r="N518" s="863"/>
      <c r="O518" s="52">
        <f t="shared" si="86"/>
        <v>1</v>
      </c>
      <c r="P518" s="863"/>
      <c r="Q518" s="52">
        <f t="shared" si="87"/>
        <v>1</v>
      </c>
      <c r="R518" s="390">
        <f t="shared" si="88"/>
        <v>0</v>
      </c>
      <c r="S518" s="699">
        <f t="shared" si="89"/>
        <v>0</v>
      </c>
    </row>
    <row r="519" spans="1:19">
      <c r="A519" s="865"/>
      <c r="B519" s="134"/>
      <c r="C519" s="52">
        <f t="shared" si="80"/>
        <v>1</v>
      </c>
      <c r="D519" s="863"/>
      <c r="E519" s="52">
        <f t="shared" si="81"/>
        <v>1</v>
      </c>
      <c r="F519" s="863"/>
      <c r="G519" s="52">
        <f t="shared" si="82"/>
        <v>1</v>
      </c>
      <c r="H519" s="863"/>
      <c r="I519" s="52">
        <f t="shared" si="83"/>
        <v>1</v>
      </c>
      <c r="J519" s="863"/>
      <c r="K519" s="52">
        <f t="shared" si="84"/>
        <v>1</v>
      </c>
      <c r="L519" s="863"/>
      <c r="M519" s="52">
        <f t="shared" si="85"/>
        <v>1</v>
      </c>
      <c r="N519" s="863"/>
      <c r="O519" s="52">
        <f t="shared" si="86"/>
        <v>1</v>
      </c>
      <c r="P519" s="863"/>
      <c r="Q519" s="52">
        <f t="shared" si="87"/>
        <v>1</v>
      </c>
      <c r="R519" s="390">
        <f t="shared" si="88"/>
        <v>0</v>
      </c>
      <c r="S519" s="699">
        <f t="shared" si="89"/>
        <v>0</v>
      </c>
    </row>
    <row r="520" spans="1:19">
      <c r="A520" s="865"/>
      <c r="B520" s="134"/>
      <c r="C520" s="52">
        <f t="shared" si="80"/>
        <v>1</v>
      </c>
      <c r="D520" s="863"/>
      <c r="E520" s="52">
        <f t="shared" si="81"/>
        <v>1</v>
      </c>
      <c r="F520" s="863"/>
      <c r="G520" s="52">
        <f t="shared" si="82"/>
        <v>1</v>
      </c>
      <c r="H520" s="863"/>
      <c r="I520" s="52">
        <f t="shared" si="83"/>
        <v>1</v>
      </c>
      <c r="J520" s="863"/>
      <c r="K520" s="52">
        <f t="shared" si="84"/>
        <v>1</v>
      </c>
      <c r="L520" s="863"/>
      <c r="M520" s="52">
        <f t="shared" si="85"/>
        <v>1</v>
      </c>
      <c r="N520" s="863"/>
      <c r="O520" s="52">
        <f t="shared" si="86"/>
        <v>1</v>
      </c>
      <c r="P520" s="863"/>
      <c r="Q520" s="52">
        <f t="shared" si="87"/>
        <v>1</v>
      </c>
      <c r="R520" s="390">
        <f t="shared" si="88"/>
        <v>0</v>
      </c>
      <c r="S520" s="699">
        <f t="shared" si="89"/>
        <v>0</v>
      </c>
    </row>
    <row r="521" spans="1:19">
      <c r="A521" s="865"/>
      <c r="B521" s="134"/>
      <c r="C521" s="52">
        <f t="shared" si="80"/>
        <v>1</v>
      </c>
      <c r="D521" s="863"/>
      <c r="E521" s="52">
        <f t="shared" si="81"/>
        <v>1</v>
      </c>
      <c r="F521" s="863"/>
      <c r="G521" s="52">
        <f t="shared" si="82"/>
        <v>1</v>
      </c>
      <c r="H521" s="863"/>
      <c r="I521" s="52">
        <f t="shared" si="83"/>
        <v>1</v>
      </c>
      <c r="J521" s="863"/>
      <c r="K521" s="52">
        <f t="shared" si="84"/>
        <v>1</v>
      </c>
      <c r="L521" s="863"/>
      <c r="M521" s="52">
        <f t="shared" si="85"/>
        <v>1</v>
      </c>
      <c r="N521" s="863"/>
      <c r="O521" s="52">
        <f t="shared" si="86"/>
        <v>1</v>
      </c>
      <c r="P521" s="863"/>
      <c r="Q521" s="52">
        <f t="shared" si="87"/>
        <v>1</v>
      </c>
      <c r="R521" s="390">
        <f t="shared" si="88"/>
        <v>0</v>
      </c>
      <c r="S521" s="699">
        <f t="shared" si="89"/>
        <v>0</v>
      </c>
    </row>
    <row r="522" spans="1:19">
      <c r="A522" s="865"/>
      <c r="B522" s="134"/>
      <c r="C522" s="52">
        <f t="shared" si="80"/>
        <v>1</v>
      </c>
      <c r="D522" s="863"/>
      <c r="E522" s="52">
        <f t="shared" si="81"/>
        <v>1</v>
      </c>
      <c r="F522" s="863"/>
      <c r="G522" s="52">
        <f t="shared" si="82"/>
        <v>1</v>
      </c>
      <c r="H522" s="863"/>
      <c r="I522" s="52">
        <f t="shared" si="83"/>
        <v>1</v>
      </c>
      <c r="J522" s="863"/>
      <c r="K522" s="52">
        <f t="shared" si="84"/>
        <v>1</v>
      </c>
      <c r="L522" s="863"/>
      <c r="M522" s="52">
        <f t="shared" si="85"/>
        <v>1</v>
      </c>
      <c r="N522" s="863"/>
      <c r="O522" s="52">
        <f t="shared" si="86"/>
        <v>1</v>
      </c>
      <c r="P522" s="863"/>
      <c r="Q522" s="52">
        <f t="shared" si="87"/>
        <v>1</v>
      </c>
      <c r="R522" s="390">
        <f t="shared" si="88"/>
        <v>0</v>
      </c>
      <c r="S522" s="699">
        <f t="shared" si="89"/>
        <v>0</v>
      </c>
    </row>
    <row r="523" spans="1:19">
      <c r="A523" s="865"/>
      <c r="B523" s="134"/>
      <c r="C523" s="52">
        <f t="shared" si="80"/>
        <v>1</v>
      </c>
      <c r="D523" s="863"/>
      <c r="E523" s="52">
        <f t="shared" si="81"/>
        <v>1</v>
      </c>
      <c r="F523" s="863"/>
      <c r="G523" s="52">
        <f t="shared" si="82"/>
        <v>1</v>
      </c>
      <c r="H523" s="863"/>
      <c r="I523" s="52">
        <f t="shared" si="83"/>
        <v>1</v>
      </c>
      <c r="J523" s="863"/>
      <c r="K523" s="52">
        <f t="shared" si="84"/>
        <v>1</v>
      </c>
      <c r="L523" s="863"/>
      <c r="M523" s="52">
        <f t="shared" si="85"/>
        <v>1</v>
      </c>
      <c r="N523" s="863"/>
      <c r="O523" s="52">
        <f t="shared" si="86"/>
        <v>1</v>
      </c>
      <c r="P523" s="863"/>
      <c r="Q523" s="52">
        <f t="shared" si="87"/>
        <v>1</v>
      </c>
      <c r="R523" s="390">
        <f t="shared" si="88"/>
        <v>0</v>
      </c>
      <c r="S523" s="699">
        <f t="shared" si="89"/>
        <v>0</v>
      </c>
    </row>
    <row r="524" spans="1:19">
      <c r="A524" s="865"/>
      <c r="B524" s="134"/>
      <c r="C524" s="52">
        <f t="shared" si="80"/>
        <v>1</v>
      </c>
      <c r="D524" s="863"/>
      <c r="E524" s="52">
        <f t="shared" si="81"/>
        <v>1</v>
      </c>
      <c r="F524" s="863"/>
      <c r="G524" s="52">
        <f t="shared" si="82"/>
        <v>1</v>
      </c>
      <c r="H524" s="863"/>
      <c r="I524" s="52">
        <f t="shared" si="83"/>
        <v>1</v>
      </c>
      <c r="J524" s="863"/>
      <c r="K524" s="52">
        <f t="shared" si="84"/>
        <v>1</v>
      </c>
      <c r="L524" s="863"/>
      <c r="M524" s="52">
        <f t="shared" si="85"/>
        <v>1</v>
      </c>
      <c r="N524" s="863"/>
      <c r="O524" s="52">
        <f t="shared" si="86"/>
        <v>1</v>
      </c>
      <c r="P524" s="863"/>
      <c r="Q524" s="52">
        <f t="shared" si="87"/>
        <v>1</v>
      </c>
      <c r="R524" s="390">
        <f t="shared" si="88"/>
        <v>0</v>
      </c>
      <c r="S524" s="699">
        <f t="shared" si="89"/>
        <v>0</v>
      </c>
    </row>
    <row r="525" spans="1:19">
      <c r="A525" s="161"/>
      <c r="B525" s="56"/>
      <c r="C525" s="56"/>
      <c r="D525" s="56"/>
      <c r="E525" s="56"/>
      <c r="F525" s="56"/>
      <c r="G525" s="56"/>
      <c r="H525" s="56"/>
      <c r="I525" s="56"/>
      <c r="J525" s="56"/>
      <c r="K525" s="56"/>
      <c r="L525" s="56"/>
      <c r="M525" s="56"/>
      <c r="N525" s="56"/>
      <c r="O525" s="56"/>
      <c r="P525" s="56"/>
      <c r="Q525" s="56"/>
      <c r="R525" s="2101"/>
      <c r="S525" s="161"/>
    </row>
    <row r="526" spans="1:19">
      <c r="A526" s="161"/>
      <c r="B526" s="56"/>
      <c r="C526" s="56"/>
      <c r="D526" s="56"/>
      <c r="E526" s="56"/>
      <c r="F526" s="56"/>
      <c r="G526" s="56"/>
      <c r="H526" s="56"/>
      <c r="I526" s="56"/>
      <c r="J526" s="56"/>
      <c r="K526" s="56"/>
      <c r="L526" s="56"/>
      <c r="M526" s="56"/>
      <c r="N526" s="56"/>
      <c r="O526" s="56"/>
      <c r="P526" s="56"/>
      <c r="Q526" s="56"/>
      <c r="R526" s="2101"/>
      <c r="S526" s="161"/>
    </row>
    <row r="527" spans="1:19">
      <c r="A527" s="161"/>
      <c r="B527" s="56"/>
      <c r="C527" s="56"/>
      <c r="D527" s="56"/>
      <c r="E527" s="56"/>
      <c r="F527" s="56"/>
      <c r="G527" s="56"/>
      <c r="H527" s="56"/>
      <c r="I527" s="56"/>
      <c r="J527" s="56"/>
      <c r="K527" s="56"/>
      <c r="L527" s="56"/>
      <c r="M527" s="56"/>
      <c r="N527" s="56"/>
      <c r="O527" s="56"/>
      <c r="P527" s="56"/>
      <c r="Q527" s="56"/>
      <c r="R527" s="2101"/>
      <c r="S527" s="161"/>
    </row>
    <row r="528" spans="1:19">
      <c r="A528" s="161"/>
      <c r="B528" s="56"/>
      <c r="C528" s="56"/>
      <c r="D528" s="56"/>
      <c r="E528" s="56"/>
      <c r="F528" s="56"/>
      <c r="G528" s="56"/>
      <c r="H528" s="56"/>
      <c r="I528" s="56"/>
      <c r="J528" s="56"/>
      <c r="K528" s="56"/>
      <c r="L528" s="56"/>
      <c r="M528" s="56"/>
      <c r="N528" s="56"/>
      <c r="O528" s="56"/>
      <c r="P528" s="56"/>
      <c r="Q528" s="56"/>
      <c r="R528" s="2101"/>
      <c r="S528" s="161"/>
    </row>
    <row r="529" spans="1:19">
      <c r="A529" s="161"/>
      <c r="B529" s="56"/>
      <c r="C529" s="56"/>
      <c r="D529" s="56"/>
      <c r="E529" s="56"/>
      <c r="F529" s="56"/>
      <c r="G529" s="56"/>
      <c r="H529" s="56"/>
      <c r="I529" s="56"/>
      <c r="J529" s="56"/>
      <c r="K529" s="56"/>
      <c r="L529" s="56"/>
      <c r="M529" s="56"/>
      <c r="N529" s="56"/>
      <c r="O529" s="56"/>
      <c r="P529" s="56"/>
      <c r="Q529" s="56"/>
      <c r="R529" s="2101"/>
      <c r="S529" s="161"/>
    </row>
    <row r="530" spans="1:19">
      <c r="A530" s="161"/>
      <c r="B530" s="56"/>
      <c r="C530" s="56"/>
      <c r="D530" s="56"/>
      <c r="E530" s="56"/>
      <c r="F530" s="56"/>
      <c r="G530" s="56"/>
      <c r="H530" s="56"/>
      <c r="I530" s="56"/>
      <c r="J530" s="56"/>
      <c r="K530" s="56"/>
      <c r="L530" s="56"/>
      <c r="M530" s="56"/>
      <c r="N530" s="56"/>
      <c r="O530" s="56"/>
      <c r="P530" s="56"/>
      <c r="Q530" s="56"/>
      <c r="R530" s="2101"/>
      <c r="S530" s="161"/>
    </row>
    <row r="531" spans="1:19">
      <c r="A531" s="161"/>
      <c r="B531" s="56"/>
      <c r="C531" s="56"/>
      <c r="D531" s="56"/>
      <c r="E531" s="56"/>
      <c r="F531" s="56"/>
      <c r="G531" s="56"/>
      <c r="H531" s="56"/>
      <c r="I531" s="56"/>
      <c r="J531" s="56"/>
      <c r="K531" s="56"/>
      <c r="L531" s="56"/>
      <c r="M531" s="56"/>
      <c r="N531" s="56"/>
      <c r="O531" s="56"/>
      <c r="P531" s="56"/>
      <c r="Q531" s="56"/>
      <c r="R531" s="2101"/>
      <c r="S531" s="161"/>
    </row>
    <row r="532" spans="1:19">
      <c r="A532" s="161"/>
      <c r="B532" s="56"/>
      <c r="C532" s="56"/>
      <c r="D532" s="56"/>
      <c r="E532" s="56"/>
      <c r="F532" s="56"/>
      <c r="G532" s="56"/>
      <c r="H532" s="56"/>
      <c r="I532" s="56"/>
      <c r="J532" s="56"/>
      <c r="K532" s="56"/>
      <c r="L532" s="56"/>
      <c r="M532" s="56"/>
      <c r="N532" s="56"/>
      <c r="O532" s="56"/>
      <c r="P532" s="56"/>
      <c r="Q532" s="56"/>
      <c r="R532" s="2101"/>
      <c r="S532" s="161"/>
    </row>
    <row r="533" spans="1:19">
      <c r="A533" s="161"/>
      <c r="B533" s="56"/>
      <c r="C533" s="56"/>
      <c r="D533" s="56"/>
      <c r="E533" s="56"/>
      <c r="F533" s="56"/>
      <c r="G533" s="56"/>
      <c r="H533" s="56"/>
      <c r="I533" s="56"/>
      <c r="J533" s="56"/>
      <c r="K533" s="56"/>
      <c r="L533" s="56"/>
      <c r="M533" s="56"/>
      <c r="N533" s="56"/>
      <c r="O533" s="56"/>
      <c r="P533" s="56"/>
      <c r="Q533" s="56"/>
      <c r="R533" s="2101"/>
      <c r="S533" s="161"/>
    </row>
    <row r="534" spans="1:19">
      <c r="A534" s="161"/>
      <c r="B534" s="56"/>
      <c r="C534" s="56"/>
      <c r="D534" s="56"/>
      <c r="E534" s="56"/>
      <c r="F534" s="56"/>
      <c r="G534" s="56"/>
      <c r="H534" s="56"/>
      <c r="I534" s="56"/>
      <c r="J534" s="56"/>
      <c r="K534" s="56"/>
      <c r="L534" s="56"/>
      <c r="M534" s="56"/>
      <c r="N534" s="56"/>
      <c r="O534" s="56"/>
      <c r="P534" s="56"/>
      <c r="Q534" s="56"/>
      <c r="R534" s="2101"/>
      <c r="S534" s="161"/>
    </row>
    <row r="535" spans="1:19">
      <c r="A535" s="161"/>
      <c r="B535" s="56"/>
      <c r="C535" s="56"/>
      <c r="D535" s="56"/>
      <c r="E535" s="56"/>
      <c r="F535" s="56"/>
      <c r="G535" s="56"/>
      <c r="H535" s="56"/>
      <c r="I535" s="56"/>
      <c r="J535" s="56"/>
      <c r="K535" s="56"/>
      <c r="L535" s="56"/>
      <c r="M535" s="56"/>
      <c r="N535" s="56"/>
      <c r="O535" s="56"/>
      <c r="P535" s="56"/>
      <c r="Q535" s="56"/>
      <c r="R535" s="2101"/>
      <c r="S535" s="161"/>
    </row>
    <row r="536" spans="1:19">
      <c r="A536" s="161"/>
      <c r="B536" s="56"/>
      <c r="C536" s="56"/>
      <c r="D536" s="56"/>
      <c r="E536" s="56"/>
      <c r="F536" s="56"/>
      <c r="G536" s="56"/>
      <c r="H536" s="56"/>
      <c r="I536" s="56"/>
      <c r="J536" s="56"/>
      <c r="K536" s="56"/>
      <c r="L536" s="56"/>
      <c r="M536" s="56"/>
      <c r="N536" s="56"/>
      <c r="O536" s="56"/>
      <c r="P536" s="56"/>
      <c r="Q536" s="56"/>
      <c r="R536" s="2101"/>
      <c r="S536" s="161"/>
    </row>
    <row r="537" spans="1:19">
      <c r="A537" s="161"/>
      <c r="B537" s="56"/>
      <c r="C537" s="56"/>
      <c r="D537" s="56"/>
      <c r="E537" s="56"/>
      <c r="F537" s="56"/>
      <c r="G537" s="56"/>
      <c r="H537" s="56"/>
      <c r="I537" s="56"/>
      <c r="J537" s="56"/>
      <c r="K537" s="56"/>
      <c r="L537" s="56"/>
      <c r="M537" s="56"/>
      <c r="N537" s="56"/>
      <c r="O537" s="56"/>
      <c r="P537" s="56"/>
      <c r="Q537" s="56"/>
      <c r="R537" s="2101"/>
      <c r="S537" s="161"/>
    </row>
    <row r="538" spans="1:19">
      <c r="A538" s="161"/>
      <c r="B538" s="56"/>
      <c r="C538" s="56"/>
      <c r="D538" s="56"/>
      <c r="E538" s="56"/>
      <c r="F538" s="56"/>
      <c r="G538" s="56"/>
      <c r="H538" s="56"/>
      <c r="I538" s="56"/>
      <c r="J538" s="56"/>
      <c r="K538" s="56"/>
      <c r="L538" s="56"/>
      <c r="M538" s="56"/>
      <c r="N538" s="56"/>
      <c r="O538" s="56"/>
      <c r="P538" s="56"/>
      <c r="Q538" s="56"/>
      <c r="R538" s="2101"/>
      <c r="S538" s="161"/>
    </row>
    <row r="539" spans="1:19">
      <c r="A539" s="161"/>
      <c r="B539" s="56"/>
      <c r="C539" s="56"/>
      <c r="D539" s="56"/>
      <c r="E539" s="56"/>
      <c r="F539" s="56"/>
      <c r="G539" s="56"/>
      <c r="H539" s="56"/>
      <c r="I539" s="56"/>
      <c r="J539" s="56"/>
      <c r="K539" s="56"/>
      <c r="L539" s="56"/>
      <c r="M539" s="56"/>
      <c r="N539" s="56"/>
      <c r="O539" s="56"/>
      <c r="P539" s="56"/>
      <c r="Q539" s="56"/>
      <c r="R539" s="2101"/>
      <c r="S539" s="161"/>
    </row>
    <row r="540" spans="1:19">
      <c r="A540" s="161"/>
      <c r="B540" s="56"/>
      <c r="C540" s="56"/>
      <c r="D540" s="56"/>
      <c r="E540" s="56"/>
      <c r="F540" s="56"/>
      <c r="G540" s="56"/>
      <c r="H540" s="56"/>
      <c r="I540" s="56"/>
      <c r="J540" s="56"/>
      <c r="K540" s="56"/>
      <c r="L540" s="56"/>
      <c r="M540" s="56"/>
      <c r="N540" s="56"/>
      <c r="O540" s="56"/>
      <c r="P540" s="56"/>
      <c r="Q540" s="56"/>
      <c r="R540" s="2101"/>
      <c r="S540" s="161"/>
    </row>
    <row r="541" spans="1:19">
      <c r="A541" s="161"/>
      <c r="B541" s="56"/>
      <c r="C541" s="56"/>
      <c r="D541" s="56"/>
      <c r="E541" s="56"/>
      <c r="F541" s="56"/>
      <c r="G541" s="56"/>
      <c r="H541" s="56"/>
      <c r="I541" s="56"/>
      <c r="J541" s="56"/>
      <c r="K541" s="56"/>
      <c r="L541" s="56"/>
      <c r="M541" s="56"/>
      <c r="N541" s="56"/>
      <c r="O541" s="56"/>
      <c r="P541" s="56"/>
      <c r="Q541" s="56"/>
      <c r="R541" s="2101"/>
      <c r="S541" s="161"/>
    </row>
    <row r="542" spans="1:19">
      <c r="A542" s="161"/>
      <c r="B542" s="56"/>
      <c r="C542" s="56"/>
      <c r="D542" s="56"/>
      <c r="E542" s="56"/>
      <c r="F542" s="56"/>
      <c r="G542" s="56"/>
      <c r="H542" s="56"/>
      <c r="I542" s="56"/>
      <c r="J542" s="56"/>
      <c r="K542" s="56"/>
      <c r="L542" s="56"/>
      <c r="M542" s="56"/>
      <c r="N542" s="56"/>
      <c r="O542" s="56"/>
      <c r="P542" s="56"/>
      <c r="Q542" s="56"/>
      <c r="R542" s="2101"/>
      <c r="S542" s="161"/>
    </row>
    <row r="543" spans="1:19">
      <c r="A543" s="161"/>
      <c r="B543" s="56"/>
      <c r="C543" s="56"/>
      <c r="D543" s="56"/>
      <c r="E543" s="56"/>
      <c r="F543" s="56"/>
      <c r="G543" s="56"/>
      <c r="H543" s="56"/>
      <c r="I543" s="56"/>
      <c r="J543" s="56"/>
      <c r="K543" s="56"/>
      <c r="L543" s="56"/>
      <c r="M543" s="56"/>
      <c r="N543" s="56"/>
      <c r="O543" s="56"/>
      <c r="P543" s="56"/>
      <c r="Q543" s="56"/>
      <c r="R543" s="2101"/>
      <c r="S543" s="161"/>
    </row>
    <row r="544" spans="1:19">
      <c r="A544" s="161"/>
      <c r="B544" s="56"/>
      <c r="C544" s="56"/>
      <c r="D544" s="56"/>
      <c r="E544" s="56"/>
      <c r="F544" s="56"/>
      <c r="G544" s="56"/>
      <c r="H544" s="56"/>
      <c r="I544" s="56"/>
      <c r="J544" s="56"/>
      <c r="K544" s="56"/>
      <c r="L544" s="56"/>
      <c r="M544" s="56"/>
      <c r="N544" s="56"/>
      <c r="O544" s="56"/>
      <c r="P544" s="56"/>
      <c r="Q544" s="56"/>
      <c r="R544" s="2101"/>
      <c r="S544" s="161"/>
    </row>
    <row r="545" spans="1:19">
      <c r="A545" s="161"/>
      <c r="B545" s="56"/>
      <c r="C545" s="56"/>
      <c r="D545" s="56"/>
      <c r="E545" s="56"/>
      <c r="F545" s="56"/>
      <c r="G545" s="56"/>
      <c r="H545" s="56"/>
      <c r="I545" s="56"/>
      <c r="J545" s="56"/>
      <c r="K545" s="56"/>
      <c r="L545" s="56"/>
      <c r="M545" s="56"/>
      <c r="N545" s="56"/>
      <c r="O545" s="56"/>
      <c r="P545" s="56"/>
      <c r="Q545" s="56"/>
      <c r="R545" s="2101"/>
      <c r="S545" s="161"/>
    </row>
    <row r="546" spans="1:19">
      <c r="A546" s="161"/>
      <c r="B546" s="56"/>
      <c r="C546" s="56"/>
      <c r="D546" s="56"/>
      <c r="E546" s="56"/>
      <c r="F546" s="56"/>
      <c r="G546" s="56"/>
      <c r="H546" s="56"/>
      <c r="I546" s="56"/>
      <c r="J546" s="56"/>
      <c r="K546" s="56"/>
      <c r="L546" s="56"/>
      <c r="M546" s="56"/>
      <c r="N546" s="56"/>
      <c r="O546" s="56"/>
      <c r="P546" s="56"/>
      <c r="Q546" s="56"/>
      <c r="R546" s="2101"/>
      <c r="S546" s="161"/>
    </row>
    <row r="547" spans="1:19">
      <c r="A547" s="161"/>
      <c r="B547" s="56"/>
      <c r="C547" s="56"/>
      <c r="D547" s="56"/>
      <c r="E547" s="56"/>
      <c r="F547" s="56"/>
      <c r="G547" s="56"/>
      <c r="H547" s="56"/>
      <c r="I547" s="56"/>
      <c r="J547" s="56"/>
      <c r="K547" s="56"/>
      <c r="L547" s="56"/>
      <c r="M547" s="56"/>
      <c r="N547" s="56"/>
      <c r="O547" s="56"/>
      <c r="P547" s="56"/>
      <c r="Q547" s="56"/>
      <c r="R547" s="2101"/>
      <c r="S547" s="161"/>
    </row>
    <row r="548" spans="1:19">
      <c r="A548" s="161"/>
      <c r="B548" s="56"/>
      <c r="C548" s="56"/>
      <c r="D548" s="56"/>
      <c r="E548" s="56"/>
      <c r="F548" s="56"/>
      <c r="G548" s="56"/>
      <c r="H548" s="56"/>
      <c r="I548" s="56"/>
      <c r="J548" s="56"/>
      <c r="K548" s="56"/>
      <c r="L548" s="56"/>
      <c r="M548" s="56"/>
      <c r="N548" s="56"/>
      <c r="O548" s="56"/>
      <c r="P548" s="56"/>
      <c r="Q548" s="56"/>
      <c r="R548" s="2101"/>
      <c r="S548" s="161"/>
    </row>
    <row r="549" spans="1:19">
      <c r="A549" s="161"/>
      <c r="B549" s="56"/>
      <c r="C549" s="56"/>
      <c r="D549" s="56"/>
      <c r="E549" s="56"/>
      <c r="F549" s="56"/>
      <c r="G549" s="56"/>
      <c r="H549" s="56"/>
      <c r="I549" s="56"/>
      <c r="J549" s="56"/>
      <c r="K549" s="56"/>
      <c r="L549" s="56"/>
      <c r="M549" s="56"/>
      <c r="N549" s="56"/>
      <c r="O549" s="56"/>
      <c r="P549" s="56"/>
      <c r="Q549" s="56"/>
      <c r="R549" s="2101"/>
      <c r="S549" s="161"/>
    </row>
    <row r="550" spans="1:19">
      <c r="A550" s="161"/>
      <c r="B550" s="56"/>
      <c r="C550" s="56"/>
      <c r="D550" s="56"/>
      <c r="E550" s="56"/>
      <c r="F550" s="56"/>
      <c r="G550" s="56"/>
      <c r="H550" s="56"/>
      <c r="I550" s="56"/>
      <c r="J550" s="56"/>
      <c r="K550" s="56"/>
      <c r="L550" s="56"/>
      <c r="M550" s="56"/>
      <c r="N550" s="56"/>
      <c r="O550" s="56"/>
      <c r="P550" s="56"/>
      <c r="Q550" s="56"/>
      <c r="R550" s="2101"/>
      <c r="S550" s="161"/>
    </row>
    <row r="551" spans="1:19">
      <c r="A551" s="161"/>
      <c r="B551" s="56"/>
      <c r="C551" s="56"/>
      <c r="D551" s="56"/>
      <c r="E551" s="56"/>
      <c r="F551" s="56"/>
      <c r="G551" s="56"/>
      <c r="H551" s="56"/>
      <c r="I551" s="56"/>
      <c r="J551" s="56"/>
      <c r="K551" s="56"/>
      <c r="L551" s="56"/>
      <c r="M551" s="56"/>
      <c r="N551" s="56"/>
      <c r="O551" s="56"/>
      <c r="P551" s="56"/>
      <c r="Q551" s="56"/>
      <c r="R551" s="2101"/>
      <c r="S551" s="161"/>
    </row>
    <row r="552" spans="1:19">
      <c r="A552" s="161"/>
      <c r="B552" s="56"/>
      <c r="C552" s="56"/>
      <c r="D552" s="56"/>
      <c r="E552" s="56"/>
      <c r="F552" s="56"/>
      <c r="G552" s="56"/>
      <c r="H552" s="56"/>
      <c r="I552" s="56"/>
      <c r="J552" s="56"/>
      <c r="K552" s="56"/>
      <c r="L552" s="56"/>
      <c r="M552" s="56"/>
      <c r="N552" s="56"/>
      <c r="O552" s="56"/>
      <c r="P552" s="56"/>
      <c r="Q552" s="56"/>
      <c r="R552" s="2101"/>
      <c r="S552" s="161"/>
    </row>
    <row r="553" spans="1:19">
      <c r="A553" s="161"/>
      <c r="B553" s="56"/>
      <c r="C553" s="56"/>
      <c r="D553" s="56"/>
      <c r="E553" s="56"/>
      <c r="F553" s="56"/>
      <c r="G553" s="56"/>
      <c r="H553" s="56"/>
      <c r="I553" s="56"/>
      <c r="J553" s="56"/>
      <c r="K553" s="56"/>
      <c r="L553" s="56"/>
      <c r="M553" s="56"/>
      <c r="N553" s="56"/>
      <c r="O553" s="56"/>
      <c r="P553" s="56"/>
      <c r="Q553" s="56"/>
      <c r="R553" s="2101"/>
      <c r="S553" s="161"/>
    </row>
    <row r="554" spans="1:19">
      <c r="A554" s="161"/>
      <c r="B554" s="56"/>
      <c r="C554" s="56"/>
      <c r="D554" s="56"/>
      <c r="E554" s="56"/>
      <c r="F554" s="56"/>
      <c r="G554" s="56"/>
      <c r="H554" s="56"/>
      <c r="I554" s="56"/>
      <c r="J554" s="56"/>
      <c r="K554" s="56"/>
      <c r="L554" s="56"/>
      <c r="M554" s="56"/>
      <c r="N554" s="56"/>
      <c r="O554" s="56"/>
      <c r="P554" s="56"/>
      <c r="Q554" s="56"/>
      <c r="R554" s="2101"/>
      <c r="S554" s="161"/>
    </row>
    <row r="555" spans="1:19">
      <c r="A555" s="161"/>
      <c r="B555" s="56"/>
      <c r="C555" s="56"/>
      <c r="D555" s="56"/>
      <c r="E555" s="56"/>
      <c r="F555" s="56"/>
      <c r="G555" s="56"/>
      <c r="H555" s="56"/>
      <c r="I555" s="56"/>
      <c r="J555" s="56"/>
      <c r="K555" s="56"/>
      <c r="L555" s="56"/>
      <c r="M555" s="56"/>
      <c r="N555" s="56"/>
      <c r="O555" s="56"/>
      <c r="P555" s="56"/>
      <c r="Q555" s="56"/>
      <c r="R555" s="2101"/>
      <c r="S555" s="161"/>
    </row>
    <row r="556" spans="1:19">
      <c r="A556" s="161"/>
      <c r="B556" s="56"/>
      <c r="C556" s="56"/>
      <c r="D556" s="56"/>
      <c r="E556" s="56"/>
      <c r="F556" s="56"/>
      <c r="G556" s="56"/>
      <c r="H556" s="56"/>
      <c r="I556" s="56"/>
      <c r="J556" s="56"/>
      <c r="K556" s="56"/>
      <c r="L556" s="56"/>
      <c r="M556" s="56"/>
      <c r="N556" s="56"/>
      <c r="O556" s="56"/>
      <c r="P556" s="56"/>
      <c r="Q556" s="56"/>
      <c r="R556" s="2101"/>
      <c r="S556" s="161"/>
    </row>
    <row r="557" spans="1:19">
      <c r="A557" s="161"/>
      <c r="B557" s="56"/>
      <c r="C557" s="56"/>
      <c r="D557" s="56"/>
      <c r="E557" s="56"/>
      <c r="F557" s="56"/>
      <c r="G557" s="56"/>
      <c r="H557" s="56"/>
      <c r="I557" s="56"/>
      <c r="J557" s="56"/>
      <c r="K557" s="56"/>
      <c r="L557" s="56"/>
      <c r="M557" s="56"/>
      <c r="N557" s="56"/>
      <c r="O557" s="56"/>
      <c r="P557" s="56"/>
      <c r="Q557" s="56"/>
      <c r="R557" s="2101"/>
      <c r="S557" s="161"/>
    </row>
    <row r="558" spans="1:19">
      <c r="A558" s="161"/>
      <c r="B558" s="56"/>
      <c r="C558" s="56"/>
      <c r="D558" s="56"/>
      <c r="E558" s="56"/>
      <c r="F558" s="56"/>
      <c r="G558" s="56"/>
      <c r="H558" s="56"/>
      <c r="I558" s="56"/>
      <c r="J558" s="56"/>
      <c r="K558" s="56"/>
      <c r="L558" s="56"/>
      <c r="M558" s="56"/>
      <c r="N558" s="56"/>
      <c r="O558" s="56"/>
      <c r="P558" s="56"/>
      <c r="Q558" s="56"/>
      <c r="R558" s="2101"/>
      <c r="S558" s="161"/>
    </row>
    <row r="559" spans="1:19">
      <c r="A559" s="161"/>
      <c r="B559" s="56"/>
      <c r="C559" s="56"/>
      <c r="D559" s="56"/>
      <c r="E559" s="56"/>
      <c r="F559" s="56"/>
      <c r="G559" s="56"/>
      <c r="H559" s="56"/>
      <c r="I559" s="56"/>
      <c r="J559" s="56"/>
      <c r="K559" s="56"/>
      <c r="L559" s="56"/>
      <c r="M559" s="56"/>
      <c r="N559" s="56"/>
      <c r="O559" s="56"/>
      <c r="P559" s="56"/>
      <c r="Q559" s="56"/>
      <c r="R559" s="2101"/>
      <c r="S559" s="161"/>
    </row>
    <row r="560" spans="1:19">
      <c r="A560" s="161"/>
      <c r="B560" s="56"/>
      <c r="C560" s="56"/>
      <c r="D560" s="56"/>
      <c r="E560" s="56"/>
      <c r="F560" s="56"/>
      <c r="G560" s="56"/>
      <c r="H560" s="56"/>
      <c r="I560" s="56"/>
      <c r="J560" s="56"/>
      <c r="K560" s="56"/>
      <c r="L560" s="56"/>
      <c r="M560" s="56"/>
      <c r="N560" s="56"/>
      <c r="O560" s="56"/>
      <c r="P560" s="56"/>
      <c r="Q560" s="56"/>
      <c r="R560" s="2101"/>
      <c r="S560" s="161"/>
    </row>
    <row r="561" spans="1:19">
      <c r="A561" s="161"/>
      <c r="B561" s="56"/>
      <c r="C561" s="56"/>
      <c r="D561" s="56"/>
      <c r="E561" s="56"/>
      <c r="F561" s="56"/>
      <c r="G561" s="56"/>
      <c r="H561" s="56"/>
      <c r="I561" s="56"/>
      <c r="J561" s="56"/>
      <c r="K561" s="56"/>
      <c r="L561" s="56"/>
      <c r="M561" s="56"/>
      <c r="N561" s="56"/>
      <c r="O561" s="56"/>
      <c r="P561" s="56"/>
      <c r="Q561" s="56"/>
      <c r="R561" s="2101"/>
      <c r="S561" s="161"/>
    </row>
    <row r="562" spans="1:19">
      <c r="A562" s="161"/>
      <c r="B562" s="56"/>
      <c r="C562" s="56"/>
      <c r="D562" s="56"/>
      <c r="E562" s="56"/>
      <c r="F562" s="56"/>
      <c r="G562" s="56"/>
      <c r="H562" s="56"/>
      <c r="I562" s="56"/>
      <c r="J562" s="56"/>
      <c r="K562" s="56"/>
      <c r="L562" s="56"/>
      <c r="M562" s="56"/>
      <c r="N562" s="56"/>
      <c r="O562" s="56"/>
      <c r="P562" s="56"/>
      <c r="Q562" s="56"/>
      <c r="R562" s="2101"/>
      <c r="S562" s="161"/>
    </row>
    <row r="563" spans="1:19">
      <c r="A563" s="161"/>
      <c r="B563" s="56"/>
      <c r="C563" s="56"/>
      <c r="D563" s="56"/>
      <c r="E563" s="56"/>
      <c r="F563" s="56"/>
      <c r="G563" s="56"/>
      <c r="H563" s="56"/>
      <c r="I563" s="56"/>
      <c r="J563" s="56"/>
      <c r="K563" s="56"/>
      <c r="L563" s="56"/>
      <c r="M563" s="56"/>
      <c r="N563" s="56"/>
      <c r="O563" s="56"/>
      <c r="P563" s="56"/>
      <c r="Q563" s="56"/>
      <c r="R563" s="2101"/>
      <c r="S563" s="161"/>
    </row>
    <row r="564" spans="1:19">
      <c r="A564" s="161"/>
      <c r="B564" s="56"/>
      <c r="C564" s="56"/>
      <c r="D564" s="56"/>
      <c r="E564" s="56"/>
      <c r="F564" s="56"/>
      <c r="G564" s="56"/>
      <c r="H564" s="56"/>
      <c r="I564" s="56"/>
      <c r="J564" s="56"/>
      <c r="K564" s="56"/>
      <c r="L564" s="56"/>
      <c r="M564" s="56"/>
      <c r="N564" s="56"/>
      <c r="O564" s="56"/>
      <c r="P564" s="56"/>
      <c r="Q564" s="56"/>
      <c r="R564" s="2101"/>
      <c r="S564" s="161"/>
    </row>
    <row r="565" spans="1:19">
      <c r="A565" s="161"/>
      <c r="B565" s="56"/>
      <c r="C565" s="56"/>
      <c r="D565" s="56"/>
      <c r="E565" s="56"/>
      <c r="F565" s="56"/>
      <c r="G565" s="56"/>
      <c r="H565" s="56"/>
      <c r="I565" s="56"/>
      <c r="J565" s="56"/>
      <c r="K565" s="56"/>
      <c r="L565" s="56"/>
      <c r="M565" s="56"/>
      <c r="N565" s="56"/>
      <c r="O565" s="56"/>
      <c r="P565" s="56"/>
      <c r="Q565" s="56"/>
      <c r="R565" s="2101"/>
      <c r="S565" s="161"/>
    </row>
    <row r="566" spans="1:19">
      <c r="A566" s="161"/>
      <c r="B566" s="56"/>
      <c r="C566" s="56"/>
      <c r="D566" s="56"/>
      <c r="E566" s="56"/>
      <c r="F566" s="56"/>
      <c r="G566" s="56"/>
      <c r="H566" s="56"/>
      <c r="I566" s="56"/>
      <c r="J566" s="56"/>
      <c r="K566" s="56"/>
      <c r="L566" s="56"/>
      <c r="M566" s="56"/>
      <c r="N566" s="56"/>
      <c r="O566" s="56"/>
      <c r="P566" s="56"/>
      <c r="Q566" s="56"/>
      <c r="R566" s="2101"/>
      <c r="S566" s="161"/>
    </row>
    <row r="567" spans="1:19">
      <c r="A567" s="161"/>
      <c r="B567" s="56"/>
      <c r="C567" s="56"/>
      <c r="D567" s="56"/>
      <c r="E567" s="56"/>
      <c r="F567" s="56"/>
      <c r="G567" s="56"/>
      <c r="H567" s="56"/>
      <c r="I567" s="56"/>
      <c r="J567" s="56"/>
      <c r="K567" s="56"/>
      <c r="L567" s="56"/>
      <c r="M567" s="56"/>
      <c r="N567" s="56"/>
      <c r="O567" s="56"/>
      <c r="P567" s="56"/>
      <c r="Q567" s="56"/>
      <c r="R567" s="2101"/>
      <c r="S567" s="161"/>
    </row>
    <row r="568" spans="1:19">
      <c r="A568" s="161"/>
      <c r="B568" s="56"/>
      <c r="C568" s="56"/>
      <c r="D568" s="56"/>
      <c r="E568" s="56"/>
      <c r="F568" s="56"/>
      <c r="G568" s="56"/>
      <c r="H568" s="56"/>
      <c r="I568" s="56"/>
      <c r="J568" s="56"/>
      <c r="K568" s="56"/>
      <c r="L568" s="56"/>
      <c r="M568" s="56"/>
      <c r="N568" s="56"/>
      <c r="O568" s="56"/>
      <c r="P568" s="56"/>
      <c r="Q568" s="56"/>
      <c r="R568" s="2101"/>
      <c r="S568" s="161"/>
    </row>
    <row r="569" spans="1:19">
      <c r="A569" s="161"/>
      <c r="B569" s="56"/>
      <c r="C569" s="56"/>
      <c r="D569" s="56"/>
      <c r="E569" s="56"/>
      <c r="F569" s="56"/>
      <c r="G569" s="56"/>
      <c r="H569" s="56"/>
      <c r="I569" s="56"/>
      <c r="J569" s="56"/>
      <c r="K569" s="56"/>
      <c r="L569" s="56"/>
      <c r="M569" s="56"/>
      <c r="N569" s="56"/>
      <c r="O569" s="56"/>
      <c r="P569" s="56"/>
      <c r="Q569" s="56"/>
      <c r="R569" s="2101"/>
      <c r="S569" s="161"/>
    </row>
    <row r="570" spans="1:19">
      <c r="A570" s="161"/>
      <c r="B570" s="56"/>
      <c r="C570" s="56"/>
      <c r="D570" s="56"/>
      <c r="E570" s="56"/>
      <c r="F570" s="56"/>
      <c r="G570" s="56"/>
      <c r="H570" s="56"/>
      <c r="I570" s="56"/>
      <c r="J570" s="56"/>
      <c r="K570" s="56"/>
      <c r="L570" s="56"/>
      <c r="M570" s="56"/>
      <c r="N570" s="56"/>
      <c r="O570" s="56"/>
      <c r="P570" s="56"/>
      <c r="Q570" s="56"/>
      <c r="R570" s="2101"/>
      <c r="S570" s="161"/>
    </row>
    <row r="571" spans="1:19">
      <c r="A571" s="161"/>
      <c r="B571" s="56"/>
      <c r="C571" s="56"/>
      <c r="D571" s="56"/>
      <c r="E571" s="56"/>
      <c r="F571" s="56"/>
      <c r="G571" s="56"/>
      <c r="H571" s="56"/>
      <c r="I571" s="56"/>
      <c r="J571" s="56"/>
      <c r="K571" s="56"/>
      <c r="L571" s="56"/>
      <c r="M571" s="56"/>
      <c r="N571" s="56"/>
      <c r="O571" s="56"/>
      <c r="P571" s="56"/>
      <c r="Q571" s="56"/>
      <c r="R571" s="2101"/>
      <c r="S571" s="161"/>
    </row>
    <row r="572" spans="1:19">
      <c r="A572" s="161"/>
      <c r="B572" s="56"/>
      <c r="C572" s="56"/>
      <c r="D572" s="56"/>
      <c r="E572" s="56"/>
      <c r="F572" s="56"/>
      <c r="G572" s="56"/>
      <c r="H572" s="56"/>
      <c r="I572" s="56"/>
      <c r="J572" s="56"/>
      <c r="K572" s="56"/>
      <c r="L572" s="56"/>
      <c r="M572" s="56"/>
      <c r="N572" s="56"/>
      <c r="O572" s="56"/>
      <c r="P572" s="56"/>
      <c r="Q572" s="56"/>
      <c r="R572" s="2101"/>
      <c r="S572" s="161"/>
    </row>
    <row r="573" spans="1:19">
      <c r="A573" s="161"/>
      <c r="B573" s="56"/>
      <c r="C573" s="56"/>
      <c r="D573" s="56"/>
      <c r="E573" s="56"/>
      <c r="F573" s="56"/>
      <c r="G573" s="56"/>
      <c r="H573" s="56"/>
      <c r="I573" s="56"/>
      <c r="J573" s="56"/>
      <c r="K573" s="56"/>
      <c r="L573" s="56"/>
      <c r="M573" s="56"/>
      <c r="N573" s="56"/>
      <c r="O573" s="56"/>
      <c r="P573" s="56"/>
      <c r="Q573" s="56"/>
      <c r="R573" s="2101"/>
      <c r="S573" s="161"/>
    </row>
    <row r="574" spans="1:19">
      <c r="A574" s="161"/>
      <c r="B574" s="56"/>
      <c r="C574" s="56"/>
      <c r="D574" s="56"/>
      <c r="E574" s="56"/>
      <c r="F574" s="56"/>
      <c r="G574" s="56"/>
      <c r="H574" s="56"/>
      <c r="I574" s="56"/>
      <c r="J574" s="56"/>
      <c r="K574" s="56"/>
      <c r="L574" s="56"/>
      <c r="M574" s="56"/>
      <c r="N574" s="56"/>
      <c r="O574" s="56"/>
      <c r="P574" s="56"/>
      <c r="Q574" s="56"/>
      <c r="R574" s="2101"/>
      <c r="S574" s="161"/>
    </row>
    <row r="575" spans="1:19">
      <c r="A575" s="161"/>
      <c r="B575" s="56"/>
      <c r="C575" s="56"/>
      <c r="D575" s="56"/>
      <c r="E575" s="56"/>
      <c r="F575" s="56"/>
      <c r="G575" s="56"/>
      <c r="H575" s="56"/>
      <c r="I575" s="56"/>
      <c r="J575" s="56"/>
      <c r="K575" s="56"/>
      <c r="L575" s="56"/>
      <c r="M575" s="56"/>
      <c r="N575" s="56"/>
      <c r="O575" s="56"/>
      <c r="P575" s="56"/>
      <c r="Q575" s="56"/>
      <c r="R575" s="2101"/>
      <c r="S575" s="161"/>
    </row>
    <row r="576" spans="1:19">
      <c r="A576" s="161"/>
      <c r="B576" s="56"/>
      <c r="C576" s="56"/>
      <c r="D576" s="56"/>
      <c r="E576" s="56"/>
      <c r="F576" s="56"/>
      <c r="G576" s="56"/>
      <c r="H576" s="56"/>
      <c r="I576" s="56"/>
      <c r="J576" s="56"/>
      <c r="K576" s="56"/>
      <c r="L576" s="56"/>
      <c r="M576" s="56"/>
      <c r="N576" s="56"/>
      <c r="O576" s="56"/>
      <c r="P576" s="56"/>
      <c r="Q576" s="56"/>
      <c r="R576" s="2101"/>
      <c r="S576" s="161"/>
    </row>
    <row r="577" spans="1:19">
      <c r="A577" s="161"/>
      <c r="B577" s="56"/>
      <c r="C577" s="56"/>
      <c r="D577" s="56"/>
      <c r="E577" s="56"/>
      <c r="F577" s="56"/>
      <c r="G577" s="56"/>
      <c r="H577" s="56"/>
      <c r="I577" s="56"/>
      <c r="J577" s="56"/>
      <c r="K577" s="56"/>
      <c r="L577" s="56"/>
      <c r="M577" s="56"/>
      <c r="N577" s="56"/>
      <c r="O577" s="56"/>
      <c r="P577" s="56"/>
      <c r="Q577" s="56"/>
      <c r="R577" s="2101"/>
      <c r="S577" s="161"/>
    </row>
    <row r="578" spans="1:19">
      <c r="A578" s="161"/>
      <c r="B578" s="56"/>
      <c r="C578" s="56"/>
      <c r="D578" s="56"/>
      <c r="E578" s="56"/>
      <c r="F578" s="56"/>
      <c r="G578" s="56"/>
      <c r="H578" s="56"/>
      <c r="I578" s="56"/>
      <c r="J578" s="56"/>
      <c r="K578" s="56"/>
      <c r="L578" s="56"/>
      <c r="M578" s="56"/>
      <c r="N578" s="56"/>
      <c r="O578" s="56"/>
      <c r="P578" s="56"/>
      <c r="Q578" s="56"/>
      <c r="R578" s="2101"/>
      <c r="S578" s="161"/>
    </row>
    <row r="579" spans="1:19">
      <c r="A579" s="161"/>
      <c r="B579" s="56"/>
      <c r="C579" s="56"/>
      <c r="D579" s="56"/>
      <c r="E579" s="56"/>
      <c r="F579" s="56"/>
      <c r="G579" s="56"/>
      <c r="H579" s="56"/>
      <c r="I579" s="56"/>
      <c r="J579" s="56"/>
      <c r="K579" s="56"/>
      <c r="L579" s="56"/>
      <c r="M579" s="56"/>
      <c r="N579" s="56"/>
      <c r="O579" s="56"/>
      <c r="P579" s="56"/>
      <c r="Q579" s="56"/>
      <c r="R579" s="2101"/>
      <c r="S579" s="161"/>
    </row>
    <row r="580" spans="1:19">
      <c r="A580" s="161"/>
      <c r="B580" s="56"/>
      <c r="C580" s="56"/>
      <c r="D580" s="56"/>
      <c r="E580" s="56"/>
      <c r="F580" s="56"/>
      <c r="G580" s="56"/>
      <c r="H580" s="56"/>
      <c r="I580" s="56"/>
      <c r="J580" s="56"/>
      <c r="K580" s="56"/>
      <c r="L580" s="56"/>
      <c r="M580" s="56"/>
      <c r="N580" s="56"/>
      <c r="O580" s="56"/>
      <c r="P580" s="56"/>
      <c r="Q580" s="56"/>
      <c r="R580" s="2101"/>
      <c r="S580" s="161"/>
    </row>
    <row r="581" spans="1:19">
      <c r="A581" s="161"/>
      <c r="B581" s="56"/>
      <c r="C581" s="56"/>
      <c r="D581" s="56"/>
      <c r="E581" s="56"/>
      <c r="F581" s="56"/>
      <c r="G581" s="56"/>
      <c r="H581" s="56"/>
      <c r="I581" s="56"/>
      <c r="J581" s="56"/>
      <c r="K581" s="56"/>
      <c r="L581" s="56"/>
      <c r="M581" s="56"/>
      <c r="N581" s="56"/>
      <c r="O581" s="56"/>
      <c r="P581" s="56"/>
      <c r="Q581" s="56"/>
      <c r="R581" s="2101"/>
      <c r="S581" s="161"/>
    </row>
    <row r="582" spans="1:19">
      <c r="A582" s="161"/>
      <c r="B582" s="56"/>
      <c r="C582" s="56"/>
      <c r="D582" s="56"/>
      <c r="E582" s="56"/>
      <c r="F582" s="56"/>
      <c r="G582" s="56"/>
      <c r="H582" s="56"/>
      <c r="I582" s="56"/>
      <c r="J582" s="56"/>
      <c r="K582" s="56"/>
      <c r="L582" s="56"/>
      <c r="M582" s="56"/>
      <c r="N582" s="56"/>
      <c r="O582" s="56"/>
      <c r="P582" s="56"/>
      <c r="Q582" s="56"/>
      <c r="R582" s="2101"/>
      <c r="S582" s="161"/>
    </row>
    <row r="583" spans="1:19">
      <c r="A583" s="161"/>
      <c r="B583" s="56"/>
      <c r="C583" s="56"/>
      <c r="D583" s="56"/>
      <c r="E583" s="56"/>
      <c r="F583" s="56"/>
      <c r="G583" s="56"/>
      <c r="H583" s="56"/>
      <c r="I583" s="56"/>
      <c r="J583" s="56"/>
      <c r="K583" s="56"/>
      <c r="L583" s="56"/>
      <c r="M583" s="56"/>
      <c r="N583" s="56"/>
      <c r="O583" s="56"/>
      <c r="P583" s="56"/>
      <c r="Q583" s="56"/>
      <c r="R583" s="2101"/>
      <c r="S583" s="161"/>
    </row>
    <row r="584" spans="1:19">
      <c r="A584" s="161"/>
      <c r="B584" s="56"/>
      <c r="C584" s="56"/>
      <c r="D584" s="56"/>
      <c r="E584" s="56"/>
      <c r="F584" s="56"/>
      <c r="G584" s="56"/>
      <c r="H584" s="56"/>
      <c r="I584" s="56"/>
      <c r="J584" s="56"/>
      <c r="K584" s="56"/>
      <c r="L584" s="56"/>
      <c r="M584" s="56"/>
      <c r="N584" s="56"/>
      <c r="O584" s="56"/>
      <c r="P584" s="56"/>
      <c r="Q584" s="56"/>
      <c r="R584" s="2101"/>
      <c r="S584" s="161"/>
    </row>
    <row r="585" spans="1:19">
      <c r="A585" s="161"/>
      <c r="B585" s="56"/>
      <c r="C585" s="56"/>
      <c r="D585" s="56"/>
      <c r="E585" s="56"/>
      <c r="F585" s="56"/>
      <c r="G585" s="56"/>
      <c r="H585" s="56"/>
      <c r="I585" s="56"/>
      <c r="J585" s="56"/>
      <c r="K585" s="56"/>
      <c r="L585" s="56"/>
      <c r="M585" s="56"/>
      <c r="N585" s="56"/>
      <c r="O585" s="56"/>
      <c r="P585" s="56"/>
      <c r="Q585" s="56"/>
      <c r="R585" s="2101"/>
      <c r="S585" s="161"/>
    </row>
    <row r="586" spans="1:19">
      <c r="A586" s="161"/>
      <c r="B586" s="56"/>
      <c r="C586" s="56"/>
      <c r="D586" s="56"/>
      <c r="E586" s="56"/>
      <c r="F586" s="56"/>
      <c r="G586" s="56"/>
      <c r="H586" s="56"/>
      <c r="I586" s="56"/>
      <c r="J586" s="56"/>
      <c r="K586" s="56"/>
      <c r="L586" s="56"/>
      <c r="M586" s="56"/>
      <c r="N586" s="56"/>
      <c r="O586" s="56"/>
      <c r="P586" s="56"/>
      <c r="Q586" s="56"/>
      <c r="R586" s="2101"/>
      <c r="S586" s="161"/>
    </row>
    <row r="587" spans="1:19">
      <c r="A587" s="161"/>
      <c r="B587" s="56"/>
      <c r="C587" s="56"/>
      <c r="D587" s="56"/>
      <c r="E587" s="56"/>
      <c r="F587" s="56"/>
      <c r="G587" s="56"/>
      <c r="H587" s="56"/>
      <c r="I587" s="56"/>
      <c r="J587" s="56"/>
      <c r="K587" s="56"/>
      <c r="L587" s="56"/>
      <c r="M587" s="56"/>
      <c r="N587" s="56"/>
      <c r="O587" s="56"/>
      <c r="P587" s="56"/>
      <c r="Q587" s="56"/>
      <c r="R587" s="2101"/>
      <c r="S587" s="161"/>
    </row>
    <row r="588" spans="1:19">
      <c r="A588" s="161"/>
      <c r="B588" s="56"/>
      <c r="C588" s="56"/>
      <c r="D588" s="56"/>
      <c r="E588" s="56"/>
      <c r="F588" s="56"/>
      <c r="G588" s="56"/>
      <c r="H588" s="56"/>
      <c r="I588" s="56"/>
      <c r="J588" s="56"/>
      <c r="K588" s="56"/>
      <c r="L588" s="56"/>
      <c r="M588" s="56"/>
      <c r="N588" s="56"/>
      <c r="O588" s="56"/>
      <c r="P588" s="56"/>
      <c r="Q588" s="56"/>
      <c r="R588" s="2101"/>
      <c r="S588" s="161"/>
    </row>
    <row r="589" spans="1:19">
      <c r="A589" s="161"/>
      <c r="B589" s="56"/>
      <c r="C589" s="56"/>
      <c r="D589" s="56"/>
      <c r="E589" s="56"/>
      <c r="F589" s="56"/>
      <c r="G589" s="56"/>
      <c r="H589" s="56"/>
      <c r="I589" s="56"/>
      <c r="J589" s="56"/>
      <c r="K589" s="56"/>
      <c r="L589" s="56"/>
      <c r="M589" s="56"/>
      <c r="N589" s="56"/>
      <c r="O589" s="56"/>
      <c r="P589" s="56"/>
      <c r="Q589" s="56"/>
      <c r="R589" s="2101"/>
      <c r="S589" s="161"/>
    </row>
    <row r="590" spans="1:19">
      <c r="A590" s="161"/>
      <c r="B590" s="56"/>
      <c r="C590" s="56"/>
      <c r="D590" s="56"/>
      <c r="E590" s="56"/>
      <c r="F590" s="56"/>
      <c r="G590" s="56"/>
      <c r="H590" s="56"/>
      <c r="I590" s="56"/>
      <c r="J590" s="56"/>
      <c r="K590" s="56"/>
      <c r="L590" s="56"/>
      <c r="M590" s="56"/>
      <c r="N590" s="56"/>
      <c r="O590" s="56"/>
      <c r="P590" s="56"/>
      <c r="Q590" s="56"/>
      <c r="R590" s="2101"/>
      <c r="S590" s="161"/>
    </row>
    <row r="591" spans="1:19">
      <c r="A591" s="161"/>
      <c r="B591" s="56"/>
      <c r="C591" s="56"/>
      <c r="D591" s="56"/>
      <c r="E591" s="56"/>
      <c r="F591" s="56"/>
      <c r="G591" s="56"/>
      <c r="H591" s="56"/>
      <c r="I591" s="56"/>
      <c r="J591" s="56"/>
      <c r="K591" s="56"/>
      <c r="L591" s="56"/>
      <c r="M591" s="56"/>
      <c r="N591" s="56"/>
      <c r="O591" s="56"/>
      <c r="P591" s="56"/>
      <c r="Q591" s="56"/>
      <c r="R591" s="2101"/>
      <c r="S591" s="161"/>
    </row>
    <row r="592" spans="1:19">
      <c r="A592" s="161"/>
      <c r="B592" s="56"/>
      <c r="C592" s="56"/>
      <c r="D592" s="56"/>
      <c r="E592" s="56"/>
      <c r="F592" s="56"/>
      <c r="G592" s="56"/>
      <c r="H592" s="56"/>
      <c r="I592" s="56"/>
      <c r="J592" s="56"/>
      <c r="K592" s="56"/>
      <c r="L592" s="56"/>
      <c r="M592" s="56"/>
      <c r="N592" s="56"/>
      <c r="O592" s="56"/>
      <c r="P592" s="56"/>
      <c r="Q592" s="56"/>
      <c r="R592" s="2101"/>
      <c r="S592" s="161"/>
    </row>
    <row r="593" spans="1:19">
      <c r="A593" s="161"/>
      <c r="B593" s="56"/>
      <c r="C593" s="56"/>
      <c r="D593" s="56"/>
      <c r="E593" s="56"/>
      <c r="F593" s="56"/>
      <c r="G593" s="56"/>
      <c r="H593" s="56"/>
      <c r="I593" s="56"/>
      <c r="J593" s="56"/>
      <c r="K593" s="56"/>
      <c r="L593" s="56"/>
      <c r="M593" s="56"/>
      <c r="N593" s="56"/>
      <c r="O593" s="56"/>
      <c r="P593" s="56"/>
      <c r="Q593" s="56"/>
      <c r="R593" s="2101"/>
      <c r="S593" s="161"/>
    </row>
    <row r="594" spans="1:19">
      <c r="A594" s="161"/>
      <c r="B594" s="56"/>
      <c r="C594" s="56"/>
      <c r="D594" s="56"/>
      <c r="E594" s="56"/>
      <c r="F594" s="56"/>
      <c r="G594" s="56"/>
      <c r="H594" s="56"/>
      <c r="I594" s="56"/>
      <c r="J594" s="56"/>
      <c r="K594" s="56"/>
      <c r="L594" s="56"/>
      <c r="M594" s="56"/>
      <c r="N594" s="56"/>
      <c r="O594" s="56"/>
      <c r="P594" s="56"/>
      <c r="Q594" s="56"/>
      <c r="R594" s="2101"/>
      <c r="S594" s="161"/>
    </row>
    <row r="595" spans="1:19">
      <c r="A595" s="161"/>
      <c r="B595" s="56"/>
      <c r="C595" s="56"/>
      <c r="D595" s="56"/>
      <c r="E595" s="56"/>
      <c r="F595" s="56"/>
      <c r="G595" s="56"/>
      <c r="H595" s="56"/>
      <c r="I595" s="56"/>
      <c r="J595" s="56"/>
      <c r="K595" s="56"/>
      <c r="L595" s="56"/>
      <c r="M595" s="56"/>
      <c r="N595" s="56"/>
      <c r="O595" s="56"/>
      <c r="P595" s="56"/>
      <c r="Q595" s="56"/>
      <c r="R595" s="2101"/>
      <c r="S595" s="161"/>
    </row>
    <row r="596" spans="1:19">
      <c r="A596" s="161"/>
      <c r="B596" s="56"/>
      <c r="C596" s="56"/>
      <c r="D596" s="56"/>
      <c r="E596" s="56"/>
      <c r="F596" s="56"/>
      <c r="G596" s="56"/>
      <c r="H596" s="56"/>
      <c r="I596" s="56"/>
      <c r="J596" s="56"/>
      <c r="K596" s="56"/>
      <c r="L596" s="56"/>
      <c r="M596" s="56"/>
      <c r="N596" s="56"/>
      <c r="O596" s="56"/>
      <c r="P596" s="56"/>
      <c r="Q596" s="56"/>
      <c r="R596" s="2101"/>
      <c r="S596" s="161"/>
    </row>
    <row r="597" spans="1:19">
      <c r="A597" s="161"/>
      <c r="B597" s="56"/>
      <c r="C597" s="56"/>
      <c r="D597" s="56"/>
      <c r="E597" s="56"/>
      <c r="F597" s="56"/>
      <c r="G597" s="56"/>
      <c r="H597" s="56"/>
      <c r="I597" s="56"/>
      <c r="J597" s="56"/>
      <c r="K597" s="56"/>
      <c r="L597" s="56"/>
      <c r="M597" s="56"/>
      <c r="N597" s="56"/>
      <c r="O597" s="56"/>
      <c r="P597" s="56"/>
      <c r="Q597" s="56"/>
      <c r="R597" s="2101"/>
      <c r="S597" s="161"/>
    </row>
    <row r="598" spans="1:19">
      <c r="A598" s="161"/>
      <c r="B598" s="56"/>
      <c r="C598" s="56"/>
      <c r="D598" s="56"/>
      <c r="E598" s="56"/>
      <c r="F598" s="56"/>
      <c r="G598" s="56"/>
      <c r="H598" s="56"/>
      <c r="I598" s="56"/>
      <c r="J598" s="56"/>
      <c r="K598" s="56"/>
      <c r="L598" s="56"/>
      <c r="M598" s="56"/>
      <c r="N598" s="56"/>
      <c r="O598" s="56"/>
      <c r="P598" s="56"/>
      <c r="Q598" s="56"/>
      <c r="R598" s="2101"/>
      <c r="S598" s="161"/>
    </row>
    <row r="599" spans="1:19">
      <c r="A599" s="161"/>
      <c r="B599" s="56"/>
      <c r="C599" s="56"/>
      <c r="D599" s="56"/>
      <c r="E599" s="56"/>
      <c r="F599" s="56"/>
      <c r="G599" s="56"/>
      <c r="H599" s="56"/>
      <c r="I599" s="56"/>
      <c r="J599" s="56"/>
      <c r="K599" s="56"/>
      <c r="L599" s="56"/>
      <c r="M599" s="56"/>
      <c r="N599" s="56"/>
      <c r="O599" s="56"/>
      <c r="P599" s="56"/>
      <c r="Q599" s="56"/>
      <c r="R599" s="2101"/>
      <c r="S599" s="161"/>
    </row>
    <row r="600" spans="1:19">
      <c r="A600" s="161"/>
      <c r="B600" s="56"/>
      <c r="C600" s="56"/>
      <c r="D600" s="56"/>
      <c r="E600" s="56"/>
      <c r="F600" s="56"/>
      <c r="G600" s="56"/>
      <c r="H600" s="56"/>
      <c r="I600" s="56"/>
      <c r="J600" s="56"/>
      <c r="K600" s="56"/>
      <c r="L600" s="56"/>
      <c r="M600" s="56"/>
      <c r="N600" s="56"/>
      <c r="O600" s="56"/>
      <c r="P600" s="56"/>
      <c r="Q600" s="56"/>
      <c r="R600" s="2101"/>
      <c r="S600" s="161"/>
    </row>
    <row r="601" spans="1:19">
      <c r="A601" s="161"/>
      <c r="B601" s="56"/>
      <c r="C601" s="56"/>
      <c r="D601" s="56"/>
      <c r="E601" s="56"/>
      <c r="F601" s="56"/>
      <c r="G601" s="56"/>
      <c r="H601" s="56"/>
      <c r="I601" s="56"/>
      <c r="J601" s="56"/>
      <c r="K601" s="56"/>
      <c r="L601" s="56"/>
      <c r="M601" s="56"/>
      <c r="N601" s="56"/>
      <c r="O601" s="56"/>
      <c r="P601" s="56"/>
      <c r="Q601" s="56"/>
      <c r="R601" s="2101"/>
      <c r="S601" s="161"/>
    </row>
    <row r="602" spans="1:19">
      <c r="A602" s="161"/>
      <c r="B602" s="56"/>
      <c r="C602" s="56"/>
      <c r="D602" s="56"/>
      <c r="E602" s="56"/>
      <c r="F602" s="56"/>
      <c r="G602" s="56"/>
      <c r="H602" s="56"/>
      <c r="I602" s="56"/>
      <c r="J602" s="56"/>
      <c r="K602" s="56"/>
      <c r="L602" s="56"/>
      <c r="M602" s="56"/>
      <c r="N602" s="56"/>
      <c r="O602" s="56"/>
      <c r="P602" s="56"/>
      <c r="Q602" s="56"/>
      <c r="R602" s="2101"/>
      <c r="S602" s="161"/>
    </row>
    <row r="603" spans="1:19">
      <c r="A603" s="161"/>
      <c r="B603" s="56"/>
      <c r="C603" s="56"/>
      <c r="D603" s="56"/>
      <c r="E603" s="56"/>
      <c r="F603" s="56"/>
      <c r="G603" s="56"/>
      <c r="H603" s="56"/>
      <c r="I603" s="56"/>
      <c r="J603" s="56"/>
      <c r="K603" s="56"/>
      <c r="L603" s="56"/>
      <c r="M603" s="56"/>
      <c r="N603" s="56"/>
      <c r="O603" s="56"/>
      <c r="P603" s="56"/>
      <c r="Q603" s="56"/>
      <c r="R603" s="2101"/>
      <c r="S603" s="161"/>
    </row>
    <row r="604" spans="1:19">
      <c r="A604" s="161"/>
      <c r="B604" s="56"/>
      <c r="C604" s="56"/>
      <c r="D604" s="56"/>
      <c r="E604" s="56"/>
      <c r="F604" s="56"/>
      <c r="G604" s="56"/>
      <c r="H604" s="56"/>
      <c r="I604" s="56"/>
      <c r="J604" s="56"/>
      <c r="K604" s="56"/>
      <c r="L604" s="56"/>
      <c r="M604" s="56"/>
      <c r="N604" s="56"/>
      <c r="O604" s="56"/>
      <c r="P604" s="56"/>
      <c r="Q604" s="56"/>
      <c r="R604" s="2101"/>
      <c r="S604" s="161"/>
    </row>
    <row r="605" spans="1:19">
      <c r="A605" s="161"/>
      <c r="B605" s="56"/>
      <c r="C605" s="56"/>
      <c r="D605" s="56"/>
      <c r="E605" s="56"/>
      <c r="F605" s="56"/>
      <c r="G605" s="56"/>
      <c r="H605" s="56"/>
      <c r="I605" s="56"/>
      <c r="J605" s="56"/>
      <c r="K605" s="56"/>
      <c r="L605" s="56"/>
      <c r="M605" s="56"/>
      <c r="N605" s="56"/>
      <c r="O605" s="56"/>
      <c r="P605" s="56"/>
      <c r="Q605" s="56"/>
      <c r="R605" s="2101"/>
      <c r="S605" s="161"/>
    </row>
    <row r="606" spans="1:19">
      <c r="A606" s="161"/>
      <c r="B606" s="56"/>
      <c r="C606" s="56"/>
      <c r="D606" s="56"/>
      <c r="E606" s="56"/>
      <c r="F606" s="56"/>
      <c r="G606" s="56"/>
      <c r="H606" s="56"/>
      <c r="I606" s="56"/>
      <c r="J606" s="56"/>
      <c r="K606" s="56"/>
      <c r="L606" s="56"/>
      <c r="M606" s="56"/>
      <c r="N606" s="56"/>
      <c r="O606" s="56"/>
      <c r="P606" s="56"/>
      <c r="Q606" s="56"/>
      <c r="R606" s="2101"/>
      <c r="S606" s="161"/>
    </row>
    <row r="607" spans="1:19">
      <c r="A607" s="161"/>
      <c r="B607" s="56"/>
      <c r="C607" s="56"/>
      <c r="D607" s="56"/>
      <c r="E607" s="56"/>
      <c r="F607" s="56"/>
      <c r="G607" s="56"/>
      <c r="H607" s="56"/>
      <c r="I607" s="56"/>
      <c r="J607" s="56"/>
      <c r="K607" s="56"/>
      <c r="L607" s="56"/>
      <c r="M607" s="56"/>
      <c r="N607" s="56"/>
      <c r="O607" s="56"/>
      <c r="P607" s="56"/>
      <c r="Q607" s="56"/>
      <c r="R607" s="2101"/>
      <c r="S607" s="161"/>
    </row>
    <row r="608" spans="1:19">
      <c r="A608" s="161"/>
      <c r="B608" s="56"/>
      <c r="C608" s="56"/>
      <c r="D608" s="56"/>
      <c r="E608" s="56"/>
      <c r="F608" s="56"/>
      <c r="G608" s="56"/>
      <c r="H608" s="56"/>
      <c r="I608" s="56"/>
      <c r="J608" s="56"/>
      <c r="K608" s="56"/>
      <c r="L608" s="56"/>
      <c r="M608" s="56"/>
      <c r="N608" s="56"/>
      <c r="O608" s="56"/>
      <c r="P608" s="56"/>
      <c r="Q608" s="56"/>
      <c r="R608" s="2101"/>
      <c r="S608" s="161"/>
    </row>
    <row r="609" spans="1:19">
      <c r="A609" s="161"/>
      <c r="B609" s="56"/>
      <c r="C609" s="56"/>
      <c r="D609" s="56"/>
      <c r="E609" s="56"/>
      <c r="F609" s="56"/>
      <c r="G609" s="56"/>
      <c r="H609" s="56"/>
      <c r="I609" s="56"/>
      <c r="J609" s="56"/>
      <c r="K609" s="56"/>
      <c r="L609" s="56"/>
      <c r="M609" s="56"/>
      <c r="N609" s="56"/>
      <c r="O609" s="56"/>
      <c r="P609" s="56"/>
      <c r="Q609" s="56"/>
      <c r="R609" s="2101"/>
      <c r="S609" s="161"/>
    </row>
    <row r="610" spans="1:19">
      <c r="A610" s="161"/>
      <c r="B610" s="56"/>
      <c r="C610" s="56"/>
      <c r="D610" s="56"/>
      <c r="E610" s="56"/>
      <c r="F610" s="56"/>
      <c r="G610" s="56"/>
      <c r="H610" s="56"/>
      <c r="I610" s="56"/>
      <c r="J610" s="56"/>
      <c r="K610" s="56"/>
      <c r="L610" s="56"/>
      <c r="M610" s="56"/>
      <c r="N610" s="56"/>
      <c r="O610" s="56"/>
      <c r="P610" s="56"/>
      <c r="Q610" s="56"/>
      <c r="R610" s="2101"/>
      <c r="S610" s="161"/>
    </row>
    <row r="611" spans="1:19">
      <c r="A611" s="161"/>
      <c r="B611" s="56"/>
      <c r="C611" s="56"/>
      <c r="D611" s="56"/>
      <c r="E611" s="56"/>
      <c r="F611" s="56"/>
      <c r="G611" s="56"/>
      <c r="H611" s="56"/>
      <c r="I611" s="56"/>
      <c r="J611" s="56"/>
      <c r="K611" s="56"/>
      <c r="L611" s="56"/>
      <c r="M611" s="56"/>
      <c r="N611" s="56"/>
      <c r="O611" s="56"/>
      <c r="P611" s="56"/>
      <c r="Q611" s="56"/>
      <c r="R611" s="2101"/>
      <c r="S611" s="161"/>
    </row>
    <row r="612" spans="1:19">
      <c r="A612" s="161"/>
      <c r="B612" s="56"/>
      <c r="C612" s="56"/>
      <c r="D612" s="56"/>
      <c r="E612" s="56"/>
      <c r="F612" s="56"/>
      <c r="G612" s="56"/>
      <c r="H612" s="56"/>
      <c r="I612" s="56"/>
      <c r="J612" s="56"/>
      <c r="K612" s="56"/>
      <c r="L612" s="56"/>
      <c r="M612" s="56"/>
      <c r="N612" s="56"/>
      <c r="O612" s="56"/>
      <c r="P612" s="56"/>
      <c r="Q612" s="56"/>
      <c r="R612" s="2101"/>
      <c r="S612" s="161"/>
    </row>
    <row r="613" spans="1:19">
      <c r="A613" s="161"/>
      <c r="B613" s="56"/>
      <c r="C613" s="56"/>
      <c r="D613" s="56"/>
      <c r="E613" s="56"/>
      <c r="F613" s="56"/>
      <c r="G613" s="56"/>
      <c r="H613" s="56"/>
      <c r="I613" s="56"/>
      <c r="J613" s="56"/>
      <c r="K613" s="56"/>
      <c r="L613" s="56"/>
      <c r="M613" s="56"/>
      <c r="N613" s="56"/>
      <c r="O613" s="56"/>
      <c r="P613" s="56"/>
      <c r="Q613" s="56"/>
      <c r="R613" s="2101"/>
      <c r="S613" s="161"/>
    </row>
    <row r="614" spans="1:19">
      <c r="A614" s="161"/>
      <c r="B614" s="56"/>
      <c r="C614" s="56"/>
      <c r="D614" s="56"/>
      <c r="E614" s="56"/>
      <c r="F614" s="56"/>
      <c r="G614" s="56"/>
      <c r="H614" s="56"/>
      <c r="I614" s="56"/>
      <c r="J614" s="56"/>
      <c r="K614" s="56"/>
      <c r="L614" s="56"/>
      <c r="M614" s="56"/>
      <c r="N614" s="56"/>
      <c r="O614" s="56"/>
      <c r="P614" s="56"/>
      <c r="Q614" s="56"/>
      <c r="R614" s="2101"/>
      <c r="S614" s="161"/>
    </row>
    <row r="615" spans="1:19">
      <c r="A615" s="161"/>
      <c r="B615" s="56"/>
      <c r="C615" s="56"/>
      <c r="D615" s="56"/>
      <c r="E615" s="56"/>
      <c r="F615" s="56"/>
      <c r="G615" s="56"/>
      <c r="H615" s="56"/>
      <c r="I615" s="56"/>
      <c r="J615" s="56"/>
      <c r="K615" s="56"/>
      <c r="L615" s="56"/>
      <c r="M615" s="56"/>
      <c r="N615" s="56"/>
      <c r="O615" s="56"/>
      <c r="P615" s="56"/>
      <c r="Q615" s="56"/>
      <c r="R615" s="2101"/>
      <c r="S615" s="161"/>
    </row>
    <row r="616" spans="1:19">
      <c r="A616" s="161"/>
      <c r="B616" s="56"/>
      <c r="C616" s="56"/>
      <c r="D616" s="56"/>
      <c r="E616" s="56"/>
      <c r="F616" s="56"/>
      <c r="G616" s="56"/>
      <c r="H616" s="56"/>
      <c r="I616" s="56"/>
      <c r="J616" s="56"/>
      <c r="K616" s="56"/>
      <c r="L616" s="56"/>
      <c r="M616" s="56"/>
      <c r="N616" s="56"/>
      <c r="O616" s="56"/>
      <c r="P616" s="56"/>
      <c r="Q616" s="56"/>
      <c r="R616" s="2101"/>
      <c r="S616" s="161"/>
    </row>
    <row r="617" spans="1:19">
      <c r="A617" s="161"/>
      <c r="B617" s="56"/>
      <c r="C617" s="56"/>
      <c r="D617" s="56"/>
      <c r="E617" s="56"/>
      <c r="F617" s="56"/>
      <c r="G617" s="56"/>
      <c r="H617" s="56"/>
      <c r="I617" s="56"/>
      <c r="J617" s="56"/>
      <c r="K617" s="56"/>
      <c r="L617" s="56"/>
      <c r="M617" s="56"/>
      <c r="N617" s="56"/>
      <c r="O617" s="56"/>
      <c r="P617" s="56"/>
      <c r="Q617" s="56"/>
      <c r="R617" s="2101"/>
      <c r="S617" s="161"/>
    </row>
    <row r="618" spans="1:19">
      <c r="A618" s="161"/>
      <c r="B618" s="56"/>
      <c r="C618" s="56"/>
      <c r="D618" s="56"/>
      <c r="E618" s="56"/>
      <c r="F618" s="56"/>
      <c r="G618" s="56"/>
      <c r="H618" s="56"/>
      <c r="I618" s="56"/>
      <c r="J618" s="56"/>
      <c r="K618" s="56"/>
      <c r="L618" s="56"/>
      <c r="M618" s="56"/>
      <c r="N618" s="56"/>
      <c r="O618" s="56"/>
      <c r="P618" s="56"/>
      <c r="Q618" s="56"/>
      <c r="R618" s="2101"/>
      <c r="S618" s="161"/>
    </row>
    <row r="619" spans="1:19">
      <c r="A619" s="161"/>
      <c r="B619" s="56"/>
      <c r="C619" s="56"/>
      <c r="D619" s="56"/>
      <c r="E619" s="56"/>
      <c r="F619" s="56"/>
      <c r="G619" s="56"/>
      <c r="H619" s="56"/>
      <c r="I619" s="56"/>
      <c r="J619" s="56"/>
      <c r="K619" s="56"/>
      <c r="L619" s="56"/>
      <c r="M619" s="56"/>
      <c r="N619" s="56"/>
      <c r="O619" s="56"/>
      <c r="P619" s="56"/>
      <c r="Q619" s="56"/>
      <c r="R619" s="2101"/>
      <c r="S619" s="161"/>
    </row>
    <row r="620" spans="1:19">
      <c r="A620" s="161"/>
      <c r="B620" s="56"/>
      <c r="C620" s="56"/>
      <c r="D620" s="56"/>
      <c r="E620" s="56"/>
      <c r="F620" s="56"/>
      <c r="G620" s="56"/>
      <c r="H620" s="56"/>
      <c r="I620" s="56"/>
      <c r="J620" s="56"/>
      <c r="K620" s="56"/>
      <c r="L620" s="56"/>
      <c r="M620" s="56"/>
      <c r="N620" s="56"/>
      <c r="O620" s="56"/>
      <c r="P620" s="56"/>
      <c r="Q620" s="56"/>
      <c r="R620" s="2101"/>
      <c r="S620" s="161"/>
    </row>
    <row r="621" spans="1:19">
      <c r="A621" s="161"/>
      <c r="B621" s="56"/>
      <c r="C621" s="56"/>
      <c r="D621" s="56"/>
      <c r="E621" s="56"/>
      <c r="F621" s="56"/>
      <c r="G621" s="56"/>
      <c r="H621" s="56"/>
      <c r="I621" s="56"/>
      <c r="J621" s="56"/>
      <c r="K621" s="56"/>
      <c r="L621" s="56"/>
      <c r="M621" s="56"/>
      <c r="N621" s="56"/>
      <c r="O621" s="56"/>
      <c r="P621" s="56"/>
      <c r="Q621" s="56"/>
      <c r="R621" s="2101"/>
      <c r="S621" s="161"/>
    </row>
    <row r="622" spans="1:19">
      <c r="A622" s="161"/>
      <c r="B622" s="56"/>
      <c r="C622" s="56"/>
      <c r="D622" s="56"/>
      <c r="E622" s="56"/>
      <c r="F622" s="56"/>
      <c r="G622" s="56"/>
      <c r="H622" s="56"/>
      <c r="I622" s="56"/>
      <c r="J622" s="56"/>
      <c r="K622" s="56"/>
      <c r="L622" s="56"/>
      <c r="M622" s="56"/>
      <c r="N622" s="56"/>
      <c r="O622" s="56"/>
      <c r="P622" s="56"/>
      <c r="Q622" s="56"/>
      <c r="R622" s="2101"/>
      <c r="S622" s="161"/>
    </row>
    <row r="623" spans="1:19">
      <c r="A623" s="161"/>
      <c r="B623" s="56"/>
      <c r="C623" s="56"/>
      <c r="D623" s="56"/>
      <c r="E623" s="56"/>
      <c r="F623" s="56"/>
      <c r="G623" s="56"/>
      <c r="H623" s="56"/>
      <c r="I623" s="56"/>
      <c r="J623" s="56"/>
      <c r="K623" s="56"/>
      <c r="L623" s="56"/>
      <c r="M623" s="56"/>
      <c r="N623" s="56"/>
      <c r="O623" s="56"/>
      <c r="P623" s="56"/>
      <c r="Q623" s="56"/>
      <c r="R623" s="2101"/>
      <c r="S623" s="161"/>
    </row>
    <row r="624" spans="1:19">
      <c r="A624" s="161"/>
      <c r="B624" s="56"/>
      <c r="C624" s="56"/>
      <c r="D624" s="56"/>
      <c r="E624" s="56"/>
      <c r="F624" s="56"/>
      <c r="G624" s="56"/>
      <c r="H624" s="56"/>
      <c r="I624" s="56"/>
      <c r="J624" s="56"/>
      <c r="K624" s="56"/>
      <c r="L624" s="56"/>
      <c r="M624" s="56"/>
      <c r="N624" s="56"/>
      <c r="O624" s="56"/>
      <c r="P624" s="56"/>
      <c r="Q624" s="56"/>
      <c r="R624" s="2101"/>
      <c r="S624" s="161"/>
    </row>
    <row r="625" spans="1:19">
      <c r="A625" s="161"/>
      <c r="B625" s="56"/>
      <c r="C625" s="56"/>
      <c r="D625" s="56"/>
      <c r="E625" s="56"/>
      <c r="F625" s="56"/>
      <c r="G625" s="56"/>
      <c r="H625" s="56"/>
      <c r="I625" s="56"/>
      <c r="J625" s="56"/>
      <c r="K625" s="56"/>
      <c r="L625" s="56"/>
      <c r="M625" s="56"/>
      <c r="N625" s="56"/>
      <c r="O625" s="56"/>
      <c r="P625" s="56"/>
      <c r="Q625" s="56"/>
      <c r="R625" s="2101"/>
      <c r="S625" s="161"/>
    </row>
    <row r="626" spans="1:19">
      <c r="A626" s="161"/>
      <c r="B626" s="56"/>
      <c r="C626" s="56"/>
      <c r="D626" s="56"/>
      <c r="E626" s="56"/>
      <c r="F626" s="56"/>
      <c r="G626" s="56"/>
      <c r="H626" s="56"/>
      <c r="I626" s="56"/>
      <c r="J626" s="56"/>
      <c r="K626" s="56"/>
      <c r="L626" s="56"/>
      <c r="M626" s="56"/>
      <c r="N626" s="56"/>
      <c r="O626" s="56"/>
      <c r="P626" s="56"/>
      <c r="Q626" s="56"/>
      <c r="R626" s="2101"/>
      <c r="S626" s="161"/>
    </row>
    <row r="627" spans="1:19">
      <c r="A627" s="161"/>
      <c r="B627" s="56"/>
      <c r="C627" s="56"/>
      <c r="D627" s="56"/>
      <c r="E627" s="56"/>
      <c r="F627" s="56"/>
      <c r="G627" s="56"/>
      <c r="H627" s="56"/>
      <c r="I627" s="56"/>
      <c r="J627" s="56"/>
      <c r="K627" s="56"/>
      <c r="L627" s="56"/>
      <c r="M627" s="56"/>
      <c r="N627" s="56"/>
      <c r="O627" s="56"/>
      <c r="P627" s="56"/>
      <c r="Q627" s="56"/>
      <c r="R627" s="2101"/>
      <c r="S627" s="161"/>
    </row>
    <row r="628" spans="1:19">
      <c r="A628" s="161"/>
      <c r="B628" s="56"/>
      <c r="C628" s="56"/>
      <c r="D628" s="56"/>
      <c r="E628" s="56"/>
      <c r="F628" s="56"/>
      <c r="G628" s="56"/>
      <c r="H628" s="56"/>
      <c r="I628" s="56"/>
      <c r="J628" s="56"/>
      <c r="K628" s="56"/>
      <c r="L628" s="56"/>
      <c r="M628" s="56"/>
      <c r="N628" s="56"/>
      <c r="O628" s="56"/>
      <c r="P628" s="56"/>
      <c r="Q628" s="56"/>
      <c r="R628" s="2101"/>
      <c r="S628" s="161"/>
    </row>
    <row r="629" spans="1:19">
      <c r="A629" s="161"/>
      <c r="B629" s="56"/>
      <c r="C629" s="56"/>
      <c r="D629" s="56"/>
      <c r="E629" s="56"/>
      <c r="F629" s="56"/>
      <c r="G629" s="56"/>
      <c r="H629" s="56"/>
      <c r="I629" s="56"/>
      <c r="J629" s="56"/>
      <c r="K629" s="56"/>
      <c r="L629" s="56"/>
      <c r="M629" s="56"/>
      <c r="N629" s="56"/>
      <c r="O629" s="56"/>
      <c r="P629" s="56"/>
      <c r="Q629" s="56"/>
      <c r="R629" s="2101"/>
      <c r="S629" s="161"/>
    </row>
    <row r="630" spans="1:19">
      <c r="A630" s="161"/>
      <c r="B630" s="56"/>
      <c r="C630" s="56"/>
      <c r="D630" s="56"/>
      <c r="E630" s="56"/>
      <c r="F630" s="56"/>
      <c r="G630" s="56"/>
      <c r="H630" s="56"/>
      <c r="I630" s="56"/>
      <c r="J630" s="56"/>
      <c r="K630" s="56"/>
      <c r="L630" s="56"/>
      <c r="M630" s="56"/>
      <c r="N630" s="56"/>
      <c r="O630" s="56"/>
      <c r="P630" s="56"/>
      <c r="Q630" s="56"/>
      <c r="R630" s="2101"/>
      <c r="S630" s="161"/>
    </row>
    <row r="631" spans="1:19">
      <c r="A631" s="161"/>
      <c r="B631" s="56"/>
      <c r="C631" s="56"/>
      <c r="D631" s="56"/>
      <c r="E631" s="56"/>
      <c r="F631" s="56"/>
      <c r="G631" s="56"/>
      <c r="H631" s="56"/>
      <c r="I631" s="56"/>
      <c r="J631" s="56"/>
      <c r="K631" s="56"/>
      <c r="L631" s="56"/>
      <c r="M631" s="56"/>
      <c r="N631" s="56"/>
      <c r="O631" s="56"/>
      <c r="P631" s="56"/>
      <c r="Q631" s="56"/>
      <c r="R631" s="2101"/>
      <c r="S631" s="161"/>
    </row>
    <row r="632" spans="1:19">
      <c r="A632" s="161"/>
      <c r="B632" s="56"/>
      <c r="C632" s="56"/>
      <c r="D632" s="56"/>
      <c r="E632" s="56"/>
      <c r="F632" s="56"/>
      <c r="G632" s="56"/>
      <c r="H632" s="56"/>
      <c r="I632" s="56"/>
      <c r="J632" s="56"/>
      <c r="K632" s="56"/>
      <c r="L632" s="56"/>
      <c r="M632" s="56"/>
      <c r="N632" s="56"/>
      <c r="O632" s="56"/>
      <c r="P632" s="56"/>
      <c r="Q632" s="56"/>
      <c r="R632" s="2101"/>
      <c r="S632" s="161"/>
    </row>
    <row r="633" spans="1:19">
      <c r="A633" s="161"/>
      <c r="B633" s="56"/>
      <c r="C633" s="56"/>
      <c r="D633" s="56"/>
      <c r="E633" s="56"/>
      <c r="F633" s="56"/>
      <c r="G633" s="56"/>
      <c r="H633" s="56"/>
      <c r="I633" s="56"/>
      <c r="J633" s="56"/>
      <c r="K633" s="56"/>
      <c r="L633" s="56"/>
      <c r="M633" s="56"/>
      <c r="N633" s="56"/>
      <c r="O633" s="56"/>
      <c r="P633" s="56"/>
      <c r="Q633" s="56"/>
      <c r="R633" s="2101"/>
      <c r="S633" s="161"/>
    </row>
    <row r="634" spans="1:19">
      <c r="A634" s="161"/>
      <c r="B634" s="56"/>
      <c r="C634" s="56"/>
      <c r="D634" s="56"/>
      <c r="E634" s="56"/>
      <c r="F634" s="56"/>
      <c r="G634" s="56"/>
      <c r="H634" s="56"/>
      <c r="I634" s="56"/>
      <c r="J634" s="56"/>
      <c r="K634" s="56"/>
      <c r="L634" s="56"/>
      <c r="M634" s="56"/>
      <c r="N634" s="56"/>
      <c r="O634" s="56"/>
      <c r="P634" s="56"/>
      <c r="Q634" s="56"/>
      <c r="R634" s="2101"/>
      <c r="S634" s="161"/>
    </row>
    <row r="635" spans="1:19">
      <c r="A635" s="161"/>
      <c r="B635" s="56"/>
      <c r="C635" s="56"/>
      <c r="D635" s="56"/>
      <c r="E635" s="56"/>
      <c r="F635" s="56"/>
      <c r="G635" s="56"/>
      <c r="H635" s="56"/>
      <c r="I635" s="56"/>
      <c r="J635" s="56"/>
      <c r="K635" s="56"/>
      <c r="L635" s="56"/>
      <c r="M635" s="56"/>
      <c r="N635" s="56"/>
      <c r="O635" s="56"/>
      <c r="P635" s="56"/>
      <c r="Q635" s="56"/>
      <c r="R635" s="2101"/>
      <c r="S635" s="161"/>
    </row>
    <row r="636" spans="1:19">
      <c r="A636" s="161"/>
      <c r="B636" s="56"/>
      <c r="C636" s="56"/>
      <c r="D636" s="56"/>
      <c r="E636" s="56"/>
      <c r="F636" s="56"/>
      <c r="G636" s="56"/>
      <c r="H636" s="56"/>
      <c r="I636" s="56"/>
      <c r="J636" s="56"/>
      <c r="K636" s="56"/>
      <c r="L636" s="56"/>
      <c r="M636" s="56"/>
      <c r="N636" s="56"/>
      <c r="O636" s="56"/>
      <c r="P636" s="56"/>
      <c r="Q636" s="56"/>
      <c r="R636" s="2101"/>
      <c r="S636" s="161"/>
    </row>
    <row r="637" spans="1:19">
      <c r="A637" s="161"/>
      <c r="B637" s="56"/>
      <c r="C637" s="56"/>
      <c r="D637" s="56"/>
      <c r="E637" s="56"/>
      <c r="F637" s="56"/>
      <c r="G637" s="56"/>
      <c r="H637" s="56"/>
      <c r="I637" s="56"/>
      <c r="J637" s="56"/>
      <c r="K637" s="56"/>
      <c r="L637" s="56"/>
      <c r="M637" s="56"/>
      <c r="N637" s="56"/>
      <c r="O637" s="56"/>
      <c r="P637" s="56"/>
      <c r="Q637" s="56"/>
      <c r="R637" s="2101"/>
      <c r="S637" s="161"/>
    </row>
    <row r="638" spans="1:19">
      <c r="A638" s="161"/>
      <c r="B638" s="56"/>
      <c r="C638" s="56"/>
      <c r="D638" s="56"/>
      <c r="E638" s="56"/>
      <c r="F638" s="56"/>
      <c r="G638" s="56"/>
      <c r="H638" s="56"/>
      <c r="I638" s="56"/>
      <c r="J638" s="56"/>
      <c r="K638" s="56"/>
      <c r="L638" s="56"/>
      <c r="M638" s="56"/>
      <c r="N638" s="56"/>
      <c r="O638" s="56"/>
      <c r="P638" s="56"/>
      <c r="Q638" s="56"/>
      <c r="R638" s="2101"/>
      <c r="S638" s="161"/>
    </row>
    <row r="639" spans="1:19">
      <c r="A639" s="161"/>
      <c r="B639" s="56"/>
      <c r="C639" s="56"/>
      <c r="D639" s="56"/>
      <c r="E639" s="56"/>
      <c r="F639" s="56"/>
      <c r="G639" s="56"/>
      <c r="H639" s="56"/>
      <c r="I639" s="56"/>
      <c r="J639" s="56"/>
      <c r="K639" s="56"/>
      <c r="L639" s="56"/>
      <c r="M639" s="56"/>
      <c r="N639" s="56"/>
      <c r="O639" s="56"/>
      <c r="P639" s="56"/>
      <c r="Q639" s="56"/>
      <c r="R639" s="2101"/>
      <c r="S639" s="161"/>
    </row>
    <row r="640" spans="1:19">
      <c r="A640" s="161"/>
      <c r="B640" s="56"/>
      <c r="C640" s="56"/>
      <c r="D640" s="56"/>
      <c r="E640" s="56"/>
      <c r="F640" s="56"/>
      <c r="G640" s="56"/>
      <c r="H640" s="56"/>
      <c r="I640" s="56"/>
      <c r="J640" s="56"/>
      <c r="K640" s="56"/>
      <c r="L640" s="56"/>
      <c r="M640" s="56"/>
      <c r="N640" s="56"/>
      <c r="O640" s="56"/>
      <c r="P640" s="56"/>
      <c r="Q640" s="56"/>
      <c r="R640" s="2101"/>
      <c r="S640" s="161"/>
    </row>
    <row r="641" spans="1:19">
      <c r="A641" s="161"/>
      <c r="B641" s="56"/>
      <c r="C641" s="56"/>
      <c r="D641" s="56"/>
      <c r="E641" s="56"/>
      <c r="F641" s="56"/>
      <c r="G641" s="56"/>
      <c r="H641" s="56"/>
      <c r="I641" s="56"/>
      <c r="J641" s="56"/>
      <c r="K641" s="56"/>
      <c r="L641" s="56"/>
      <c r="M641" s="56"/>
      <c r="N641" s="56"/>
      <c r="O641" s="56"/>
      <c r="P641" s="56"/>
      <c r="Q641" s="56"/>
      <c r="R641" s="2101"/>
      <c r="S641" s="161"/>
    </row>
    <row r="642" spans="1:19">
      <c r="A642" s="161"/>
      <c r="B642" s="56"/>
      <c r="C642" s="56"/>
      <c r="D642" s="56"/>
      <c r="E642" s="56"/>
      <c r="F642" s="56"/>
      <c r="G642" s="56"/>
      <c r="H642" s="56"/>
      <c r="I642" s="56"/>
      <c r="J642" s="56"/>
      <c r="K642" s="56"/>
      <c r="L642" s="56"/>
      <c r="M642" s="56"/>
      <c r="N642" s="56"/>
      <c r="O642" s="56"/>
      <c r="P642" s="56"/>
      <c r="Q642" s="56"/>
      <c r="R642" s="2101"/>
      <c r="S642" s="161"/>
    </row>
    <row r="643" spans="1:19">
      <c r="A643" s="161"/>
      <c r="B643" s="56"/>
      <c r="C643" s="56"/>
      <c r="D643" s="56"/>
      <c r="E643" s="56"/>
      <c r="F643" s="56"/>
      <c r="G643" s="56"/>
      <c r="H643" s="56"/>
      <c r="I643" s="56"/>
      <c r="J643" s="56"/>
      <c r="K643" s="56"/>
      <c r="L643" s="56"/>
      <c r="M643" s="56"/>
      <c r="N643" s="56"/>
      <c r="O643" s="56"/>
      <c r="P643" s="56"/>
      <c r="Q643" s="56"/>
      <c r="R643" s="2101"/>
      <c r="S643" s="161"/>
    </row>
    <row r="644" spans="1:19">
      <c r="A644" s="161"/>
      <c r="B644" s="56"/>
      <c r="C644" s="56"/>
      <c r="D644" s="56"/>
      <c r="E644" s="56"/>
      <c r="F644" s="56"/>
      <c r="G644" s="56"/>
      <c r="H644" s="56"/>
      <c r="I644" s="56"/>
      <c r="J644" s="56"/>
      <c r="K644" s="56"/>
      <c r="L644" s="56"/>
      <c r="M644" s="56"/>
      <c r="N644" s="56"/>
      <c r="O644" s="56"/>
      <c r="P644" s="56"/>
      <c r="Q644" s="56"/>
      <c r="R644" s="2101"/>
      <c r="S644" s="161"/>
    </row>
    <row r="645" spans="1:19">
      <c r="A645" s="161"/>
      <c r="B645" s="56"/>
      <c r="C645" s="56"/>
      <c r="D645" s="56"/>
      <c r="E645" s="56"/>
      <c r="F645" s="56"/>
      <c r="G645" s="56"/>
      <c r="H645" s="56"/>
      <c r="I645" s="56"/>
      <c r="J645" s="56"/>
      <c r="K645" s="56"/>
      <c r="L645" s="56"/>
      <c r="M645" s="56"/>
      <c r="N645" s="56"/>
      <c r="O645" s="56"/>
      <c r="P645" s="56"/>
      <c r="Q645" s="56"/>
      <c r="R645" s="2101"/>
      <c r="S645" s="161"/>
    </row>
    <row r="646" spans="1:19">
      <c r="A646" s="161"/>
      <c r="B646" s="56"/>
      <c r="C646" s="56"/>
      <c r="D646" s="56"/>
      <c r="E646" s="56"/>
      <c r="F646" s="56"/>
      <c r="G646" s="56"/>
      <c r="H646" s="56"/>
      <c r="I646" s="56"/>
      <c r="J646" s="56"/>
      <c r="K646" s="56"/>
      <c r="L646" s="56"/>
      <c r="M646" s="56"/>
      <c r="N646" s="56"/>
      <c r="O646" s="56"/>
      <c r="P646" s="56"/>
      <c r="Q646" s="56"/>
      <c r="R646" s="2101"/>
      <c r="S646" s="161"/>
    </row>
    <row r="647" spans="1:19">
      <c r="A647" s="161"/>
      <c r="B647" s="56"/>
      <c r="C647" s="56"/>
      <c r="D647" s="56"/>
      <c r="E647" s="56"/>
      <c r="F647" s="56"/>
      <c r="G647" s="56"/>
      <c r="H647" s="56"/>
      <c r="I647" s="56"/>
      <c r="J647" s="56"/>
      <c r="K647" s="56"/>
      <c r="L647" s="56"/>
      <c r="M647" s="56"/>
      <c r="N647" s="56"/>
      <c r="O647" s="56"/>
      <c r="P647" s="56"/>
      <c r="Q647" s="56"/>
      <c r="R647" s="2101"/>
      <c r="S647" s="161"/>
    </row>
    <row r="648" spans="1:19">
      <c r="A648" s="161"/>
      <c r="B648" s="56"/>
      <c r="C648" s="56"/>
      <c r="D648" s="56"/>
      <c r="E648" s="56"/>
      <c r="F648" s="56"/>
      <c r="G648" s="56"/>
      <c r="H648" s="56"/>
      <c r="I648" s="56"/>
      <c r="J648" s="56"/>
      <c r="K648" s="56"/>
      <c r="L648" s="56"/>
      <c r="M648" s="56"/>
      <c r="N648" s="56"/>
      <c r="O648" s="56"/>
      <c r="P648" s="56"/>
      <c r="Q648" s="56"/>
      <c r="R648" s="2101"/>
      <c r="S648" s="161"/>
    </row>
    <row r="649" spans="1:19">
      <c r="A649" s="161"/>
      <c r="B649" s="56"/>
      <c r="C649" s="56"/>
      <c r="D649" s="56"/>
      <c r="E649" s="56"/>
      <c r="F649" s="56"/>
      <c r="G649" s="56"/>
      <c r="H649" s="56"/>
      <c r="I649" s="56"/>
      <c r="J649" s="56"/>
      <c r="K649" s="56"/>
      <c r="L649" s="56"/>
      <c r="M649" s="56"/>
      <c r="N649" s="56"/>
      <c r="O649" s="56"/>
      <c r="P649" s="56"/>
      <c r="Q649" s="56"/>
      <c r="R649" s="2101"/>
      <c r="S649" s="161"/>
    </row>
    <row r="650" spans="1:19">
      <c r="A650" s="161"/>
      <c r="B650" s="56"/>
      <c r="C650" s="56"/>
      <c r="D650" s="56"/>
      <c r="E650" s="56"/>
      <c r="F650" s="56"/>
      <c r="G650" s="56"/>
      <c r="H650" s="56"/>
      <c r="I650" s="56"/>
      <c r="J650" s="56"/>
      <c r="K650" s="56"/>
      <c r="L650" s="56"/>
      <c r="M650" s="56"/>
      <c r="N650" s="56"/>
      <c r="O650" s="56"/>
      <c r="P650" s="56"/>
      <c r="Q650" s="56"/>
      <c r="R650" s="2101"/>
      <c r="S650" s="161"/>
    </row>
    <row r="651" spans="1:19">
      <c r="A651" s="161"/>
      <c r="B651" s="56"/>
      <c r="C651" s="56"/>
      <c r="D651" s="56"/>
      <c r="E651" s="56"/>
      <c r="F651" s="56"/>
      <c r="G651" s="56"/>
      <c r="H651" s="56"/>
      <c r="I651" s="56"/>
      <c r="J651" s="56"/>
      <c r="K651" s="56"/>
      <c r="L651" s="56"/>
      <c r="M651" s="56"/>
      <c r="N651" s="56"/>
      <c r="O651" s="56"/>
      <c r="P651" s="56"/>
      <c r="Q651" s="56"/>
      <c r="R651" s="2101"/>
      <c r="S651" s="161"/>
    </row>
    <row r="652" spans="1:19">
      <c r="A652" s="161"/>
      <c r="B652" s="56"/>
      <c r="C652" s="56"/>
      <c r="D652" s="56"/>
      <c r="E652" s="56"/>
      <c r="F652" s="56"/>
      <c r="G652" s="56"/>
      <c r="H652" s="56"/>
      <c r="I652" s="56"/>
      <c r="J652" s="56"/>
      <c r="K652" s="56"/>
      <c r="L652" s="56"/>
      <c r="M652" s="56"/>
      <c r="N652" s="56"/>
      <c r="O652" s="56"/>
      <c r="P652" s="56"/>
      <c r="Q652" s="56"/>
      <c r="R652" s="2101"/>
      <c r="S652" s="161"/>
    </row>
    <row r="653" spans="1:19">
      <c r="A653" s="161"/>
      <c r="B653" s="56"/>
      <c r="C653" s="56"/>
      <c r="D653" s="56"/>
      <c r="E653" s="56"/>
      <c r="F653" s="56"/>
      <c r="G653" s="56"/>
      <c r="H653" s="56"/>
      <c r="I653" s="56"/>
      <c r="J653" s="56"/>
      <c r="K653" s="56"/>
      <c r="L653" s="56"/>
      <c r="M653" s="56"/>
      <c r="N653" s="56"/>
      <c r="O653" s="56"/>
      <c r="P653" s="56"/>
      <c r="Q653" s="56"/>
      <c r="R653" s="2101"/>
      <c r="S653" s="161"/>
    </row>
    <row r="654" spans="1:19">
      <c r="A654" s="161"/>
      <c r="B654" s="56"/>
      <c r="C654" s="56"/>
      <c r="D654" s="56"/>
      <c r="E654" s="56"/>
      <c r="F654" s="56"/>
      <c r="G654" s="56"/>
      <c r="H654" s="56"/>
      <c r="I654" s="56"/>
      <c r="J654" s="56"/>
      <c r="K654" s="56"/>
      <c r="L654" s="56"/>
      <c r="M654" s="56"/>
      <c r="N654" s="56"/>
      <c r="O654" s="56"/>
      <c r="P654" s="56"/>
      <c r="Q654" s="56"/>
      <c r="R654" s="2101"/>
      <c r="S654" s="161"/>
    </row>
    <row r="655" spans="1:19">
      <c r="A655" s="161"/>
      <c r="B655" s="56"/>
      <c r="C655" s="56"/>
      <c r="D655" s="56"/>
      <c r="E655" s="56"/>
      <c r="F655" s="56"/>
      <c r="G655" s="56"/>
      <c r="H655" s="56"/>
      <c r="I655" s="56"/>
      <c r="J655" s="56"/>
      <c r="K655" s="56"/>
      <c r="L655" s="56"/>
      <c r="M655" s="56"/>
      <c r="N655" s="56"/>
      <c r="O655" s="56"/>
      <c r="P655" s="56"/>
      <c r="Q655" s="56"/>
      <c r="R655" s="2101"/>
      <c r="S655" s="161"/>
    </row>
    <row r="656" spans="1:19">
      <c r="A656" s="161"/>
      <c r="B656" s="56"/>
      <c r="C656" s="56"/>
      <c r="D656" s="56"/>
      <c r="E656" s="56"/>
      <c r="F656" s="56"/>
      <c r="G656" s="56"/>
      <c r="H656" s="56"/>
      <c r="I656" s="56"/>
      <c r="J656" s="56"/>
      <c r="K656" s="56"/>
      <c r="L656" s="56"/>
      <c r="M656" s="56"/>
      <c r="N656" s="56"/>
      <c r="O656" s="56"/>
      <c r="P656" s="56"/>
      <c r="Q656" s="56"/>
      <c r="R656" s="2101"/>
      <c r="S656" s="161"/>
    </row>
    <row r="657" spans="1:19">
      <c r="A657" s="161"/>
      <c r="B657" s="56"/>
      <c r="C657" s="56"/>
      <c r="D657" s="56"/>
      <c r="E657" s="56"/>
      <c r="F657" s="56"/>
      <c r="G657" s="56"/>
      <c r="H657" s="56"/>
      <c r="I657" s="56"/>
      <c r="J657" s="56"/>
      <c r="K657" s="56"/>
      <c r="L657" s="56"/>
      <c r="M657" s="56"/>
      <c r="N657" s="56"/>
      <c r="O657" s="56"/>
      <c r="P657" s="56"/>
      <c r="Q657" s="56"/>
      <c r="R657" s="2101"/>
      <c r="S657" s="161"/>
    </row>
    <row r="658" spans="1:19">
      <c r="A658" s="161"/>
      <c r="B658" s="56"/>
      <c r="C658" s="56"/>
      <c r="D658" s="56"/>
      <c r="E658" s="56"/>
      <c r="F658" s="56"/>
      <c r="G658" s="56"/>
      <c r="H658" s="56"/>
      <c r="I658" s="56"/>
      <c r="J658" s="56"/>
      <c r="K658" s="56"/>
      <c r="L658" s="56"/>
      <c r="M658" s="56"/>
      <c r="N658" s="56"/>
      <c r="O658" s="56"/>
      <c r="P658" s="56"/>
      <c r="Q658" s="56"/>
      <c r="R658" s="2101"/>
      <c r="S658" s="161"/>
    </row>
    <row r="659" spans="1:19">
      <c r="A659" s="161"/>
      <c r="B659" s="56"/>
      <c r="C659" s="56"/>
      <c r="D659" s="56"/>
      <c r="E659" s="56"/>
      <c r="F659" s="56"/>
      <c r="G659" s="56"/>
      <c r="H659" s="56"/>
      <c r="I659" s="56"/>
      <c r="J659" s="56"/>
      <c r="K659" s="56"/>
      <c r="L659" s="56"/>
      <c r="M659" s="56"/>
      <c r="N659" s="56"/>
      <c r="O659" s="56"/>
      <c r="P659" s="56"/>
      <c r="Q659" s="56"/>
      <c r="R659" s="2101"/>
      <c r="S659" s="161"/>
    </row>
    <row r="660" spans="1:19">
      <c r="A660" s="161"/>
      <c r="B660" s="56"/>
      <c r="C660" s="56"/>
      <c r="D660" s="56"/>
      <c r="E660" s="56"/>
      <c r="F660" s="56"/>
      <c r="G660" s="56"/>
      <c r="H660" s="56"/>
      <c r="I660" s="56"/>
      <c r="J660" s="56"/>
      <c r="K660" s="56"/>
      <c r="L660" s="56"/>
      <c r="M660" s="56"/>
      <c r="N660" s="56"/>
      <c r="O660" s="56"/>
      <c r="P660" s="56"/>
      <c r="Q660" s="56"/>
      <c r="R660" s="2101"/>
      <c r="S660" s="161"/>
    </row>
    <row r="661" spans="1:19">
      <c r="A661" s="161"/>
      <c r="B661" s="56"/>
      <c r="C661" s="56"/>
      <c r="D661" s="56"/>
      <c r="E661" s="56"/>
      <c r="F661" s="56"/>
      <c r="G661" s="56"/>
      <c r="H661" s="56"/>
      <c r="I661" s="56"/>
      <c r="J661" s="56"/>
      <c r="K661" s="56"/>
      <c r="L661" s="56"/>
      <c r="M661" s="56"/>
      <c r="N661" s="56"/>
      <c r="O661" s="56"/>
      <c r="P661" s="56"/>
      <c r="Q661" s="56"/>
      <c r="R661" s="2101"/>
      <c r="S661" s="161"/>
    </row>
    <row r="662" spans="1:19">
      <c r="A662" s="161"/>
      <c r="B662" s="56"/>
      <c r="C662" s="56"/>
      <c r="D662" s="56"/>
      <c r="E662" s="56"/>
      <c r="F662" s="56"/>
      <c r="G662" s="56"/>
      <c r="H662" s="56"/>
      <c r="I662" s="56"/>
      <c r="J662" s="56"/>
      <c r="K662" s="56"/>
      <c r="L662" s="56"/>
      <c r="M662" s="56"/>
      <c r="N662" s="56"/>
      <c r="O662" s="56"/>
      <c r="P662" s="56"/>
      <c r="Q662" s="56"/>
      <c r="R662" s="2101"/>
      <c r="S662" s="161"/>
    </row>
    <row r="663" spans="1:19">
      <c r="A663" s="161"/>
      <c r="B663" s="56"/>
      <c r="C663" s="56"/>
      <c r="D663" s="56"/>
      <c r="E663" s="56"/>
      <c r="F663" s="56"/>
      <c r="G663" s="56"/>
      <c r="H663" s="56"/>
      <c r="I663" s="56"/>
      <c r="J663" s="56"/>
      <c r="K663" s="56"/>
      <c r="L663" s="56"/>
      <c r="M663" s="56"/>
      <c r="N663" s="56"/>
      <c r="O663" s="56"/>
      <c r="P663" s="56"/>
      <c r="Q663" s="56"/>
      <c r="R663" s="2101"/>
      <c r="S663" s="161"/>
    </row>
    <row r="664" spans="1:19">
      <c r="A664" s="161"/>
      <c r="B664" s="56"/>
      <c r="C664" s="56"/>
      <c r="D664" s="56"/>
      <c r="E664" s="56"/>
      <c r="F664" s="56"/>
      <c r="G664" s="56"/>
      <c r="H664" s="56"/>
      <c r="I664" s="56"/>
      <c r="J664" s="56"/>
      <c r="K664" s="56"/>
      <c r="L664" s="56"/>
      <c r="M664" s="56"/>
      <c r="N664" s="56"/>
      <c r="O664" s="56"/>
      <c r="P664" s="56"/>
      <c r="Q664" s="56"/>
      <c r="R664" s="2101"/>
      <c r="S664" s="161"/>
    </row>
    <row r="665" spans="1:19">
      <c r="A665" s="161"/>
      <c r="B665" s="56"/>
      <c r="C665" s="56"/>
      <c r="D665" s="56"/>
      <c r="E665" s="56"/>
      <c r="F665" s="56"/>
      <c r="G665" s="56"/>
      <c r="H665" s="56"/>
      <c r="I665" s="56"/>
      <c r="J665" s="56"/>
      <c r="K665" s="56"/>
      <c r="L665" s="56"/>
      <c r="M665" s="56"/>
      <c r="N665" s="56"/>
      <c r="O665" s="56"/>
      <c r="P665" s="56"/>
      <c r="Q665" s="56"/>
      <c r="R665" s="2101"/>
      <c r="S665" s="161"/>
    </row>
    <row r="666" spans="1:19">
      <c r="A666" s="161"/>
      <c r="B666" s="56"/>
      <c r="C666" s="56"/>
      <c r="D666" s="56"/>
      <c r="E666" s="56"/>
      <c r="F666" s="56"/>
      <c r="G666" s="56"/>
      <c r="H666" s="56"/>
      <c r="I666" s="56"/>
      <c r="J666" s="56"/>
      <c r="K666" s="56"/>
      <c r="L666" s="56"/>
      <c r="M666" s="56"/>
      <c r="N666" s="56"/>
      <c r="O666" s="56"/>
      <c r="P666" s="56"/>
      <c r="Q666" s="56"/>
      <c r="R666" s="2101"/>
      <c r="S666" s="161"/>
    </row>
    <row r="667" spans="1:19">
      <c r="A667" s="161"/>
      <c r="B667" s="56"/>
      <c r="C667" s="56"/>
      <c r="D667" s="56"/>
      <c r="E667" s="56"/>
      <c r="F667" s="56"/>
      <c r="G667" s="56"/>
      <c r="H667" s="56"/>
      <c r="I667" s="56"/>
      <c r="J667" s="56"/>
      <c r="K667" s="56"/>
      <c r="L667" s="56"/>
      <c r="M667" s="56"/>
      <c r="N667" s="56"/>
      <c r="O667" s="56"/>
      <c r="P667" s="56"/>
      <c r="Q667" s="56"/>
      <c r="R667" s="2101"/>
      <c r="S667" s="161"/>
    </row>
    <row r="668" spans="1:19">
      <c r="A668" s="161"/>
      <c r="B668" s="56"/>
      <c r="C668" s="56"/>
      <c r="D668" s="56"/>
      <c r="E668" s="56"/>
      <c r="F668" s="56"/>
      <c r="G668" s="56"/>
      <c r="H668" s="56"/>
      <c r="I668" s="56"/>
      <c r="J668" s="56"/>
      <c r="K668" s="56"/>
      <c r="L668" s="56"/>
      <c r="M668" s="56"/>
      <c r="N668" s="56"/>
      <c r="O668" s="56"/>
      <c r="P668" s="56"/>
      <c r="Q668" s="56"/>
      <c r="R668" s="2101"/>
      <c r="S668" s="161"/>
    </row>
    <row r="669" spans="1:19">
      <c r="A669" s="161"/>
      <c r="B669" s="56"/>
      <c r="C669" s="56"/>
      <c r="D669" s="56"/>
      <c r="E669" s="56"/>
      <c r="F669" s="56"/>
      <c r="G669" s="56"/>
      <c r="H669" s="56"/>
      <c r="I669" s="56"/>
      <c r="J669" s="56"/>
      <c r="K669" s="56"/>
      <c r="L669" s="56"/>
      <c r="M669" s="56"/>
      <c r="N669" s="56"/>
      <c r="O669" s="56"/>
      <c r="P669" s="56"/>
      <c r="Q669" s="56"/>
      <c r="R669" s="2101"/>
      <c r="S669" s="161"/>
    </row>
    <row r="670" spans="1:19">
      <c r="A670" s="161"/>
      <c r="B670" s="56"/>
      <c r="C670" s="56"/>
      <c r="D670" s="56"/>
      <c r="E670" s="56"/>
      <c r="F670" s="56"/>
      <c r="G670" s="56"/>
      <c r="H670" s="56"/>
      <c r="I670" s="56"/>
      <c r="J670" s="56"/>
      <c r="K670" s="56"/>
      <c r="L670" s="56"/>
      <c r="M670" s="56"/>
      <c r="N670" s="56"/>
      <c r="O670" s="56"/>
      <c r="P670" s="56"/>
      <c r="Q670" s="56"/>
      <c r="R670" s="2101"/>
      <c r="S670" s="161"/>
    </row>
    <row r="671" spans="1:19">
      <c r="A671" s="161"/>
      <c r="B671" s="56"/>
      <c r="C671" s="56"/>
      <c r="D671" s="56"/>
      <c r="E671" s="56"/>
      <c r="F671" s="56"/>
      <c r="G671" s="56"/>
      <c r="H671" s="56"/>
      <c r="I671" s="56"/>
      <c r="J671" s="56"/>
      <c r="K671" s="56"/>
      <c r="L671" s="56"/>
      <c r="M671" s="56"/>
      <c r="N671" s="56"/>
      <c r="O671" s="56"/>
      <c r="P671" s="56"/>
      <c r="Q671" s="56"/>
      <c r="R671" s="2101"/>
      <c r="S671" s="161"/>
    </row>
    <row r="672" spans="1:19">
      <c r="A672" s="161"/>
      <c r="B672" s="56"/>
      <c r="C672" s="56"/>
      <c r="D672" s="56"/>
      <c r="E672" s="56"/>
      <c r="F672" s="56"/>
      <c r="G672" s="56"/>
      <c r="H672" s="56"/>
      <c r="I672" s="56"/>
      <c r="J672" s="56"/>
      <c r="K672" s="56"/>
      <c r="L672" s="56"/>
      <c r="M672" s="56"/>
      <c r="N672" s="56"/>
      <c r="O672" s="56"/>
      <c r="P672" s="56"/>
      <c r="Q672" s="56"/>
      <c r="R672" s="2101"/>
      <c r="S672" s="161"/>
    </row>
    <row r="673" spans="1:19">
      <c r="A673" s="161"/>
      <c r="B673" s="56"/>
      <c r="C673" s="56"/>
      <c r="D673" s="56"/>
      <c r="E673" s="56"/>
      <c r="F673" s="56"/>
      <c r="G673" s="56"/>
      <c r="H673" s="56"/>
      <c r="I673" s="56"/>
      <c r="J673" s="56"/>
      <c r="K673" s="56"/>
      <c r="L673" s="56"/>
      <c r="M673" s="56"/>
      <c r="N673" s="56"/>
      <c r="O673" s="56"/>
      <c r="P673" s="56"/>
      <c r="Q673" s="56"/>
      <c r="R673" s="2101"/>
      <c r="S673" s="161"/>
    </row>
    <row r="674" spans="1:19">
      <c r="A674" s="161"/>
      <c r="B674" s="56"/>
      <c r="C674" s="56"/>
      <c r="D674" s="56"/>
      <c r="E674" s="56"/>
      <c r="F674" s="56"/>
      <c r="G674" s="56"/>
      <c r="H674" s="56"/>
      <c r="I674" s="56"/>
      <c r="J674" s="56"/>
      <c r="K674" s="56"/>
      <c r="L674" s="56"/>
      <c r="M674" s="56"/>
      <c r="N674" s="56"/>
      <c r="O674" s="56"/>
      <c r="P674" s="56"/>
      <c r="Q674" s="56"/>
      <c r="R674" s="2101"/>
      <c r="S674" s="161"/>
    </row>
    <row r="675" spans="1:19">
      <c r="A675" s="161"/>
      <c r="B675" s="56"/>
      <c r="C675" s="56"/>
      <c r="D675" s="56"/>
      <c r="E675" s="56"/>
      <c r="F675" s="56"/>
      <c r="G675" s="56"/>
      <c r="H675" s="56"/>
      <c r="I675" s="56"/>
      <c r="J675" s="56"/>
      <c r="K675" s="56"/>
      <c r="L675" s="56"/>
      <c r="M675" s="56"/>
      <c r="N675" s="56"/>
      <c r="O675" s="56"/>
      <c r="P675" s="56"/>
      <c r="Q675" s="56"/>
      <c r="R675" s="2101"/>
      <c r="S675" s="161"/>
    </row>
    <row r="676" spans="1:19">
      <c r="A676" s="161"/>
      <c r="B676" s="56"/>
      <c r="C676" s="56"/>
      <c r="D676" s="56"/>
      <c r="E676" s="56"/>
      <c r="F676" s="56"/>
      <c r="G676" s="56"/>
      <c r="H676" s="56"/>
      <c r="I676" s="56"/>
      <c r="J676" s="56"/>
      <c r="K676" s="56"/>
      <c r="L676" s="56"/>
      <c r="M676" s="56"/>
      <c r="N676" s="56"/>
      <c r="O676" s="56"/>
      <c r="P676" s="56"/>
      <c r="Q676" s="56"/>
      <c r="R676" s="2101"/>
      <c r="S676" s="161"/>
    </row>
    <row r="677" spans="1:19">
      <c r="A677" s="161"/>
      <c r="B677" s="56"/>
      <c r="C677" s="56"/>
      <c r="D677" s="56"/>
      <c r="E677" s="56"/>
      <c r="F677" s="56"/>
      <c r="G677" s="56"/>
      <c r="H677" s="56"/>
      <c r="I677" s="56"/>
      <c r="J677" s="56"/>
      <c r="K677" s="56"/>
      <c r="L677" s="56"/>
      <c r="M677" s="56"/>
      <c r="N677" s="56"/>
      <c r="O677" s="56"/>
      <c r="P677" s="56"/>
      <c r="Q677" s="56"/>
      <c r="R677" s="2101"/>
      <c r="S677" s="161"/>
    </row>
    <row r="678" spans="1:19">
      <c r="A678" s="161"/>
      <c r="B678" s="56"/>
      <c r="C678" s="56"/>
      <c r="D678" s="56"/>
      <c r="E678" s="56"/>
      <c r="F678" s="56"/>
      <c r="G678" s="56"/>
      <c r="H678" s="56"/>
      <c r="I678" s="56"/>
      <c r="J678" s="56"/>
      <c r="K678" s="56"/>
      <c r="L678" s="56"/>
      <c r="M678" s="56"/>
      <c r="N678" s="56"/>
      <c r="O678" s="56"/>
      <c r="P678" s="56"/>
      <c r="Q678" s="56"/>
      <c r="R678" s="2101"/>
      <c r="S678" s="161"/>
    </row>
    <row r="679" spans="1:19">
      <c r="A679" s="161"/>
      <c r="B679" s="56"/>
      <c r="C679" s="56"/>
      <c r="D679" s="56"/>
      <c r="E679" s="56"/>
      <c r="F679" s="56"/>
      <c r="G679" s="56"/>
      <c r="H679" s="56"/>
      <c r="I679" s="56"/>
      <c r="J679" s="56"/>
      <c r="K679" s="56"/>
      <c r="L679" s="56"/>
      <c r="M679" s="56"/>
      <c r="N679" s="56"/>
      <c r="O679" s="56"/>
      <c r="P679" s="56"/>
      <c r="Q679" s="56"/>
      <c r="R679" s="2101"/>
      <c r="S679" s="161"/>
    </row>
    <row r="680" spans="1:19">
      <c r="A680" s="161"/>
      <c r="B680" s="56"/>
      <c r="C680" s="56"/>
      <c r="D680" s="56"/>
      <c r="E680" s="56"/>
      <c r="F680" s="56"/>
      <c r="G680" s="56"/>
      <c r="H680" s="56"/>
      <c r="I680" s="56"/>
      <c r="J680" s="56"/>
      <c r="K680" s="56"/>
      <c r="L680" s="56"/>
      <c r="M680" s="56"/>
      <c r="N680" s="56"/>
      <c r="O680" s="56"/>
      <c r="P680" s="56"/>
      <c r="Q680" s="56"/>
      <c r="R680" s="2101"/>
      <c r="S680" s="161"/>
    </row>
    <row r="681" spans="1:19">
      <c r="A681" s="161"/>
      <c r="B681" s="56"/>
      <c r="C681" s="56"/>
      <c r="D681" s="56"/>
      <c r="E681" s="56"/>
      <c r="F681" s="56"/>
      <c r="G681" s="56"/>
      <c r="H681" s="56"/>
      <c r="I681" s="56"/>
      <c r="J681" s="56"/>
      <c r="K681" s="56"/>
      <c r="L681" s="56"/>
      <c r="M681" s="56"/>
      <c r="N681" s="56"/>
      <c r="O681" s="56"/>
      <c r="P681" s="56"/>
      <c r="Q681" s="56"/>
      <c r="R681" s="2101"/>
      <c r="S681" s="161"/>
    </row>
    <row r="682" spans="1:19">
      <c r="A682" s="161"/>
      <c r="B682" s="56"/>
      <c r="C682" s="56"/>
      <c r="D682" s="56"/>
      <c r="E682" s="56"/>
      <c r="F682" s="56"/>
      <c r="G682" s="56"/>
      <c r="H682" s="56"/>
      <c r="I682" s="56"/>
      <c r="J682" s="56"/>
      <c r="K682" s="56"/>
      <c r="L682" s="56"/>
      <c r="M682" s="56"/>
      <c r="N682" s="56"/>
      <c r="O682" s="56"/>
      <c r="P682" s="56"/>
      <c r="Q682" s="56"/>
      <c r="R682" s="2101"/>
      <c r="S682" s="161"/>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06" customWidth="1"/>
    <col min="2" max="2" width="13.25" style="2812" customWidth="1"/>
    <col min="3" max="3" width="15.625" style="2812" customWidth="1"/>
    <col min="4" max="4" width="9.375" style="2812" bestFit="1" customWidth="1"/>
    <col min="5" max="5" width="13.5" style="2812" customWidth="1"/>
    <col min="6" max="6" width="9" style="2812"/>
    <col min="7" max="7" width="9.375" style="2812" bestFit="1" customWidth="1"/>
    <col min="8" max="9" width="9" style="2812"/>
    <col min="10" max="10" width="9.375" style="2812" bestFit="1" customWidth="1"/>
    <col min="11" max="11" width="4" style="2806" customWidth="1"/>
    <col min="12" max="12" width="5.125" style="2812" customWidth="1"/>
    <col min="13" max="13" width="13.75" style="2812" customWidth="1"/>
    <col min="14" max="256" width="9" style="2812"/>
    <col min="257" max="257" width="4.875" style="2804" customWidth="1"/>
    <col min="258" max="258" width="13.25" style="2804" customWidth="1"/>
    <col min="259" max="259" width="15.625" style="2804" customWidth="1"/>
    <col min="260" max="260" width="9.375" style="2804" bestFit="1" customWidth="1"/>
    <col min="261" max="261" width="13.5" style="2804" customWidth="1"/>
    <col min="262" max="262" width="9" style="2804"/>
    <col min="263" max="263" width="9.375" style="2804" bestFit="1" customWidth="1"/>
    <col min="264" max="265" width="9" style="2804"/>
    <col min="266" max="266" width="9.375" style="2804" bestFit="1" customWidth="1"/>
    <col min="267" max="267" width="4" style="2804" customWidth="1"/>
    <col min="268" max="268" width="5.125" style="2804" customWidth="1"/>
    <col min="269" max="269" width="13.75" style="2804" customWidth="1"/>
    <col min="270" max="512" width="9" style="2804"/>
    <col min="513" max="513" width="4.875" style="2804" customWidth="1"/>
    <col min="514" max="514" width="13.25" style="2804" customWidth="1"/>
    <col min="515" max="515" width="15.625" style="2804" customWidth="1"/>
    <col min="516" max="516" width="9.375" style="2804" bestFit="1" customWidth="1"/>
    <col min="517" max="517" width="13.5" style="2804" customWidth="1"/>
    <col min="518" max="518" width="9" style="2804"/>
    <col min="519" max="519" width="9.375" style="2804" bestFit="1" customWidth="1"/>
    <col min="520" max="521" width="9" style="2804"/>
    <col min="522" max="522" width="9.375" style="2804" bestFit="1" customWidth="1"/>
    <col min="523" max="523" width="4" style="2804" customWidth="1"/>
    <col min="524" max="524" width="5.125" style="2804" customWidth="1"/>
    <col min="525" max="525" width="13.75" style="2804" customWidth="1"/>
    <col min="526" max="768" width="9" style="2804"/>
    <col min="769" max="769" width="4.875" style="2804" customWidth="1"/>
    <col min="770" max="770" width="13.25" style="2804" customWidth="1"/>
    <col min="771" max="771" width="15.625" style="2804" customWidth="1"/>
    <col min="772" max="772" width="9.375" style="2804" bestFit="1" customWidth="1"/>
    <col min="773" max="773" width="13.5" style="2804" customWidth="1"/>
    <col min="774" max="774" width="9" style="2804"/>
    <col min="775" max="775" width="9.375" style="2804" bestFit="1" customWidth="1"/>
    <col min="776" max="777" width="9" style="2804"/>
    <col min="778" max="778" width="9.375" style="2804" bestFit="1" customWidth="1"/>
    <col min="779" max="779" width="4" style="2804" customWidth="1"/>
    <col min="780" max="780" width="5.125" style="2804" customWidth="1"/>
    <col min="781" max="781" width="13.75" style="2804" customWidth="1"/>
    <col min="782" max="1024" width="9" style="2804"/>
    <col min="1025" max="1025" width="4.875" style="2804" customWidth="1"/>
    <col min="1026" max="1026" width="13.25" style="2804" customWidth="1"/>
    <col min="1027" max="1027" width="15.625" style="2804" customWidth="1"/>
    <col min="1028" max="1028" width="9.375" style="2804" bestFit="1" customWidth="1"/>
    <col min="1029" max="1029" width="13.5" style="2804" customWidth="1"/>
    <col min="1030" max="1030" width="9" style="2804"/>
    <col min="1031" max="1031" width="9.375" style="2804" bestFit="1" customWidth="1"/>
    <col min="1032" max="1033" width="9" style="2804"/>
    <col min="1034" max="1034" width="9.375" style="2804" bestFit="1" customWidth="1"/>
    <col min="1035" max="1035" width="4" style="2804" customWidth="1"/>
    <col min="1036" max="1036" width="5.125" style="2804" customWidth="1"/>
    <col min="1037" max="1037" width="13.75" style="2804" customWidth="1"/>
    <col min="1038" max="1280" width="9" style="2804"/>
    <col min="1281" max="1281" width="4.875" style="2804" customWidth="1"/>
    <col min="1282" max="1282" width="13.25" style="2804" customWidth="1"/>
    <col min="1283" max="1283" width="15.625" style="2804" customWidth="1"/>
    <col min="1284" max="1284" width="9.375" style="2804" bestFit="1" customWidth="1"/>
    <col min="1285" max="1285" width="13.5" style="2804" customWidth="1"/>
    <col min="1286" max="1286" width="9" style="2804"/>
    <col min="1287" max="1287" width="9.375" style="2804" bestFit="1" customWidth="1"/>
    <col min="1288" max="1289" width="9" style="2804"/>
    <col min="1290" max="1290" width="9.375" style="2804" bestFit="1" customWidth="1"/>
    <col min="1291" max="1291" width="4" style="2804" customWidth="1"/>
    <col min="1292" max="1292" width="5.125" style="2804" customWidth="1"/>
    <col min="1293" max="1293" width="13.75" style="2804" customWidth="1"/>
    <col min="1294" max="1536" width="9" style="2804"/>
    <col min="1537" max="1537" width="4.875" style="2804" customWidth="1"/>
    <col min="1538" max="1538" width="13.25" style="2804" customWidth="1"/>
    <col min="1539" max="1539" width="15.625" style="2804" customWidth="1"/>
    <col min="1540" max="1540" width="9.375" style="2804" bestFit="1" customWidth="1"/>
    <col min="1541" max="1541" width="13.5" style="2804" customWidth="1"/>
    <col min="1542" max="1542" width="9" style="2804"/>
    <col min="1543" max="1543" width="9.375" style="2804" bestFit="1" customWidth="1"/>
    <col min="1544" max="1545" width="9" style="2804"/>
    <col min="1546" max="1546" width="9.375" style="2804" bestFit="1" customWidth="1"/>
    <col min="1547" max="1547" width="4" style="2804" customWidth="1"/>
    <col min="1548" max="1548" width="5.125" style="2804" customWidth="1"/>
    <col min="1549" max="1549" width="13.75" style="2804" customWidth="1"/>
    <col min="1550" max="1792" width="9" style="2804"/>
    <col min="1793" max="1793" width="4.875" style="2804" customWidth="1"/>
    <col min="1794" max="1794" width="13.25" style="2804" customWidth="1"/>
    <col min="1795" max="1795" width="15.625" style="2804" customWidth="1"/>
    <col min="1796" max="1796" width="9.375" style="2804" bestFit="1" customWidth="1"/>
    <col min="1797" max="1797" width="13.5" style="2804" customWidth="1"/>
    <col min="1798" max="1798" width="9" style="2804"/>
    <col min="1799" max="1799" width="9.375" style="2804" bestFit="1" customWidth="1"/>
    <col min="1800" max="1801" width="9" style="2804"/>
    <col min="1802" max="1802" width="9.375" style="2804" bestFit="1" customWidth="1"/>
    <col min="1803" max="1803" width="4" style="2804" customWidth="1"/>
    <col min="1804" max="1804" width="5.125" style="2804" customWidth="1"/>
    <col min="1805" max="1805" width="13.75" style="2804" customWidth="1"/>
    <col min="1806" max="2048" width="9" style="2804"/>
    <col min="2049" max="2049" width="4.875" style="2804" customWidth="1"/>
    <col min="2050" max="2050" width="13.25" style="2804" customWidth="1"/>
    <col min="2051" max="2051" width="15.625" style="2804" customWidth="1"/>
    <col min="2052" max="2052" width="9.375" style="2804" bestFit="1" customWidth="1"/>
    <col min="2053" max="2053" width="13.5" style="2804" customWidth="1"/>
    <col min="2054" max="2054" width="9" style="2804"/>
    <col min="2055" max="2055" width="9.375" style="2804" bestFit="1" customWidth="1"/>
    <col min="2056" max="2057" width="9" style="2804"/>
    <col min="2058" max="2058" width="9.375" style="2804" bestFit="1" customWidth="1"/>
    <col min="2059" max="2059" width="4" style="2804" customWidth="1"/>
    <col min="2060" max="2060" width="5.125" style="2804" customWidth="1"/>
    <col min="2061" max="2061" width="13.75" style="2804" customWidth="1"/>
    <col min="2062" max="2304" width="9" style="2804"/>
    <col min="2305" max="2305" width="4.875" style="2804" customWidth="1"/>
    <col min="2306" max="2306" width="13.25" style="2804" customWidth="1"/>
    <col min="2307" max="2307" width="15.625" style="2804" customWidth="1"/>
    <col min="2308" max="2308" width="9.375" style="2804" bestFit="1" customWidth="1"/>
    <col min="2309" max="2309" width="13.5" style="2804" customWidth="1"/>
    <col min="2310" max="2310" width="9" style="2804"/>
    <col min="2311" max="2311" width="9.375" style="2804" bestFit="1" customWidth="1"/>
    <col min="2312" max="2313" width="9" style="2804"/>
    <col min="2314" max="2314" width="9.375" style="2804" bestFit="1" customWidth="1"/>
    <col min="2315" max="2315" width="4" style="2804" customWidth="1"/>
    <col min="2316" max="2316" width="5.125" style="2804" customWidth="1"/>
    <col min="2317" max="2317" width="13.75" style="2804" customWidth="1"/>
    <col min="2318" max="2560" width="9" style="2804"/>
    <col min="2561" max="2561" width="4.875" style="2804" customWidth="1"/>
    <col min="2562" max="2562" width="13.25" style="2804" customWidth="1"/>
    <col min="2563" max="2563" width="15.625" style="2804" customWidth="1"/>
    <col min="2564" max="2564" width="9.375" style="2804" bestFit="1" customWidth="1"/>
    <col min="2565" max="2565" width="13.5" style="2804" customWidth="1"/>
    <col min="2566" max="2566" width="9" style="2804"/>
    <col min="2567" max="2567" width="9.375" style="2804" bestFit="1" customWidth="1"/>
    <col min="2568" max="2569" width="9" style="2804"/>
    <col min="2570" max="2570" width="9.375" style="2804" bestFit="1" customWidth="1"/>
    <col min="2571" max="2571" width="4" style="2804" customWidth="1"/>
    <col min="2572" max="2572" width="5.125" style="2804" customWidth="1"/>
    <col min="2573" max="2573" width="13.75" style="2804" customWidth="1"/>
    <col min="2574" max="2816" width="9" style="2804"/>
    <col min="2817" max="2817" width="4.875" style="2804" customWidth="1"/>
    <col min="2818" max="2818" width="13.25" style="2804" customWidth="1"/>
    <col min="2819" max="2819" width="15.625" style="2804" customWidth="1"/>
    <col min="2820" max="2820" width="9.375" style="2804" bestFit="1" customWidth="1"/>
    <col min="2821" max="2821" width="13.5" style="2804" customWidth="1"/>
    <col min="2822" max="2822" width="9" style="2804"/>
    <col min="2823" max="2823" width="9.375" style="2804" bestFit="1" customWidth="1"/>
    <col min="2824" max="2825" width="9" style="2804"/>
    <col min="2826" max="2826" width="9.375" style="2804" bestFit="1" customWidth="1"/>
    <col min="2827" max="2827" width="4" style="2804" customWidth="1"/>
    <col min="2828" max="2828" width="5.125" style="2804" customWidth="1"/>
    <col min="2829" max="2829" width="13.75" style="2804" customWidth="1"/>
    <col min="2830" max="3072" width="9" style="2804"/>
    <col min="3073" max="3073" width="4.875" style="2804" customWidth="1"/>
    <col min="3074" max="3074" width="13.25" style="2804" customWidth="1"/>
    <col min="3075" max="3075" width="15.625" style="2804" customWidth="1"/>
    <col min="3076" max="3076" width="9.375" style="2804" bestFit="1" customWidth="1"/>
    <col min="3077" max="3077" width="13.5" style="2804" customWidth="1"/>
    <col min="3078" max="3078" width="9" style="2804"/>
    <col min="3079" max="3079" width="9.375" style="2804" bestFit="1" customWidth="1"/>
    <col min="3080" max="3081" width="9" style="2804"/>
    <col min="3082" max="3082" width="9.375" style="2804" bestFit="1" customWidth="1"/>
    <col min="3083" max="3083" width="4" style="2804" customWidth="1"/>
    <col min="3084" max="3084" width="5.125" style="2804" customWidth="1"/>
    <col min="3085" max="3085" width="13.75" style="2804" customWidth="1"/>
    <col min="3086" max="3328" width="9" style="2804"/>
    <col min="3329" max="3329" width="4.875" style="2804" customWidth="1"/>
    <col min="3330" max="3330" width="13.25" style="2804" customWidth="1"/>
    <col min="3331" max="3331" width="15.625" style="2804" customWidth="1"/>
    <col min="3332" max="3332" width="9.375" style="2804" bestFit="1" customWidth="1"/>
    <col min="3333" max="3333" width="13.5" style="2804" customWidth="1"/>
    <col min="3334" max="3334" width="9" style="2804"/>
    <col min="3335" max="3335" width="9.375" style="2804" bestFit="1" customWidth="1"/>
    <col min="3336" max="3337" width="9" style="2804"/>
    <col min="3338" max="3338" width="9.375" style="2804" bestFit="1" customWidth="1"/>
    <col min="3339" max="3339" width="4" style="2804" customWidth="1"/>
    <col min="3340" max="3340" width="5.125" style="2804" customWidth="1"/>
    <col min="3341" max="3341" width="13.75" style="2804" customWidth="1"/>
    <col min="3342" max="3584" width="9" style="2804"/>
    <col min="3585" max="3585" width="4.875" style="2804" customWidth="1"/>
    <col min="3586" max="3586" width="13.25" style="2804" customWidth="1"/>
    <col min="3587" max="3587" width="15.625" style="2804" customWidth="1"/>
    <col min="3588" max="3588" width="9.375" style="2804" bestFit="1" customWidth="1"/>
    <col min="3589" max="3589" width="13.5" style="2804" customWidth="1"/>
    <col min="3590" max="3590" width="9" style="2804"/>
    <col min="3591" max="3591" width="9.375" style="2804" bestFit="1" customWidth="1"/>
    <col min="3592" max="3593" width="9" style="2804"/>
    <col min="3594" max="3594" width="9.375" style="2804" bestFit="1" customWidth="1"/>
    <col min="3595" max="3595" width="4" style="2804" customWidth="1"/>
    <col min="3596" max="3596" width="5.125" style="2804" customWidth="1"/>
    <col min="3597" max="3597" width="13.75" style="2804" customWidth="1"/>
    <col min="3598" max="3840" width="9" style="2804"/>
    <col min="3841" max="3841" width="4.875" style="2804" customWidth="1"/>
    <col min="3842" max="3842" width="13.25" style="2804" customWidth="1"/>
    <col min="3843" max="3843" width="15.625" style="2804" customWidth="1"/>
    <col min="3844" max="3844" width="9.375" style="2804" bestFit="1" customWidth="1"/>
    <col min="3845" max="3845" width="13.5" style="2804" customWidth="1"/>
    <col min="3846" max="3846" width="9" style="2804"/>
    <col min="3847" max="3847" width="9.375" style="2804" bestFit="1" customWidth="1"/>
    <col min="3848" max="3849" width="9" style="2804"/>
    <col min="3850" max="3850" width="9.375" style="2804" bestFit="1" customWidth="1"/>
    <col min="3851" max="3851" width="4" style="2804" customWidth="1"/>
    <col min="3852" max="3852" width="5.125" style="2804" customWidth="1"/>
    <col min="3853" max="3853" width="13.75" style="2804" customWidth="1"/>
    <col min="3854" max="4096" width="9" style="2804"/>
    <col min="4097" max="4097" width="4.875" style="2804" customWidth="1"/>
    <col min="4098" max="4098" width="13.25" style="2804" customWidth="1"/>
    <col min="4099" max="4099" width="15.625" style="2804" customWidth="1"/>
    <col min="4100" max="4100" width="9.375" style="2804" bestFit="1" customWidth="1"/>
    <col min="4101" max="4101" width="13.5" style="2804" customWidth="1"/>
    <col min="4102" max="4102" width="9" style="2804"/>
    <col min="4103" max="4103" width="9.375" style="2804" bestFit="1" customWidth="1"/>
    <col min="4104" max="4105" width="9" style="2804"/>
    <col min="4106" max="4106" width="9.375" style="2804" bestFit="1" customWidth="1"/>
    <col min="4107" max="4107" width="4" style="2804" customWidth="1"/>
    <col min="4108" max="4108" width="5.125" style="2804" customWidth="1"/>
    <col min="4109" max="4109" width="13.75" style="2804" customWidth="1"/>
    <col min="4110" max="4352" width="9" style="2804"/>
    <col min="4353" max="4353" width="4.875" style="2804" customWidth="1"/>
    <col min="4354" max="4354" width="13.25" style="2804" customWidth="1"/>
    <col min="4355" max="4355" width="15.625" style="2804" customWidth="1"/>
    <col min="4356" max="4356" width="9.375" style="2804" bestFit="1" customWidth="1"/>
    <col min="4357" max="4357" width="13.5" style="2804" customWidth="1"/>
    <col min="4358" max="4358" width="9" style="2804"/>
    <col min="4359" max="4359" width="9.375" style="2804" bestFit="1" customWidth="1"/>
    <col min="4360" max="4361" width="9" style="2804"/>
    <col min="4362" max="4362" width="9.375" style="2804" bestFit="1" customWidth="1"/>
    <col min="4363" max="4363" width="4" style="2804" customWidth="1"/>
    <col min="4364" max="4364" width="5.125" style="2804" customWidth="1"/>
    <col min="4365" max="4365" width="13.75" style="2804" customWidth="1"/>
    <col min="4366" max="4608" width="9" style="2804"/>
    <col min="4609" max="4609" width="4.875" style="2804" customWidth="1"/>
    <col min="4610" max="4610" width="13.25" style="2804" customWidth="1"/>
    <col min="4611" max="4611" width="15.625" style="2804" customWidth="1"/>
    <col min="4612" max="4612" width="9.375" style="2804" bestFit="1" customWidth="1"/>
    <col min="4613" max="4613" width="13.5" style="2804" customWidth="1"/>
    <col min="4614" max="4614" width="9" style="2804"/>
    <col min="4615" max="4615" width="9.375" style="2804" bestFit="1" customWidth="1"/>
    <col min="4616" max="4617" width="9" style="2804"/>
    <col min="4618" max="4618" width="9.375" style="2804" bestFit="1" customWidth="1"/>
    <col min="4619" max="4619" width="4" style="2804" customWidth="1"/>
    <col min="4620" max="4620" width="5.125" style="2804" customWidth="1"/>
    <col min="4621" max="4621" width="13.75" style="2804" customWidth="1"/>
    <col min="4622" max="4864" width="9" style="2804"/>
    <col min="4865" max="4865" width="4.875" style="2804" customWidth="1"/>
    <col min="4866" max="4866" width="13.25" style="2804" customWidth="1"/>
    <col min="4867" max="4867" width="15.625" style="2804" customWidth="1"/>
    <col min="4868" max="4868" width="9.375" style="2804" bestFit="1" customWidth="1"/>
    <col min="4869" max="4869" width="13.5" style="2804" customWidth="1"/>
    <col min="4870" max="4870" width="9" style="2804"/>
    <col min="4871" max="4871" width="9.375" style="2804" bestFit="1" customWidth="1"/>
    <col min="4872" max="4873" width="9" style="2804"/>
    <col min="4874" max="4874" width="9.375" style="2804" bestFit="1" customWidth="1"/>
    <col min="4875" max="4875" width="4" style="2804" customWidth="1"/>
    <col min="4876" max="4876" width="5.125" style="2804" customWidth="1"/>
    <col min="4877" max="4877" width="13.75" style="2804" customWidth="1"/>
    <col min="4878" max="5120" width="9" style="2804"/>
    <col min="5121" max="5121" width="4.875" style="2804" customWidth="1"/>
    <col min="5122" max="5122" width="13.25" style="2804" customWidth="1"/>
    <col min="5123" max="5123" width="15.625" style="2804" customWidth="1"/>
    <col min="5124" max="5124" width="9.375" style="2804" bestFit="1" customWidth="1"/>
    <col min="5125" max="5125" width="13.5" style="2804" customWidth="1"/>
    <col min="5126" max="5126" width="9" style="2804"/>
    <col min="5127" max="5127" width="9.375" style="2804" bestFit="1" customWidth="1"/>
    <col min="5128" max="5129" width="9" style="2804"/>
    <col min="5130" max="5130" width="9.375" style="2804" bestFit="1" customWidth="1"/>
    <col min="5131" max="5131" width="4" style="2804" customWidth="1"/>
    <col min="5132" max="5132" width="5.125" style="2804" customWidth="1"/>
    <col min="5133" max="5133" width="13.75" style="2804" customWidth="1"/>
    <col min="5134" max="5376" width="9" style="2804"/>
    <col min="5377" max="5377" width="4.875" style="2804" customWidth="1"/>
    <col min="5378" max="5378" width="13.25" style="2804" customWidth="1"/>
    <col min="5379" max="5379" width="15.625" style="2804" customWidth="1"/>
    <col min="5380" max="5380" width="9.375" style="2804" bestFit="1" customWidth="1"/>
    <col min="5381" max="5381" width="13.5" style="2804" customWidth="1"/>
    <col min="5382" max="5382" width="9" style="2804"/>
    <col min="5383" max="5383" width="9.375" style="2804" bestFit="1" customWidth="1"/>
    <col min="5384" max="5385" width="9" style="2804"/>
    <col min="5386" max="5386" width="9.375" style="2804" bestFit="1" customWidth="1"/>
    <col min="5387" max="5387" width="4" style="2804" customWidth="1"/>
    <col min="5388" max="5388" width="5.125" style="2804" customWidth="1"/>
    <col min="5389" max="5389" width="13.75" style="2804" customWidth="1"/>
    <col min="5390" max="5632" width="9" style="2804"/>
    <col min="5633" max="5633" width="4.875" style="2804" customWidth="1"/>
    <col min="5634" max="5634" width="13.25" style="2804" customWidth="1"/>
    <col min="5635" max="5635" width="15.625" style="2804" customWidth="1"/>
    <col min="5636" max="5636" width="9.375" style="2804" bestFit="1" customWidth="1"/>
    <col min="5637" max="5637" width="13.5" style="2804" customWidth="1"/>
    <col min="5638" max="5638" width="9" style="2804"/>
    <col min="5639" max="5639" width="9.375" style="2804" bestFit="1" customWidth="1"/>
    <col min="5640" max="5641" width="9" style="2804"/>
    <col min="5642" max="5642" width="9.375" style="2804" bestFit="1" customWidth="1"/>
    <col min="5643" max="5643" width="4" style="2804" customWidth="1"/>
    <col min="5644" max="5644" width="5.125" style="2804" customWidth="1"/>
    <col min="5645" max="5645" width="13.75" style="2804" customWidth="1"/>
    <col min="5646" max="5888" width="9" style="2804"/>
    <col min="5889" max="5889" width="4.875" style="2804" customWidth="1"/>
    <col min="5890" max="5890" width="13.25" style="2804" customWidth="1"/>
    <col min="5891" max="5891" width="15.625" style="2804" customWidth="1"/>
    <col min="5892" max="5892" width="9.375" style="2804" bestFit="1" customWidth="1"/>
    <col min="5893" max="5893" width="13.5" style="2804" customWidth="1"/>
    <col min="5894" max="5894" width="9" style="2804"/>
    <col min="5895" max="5895" width="9.375" style="2804" bestFit="1" customWidth="1"/>
    <col min="5896" max="5897" width="9" style="2804"/>
    <col min="5898" max="5898" width="9.375" style="2804" bestFit="1" customWidth="1"/>
    <col min="5899" max="5899" width="4" style="2804" customWidth="1"/>
    <col min="5900" max="5900" width="5.125" style="2804" customWidth="1"/>
    <col min="5901" max="5901" width="13.75" style="2804" customWidth="1"/>
    <col min="5902" max="6144" width="9" style="2804"/>
    <col min="6145" max="6145" width="4.875" style="2804" customWidth="1"/>
    <col min="6146" max="6146" width="13.25" style="2804" customWidth="1"/>
    <col min="6147" max="6147" width="15.625" style="2804" customWidth="1"/>
    <col min="6148" max="6148" width="9.375" style="2804" bestFit="1" customWidth="1"/>
    <col min="6149" max="6149" width="13.5" style="2804" customWidth="1"/>
    <col min="6150" max="6150" width="9" style="2804"/>
    <col min="6151" max="6151" width="9.375" style="2804" bestFit="1" customWidth="1"/>
    <col min="6152" max="6153" width="9" style="2804"/>
    <col min="6154" max="6154" width="9.375" style="2804" bestFit="1" customWidth="1"/>
    <col min="6155" max="6155" width="4" style="2804" customWidth="1"/>
    <col min="6156" max="6156" width="5.125" style="2804" customWidth="1"/>
    <col min="6157" max="6157" width="13.75" style="2804" customWidth="1"/>
    <col min="6158" max="6400" width="9" style="2804"/>
    <col min="6401" max="6401" width="4.875" style="2804" customWidth="1"/>
    <col min="6402" max="6402" width="13.25" style="2804" customWidth="1"/>
    <col min="6403" max="6403" width="15.625" style="2804" customWidth="1"/>
    <col min="6404" max="6404" width="9.375" style="2804" bestFit="1" customWidth="1"/>
    <col min="6405" max="6405" width="13.5" style="2804" customWidth="1"/>
    <col min="6406" max="6406" width="9" style="2804"/>
    <col min="6407" max="6407" width="9.375" style="2804" bestFit="1" customWidth="1"/>
    <col min="6408" max="6409" width="9" style="2804"/>
    <col min="6410" max="6410" width="9.375" style="2804" bestFit="1" customWidth="1"/>
    <col min="6411" max="6411" width="4" style="2804" customWidth="1"/>
    <col min="6412" max="6412" width="5.125" style="2804" customWidth="1"/>
    <col min="6413" max="6413" width="13.75" style="2804" customWidth="1"/>
    <col min="6414" max="6656" width="9" style="2804"/>
    <col min="6657" max="6657" width="4.875" style="2804" customWidth="1"/>
    <col min="6658" max="6658" width="13.25" style="2804" customWidth="1"/>
    <col min="6659" max="6659" width="15.625" style="2804" customWidth="1"/>
    <col min="6660" max="6660" width="9.375" style="2804" bestFit="1" customWidth="1"/>
    <col min="6661" max="6661" width="13.5" style="2804" customWidth="1"/>
    <col min="6662" max="6662" width="9" style="2804"/>
    <col min="6663" max="6663" width="9.375" style="2804" bestFit="1" customWidth="1"/>
    <col min="6664" max="6665" width="9" style="2804"/>
    <col min="6666" max="6666" width="9.375" style="2804" bestFit="1" customWidth="1"/>
    <col min="6667" max="6667" width="4" style="2804" customWidth="1"/>
    <col min="6668" max="6668" width="5.125" style="2804" customWidth="1"/>
    <col min="6669" max="6669" width="13.75" style="2804" customWidth="1"/>
    <col min="6670" max="6912" width="9" style="2804"/>
    <col min="6913" max="6913" width="4.875" style="2804" customWidth="1"/>
    <col min="6914" max="6914" width="13.25" style="2804" customWidth="1"/>
    <col min="6915" max="6915" width="15.625" style="2804" customWidth="1"/>
    <col min="6916" max="6916" width="9.375" style="2804" bestFit="1" customWidth="1"/>
    <col min="6917" max="6917" width="13.5" style="2804" customWidth="1"/>
    <col min="6918" max="6918" width="9" style="2804"/>
    <col min="6919" max="6919" width="9.375" style="2804" bestFit="1" customWidth="1"/>
    <col min="6920" max="6921" width="9" style="2804"/>
    <col min="6922" max="6922" width="9.375" style="2804" bestFit="1" customWidth="1"/>
    <col min="6923" max="6923" width="4" style="2804" customWidth="1"/>
    <col min="6924" max="6924" width="5.125" style="2804" customWidth="1"/>
    <col min="6925" max="6925" width="13.75" style="2804" customWidth="1"/>
    <col min="6926" max="7168" width="9" style="2804"/>
    <col min="7169" max="7169" width="4.875" style="2804" customWidth="1"/>
    <col min="7170" max="7170" width="13.25" style="2804" customWidth="1"/>
    <col min="7171" max="7171" width="15.625" style="2804" customWidth="1"/>
    <col min="7172" max="7172" width="9.375" style="2804" bestFit="1" customWidth="1"/>
    <col min="7173" max="7173" width="13.5" style="2804" customWidth="1"/>
    <col min="7174" max="7174" width="9" style="2804"/>
    <col min="7175" max="7175" width="9.375" style="2804" bestFit="1" customWidth="1"/>
    <col min="7176" max="7177" width="9" style="2804"/>
    <col min="7178" max="7178" width="9.375" style="2804" bestFit="1" customWidth="1"/>
    <col min="7179" max="7179" width="4" style="2804" customWidth="1"/>
    <col min="7180" max="7180" width="5.125" style="2804" customWidth="1"/>
    <col min="7181" max="7181" width="13.75" style="2804" customWidth="1"/>
    <col min="7182" max="7424" width="9" style="2804"/>
    <col min="7425" max="7425" width="4.875" style="2804" customWidth="1"/>
    <col min="7426" max="7426" width="13.25" style="2804" customWidth="1"/>
    <col min="7427" max="7427" width="15.625" style="2804" customWidth="1"/>
    <col min="7428" max="7428" width="9.375" style="2804" bestFit="1" customWidth="1"/>
    <col min="7429" max="7429" width="13.5" style="2804" customWidth="1"/>
    <col min="7430" max="7430" width="9" style="2804"/>
    <col min="7431" max="7431" width="9.375" style="2804" bestFit="1" customWidth="1"/>
    <col min="7432" max="7433" width="9" style="2804"/>
    <col min="7434" max="7434" width="9.375" style="2804" bestFit="1" customWidth="1"/>
    <col min="7435" max="7435" width="4" style="2804" customWidth="1"/>
    <col min="7436" max="7436" width="5.125" style="2804" customWidth="1"/>
    <col min="7437" max="7437" width="13.75" style="2804" customWidth="1"/>
    <col min="7438" max="7680" width="9" style="2804"/>
    <col min="7681" max="7681" width="4.875" style="2804" customWidth="1"/>
    <col min="7682" max="7682" width="13.25" style="2804" customWidth="1"/>
    <col min="7683" max="7683" width="15.625" style="2804" customWidth="1"/>
    <col min="7684" max="7684" width="9.375" style="2804" bestFit="1" customWidth="1"/>
    <col min="7685" max="7685" width="13.5" style="2804" customWidth="1"/>
    <col min="7686" max="7686" width="9" style="2804"/>
    <col min="7687" max="7687" width="9.375" style="2804" bestFit="1" customWidth="1"/>
    <col min="7688" max="7689" width="9" style="2804"/>
    <col min="7690" max="7690" width="9.375" style="2804" bestFit="1" customWidth="1"/>
    <col min="7691" max="7691" width="4" style="2804" customWidth="1"/>
    <col min="7692" max="7692" width="5.125" style="2804" customWidth="1"/>
    <col min="7693" max="7693" width="13.75" style="2804" customWidth="1"/>
    <col min="7694" max="7936" width="9" style="2804"/>
    <col min="7937" max="7937" width="4.875" style="2804" customWidth="1"/>
    <col min="7938" max="7938" width="13.25" style="2804" customWidth="1"/>
    <col min="7939" max="7939" width="15.625" style="2804" customWidth="1"/>
    <col min="7940" max="7940" width="9.375" style="2804" bestFit="1" customWidth="1"/>
    <col min="7941" max="7941" width="13.5" style="2804" customWidth="1"/>
    <col min="7942" max="7942" width="9" style="2804"/>
    <col min="7943" max="7943" width="9.375" style="2804" bestFit="1" customWidth="1"/>
    <col min="7944" max="7945" width="9" style="2804"/>
    <col min="7946" max="7946" width="9.375" style="2804" bestFit="1" customWidth="1"/>
    <col min="7947" max="7947" width="4" style="2804" customWidth="1"/>
    <col min="7948" max="7948" width="5.125" style="2804" customWidth="1"/>
    <col min="7949" max="7949" width="13.75" style="2804" customWidth="1"/>
    <col min="7950" max="8192" width="9" style="2804"/>
    <col min="8193" max="8193" width="4.875" style="2804" customWidth="1"/>
    <col min="8194" max="8194" width="13.25" style="2804" customWidth="1"/>
    <col min="8195" max="8195" width="15.625" style="2804" customWidth="1"/>
    <col min="8196" max="8196" width="9.375" style="2804" bestFit="1" customWidth="1"/>
    <col min="8197" max="8197" width="13.5" style="2804" customWidth="1"/>
    <col min="8198" max="8198" width="9" style="2804"/>
    <col min="8199" max="8199" width="9.375" style="2804" bestFit="1" customWidth="1"/>
    <col min="8200" max="8201" width="9" style="2804"/>
    <col min="8202" max="8202" width="9.375" style="2804" bestFit="1" customWidth="1"/>
    <col min="8203" max="8203" width="4" style="2804" customWidth="1"/>
    <col min="8204" max="8204" width="5.125" style="2804" customWidth="1"/>
    <col min="8205" max="8205" width="13.75" style="2804" customWidth="1"/>
    <col min="8206" max="8448" width="9" style="2804"/>
    <col min="8449" max="8449" width="4.875" style="2804" customWidth="1"/>
    <col min="8450" max="8450" width="13.25" style="2804" customWidth="1"/>
    <col min="8451" max="8451" width="15.625" style="2804" customWidth="1"/>
    <col min="8452" max="8452" width="9.375" style="2804" bestFit="1" customWidth="1"/>
    <col min="8453" max="8453" width="13.5" style="2804" customWidth="1"/>
    <col min="8454" max="8454" width="9" style="2804"/>
    <col min="8455" max="8455" width="9.375" style="2804" bestFit="1" customWidth="1"/>
    <col min="8456" max="8457" width="9" style="2804"/>
    <col min="8458" max="8458" width="9.375" style="2804" bestFit="1" customWidth="1"/>
    <col min="8459" max="8459" width="4" style="2804" customWidth="1"/>
    <col min="8460" max="8460" width="5.125" style="2804" customWidth="1"/>
    <col min="8461" max="8461" width="13.75" style="2804" customWidth="1"/>
    <col min="8462" max="8704" width="9" style="2804"/>
    <col min="8705" max="8705" width="4.875" style="2804" customWidth="1"/>
    <col min="8706" max="8706" width="13.25" style="2804" customWidth="1"/>
    <col min="8707" max="8707" width="15.625" style="2804" customWidth="1"/>
    <col min="8708" max="8708" width="9.375" style="2804" bestFit="1" customWidth="1"/>
    <col min="8709" max="8709" width="13.5" style="2804" customWidth="1"/>
    <col min="8710" max="8710" width="9" style="2804"/>
    <col min="8711" max="8711" width="9.375" style="2804" bestFit="1" customWidth="1"/>
    <col min="8712" max="8713" width="9" style="2804"/>
    <col min="8714" max="8714" width="9.375" style="2804" bestFit="1" customWidth="1"/>
    <col min="8715" max="8715" width="4" style="2804" customWidth="1"/>
    <col min="8716" max="8716" width="5.125" style="2804" customWidth="1"/>
    <col min="8717" max="8717" width="13.75" style="2804" customWidth="1"/>
    <col min="8718" max="8960" width="9" style="2804"/>
    <col min="8961" max="8961" width="4.875" style="2804" customWidth="1"/>
    <col min="8962" max="8962" width="13.25" style="2804" customWidth="1"/>
    <col min="8963" max="8963" width="15.625" style="2804" customWidth="1"/>
    <col min="8964" max="8964" width="9.375" style="2804" bestFit="1" customWidth="1"/>
    <col min="8965" max="8965" width="13.5" style="2804" customWidth="1"/>
    <col min="8966" max="8966" width="9" style="2804"/>
    <col min="8967" max="8967" width="9.375" style="2804" bestFit="1" customWidth="1"/>
    <col min="8968" max="8969" width="9" style="2804"/>
    <col min="8970" max="8970" width="9.375" style="2804" bestFit="1" customWidth="1"/>
    <col min="8971" max="8971" width="4" style="2804" customWidth="1"/>
    <col min="8972" max="8972" width="5.125" style="2804" customWidth="1"/>
    <col min="8973" max="8973" width="13.75" style="2804" customWidth="1"/>
    <col min="8974" max="9216" width="9" style="2804"/>
    <col min="9217" max="9217" width="4.875" style="2804" customWidth="1"/>
    <col min="9218" max="9218" width="13.25" style="2804" customWidth="1"/>
    <col min="9219" max="9219" width="15.625" style="2804" customWidth="1"/>
    <col min="9220" max="9220" width="9.375" style="2804" bestFit="1" customWidth="1"/>
    <col min="9221" max="9221" width="13.5" style="2804" customWidth="1"/>
    <col min="9222" max="9222" width="9" style="2804"/>
    <col min="9223" max="9223" width="9.375" style="2804" bestFit="1" customWidth="1"/>
    <col min="9224" max="9225" width="9" style="2804"/>
    <col min="9226" max="9226" width="9.375" style="2804" bestFit="1" customWidth="1"/>
    <col min="9227" max="9227" width="4" style="2804" customWidth="1"/>
    <col min="9228" max="9228" width="5.125" style="2804" customWidth="1"/>
    <col min="9229" max="9229" width="13.75" style="2804" customWidth="1"/>
    <col min="9230" max="9472" width="9" style="2804"/>
    <col min="9473" max="9473" width="4.875" style="2804" customWidth="1"/>
    <col min="9474" max="9474" width="13.25" style="2804" customWidth="1"/>
    <col min="9475" max="9475" width="15.625" style="2804" customWidth="1"/>
    <col min="9476" max="9476" width="9.375" style="2804" bestFit="1" customWidth="1"/>
    <col min="9477" max="9477" width="13.5" style="2804" customWidth="1"/>
    <col min="9478" max="9478" width="9" style="2804"/>
    <col min="9479" max="9479" width="9.375" style="2804" bestFit="1" customWidth="1"/>
    <col min="9480" max="9481" width="9" style="2804"/>
    <col min="9482" max="9482" width="9.375" style="2804" bestFit="1" customWidth="1"/>
    <col min="9483" max="9483" width="4" style="2804" customWidth="1"/>
    <col min="9484" max="9484" width="5.125" style="2804" customWidth="1"/>
    <col min="9485" max="9485" width="13.75" style="2804" customWidth="1"/>
    <col min="9486" max="9728" width="9" style="2804"/>
    <col min="9729" max="9729" width="4.875" style="2804" customWidth="1"/>
    <col min="9730" max="9730" width="13.25" style="2804" customWidth="1"/>
    <col min="9731" max="9731" width="15.625" style="2804" customWidth="1"/>
    <col min="9732" max="9732" width="9.375" style="2804" bestFit="1" customWidth="1"/>
    <col min="9733" max="9733" width="13.5" style="2804" customWidth="1"/>
    <col min="9734" max="9734" width="9" style="2804"/>
    <col min="9735" max="9735" width="9.375" style="2804" bestFit="1" customWidth="1"/>
    <col min="9736" max="9737" width="9" style="2804"/>
    <col min="9738" max="9738" width="9.375" style="2804" bestFit="1" customWidth="1"/>
    <col min="9739" max="9739" width="4" style="2804" customWidth="1"/>
    <col min="9740" max="9740" width="5.125" style="2804" customWidth="1"/>
    <col min="9741" max="9741" width="13.75" style="2804" customWidth="1"/>
    <col min="9742" max="9984" width="9" style="2804"/>
    <col min="9985" max="9985" width="4.875" style="2804" customWidth="1"/>
    <col min="9986" max="9986" width="13.25" style="2804" customWidth="1"/>
    <col min="9987" max="9987" width="15.625" style="2804" customWidth="1"/>
    <col min="9988" max="9988" width="9.375" style="2804" bestFit="1" customWidth="1"/>
    <col min="9989" max="9989" width="13.5" style="2804" customWidth="1"/>
    <col min="9990" max="9990" width="9" style="2804"/>
    <col min="9991" max="9991" width="9.375" style="2804" bestFit="1" customWidth="1"/>
    <col min="9992" max="9993" width="9" style="2804"/>
    <col min="9994" max="9994" width="9.375" style="2804" bestFit="1" customWidth="1"/>
    <col min="9995" max="9995" width="4" style="2804" customWidth="1"/>
    <col min="9996" max="9996" width="5.125" style="2804" customWidth="1"/>
    <col min="9997" max="9997" width="13.75" style="2804" customWidth="1"/>
    <col min="9998" max="10240" width="9" style="2804"/>
    <col min="10241" max="10241" width="4.875" style="2804" customWidth="1"/>
    <col min="10242" max="10242" width="13.25" style="2804" customWidth="1"/>
    <col min="10243" max="10243" width="15.625" style="2804" customWidth="1"/>
    <col min="10244" max="10244" width="9.375" style="2804" bestFit="1" customWidth="1"/>
    <col min="10245" max="10245" width="13.5" style="2804" customWidth="1"/>
    <col min="10246" max="10246" width="9" style="2804"/>
    <col min="10247" max="10247" width="9.375" style="2804" bestFit="1" customWidth="1"/>
    <col min="10248" max="10249" width="9" style="2804"/>
    <col min="10250" max="10250" width="9.375" style="2804" bestFit="1" customWidth="1"/>
    <col min="10251" max="10251" width="4" style="2804" customWidth="1"/>
    <col min="10252" max="10252" width="5.125" style="2804" customWidth="1"/>
    <col min="10253" max="10253" width="13.75" style="2804" customWidth="1"/>
    <col min="10254" max="10496" width="9" style="2804"/>
    <col min="10497" max="10497" width="4.875" style="2804" customWidth="1"/>
    <col min="10498" max="10498" width="13.25" style="2804" customWidth="1"/>
    <col min="10499" max="10499" width="15.625" style="2804" customWidth="1"/>
    <col min="10500" max="10500" width="9.375" style="2804" bestFit="1" customWidth="1"/>
    <col min="10501" max="10501" width="13.5" style="2804" customWidth="1"/>
    <col min="10502" max="10502" width="9" style="2804"/>
    <col min="10503" max="10503" width="9.375" style="2804" bestFit="1" customWidth="1"/>
    <col min="10504" max="10505" width="9" style="2804"/>
    <col min="10506" max="10506" width="9.375" style="2804" bestFit="1" customWidth="1"/>
    <col min="10507" max="10507" width="4" style="2804" customWidth="1"/>
    <col min="10508" max="10508" width="5.125" style="2804" customWidth="1"/>
    <col min="10509" max="10509" width="13.75" style="2804" customWidth="1"/>
    <col min="10510" max="10752" width="9" style="2804"/>
    <col min="10753" max="10753" width="4.875" style="2804" customWidth="1"/>
    <col min="10754" max="10754" width="13.25" style="2804" customWidth="1"/>
    <col min="10755" max="10755" width="15.625" style="2804" customWidth="1"/>
    <col min="10756" max="10756" width="9.375" style="2804" bestFit="1" customWidth="1"/>
    <col min="10757" max="10757" width="13.5" style="2804" customWidth="1"/>
    <col min="10758" max="10758" width="9" style="2804"/>
    <col min="10759" max="10759" width="9.375" style="2804" bestFit="1" customWidth="1"/>
    <col min="10760" max="10761" width="9" style="2804"/>
    <col min="10762" max="10762" width="9.375" style="2804" bestFit="1" customWidth="1"/>
    <col min="10763" max="10763" width="4" style="2804" customWidth="1"/>
    <col min="10764" max="10764" width="5.125" style="2804" customWidth="1"/>
    <col min="10765" max="10765" width="13.75" style="2804" customWidth="1"/>
    <col min="10766" max="11008" width="9" style="2804"/>
    <col min="11009" max="11009" width="4.875" style="2804" customWidth="1"/>
    <col min="11010" max="11010" width="13.25" style="2804" customWidth="1"/>
    <col min="11011" max="11011" width="15.625" style="2804" customWidth="1"/>
    <col min="11012" max="11012" width="9.375" style="2804" bestFit="1" customWidth="1"/>
    <col min="11013" max="11013" width="13.5" style="2804" customWidth="1"/>
    <col min="11014" max="11014" width="9" style="2804"/>
    <col min="11015" max="11015" width="9.375" style="2804" bestFit="1" customWidth="1"/>
    <col min="11016" max="11017" width="9" style="2804"/>
    <col min="11018" max="11018" width="9.375" style="2804" bestFit="1" customWidth="1"/>
    <col min="11019" max="11019" width="4" style="2804" customWidth="1"/>
    <col min="11020" max="11020" width="5.125" style="2804" customWidth="1"/>
    <col min="11021" max="11021" width="13.75" style="2804" customWidth="1"/>
    <col min="11022" max="11264" width="9" style="2804"/>
    <col min="11265" max="11265" width="4.875" style="2804" customWidth="1"/>
    <col min="11266" max="11266" width="13.25" style="2804" customWidth="1"/>
    <col min="11267" max="11267" width="15.625" style="2804" customWidth="1"/>
    <col min="11268" max="11268" width="9.375" style="2804" bestFit="1" customWidth="1"/>
    <col min="11269" max="11269" width="13.5" style="2804" customWidth="1"/>
    <col min="11270" max="11270" width="9" style="2804"/>
    <col min="11271" max="11271" width="9.375" style="2804" bestFit="1" customWidth="1"/>
    <col min="11272" max="11273" width="9" style="2804"/>
    <col min="11274" max="11274" width="9.375" style="2804" bestFit="1" customWidth="1"/>
    <col min="11275" max="11275" width="4" style="2804" customWidth="1"/>
    <col min="11276" max="11276" width="5.125" style="2804" customWidth="1"/>
    <col min="11277" max="11277" width="13.75" style="2804" customWidth="1"/>
    <col min="11278" max="11520" width="9" style="2804"/>
    <col min="11521" max="11521" width="4.875" style="2804" customWidth="1"/>
    <col min="11522" max="11522" width="13.25" style="2804" customWidth="1"/>
    <col min="11523" max="11523" width="15.625" style="2804" customWidth="1"/>
    <col min="11524" max="11524" width="9.375" style="2804" bestFit="1" customWidth="1"/>
    <col min="11525" max="11525" width="13.5" style="2804" customWidth="1"/>
    <col min="11526" max="11526" width="9" style="2804"/>
    <col min="11527" max="11527" width="9.375" style="2804" bestFit="1" customWidth="1"/>
    <col min="11528" max="11529" width="9" style="2804"/>
    <col min="11530" max="11530" width="9.375" style="2804" bestFit="1" customWidth="1"/>
    <col min="11531" max="11531" width="4" style="2804" customWidth="1"/>
    <col min="11532" max="11532" width="5.125" style="2804" customWidth="1"/>
    <col min="11533" max="11533" width="13.75" style="2804" customWidth="1"/>
    <col min="11534" max="11776" width="9" style="2804"/>
    <col min="11777" max="11777" width="4.875" style="2804" customWidth="1"/>
    <col min="11778" max="11778" width="13.25" style="2804" customWidth="1"/>
    <col min="11779" max="11779" width="15.625" style="2804" customWidth="1"/>
    <col min="11780" max="11780" width="9.375" style="2804" bestFit="1" customWidth="1"/>
    <col min="11781" max="11781" width="13.5" style="2804" customWidth="1"/>
    <col min="11782" max="11782" width="9" style="2804"/>
    <col min="11783" max="11783" width="9.375" style="2804" bestFit="1" customWidth="1"/>
    <col min="11784" max="11785" width="9" style="2804"/>
    <col min="11786" max="11786" width="9.375" style="2804" bestFit="1" customWidth="1"/>
    <col min="11787" max="11787" width="4" style="2804" customWidth="1"/>
    <col min="11788" max="11788" width="5.125" style="2804" customWidth="1"/>
    <col min="11789" max="11789" width="13.75" style="2804" customWidth="1"/>
    <col min="11790" max="12032" width="9" style="2804"/>
    <col min="12033" max="12033" width="4.875" style="2804" customWidth="1"/>
    <col min="12034" max="12034" width="13.25" style="2804" customWidth="1"/>
    <col min="12035" max="12035" width="15.625" style="2804" customWidth="1"/>
    <col min="12036" max="12036" width="9.375" style="2804" bestFit="1" customWidth="1"/>
    <col min="12037" max="12037" width="13.5" style="2804" customWidth="1"/>
    <col min="12038" max="12038" width="9" style="2804"/>
    <col min="12039" max="12039" width="9.375" style="2804" bestFit="1" customWidth="1"/>
    <col min="12040" max="12041" width="9" style="2804"/>
    <col min="12042" max="12042" width="9.375" style="2804" bestFit="1" customWidth="1"/>
    <col min="12043" max="12043" width="4" style="2804" customWidth="1"/>
    <col min="12044" max="12044" width="5.125" style="2804" customWidth="1"/>
    <col min="12045" max="12045" width="13.75" style="2804" customWidth="1"/>
    <col min="12046" max="12288" width="9" style="2804"/>
    <col min="12289" max="12289" width="4.875" style="2804" customWidth="1"/>
    <col min="12290" max="12290" width="13.25" style="2804" customWidth="1"/>
    <col min="12291" max="12291" width="15.625" style="2804" customWidth="1"/>
    <col min="12292" max="12292" width="9.375" style="2804" bestFit="1" customWidth="1"/>
    <col min="12293" max="12293" width="13.5" style="2804" customWidth="1"/>
    <col min="12294" max="12294" width="9" style="2804"/>
    <col min="12295" max="12295" width="9.375" style="2804" bestFit="1" customWidth="1"/>
    <col min="12296" max="12297" width="9" style="2804"/>
    <col min="12298" max="12298" width="9.375" style="2804" bestFit="1" customWidth="1"/>
    <col min="12299" max="12299" width="4" style="2804" customWidth="1"/>
    <col min="12300" max="12300" width="5.125" style="2804" customWidth="1"/>
    <col min="12301" max="12301" width="13.75" style="2804" customWidth="1"/>
    <col min="12302" max="12544" width="9" style="2804"/>
    <col min="12545" max="12545" width="4.875" style="2804" customWidth="1"/>
    <col min="12546" max="12546" width="13.25" style="2804" customWidth="1"/>
    <col min="12547" max="12547" width="15.625" style="2804" customWidth="1"/>
    <col min="12548" max="12548" width="9.375" style="2804" bestFit="1" customWidth="1"/>
    <col min="12549" max="12549" width="13.5" style="2804" customWidth="1"/>
    <col min="12550" max="12550" width="9" style="2804"/>
    <col min="12551" max="12551" width="9.375" style="2804" bestFit="1" customWidth="1"/>
    <col min="12552" max="12553" width="9" style="2804"/>
    <col min="12554" max="12554" width="9.375" style="2804" bestFit="1" customWidth="1"/>
    <col min="12555" max="12555" width="4" style="2804" customWidth="1"/>
    <col min="12556" max="12556" width="5.125" style="2804" customWidth="1"/>
    <col min="12557" max="12557" width="13.75" style="2804" customWidth="1"/>
    <col min="12558" max="12800" width="9" style="2804"/>
    <col min="12801" max="12801" width="4.875" style="2804" customWidth="1"/>
    <col min="12802" max="12802" width="13.25" style="2804" customWidth="1"/>
    <col min="12803" max="12803" width="15.625" style="2804" customWidth="1"/>
    <col min="12804" max="12804" width="9.375" style="2804" bestFit="1" customWidth="1"/>
    <col min="12805" max="12805" width="13.5" style="2804" customWidth="1"/>
    <col min="12806" max="12806" width="9" style="2804"/>
    <col min="12807" max="12807" width="9.375" style="2804" bestFit="1" customWidth="1"/>
    <col min="12808" max="12809" width="9" style="2804"/>
    <col min="12810" max="12810" width="9.375" style="2804" bestFit="1" customWidth="1"/>
    <col min="12811" max="12811" width="4" style="2804" customWidth="1"/>
    <col min="12812" max="12812" width="5.125" style="2804" customWidth="1"/>
    <col min="12813" max="12813" width="13.75" style="2804" customWidth="1"/>
    <col min="12814" max="13056" width="9" style="2804"/>
    <col min="13057" max="13057" width="4.875" style="2804" customWidth="1"/>
    <col min="13058" max="13058" width="13.25" style="2804" customWidth="1"/>
    <col min="13059" max="13059" width="15.625" style="2804" customWidth="1"/>
    <col min="13060" max="13060" width="9.375" style="2804" bestFit="1" customWidth="1"/>
    <col min="13061" max="13061" width="13.5" style="2804" customWidth="1"/>
    <col min="13062" max="13062" width="9" style="2804"/>
    <col min="13063" max="13063" width="9.375" style="2804" bestFit="1" customWidth="1"/>
    <col min="13064" max="13065" width="9" style="2804"/>
    <col min="13066" max="13066" width="9.375" style="2804" bestFit="1" customWidth="1"/>
    <col min="13067" max="13067" width="4" style="2804" customWidth="1"/>
    <col min="13068" max="13068" width="5.125" style="2804" customWidth="1"/>
    <col min="13069" max="13069" width="13.75" style="2804" customWidth="1"/>
    <col min="13070" max="13312" width="9" style="2804"/>
    <col min="13313" max="13313" width="4.875" style="2804" customWidth="1"/>
    <col min="13314" max="13314" width="13.25" style="2804" customWidth="1"/>
    <col min="13315" max="13315" width="15.625" style="2804" customWidth="1"/>
    <col min="13316" max="13316" width="9.375" style="2804" bestFit="1" customWidth="1"/>
    <col min="13317" max="13317" width="13.5" style="2804" customWidth="1"/>
    <col min="13318" max="13318" width="9" style="2804"/>
    <col min="13319" max="13319" width="9.375" style="2804" bestFit="1" customWidth="1"/>
    <col min="13320" max="13321" width="9" style="2804"/>
    <col min="13322" max="13322" width="9.375" style="2804" bestFit="1" customWidth="1"/>
    <col min="13323" max="13323" width="4" style="2804" customWidth="1"/>
    <col min="13324" max="13324" width="5.125" style="2804" customWidth="1"/>
    <col min="13325" max="13325" width="13.75" style="2804" customWidth="1"/>
    <col min="13326" max="13568" width="9" style="2804"/>
    <col min="13569" max="13569" width="4.875" style="2804" customWidth="1"/>
    <col min="13570" max="13570" width="13.25" style="2804" customWidth="1"/>
    <col min="13571" max="13571" width="15.625" style="2804" customWidth="1"/>
    <col min="13572" max="13572" width="9.375" style="2804" bestFit="1" customWidth="1"/>
    <col min="13573" max="13573" width="13.5" style="2804" customWidth="1"/>
    <col min="13574" max="13574" width="9" style="2804"/>
    <col min="13575" max="13575" width="9.375" style="2804" bestFit="1" customWidth="1"/>
    <col min="13576" max="13577" width="9" style="2804"/>
    <col min="13578" max="13578" width="9.375" style="2804" bestFit="1" customWidth="1"/>
    <col min="13579" max="13579" width="4" style="2804" customWidth="1"/>
    <col min="13580" max="13580" width="5.125" style="2804" customWidth="1"/>
    <col min="13581" max="13581" width="13.75" style="2804" customWidth="1"/>
    <col min="13582" max="13824" width="9" style="2804"/>
    <col min="13825" max="13825" width="4.875" style="2804" customWidth="1"/>
    <col min="13826" max="13826" width="13.25" style="2804" customWidth="1"/>
    <col min="13827" max="13827" width="15.625" style="2804" customWidth="1"/>
    <col min="13828" max="13828" width="9.375" style="2804" bestFit="1" customWidth="1"/>
    <col min="13829" max="13829" width="13.5" style="2804" customWidth="1"/>
    <col min="13830" max="13830" width="9" style="2804"/>
    <col min="13831" max="13831" width="9.375" style="2804" bestFit="1" customWidth="1"/>
    <col min="13832" max="13833" width="9" style="2804"/>
    <col min="13834" max="13834" width="9.375" style="2804" bestFit="1" customWidth="1"/>
    <col min="13835" max="13835" width="4" style="2804" customWidth="1"/>
    <col min="13836" max="13836" width="5.125" style="2804" customWidth="1"/>
    <col min="13837" max="13837" width="13.75" style="2804" customWidth="1"/>
    <col min="13838" max="14080" width="9" style="2804"/>
    <col min="14081" max="14081" width="4.875" style="2804" customWidth="1"/>
    <col min="14082" max="14082" width="13.25" style="2804" customWidth="1"/>
    <col min="14083" max="14083" width="15.625" style="2804" customWidth="1"/>
    <col min="14084" max="14084" width="9.375" style="2804" bestFit="1" customWidth="1"/>
    <col min="14085" max="14085" width="13.5" style="2804" customWidth="1"/>
    <col min="14086" max="14086" width="9" style="2804"/>
    <col min="14087" max="14087" width="9.375" style="2804" bestFit="1" customWidth="1"/>
    <col min="14088" max="14089" width="9" style="2804"/>
    <col min="14090" max="14090" width="9.375" style="2804" bestFit="1" customWidth="1"/>
    <col min="14091" max="14091" width="4" style="2804" customWidth="1"/>
    <col min="14092" max="14092" width="5.125" style="2804" customWidth="1"/>
    <col min="14093" max="14093" width="13.75" style="2804" customWidth="1"/>
    <col min="14094" max="14336" width="9" style="2804"/>
    <col min="14337" max="14337" width="4.875" style="2804" customWidth="1"/>
    <col min="14338" max="14338" width="13.25" style="2804" customWidth="1"/>
    <col min="14339" max="14339" width="15.625" style="2804" customWidth="1"/>
    <col min="14340" max="14340" width="9.375" style="2804" bestFit="1" customWidth="1"/>
    <col min="14341" max="14341" width="13.5" style="2804" customWidth="1"/>
    <col min="14342" max="14342" width="9" style="2804"/>
    <col min="14343" max="14343" width="9.375" style="2804" bestFit="1" customWidth="1"/>
    <col min="14344" max="14345" width="9" style="2804"/>
    <col min="14346" max="14346" width="9.375" style="2804" bestFit="1" customWidth="1"/>
    <col min="14347" max="14347" width="4" style="2804" customWidth="1"/>
    <col min="14348" max="14348" width="5.125" style="2804" customWidth="1"/>
    <col min="14349" max="14349" width="13.75" style="2804" customWidth="1"/>
    <col min="14350" max="14592" width="9" style="2804"/>
    <col min="14593" max="14593" width="4.875" style="2804" customWidth="1"/>
    <col min="14594" max="14594" width="13.25" style="2804" customWidth="1"/>
    <col min="14595" max="14595" width="15.625" style="2804" customWidth="1"/>
    <col min="14596" max="14596" width="9.375" style="2804" bestFit="1" customWidth="1"/>
    <col min="14597" max="14597" width="13.5" style="2804" customWidth="1"/>
    <col min="14598" max="14598" width="9" style="2804"/>
    <col min="14599" max="14599" width="9.375" style="2804" bestFit="1" customWidth="1"/>
    <col min="14600" max="14601" width="9" style="2804"/>
    <col min="14602" max="14602" width="9.375" style="2804" bestFit="1" customWidth="1"/>
    <col min="14603" max="14603" width="4" style="2804" customWidth="1"/>
    <col min="14604" max="14604" width="5.125" style="2804" customWidth="1"/>
    <col min="14605" max="14605" width="13.75" style="2804" customWidth="1"/>
    <col min="14606" max="14848" width="9" style="2804"/>
    <col min="14849" max="14849" width="4.875" style="2804" customWidth="1"/>
    <col min="14850" max="14850" width="13.25" style="2804" customWidth="1"/>
    <col min="14851" max="14851" width="15.625" style="2804" customWidth="1"/>
    <col min="14852" max="14852" width="9.375" style="2804" bestFit="1" customWidth="1"/>
    <col min="14853" max="14853" width="13.5" style="2804" customWidth="1"/>
    <col min="14854" max="14854" width="9" style="2804"/>
    <col min="14855" max="14855" width="9.375" style="2804" bestFit="1" customWidth="1"/>
    <col min="14856" max="14857" width="9" style="2804"/>
    <col min="14858" max="14858" width="9.375" style="2804" bestFit="1" customWidth="1"/>
    <col min="14859" max="14859" width="4" style="2804" customWidth="1"/>
    <col min="14860" max="14860" width="5.125" style="2804" customWidth="1"/>
    <col min="14861" max="14861" width="13.75" style="2804" customWidth="1"/>
    <col min="14862" max="15104" width="9" style="2804"/>
    <col min="15105" max="15105" width="4.875" style="2804" customWidth="1"/>
    <col min="15106" max="15106" width="13.25" style="2804" customWidth="1"/>
    <col min="15107" max="15107" width="15.625" style="2804" customWidth="1"/>
    <col min="15108" max="15108" width="9.375" style="2804" bestFit="1" customWidth="1"/>
    <col min="15109" max="15109" width="13.5" style="2804" customWidth="1"/>
    <col min="15110" max="15110" width="9" style="2804"/>
    <col min="15111" max="15111" width="9.375" style="2804" bestFit="1" customWidth="1"/>
    <col min="15112" max="15113" width="9" style="2804"/>
    <col min="15114" max="15114" width="9.375" style="2804" bestFit="1" customWidth="1"/>
    <col min="15115" max="15115" width="4" style="2804" customWidth="1"/>
    <col min="15116" max="15116" width="5.125" style="2804" customWidth="1"/>
    <col min="15117" max="15117" width="13.75" style="2804" customWidth="1"/>
    <col min="15118" max="15360" width="9" style="2804"/>
    <col min="15361" max="15361" width="4.875" style="2804" customWidth="1"/>
    <col min="15362" max="15362" width="13.25" style="2804" customWidth="1"/>
    <col min="15363" max="15363" width="15.625" style="2804" customWidth="1"/>
    <col min="15364" max="15364" width="9.375" style="2804" bestFit="1" customWidth="1"/>
    <col min="15365" max="15365" width="13.5" style="2804" customWidth="1"/>
    <col min="15366" max="15366" width="9" style="2804"/>
    <col min="15367" max="15367" width="9.375" style="2804" bestFit="1" customWidth="1"/>
    <col min="15368" max="15369" width="9" style="2804"/>
    <col min="15370" max="15370" width="9.375" style="2804" bestFit="1" customWidth="1"/>
    <col min="15371" max="15371" width="4" style="2804" customWidth="1"/>
    <col min="15372" max="15372" width="5.125" style="2804" customWidth="1"/>
    <col min="15373" max="15373" width="13.75" style="2804" customWidth="1"/>
    <col min="15374" max="15616" width="9" style="2804"/>
    <col min="15617" max="15617" width="4.875" style="2804" customWidth="1"/>
    <col min="15618" max="15618" width="13.25" style="2804" customWidth="1"/>
    <col min="15619" max="15619" width="15.625" style="2804" customWidth="1"/>
    <col min="15620" max="15620" width="9.375" style="2804" bestFit="1" customWidth="1"/>
    <col min="15621" max="15621" width="13.5" style="2804" customWidth="1"/>
    <col min="15622" max="15622" width="9" style="2804"/>
    <col min="15623" max="15623" width="9.375" style="2804" bestFit="1" customWidth="1"/>
    <col min="15624" max="15625" width="9" style="2804"/>
    <col min="15626" max="15626" width="9.375" style="2804" bestFit="1" customWidth="1"/>
    <col min="15627" max="15627" width="4" style="2804" customWidth="1"/>
    <col min="15628" max="15628" width="5.125" style="2804" customWidth="1"/>
    <col min="15629" max="15629" width="13.75" style="2804" customWidth="1"/>
    <col min="15630" max="15872" width="9" style="2804"/>
    <col min="15873" max="15873" width="4.875" style="2804" customWidth="1"/>
    <col min="15874" max="15874" width="13.25" style="2804" customWidth="1"/>
    <col min="15875" max="15875" width="15.625" style="2804" customWidth="1"/>
    <col min="15876" max="15876" width="9.375" style="2804" bestFit="1" customWidth="1"/>
    <col min="15877" max="15877" width="13.5" style="2804" customWidth="1"/>
    <col min="15878" max="15878" width="9" style="2804"/>
    <col min="15879" max="15879" width="9.375" style="2804" bestFit="1" customWidth="1"/>
    <col min="15880" max="15881" width="9" style="2804"/>
    <col min="15882" max="15882" width="9.375" style="2804" bestFit="1" customWidth="1"/>
    <col min="15883" max="15883" width="4" style="2804" customWidth="1"/>
    <col min="15884" max="15884" width="5.125" style="2804" customWidth="1"/>
    <col min="15885" max="15885" width="13.75" style="2804" customWidth="1"/>
    <col min="15886" max="16128" width="9" style="2804"/>
    <col min="16129" max="16129" width="4.875" style="2804" customWidth="1"/>
    <col min="16130" max="16130" width="13.25" style="2804" customWidth="1"/>
    <col min="16131" max="16131" width="15.625" style="2804" customWidth="1"/>
    <col min="16132" max="16132" width="9.375" style="2804" bestFit="1" customWidth="1"/>
    <col min="16133" max="16133" width="13.5" style="2804" customWidth="1"/>
    <col min="16134" max="16134" width="9" style="2804"/>
    <col min="16135" max="16135" width="9.375" style="2804" bestFit="1" customWidth="1"/>
    <col min="16136" max="16137" width="9" style="2804"/>
    <col min="16138" max="16138" width="9.375" style="2804" bestFit="1" customWidth="1"/>
    <col min="16139" max="16139" width="4" style="2804" customWidth="1"/>
    <col min="16140" max="16140" width="5.125" style="2804" customWidth="1"/>
    <col min="16141" max="16141" width="13.75" style="2804" customWidth="1"/>
    <col min="16142" max="16384" width="9" style="2804"/>
  </cols>
  <sheetData>
    <row r="1" spans="1:257" s="2864" customFormat="1" ht="14.25" thickBot="1">
      <c r="A1" s="2863"/>
      <c r="B1" s="2865" t="s">
        <v>2716</v>
      </c>
      <c r="C1" s="2869">
        <f>项目基本情况!D3</f>
        <v>43240</v>
      </c>
      <c r="H1" s="2803">
        <f>IF(C1&gt;C13,0,MATCH(C1,C$13:C$100,-1))+IF(SUMIF(C13:C100,C1,D13:D100)=0,13,12)</f>
        <v>13</v>
      </c>
      <c r="I1" s="2803">
        <f ca="1">MATCH(C2,H3:H7,1)+IF(SUMIF(H3:H7,C2,I3:I7)=0,2,1)</f>
        <v>4</v>
      </c>
      <c r="J1" s="2862">
        <f ca="1">MATCH(C3,H3:H7,1)+IF(SUMIF(H3:H7,C3,J3:J7)=0,2,1)</f>
        <v>2</v>
      </c>
      <c r="N1" s="2803">
        <f>IF(C1&gt;M13,0,MATCH(C1,M$13:M$100,-1))+IF(SUMIF(M13:M100,C1,N13:N100)=0,13,12)</f>
        <v>13</v>
      </c>
      <c r="P1" s="2863"/>
      <c r="Q1" s="2863"/>
      <c r="R1" s="2863"/>
      <c r="S1" s="2863"/>
      <c r="T1" s="2863"/>
      <c r="U1" s="2863"/>
      <c r="V1" s="2863"/>
      <c r="W1" s="2863"/>
      <c r="X1" s="2863"/>
      <c r="Y1" s="2863"/>
      <c r="Z1" s="2863"/>
      <c r="AA1" s="2863"/>
      <c r="AB1" s="2863"/>
      <c r="AC1" s="2863"/>
      <c r="AD1" s="2863"/>
      <c r="AE1" s="2863"/>
      <c r="AF1" s="2863"/>
      <c r="AG1" s="2863"/>
      <c r="AH1" s="2863"/>
      <c r="AI1" s="2863"/>
      <c r="AJ1" s="2863"/>
      <c r="AK1" s="2863"/>
      <c r="AL1" s="2863"/>
      <c r="AM1" s="2863"/>
      <c r="AN1" s="2863"/>
      <c r="AO1" s="2863"/>
      <c r="AP1" s="2863"/>
      <c r="AQ1" s="2863"/>
      <c r="AR1" s="2863"/>
      <c r="AS1" s="2863"/>
      <c r="AT1" s="2863"/>
      <c r="AU1" s="2863"/>
      <c r="AV1" s="2863"/>
      <c r="AW1" s="2863"/>
      <c r="AX1" s="2863"/>
      <c r="AY1" s="2863"/>
      <c r="AZ1" s="2863"/>
      <c r="BA1" s="2863"/>
      <c r="BB1" s="2863"/>
      <c r="BC1" s="2863"/>
      <c r="BD1" s="2863"/>
      <c r="BE1" s="2863"/>
      <c r="BF1" s="2863"/>
      <c r="BG1" s="2863"/>
      <c r="BH1" s="2863"/>
      <c r="BI1" s="2863"/>
      <c r="BJ1" s="2863"/>
      <c r="BK1" s="2863"/>
      <c r="BL1" s="2863"/>
      <c r="BM1" s="2863"/>
      <c r="BN1" s="2863"/>
      <c r="BO1" s="2863"/>
      <c r="BP1" s="2863"/>
      <c r="BQ1" s="2863"/>
      <c r="BR1" s="2863"/>
      <c r="BS1" s="2863"/>
      <c r="BT1" s="2863"/>
      <c r="BU1" s="2863"/>
      <c r="BV1" s="2863"/>
      <c r="BW1" s="2863"/>
      <c r="BX1" s="2863"/>
      <c r="BY1" s="2863"/>
      <c r="BZ1" s="2863"/>
      <c r="CA1" s="2863"/>
      <c r="CB1" s="2863"/>
      <c r="CC1" s="2863"/>
      <c r="CD1" s="2863"/>
      <c r="CE1" s="2863"/>
      <c r="CF1" s="2863"/>
      <c r="CG1" s="2863"/>
      <c r="CH1" s="2863"/>
      <c r="CI1" s="2863"/>
      <c r="CJ1" s="2863"/>
      <c r="CK1" s="2863"/>
      <c r="CL1" s="2863"/>
      <c r="CM1" s="2863"/>
      <c r="CN1" s="2863"/>
      <c r="CO1" s="2863"/>
      <c r="CP1" s="2863"/>
      <c r="CQ1" s="2863"/>
      <c r="CR1" s="2863"/>
      <c r="CS1" s="2863"/>
      <c r="CT1" s="2863"/>
      <c r="CU1" s="2863"/>
      <c r="CV1" s="2863"/>
      <c r="CW1" s="2863"/>
      <c r="CX1" s="2863"/>
      <c r="CY1" s="2863"/>
      <c r="CZ1" s="2863"/>
      <c r="DA1" s="2863"/>
      <c r="DB1" s="2863"/>
      <c r="DC1" s="2863"/>
      <c r="DD1" s="2863"/>
      <c r="DE1" s="2863"/>
      <c r="DF1" s="2863"/>
      <c r="DG1" s="2863"/>
      <c r="DH1" s="2863"/>
      <c r="DI1" s="2863"/>
      <c r="DJ1" s="2863"/>
      <c r="DK1" s="2863"/>
      <c r="DL1" s="2863"/>
      <c r="DM1" s="2863"/>
      <c r="DN1" s="2863"/>
      <c r="DO1" s="2863"/>
      <c r="DP1" s="2863"/>
      <c r="DQ1" s="2863"/>
      <c r="DR1" s="2863"/>
      <c r="DS1" s="2863"/>
      <c r="DT1" s="2863"/>
      <c r="DU1" s="2863"/>
      <c r="DV1" s="2863"/>
      <c r="DW1" s="2863"/>
      <c r="DX1" s="2863"/>
      <c r="DY1" s="2863"/>
      <c r="DZ1" s="2863"/>
      <c r="EA1" s="2863"/>
      <c r="EB1" s="2863"/>
      <c r="EC1" s="2863"/>
      <c r="ED1" s="2863"/>
      <c r="EE1" s="2863"/>
      <c r="EF1" s="2863"/>
      <c r="EG1" s="2863"/>
      <c r="EH1" s="2863"/>
      <c r="EI1" s="2863"/>
      <c r="EJ1" s="2863"/>
      <c r="EK1" s="2863"/>
      <c r="EL1" s="2863"/>
      <c r="EM1" s="2863"/>
      <c r="EN1" s="2863"/>
      <c r="EO1" s="2863"/>
      <c r="EP1" s="2863"/>
      <c r="EQ1" s="2863"/>
      <c r="ER1" s="2863"/>
      <c r="ES1" s="2863"/>
      <c r="ET1" s="2863"/>
      <c r="EU1" s="2863"/>
      <c r="EV1" s="2863"/>
      <c r="EW1" s="2863"/>
      <c r="EX1" s="2863"/>
      <c r="EY1" s="2863"/>
      <c r="EZ1" s="2863"/>
      <c r="FA1" s="2863"/>
      <c r="FB1" s="2863"/>
      <c r="FC1" s="2863"/>
      <c r="FD1" s="2863"/>
      <c r="FE1" s="2863"/>
      <c r="FF1" s="2863"/>
      <c r="FG1" s="2863"/>
      <c r="FH1" s="2863"/>
      <c r="FI1" s="2863"/>
      <c r="FJ1" s="2863"/>
      <c r="FK1" s="2863"/>
      <c r="FL1" s="2863"/>
      <c r="FM1" s="2863"/>
      <c r="FN1" s="2863"/>
      <c r="FO1" s="2863"/>
      <c r="FP1" s="2863"/>
      <c r="FQ1" s="2863"/>
      <c r="FR1" s="2863"/>
      <c r="FS1" s="2863"/>
      <c r="FT1" s="2863"/>
      <c r="FU1" s="2863"/>
      <c r="FV1" s="2863"/>
      <c r="FW1" s="2863"/>
      <c r="FX1" s="2863"/>
      <c r="FY1" s="2863"/>
      <c r="FZ1" s="2863"/>
      <c r="GA1" s="2863"/>
      <c r="GB1" s="2863"/>
      <c r="GC1" s="2863"/>
      <c r="GD1" s="2863"/>
      <c r="GE1" s="2863"/>
      <c r="GF1" s="2863"/>
      <c r="GG1" s="2863"/>
      <c r="GH1" s="2863"/>
      <c r="GI1" s="2863"/>
      <c r="GJ1" s="2863"/>
      <c r="GK1" s="2863"/>
      <c r="GL1" s="2863"/>
      <c r="GM1" s="2863"/>
      <c r="GN1" s="2863"/>
      <c r="GO1" s="2863"/>
      <c r="GP1" s="2863"/>
      <c r="GQ1" s="2863"/>
      <c r="GR1" s="2863"/>
      <c r="GS1" s="2863"/>
      <c r="GT1" s="2863"/>
      <c r="GU1" s="2863"/>
      <c r="GV1" s="2863"/>
      <c r="GW1" s="2863"/>
      <c r="GX1" s="2863"/>
      <c r="GY1" s="2863"/>
      <c r="GZ1" s="2863"/>
      <c r="HA1" s="2863"/>
      <c r="HB1" s="2863"/>
      <c r="HC1" s="2863"/>
      <c r="HD1" s="2863"/>
      <c r="HE1" s="2863"/>
      <c r="HF1" s="2863"/>
      <c r="HG1" s="2863"/>
      <c r="HH1" s="2863"/>
      <c r="HI1" s="2863"/>
      <c r="HJ1" s="2863"/>
      <c r="HK1" s="2863"/>
      <c r="HL1" s="2863"/>
      <c r="HM1" s="2863"/>
      <c r="HN1" s="2863"/>
      <c r="HO1" s="2863"/>
      <c r="HP1" s="2863"/>
      <c r="HQ1" s="2863"/>
      <c r="HR1" s="2863"/>
      <c r="HS1" s="2863"/>
      <c r="HT1" s="2863"/>
      <c r="HU1" s="2863"/>
      <c r="HV1" s="2863"/>
      <c r="HW1" s="2863"/>
      <c r="HX1" s="2863"/>
      <c r="HY1" s="2863"/>
      <c r="HZ1" s="2863"/>
      <c r="IA1" s="2863"/>
      <c r="IB1" s="2863"/>
      <c r="IC1" s="2863"/>
      <c r="ID1" s="2863"/>
      <c r="IE1" s="2863"/>
      <c r="IF1" s="2863"/>
      <c r="IG1" s="2863"/>
      <c r="IH1" s="2863"/>
      <c r="II1" s="2863"/>
      <c r="IJ1" s="2863"/>
      <c r="IK1" s="2863"/>
      <c r="IL1" s="2863"/>
      <c r="IM1" s="2863"/>
      <c r="IN1" s="2863"/>
      <c r="IO1" s="2863"/>
      <c r="IP1" s="2863"/>
      <c r="IQ1" s="2863"/>
      <c r="IR1" s="2863"/>
      <c r="IS1" s="2863"/>
      <c r="IT1" s="2863"/>
      <c r="IU1" s="2863"/>
      <c r="IV1" s="2863"/>
    </row>
    <row r="2" spans="1:257" s="2861" customFormat="1" ht="15" thickTop="1" thickBot="1">
      <c r="A2" s="2805"/>
      <c r="B2" s="2866" t="s">
        <v>2747</v>
      </c>
      <c r="C2" s="2870">
        <f>'数据-取费表'!B22</f>
        <v>1</v>
      </c>
      <c r="D2" s="2865" t="s">
        <v>2717</v>
      </c>
      <c r="E2" s="2868">
        <f ca="1">INDIRECT("I"&amp;$I$1)/100</f>
        <v>4.3499999999999997E-2</v>
      </c>
      <c r="G2" s="2805"/>
      <c r="H2" s="2805"/>
      <c r="I2" s="2805" t="s">
        <v>2718</v>
      </c>
      <c r="K2" s="2805"/>
      <c r="L2" s="2805"/>
      <c r="M2" s="2805"/>
      <c r="N2" s="2805" t="s">
        <v>2719</v>
      </c>
      <c r="O2" s="2805"/>
      <c r="P2" s="2805"/>
      <c r="Q2" s="2805"/>
      <c r="R2" s="2805"/>
      <c r="S2" s="2805"/>
      <c r="T2" s="2805"/>
      <c r="U2" s="2805"/>
      <c r="V2" s="2805"/>
      <c r="W2" s="2805"/>
      <c r="X2" s="2805"/>
      <c r="Y2" s="2805"/>
      <c r="Z2" s="2805"/>
      <c r="AA2" s="2805"/>
      <c r="AB2" s="2805"/>
      <c r="AC2" s="2805"/>
      <c r="AD2" s="2805"/>
      <c r="AE2" s="2805"/>
      <c r="AF2" s="2805"/>
      <c r="AG2" s="2805"/>
      <c r="AH2" s="2805"/>
      <c r="AI2" s="2805"/>
      <c r="AJ2" s="2805"/>
      <c r="AK2" s="2805"/>
      <c r="AL2" s="2805"/>
      <c r="AM2" s="2805"/>
      <c r="AN2" s="2805"/>
      <c r="AO2" s="2805"/>
      <c r="AP2" s="2805"/>
      <c r="AQ2" s="2805"/>
      <c r="AR2" s="2805"/>
      <c r="AS2" s="2805"/>
      <c r="AT2" s="2805"/>
      <c r="AU2" s="2805"/>
      <c r="AV2" s="2805"/>
      <c r="AW2" s="2805"/>
      <c r="AX2" s="2805"/>
      <c r="AY2" s="2805"/>
      <c r="AZ2" s="2805"/>
      <c r="BA2" s="2805"/>
      <c r="BB2" s="2805"/>
      <c r="BC2" s="2805"/>
      <c r="BD2" s="2805"/>
      <c r="BE2" s="2805"/>
      <c r="BF2" s="2805"/>
      <c r="BG2" s="2805"/>
      <c r="BH2" s="2805"/>
      <c r="BI2" s="2805"/>
      <c r="BJ2" s="2805"/>
      <c r="BK2" s="2805"/>
      <c r="BL2" s="2805"/>
      <c r="BM2" s="2805"/>
      <c r="BN2" s="2805"/>
      <c r="BO2" s="2805"/>
      <c r="BP2" s="2805"/>
      <c r="BQ2" s="2805"/>
      <c r="BR2" s="2805"/>
      <c r="BS2" s="2805"/>
      <c r="BT2" s="2805"/>
      <c r="BU2" s="2805"/>
      <c r="BV2" s="2805"/>
      <c r="BW2" s="2805"/>
      <c r="BX2" s="2805"/>
      <c r="BY2" s="2805"/>
      <c r="BZ2" s="2805"/>
      <c r="CA2" s="2805"/>
      <c r="CB2" s="2805"/>
      <c r="CC2" s="2805"/>
      <c r="CD2" s="2805"/>
      <c r="CE2" s="2805"/>
      <c r="CF2" s="2805"/>
      <c r="CG2" s="2805"/>
      <c r="CH2" s="2805"/>
      <c r="CI2" s="2805"/>
      <c r="CJ2" s="2805"/>
      <c r="CK2" s="2805"/>
      <c r="CL2" s="2805"/>
      <c r="CM2" s="2805"/>
      <c r="CN2" s="2805"/>
      <c r="CO2" s="2805"/>
      <c r="CP2" s="2805"/>
      <c r="CQ2" s="2805"/>
      <c r="CR2" s="2805"/>
      <c r="CS2" s="2805"/>
      <c r="CT2" s="2805"/>
      <c r="CU2" s="2805"/>
      <c r="CV2" s="2805"/>
      <c r="CW2" s="2805"/>
      <c r="CX2" s="2805"/>
      <c r="CY2" s="2805"/>
      <c r="CZ2" s="2805"/>
      <c r="DA2" s="2805"/>
      <c r="DB2" s="2805"/>
      <c r="DC2" s="2805"/>
      <c r="DD2" s="2805"/>
      <c r="DE2" s="2805"/>
      <c r="DF2" s="2805"/>
      <c r="DG2" s="2805"/>
      <c r="DH2" s="2805"/>
      <c r="DI2" s="2805"/>
      <c r="DJ2" s="2805"/>
      <c r="DK2" s="2805"/>
      <c r="DL2" s="2805"/>
      <c r="DM2" s="2805"/>
      <c r="DN2" s="2805"/>
      <c r="DO2" s="2805"/>
      <c r="DP2" s="2805"/>
      <c r="DQ2" s="2805"/>
      <c r="DR2" s="2805"/>
      <c r="DS2" s="2805"/>
      <c r="DT2" s="2805"/>
      <c r="DU2" s="2805"/>
      <c r="DV2" s="2805"/>
      <c r="DW2" s="2805"/>
      <c r="DX2" s="2805"/>
      <c r="DY2" s="2805"/>
      <c r="DZ2" s="2805"/>
      <c r="EA2" s="2805"/>
      <c r="EB2" s="2805"/>
      <c r="EC2" s="2805"/>
      <c r="ED2" s="2805"/>
      <c r="EE2" s="2805"/>
      <c r="EF2" s="2805"/>
      <c r="EG2" s="2805"/>
      <c r="EH2" s="2805"/>
      <c r="EI2" s="2805"/>
      <c r="EJ2" s="2805"/>
      <c r="EK2" s="2805"/>
      <c r="EL2" s="2805"/>
      <c r="EM2" s="2805"/>
      <c r="EN2" s="2805"/>
      <c r="EO2" s="2805"/>
      <c r="EP2" s="2805"/>
      <c r="EQ2" s="2805"/>
      <c r="ER2" s="2805"/>
      <c r="ES2" s="2805"/>
      <c r="ET2" s="2805"/>
      <c r="EU2" s="2805"/>
      <c r="EV2" s="2805"/>
      <c r="EW2" s="2805"/>
      <c r="EX2" s="2805"/>
      <c r="EY2" s="2805"/>
      <c r="EZ2" s="2805"/>
      <c r="FA2" s="2805"/>
      <c r="FB2" s="2805"/>
      <c r="FC2" s="2805"/>
      <c r="FD2" s="2805"/>
      <c r="FE2" s="2805"/>
      <c r="FF2" s="2805"/>
      <c r="FG2" s="2805"/>
      <c r="FH2" s="2805"/>
      <c r="FI2" s="2805"/>
      <c r="FJ2" s="2805"/>
      <c r="FK2" s="2805"/>
      <c r="FL2" s="2805"/>
      <c r="FM2" s="2805"/>
      <c r="FN2" s="2805"/>
      <c r="FO2" s="2805"/>
      <c r="FP2" s="2805"/>
      <c r="FQ2" s="2805"/>
      <c r="FR2" s="2805"/>
      <c r="FS2" s="2805"/>
      <c r="FT2" s="2805"/>
      <c r="FU2" s="2805"/>
      <c r="FV2" s="2805"/>
      <c r="FW2" s="2805"/>
      <c r="FX2" s="2805"/>
      <c r="FY2" s="2805"/>
      <c r="FZ2" s="2805"/>
      <c r="GA2" s="2805"/>
      <c r="GB2" s="2805"/>
      <c r="GC2" s="2805"/>
      <c r="GD2" s="2805"/>
      <c r="GE2" s="2805"/>
      <c r="GF2" s="2805"/>
      <c r="GG2" s="2805"/>
      <c r="GH2" s="2805"/>
      <c r="GI2" s="2805"/>
      <c r="GJ2" s="2805"/>
      <c r="GK2" s="2805"/>
      <c r="GL2" s="2805"/>
      <c r="GM2" s="2805"/>
      <c r="GN2" s="2805"/>
      <c r="GO2" s="2805"/>
      <c r="GP2" s="2805"/>
      <c r="GQ2" s="2805"/>
      <c r="GR2" s="2805"/>
      <c r="GS2" s="2805"/>
      <c r="GT2" s="2805"/>
      <c r="GU2" s="2805"/>
      <c r="GV2" s="2805"/>
      <c r="GW2" s="2805"/>
      <c r="GX2" s="2805"/>
      <c r="GY2" s="2805"/>
      <c r="GZ2" s="2805"/>
      <c r="HA2" s="2805"/>
      <c r="HB2" s="2805"/>
      <c r="HC2" s="2805"/>
      <c r="HD2" s="2805"/>
      <c r="HE2" s="2805"/>
      <c r="HF2" s="2805"/>
      <c r="HG2" s="2805"/>
      <c r="HH2" s="2805"/>
      <c r="HI2" s="2805"/>
      <c r="HJ2" s="2805"/>
      <c r="HK2" s="2805"/>
      <c r="HL2" s="2805"/>
      <c r="HM2" s="2805"/>
      <c r="HN2" s="2805"/>
      <c r="HO2" s="2805"/>
      <c r="HP2" s="2805"/>
      <c r="HQ2" s="2805"/>
      <c r="HR2" s="2805"/>
      <c r="HS2" s="2805"/>
      <c r="HT2" s="2805"/>
      <c r="HU2" s="2805"/>
      <c r="HV2" s="2805"/>
      <c r="HW2" s="2805"/>
      <c r="HX2" s="2805"/>
      <c r="HY2" s="2805"/>
      <c r="HZ2" s="2805"/>
      <c r="IA2" s="2805"/>
      <c r="IB2" s="2805"/>
      <c r="IC2" s="2805"/>
      <c r="ID2" s="2805"/>
      <c r="IE2" s="2805"/>
      <c r="IF2" s="2805"/>
      <c r="IG2" s="2805"/>
      <c r="IH2" s="2805"/>
      <c r="II2" s="2805"/>
      <c r="IJ2" s="2805"/>
      <c r="IK2" s="2805"/>
      <c r="IL2" s="2805"/>
      <c r="IM2" s="2805"/>
      <c r="IN2" s="2805"/>
      <c r="IO2" s="2805"/>
      <c r="IP2" s="2805"/>
      <c r="IQ2" s="2805"/>
      <c r="IR2" s="2805"/>
      <c r="IS2" s="2805"/>
      <c r="IT2" s="2805"/>
      <c r="IU2" s="2805"/>
      <c r="IV2" s="2805"/>
      <c r="IW2" s="2805"/>
    </row>
    <row r="3" spans="1:257" s="2861" customFormat="1">
      <c r="A3" s="2806"/>
      <c r="B3" s="2865" t="s">
        <v>2749</v>
      </c>
      <c r="C3" s="2867">
        <f>'数据-取费表'!B19</f>
        <v>0</v>
      </c>
      <c r="D3" s="2865" t="s">
        <v>2717</v>
      </c>
      <c r="E3" s="2868">
        <f ca="1">INDIRECT("J"&amp;$J$1)/100</f>
        <v>0</v>
      </c>
      <c r="G3" s="2807" t="s">
        <v>2720</v>
      </c>
      <c r="H3" s="2808">
        <v>0</v>
      </c>
      <c r="I3" s="2809">
        <f ca="1">INDIRECT("d"&amp;$H$1)</f>
        <v>4.3499999999999996</v>
      </c>
      <c r="J3" s="2809">
        <f ca="1">INDIRECT("d"&amp;$H$1)</f>
        <v>4.3499999999999996</v>
      </c>
      <c r="K3" s="2806"/>
      <c r="L3" s="2806"/>
      <c r="M3" s="2810">
        <v>0.5</v>
      </c>
      <c r="N3" s="2811">
        <f ca="1">INDIRECT("p"&amp;$N$1)</f>
        <v>1.3</v>
      </c>
      <c r="O3" s="2806"/>
      <c r="P3" s="2806"/>
      <c r="Q3" s="2806"/>
      <c r="R3" s="2806"/>
      <c r="S3" s="2806"/>
      <c r="T3" s="2806"/>
      <c r="U3" s="2806"/>
      <c r="V3" s="2806"/>
      <c r="W3" s="2806"/>
      <c r="X3" s="2806"/>
      <c r="Y3" s="2806"/>
      <c r="Z3" s="2806"/>
      <c r="AA3" s="2806"/>
      <c r="AB3" s="2806"/>
      <c r="AC3" s="2806"/>
      <c r="AD3" s="2806"/>
      <c r="AE3" s="2806"/>
      <c r="AF3" s="2806"/>
      <c r="AG3" s="2806"/>
      <c r="AH3" s="2806"/>
      <c r="AI3" s="2806"/>
      <c r="AJ3" s="2806"/>
      <c r="AK3" s="2806"/>
      <c r="AL3" s="2806"/>
      <c r="AM3" s="2806"/>
      <c r="AN3" s="2806"/>
      <c r="AO3" s="2806"/>
      <c r="AP3" s="2806"/>
      <c r="AQ3" s="2806"/>
      <c r="AR3" s="2806"/>
      <c r="AS3" s="2806"/>
      <c r="AT3" s="2806"/>
      <c r="AU3" s="2806"/>
      <c r="AV3" s="2806"/>
      <c r="AW3" s="2806"/>
      <c r="AX3" s="2806"/>
      <c r="AY3" s="2806"/>
      <c r="AZ3" s="2806"/>
      <c r="BA3" s="2806"/>
      <c r="BB3" s="2806"/>
      <c r="BC3" s="2806"/>
      <c r="BD3" s="2806"/>
      <c r="BE3" s="2806"/>
      <c r="BF3" s="2806"/>
      <c r="BG3" s="2806"/>
      <c r="BH3" s="2806"/>
      <c r="BI3" s="2806"/>
      <c r="BJ3" s="2806"/>
      <c r="BK3" s="2806"/>
      <c r="BL3" s="2806"/>
      <c r="BM3" s="2806"/>
      <c r="BN3" s="2806"/>
      <c r="BO3" s="2806"/>
      <c r="BP3" s="2806"/>
      <c r="BQ3" s="2806"/>
      <c r="BR3" s="2806"/>
      <c r="BS3" s="2806"/>
      <c r="BT3" s="2806"/>
      <c r="BU3" s="2806"/>
      <c r="BV3" s="2806"/>
      <c r="BW3" s="2806"/>
      <c r="BX3" s="2806"/>
      <c r="BY3" s="2806"/>
      <c r="BZ3" s="2806"/>
      <c r="CA3" s="2806"/>
      <c r="CB3" s="2806"/>
      <c r="CC3" s="2806"/>
      <c r="CD3" s="2806"/>
      <c r="CE3" s="2806"/>
      <c r="CF3" s="2806"/>
      <c r="CG3" s="2806"/>
      <c r="CH3" s="2806"/>
      <c r="CI3" s="2806"/>
      <c r="CJ3" s="2806"/>
      <c r="CK3" s="2806"/>
      <c r="CL3" s="2806"/>
      <c r="CM3" s="2806"/>
      <c r="CN3" s="2806"/>
      <c r="CO3" s="2806"/>
      <c r="CP3" s="2806"/>
      <c r="CQ3" s="2806"/>
      <c r="CR3" s="2806"/>
      <c r="CS3" s="2806"/>
      <c r="CT3" s="2806"/>
      <c r="CU3" s="2806"/>
      <c r="CV3" s="2806"/>
      <c r="CW3" s="2806"/>
      <c r="CX3" s="2806"/>
      <c r="CY3" s="2806"/>
      <c r="CZ3" s="2806"/>
      <c r="DA3" s="2806"/>
      <c r="DB3" s="2806"/>
      <c r="DC3" s="2806"/>
      <c r="DD3" s="2806"/>
      <c r="DE3" s="2806"/>
      <c r="DF3" s="2806"/>
      <c r="DG3" s="2806"/>
      <c r="DH3" s="2806"/>
      <c r="DI3" s="2806"/>
      <c r="DJ3" s="2806"/>
      <c r="DK3" s="2806"/>
      <c r="DL3" s="2806"/>
      <c r="DM3" s="2806"/>
      <c r="DN3" s="2806"/>
      <c r="DO3" s="2806"/>
      <c r="DP3" s="2806"/>
      <c r="DQ3" s="2806"/>
      <c r="DR3" s="2806"/>
      <c r="DS3" s="2806"/>
      <c r="DT3" s="2806"/>
      <c r="DU3" s="2806"/>
      <c r="DV3" s="2806"/>
      <c r="DW3" s="2806"/>
      <c r="DX3" s="2806"/>
      <c r="DY3" s="2806"/>
      <c r="DZ3" s="2806"/>
      <c r="EA3" s="2806"/>
      <c r="EB3" s="2806"/>
      <c r="EC3" s="2806"/>
      <c r="ED3" s="2806"/>
      <c r="EE3" s="2806"/>
      <c r="EF3" s="2806"/>
      <c r="EG3" s="2806"/>
      <c r="EH3" s="2806"/>
      <c r="EI3" s="2806"/>
      <c r="EJ3" s="2806"/>
      <c r="EK3" s="2806"/>
      <c r="EL3" s="2806"/>
      <c r="EM3" s="2806"/>
      <c r="EN3" s="2806"/>
      <c r="EO3" s="2806"/>
      <c r="EP3" s="2806"/>
      <c r="EQ3" s="2806"/>
      <c r="ER3" s="2806"/>
      <c r="ES3" s="2806"/>
      <c r="ET3" s="2806"/>
      <c r="EU3" s="2806"/>
      <c r="EV3" s="2806"/>
      <c r="EW3" s="2806"/>
      <c r="EX3" s="2806"/>
      <c r="EY3" s="2806"/>
      <c r="EZ3" s="2806"/>
      <c r="FA3" s="2806"/>
      <c r="FB3" s="2806"/>
      <c r="FC3" s="2806"/>
      <c r="FD3" s="2806"/>
      <c r="FE3" s="2806"/>
      <c r="FF3" s="2806"/>
      <c r="FG3" s="2806"/>
      <c r="FH3" s="2806"/>
      <c r="FI3" s="2806"/>
      <c r="FJ3" s="2806"/>
      <c r="FK3" s="2806"/>
      <c r="FL3" s="2806"/>
      <c r="FM3" s="2806"/>
      <c r="FN3" s="2806"/>
      <c r="FO3" s="2806"/>
      <c r="FP3" s="2806"/>
      <c r="FQ3" s="2806"/>
      <c r="FR3" s="2806"/>
      <c r="FS3" s="2806"/>
      <c r="FT3" s="2806"/>
      <c r="FU3" s="2806"/>
      <c r="FV3" s="2806"/>
      <c r="FW3" s="2806"/>
      <c r="FX3" s="2806"/>
      <c r="FY3" s="2806"/>
      <c r="FZ3" s="2806"/>
      <c r="GA3" s="2806"/>
      <c r="GB3" s="2806"/>
      <c r="GC3" s="2806"/>
      <c r="GD3" s="2806"/>
      <c r="GE3" s="2806"/>
      <c r="GF3" s="2806"/>
      <c r="GG3" s="2806"/>
      <c r="GH3" s="2806"/>
      <c r="GI3" s="2806"/>
      <c r="GJ3" s="2806"/>
      <c r="GK3" s="2806"/>
      <c r="GL3" s="2806"/>
      <c r="GM3" s="2806"/>
      <c r="GN3" s="2806"/>
      <c r="GO3" s="2806"/>
      <c r="GP3" s="2806"/>
      <c r="GQ3" s="2806"/>
      <c r="GR3" s="2806"/>
      <c r="GS3" s="2806"/>
      <c r="GT3" s="2806"/>
      <c r="GU3" s="2806"/>
      <c r="GV3" s="2806"/>
      <c r="GW3" s="2806"/>
      <c r="GX3" s="2806"/>
      <c r="GY3" s="2806"/>
      <c r="GZ3" s="2806"/>
      <c r="HA3" s="2806"/>
      <c r="HB3" s="2806"/>
      <c r="HC3" s="2806"/>
      <c r="HD3" s="2806"/>
      <c r="HE3" s="2806"/>
      <c r="HF3" s="2806"/>
      <c r="HG3" s="2806"/>
      <c r="HH3" s="2806"/>
      <c r="HI3" s="2806"/>
      <c r="HJ3" s="2806"/>
      <c r="HK3" s="2806"/>
      <c r="HL3" s="2806"/>
      <c r="HM3" s="2806"/>
      <c r="HN3" s="2806"/>
      <c r="HO3" s="2806"/>
      <c r="HP3" s="2806"/>
      <c r="HQ3" s="2806"/>
      <c r="HR3" s="2806"/>
      <c r="HS3" s="2806"/>
      <c r="HT3" s="2806"/>
      <c r="HU3" s="2806"/>
      <c r="HV3" s="2806"/>
      <c r="HW3" s="2806"/>
      <c r="HX3" s="2806"/>
      <c r="HY3" s="2806"/>
      <c r="HZ3" s="2806"/>
      <c r="IA3" s="2806"/>
      <c r="IB3" s="2806"/>
      <c r="IC3" s="2806"/>
      <c r="ID3" s="2806"/>
      <c r="IE3" s="2806"/>
      <c r="IF3" s="2806"/>
      <c r="IG3" s="2806"/>
      <c r="IH3" s="2806"/>
      <c r="II3" s="2806"/>
      <c r="IJ3" s="2806"/>
      <c r="IK3" s="2806"/>
      <c r="IL3" s="2806"/>
      <c r="IM3" s="2806"/>
      <c r="IN3" s="2806"/>
      <c r="IO3" s="2806"/>
      <c r="IP3" s="2806"/>
      <c r="IQ3" s="2806"/>
      <c r="IR3" s="2806"/>
      <c r="IS3" s="2806"/>
      <c r="IT3" s="2806"/>
      <c r="IU3" s="2806"/>
      <c r="IV3" s="2806"/>
    </row>
    <row r="4" spans="1:257" s="2861" customFormat="1">
      <c r="A4" s="2806"/>
      <c r="B4" s="2865" t="s">
        <v>2748</v>
      </c>
      <c r="C4" s="2868">
        <f ca="1">N4/100</f>
        <v>1.4999999999999999E-2</v>
      </c>
      <c r="G4" s="2813" t="s">
        <v>2721</v>
      </c>
      <c r="H4" s="2814">
        <v>0.5</v>
      </c>
      <c r="I4" s="2815">
        <f ca="1">INDIRECT("e"&amp;$H$1)</f>
        <v>4.3499999999999996</v>
      </c>
      <c r="J4" s="2815">
        <f ca="1">INDIRECT("e"&amp;$H$1)</f>
        <v>4.3499999999999996</v>
      </c>
      <c r="K4" s="2806"/>
      <c r="L4" s="2806"/>
      <c r="M4" s="2816">
        <v>1</v>
      </c>
      <c r="N4" s="2817">
        <f ca="1">INDIRECT("q"&amp;$N$1)</f>
        <v>1.5</v>
      </c>
      <c r="O4" s="2806"/>
      <c r="P4" s="2806"/>
      <c r="Q4" s="2806"/>
      <c r="R4" s="2806"/>
      <c r="S4" s="2806"/>
      <c r="T4" s="2806"/>
      <c r="U4" s="2806"/>
      <c r="V4" s="2806"/>
      <c r="W4" s="2806"/>
      <c r="X4" s="2806"/>
      <c r="Y4" s="2806"/>
      <c r="Z4" s="2806"/>
      <c r="AA4" s="2806"/>
      <c r="AB4" s="2806"/>
      <c r="AC4" s="2806"/>
      <c r="AD4" s="2806"/>
      <c r="AE4" s="2806"/>
      <c r="AF4" s="2806"/>
      <c r="AG4" s="2806"/>
      <c r="AH4" s="2806"/>
      <c r="AI4" s="2806"/>
      <c r="AJ4" s="2806"/>
      <c r="AK4" s="2806"/>
      <c r="AL4" s="2806"/>
      <c r="AM4" s="2806"/>
      <c r="AN4" s="2806"/>
      <c r="AO4" s="2806"/>
      <c r="AP4" s="2806"/>
      <c r="AQ4" s="2806"/>
      <c r="AR4" s="2806"/>
      <c r="AS4" s="2806"/>
      <c r="AT4" s="2806"/>
      <c r="AU4" s="2806"/>
      <c r="AV4" s="2806"/>
      <c r="AW4" s="2806"/>
      <c r="AX4" s="2806"/>
      <c r="AY4" s="2806"/>
      <c r="AZ4" s="2806"/>
      <c r="BA4" s="2806"/>
      <c r="BB4" s="2806"/>
      <c r="BC4" s="2806"/>
      <c r="BD4" s="2806"/>
      <c r="BE4" s="2806"/>
      <c r="BF4" s="2806"/>
      <c r="BG4" s="2806"/>
      <c r="BH4" s="2806"/>
      <c r="BI4" s="2806"/>
      <c r="BJ4" s="2806"/>
      <c r="BK4" s="2806"/>
      <c r="BL4" s="2806"/>
      <c r="BM4" s="2806"/>
      <c r="BN4" s="2806"/>
      <c r="BO4" s="2806"/>
      <c r="BP4" s="2806"/>
      <c r="BQ4" s="2806"/>
      <c r="BR4" s="2806"/>
      <c r="BS4" s="2806"/>
      <c r="BT4" s="2806"/>
      <c r="BU4" s="2806"/>
      <c r="BV4" s="2806"/>
      <c r="BW4" s="2806"/>
      <c r="BX4" s="2806"/>
      <c r="BY4" s="2806"/>
      <c r="BZ4" s="2806"/>
      <c r="CA4" s="2806"/>
      <c r="CB4" s="2806"/>
      <c r="CC4" s="2806"/>
      <c r="CD4" s="2806"/>
      <c r="CE4" s="2806"/>
      <c r="CF4" s="2806"/>
      <c r="CG4" s="2806"/>
      <c r="CH4" s="2806"/>
      <c r="CI4" s="2806"/>
      <c r="CJ4" s="2806"/>
      <c r="CK4" s="2806"/>
      <c r="CL4" s="2806"/>
      <c r="CM4" s="2806"/>
      <c r="CN4" s="2806"/>
      <c r="CO4" s="2806"/>
      <c r="CP4" s="2806"/>
      <c r="CQ4" s="2806"/>
      <c r="CR4" s="2806"/>
      <c r="CS4" s="2806"/>
      <c r="CT4" s="2806"/>
      <c r="CU4" s="2806"/>
      <c r="CV4" s="2806"/>
      <c r="CW4" s="2806"/>
      <c r="CX4" s="2806"/>
      <c r="CY4" s="2806"/>
      <c r="CZ4" s="2806"/>
      <c r="DA4" s="2806"/>
      <c r="DB4" s="2806"/>
      <c r="DC4" s="2806"/>
      <c r="DD4" s="2806"/>
      <c r="DE4" s="2806"/>
      <c r="DF4" s="2806"/>
      <c r="DG4" s="2806"/>
      <c r="DH4" s="2806"/>
      <c r="DI4" s="2806"/>
      <c r="DJ4" s="2806"/>
      <c r="DK4" s="2806"/>
      <c r="DL4" s="2806"/>
      <c r="DM4" s="2806"/>
      <c r="DN4" s="2806"/>
      <c r="DO4" s="2806"/>
      <c r="DP4" s="2806"/>
      <c r="DQ4" s="2806"/>
      <c r="DR4" s="2806"/>
      <c r="DS4" s="2806"/>
      <c r="DT4" s="2806"/>
      <c r="DU4" s="2806"/>
      <c r="DV4" s="2806"/>
      <c r="DW4" s="2806"/>
      <c r="DX4" s="2806"/>
      <c r="DY4" s="2806"/>
      <c r="DZ4" s="2806"/>
      <c r="EA4" s="2806"/>
      <c r="EB4" s="2806"/>
      <c r="EC4" s="2806"/>
      <c r="ED4" s="2806"/>
      <c r="EE4" s="2806"/>
      <c r="EF4" s="2806"/>
      <c r="EG4" s="2806"/>
      <c r="EH4" s="2806"/>
      <c r="EI4" s="2806"/>
      <c r="EJ4" s="2806"/>
      <c r="EK4" s="2806"/>
      <c r="EL4" s="2806"/>
      <c r="EM4" s="2806"/>
      <c r="EN4" s="2806"/>
      <c r="EO4" s="2806"/>
      <c r="EP4" s="2806"/>
      <c r="EQ4" s="2806"/>
      <c r="ER4" s="2806"/>
      <c r="ES4" s="2806"/>
      <c r="ET4" s="2806"/>
      <c r="EU4" s="2806"/>
      <c r="EV4" s="2806"/>
      <c r="EW4" s="2806"/>
      <c r="EX4" s="2806"/>
      <c r="EY4" s="2806"/>
      <c r="EZ4" s="2806"/>
      <c r="FA4" s="2806"/>
      <c r="FB4" s="2806"/>
      <c r="FC4" s="2806"/>
      <c r="FD4" s="2806"/>
      <c r="FE4" s="2806"/>
      <c r="FF4" s="2806"/>
      <c r="FG4" s="2806"/>
      <c r="FH4" s="2806"/>
      <c r="FI4" s="2806"/>
      <c r="FJ4" s="2806"/>
      <c r="FK4" s="2806"/>
      <c r="FL4" s="2806"/>
      <c r="FM4" s="2806"/>
      <c r="FN4" s="2806"/>
      <c r="FO4" s="2806"/>
      <c r="FP4" s="2806"/>
      <c r="FQ4" s="2806"/>
      <c r="FR4" s="2806"/>
      <c r="FS4" s="2806"/>
      <c r="FT4" s="2806"/>
      <c r="FU4" s="2806"/>
      <c r="FV4" s="2806"/>
      <c r="FW4" s="2806"/>
      <c r="FX4" s="2806"/>
      <c r="FY4" s="2806"/>
      <c r="FZ4" s="2806"/>
      <c r="GA4" s="2806"/>
      <c r="GB4" s="2806"/>
      <c r="GC4" s="2806"/>
      <c r="GD4" s="2806"/>
      <c r="GE4" s="2806"/>
      <c r="GF4" s="2806"/>
      <c r="GG4" s="2806"/>
      <c r="GH4" s="2806"/>
      <c r="GI4" s="2806"/>
      <c r="GJ4" s="2806"/>
      <c r="GK4" s="2806"/>
      <c r="GL4" s="2806"/>
      <c r="GM4" s="2806"/>
      <c r="GN4" s="2806"/>
      <c r="GO4" s="2806"/>
      <c r="GP4" s="2806"/>
      <c r="GQ4" s="2806"/>
      <c r="GR4" s="2806"/>
      <c r="GS4" s="2806"/>
      <c r="GT4" s="2806"/>
      <c r="GU4" s="2806"/>
      <c r="GV4" s="2806"/>
      <c r="GW4" s="2806"/>
      <c r="GX4" s="2806"/>
      <c r="GY4" s="2806"/>
      <c r="GZ4" s="2806"/>
      <c r="HA4" s="2806"/>
      <c r="HB4" s="2806"/>
      <c r="HC4" s="2806"/>
      <c r="HD4" s="2806"/>
      <c r="HE4" s="2806"/>
      <c r="HF4" s="2806"/>
      <c r="HG4" s="2806"/>
      <c r="HH4" s="2806"/>
      <c r="HI4" s="2806"/>
      <c r="HJ4" s="2806"/>
      <c r="HK4" s="2806"/>
      <c r="HL4" s="2806"/>
      <c r="HM4" s="2806"/>
      <c r="HN4" s="2806"/>
      <c r="HO4" s="2806"/>
      <c r="HP4" s="2806"/>
      <c r="HQ4" s="2806"/>
      <c r="HR4" s="2806"/>
      <c r="HS4" s="2806"/>
      <c r="HT4" s="2806"/>
      <c r="HU4" s="2806"/>
      <c r="HV4" s="2806"/>
      <c r="HW4" s="2806"/>
      <c r="HX4" s="2806"/>
      <c r="HY4" s="2806"/>
      <c r="HZ4" s="2806"/>
      <c r="IA4" s="2806"/>
      <c r="IB4" s="2806"/>
      <c r="IC4" s="2806"/>
      <c r="ID4" s="2806"/>
      <c r="IE4" s="2806"/>
      <c r="IF4" s="2806"/>
      <c r="IG4" s="2806"/>
      <c r="IH4" s="2806"/>
      <c r="II4" s="2806"/>
      <c r="IJ4" s="2806"/>
      <c r="IK4" s="2806"/>
      <c r="IL4" s="2806"/>
      <c r="IM4" s="2806"/>
      <c r="IN4" s="2806"/>
      <c r="IO4" s="2806"/>
      <c r="IP4" s="2806"/>
      <c r="IQ4" s="2806"/>
      <c r="IR4" s="2806"/>
      <c r="IS4" s="2806"/>
      <c r="IT4" s="2806"/>
      <c r="IU4" s="2806"/>
      <c r="IV4" s="2806"/>
    </row>
    <row r="5" spans="1:257" s="2861" customFormat="1">
      <c r="A5" s="2806"/>
      <c r="G5" s="2813" t="s">
        <v>2722</v>
      </c>
      <c r="H5" s="2814">
        <v>1</v>
      </c>
      <c r="I5" s="2815">
        <f ca="1">INDIRECT("f"&amp;$H$1)</f>
        <v>4.75</v>
      </c>
      <c r="J5" s="2815">
        <f ca="1">INDIRECT("f"&amp;$H$1)</f>
        <v>4.75</v>
      </c>
      <c r="K5" s="2806"/>
      <c r="L5" s="2806"/>
      <c r="M5" s="2816">
        <v>2</v>
      </c>
      <c r="N5" s="2817">
        <f ca="1">INDIRECT("r"&amp;$N$1)</f>
        <v>2.1</v>
      </c>
      <c r="O5" s="2806"/>
      <c r="P5" s="2806"/>
      <c r="Q5" s="2806"/>
      <c r="R5" s="2806"/>
      <c r="S5" s="2806"/>
      <c r="T5" s="2806"/>
      <c r="U5" s="2806"/>
      <c r="V5" s="2806"/>
      <c r="W5" s="2806"/>
      <c r="X5" s="2806"/>
      <c r="Y5" s="2806"/>
      <c r="Z5" s="2806"/>
      <c r="AA5" s="2806"/>
      <c r="AB5" s="2806"/>
      <c r="AC5" s="2806"/>
      <c r="AD5" s="2806"/>
      <c r="AE5" s="2806"/>
      <c r="AF5" s="2806"/>
      <c r="AG5" s="2806"/>
      <c r="AH5" s="2806"/>
      <c r="AI5" s="2806"/>
      <c r="AJ5" s="2806"/>
      <c r="AK5" s="2806"/>
      <c r="AL5" s="2806"/>
      <c r="AM5" s="2806"/>
      <c r="AN5" s="2806"/>
      <c r="AO5" s="2806"/>
      <c r="AP5" s="2806"/>
      <c r="AQ5" s="2806"/>
      <c r="AR5" s="2806"/>
      <c r="AS5" s="2806"/>
      <c r="AT5" s="2806"/>
      <c r="AU5" s="2806"/>
      <c r="AV5" s="2806"/>
      <c r="AW5" s="2806"/>
      <c r="AX5" s="2806"/>
      <c r="AY5" s="2806"/>
      <c r="AZ5" s="2806"/>
      <c r="BA5" s="2806"/>
      <c r="BB5" s="2806"/>
      <c r="BC5" s="2806"/>
      <c r="BD5" s="2806"/>
      <c r="BE5" s="2806"/>
      <c r="BF5" s="2806"/>
      <c r="BG5" s="2806"/>
      <c r="BH5" s="2806"/>
      <c r="BI5" s="2806"/>
      <c r="BJ5" s="2806"/>
      <c r="BK5" s="2806"/>
      <c r="BL5" s="2806"/>
      <c r="BM5" s="2806"/>
      <c r="BN5" s="2806"/>
      <c r="BO5" s="2806"/>
      <c r="BP5" s="2806"/>
      <c r="BQ5" s="2806"/>
      <c r="BR5" s="2806"/>
      <c r="BS5" s="2806"/>
      <c r="BT5" s="2806"/>
      <c r="BU5" s="2806"/>
      <c r="BV5" s="2806"/>
      <c r="BW5" s="2806"/>
      <c r="BX5" s="2806"/>
      <c r="BY5" s="2806"/>
      <c r="BZ5" s="2806"/>
      <c r="CA5" s="2806"/>
      <c r="CB5" s="2806"/>
      <c r="CC5" s="2806"/>
      <c r="CD5" s="2806"/>
      <c r="CE5" s="2806"/>
      <c r="CF5" s="2806"/>
      <c r="CG5" s="2806"/>
      <c r="CH5" s="2806"/>
      <c r="CI5" s="2806"/>
      <c r="CJ5" s="2806"/>
      <c r="CK5" s="2806"/>
      <c r="CL5" s="2806"/>
      <c r="CM5" s="2806"/>
      <c r="CN5" s="2806"/>
      <c r="CO5" s="2806"/>
      <c r="CP5" s="2806"/>
      <c r="CQ5" s="2806"/>
      <c r="CR5" s="2806"/>
      <c r="CS5" s="2806"/>
      <c r="CT5" s="2806"/>
      <c r="CU5" s="2806"/>
      <c r="CV5" s="2806"/>
      <c r="CW5" s="2806"/>
      <c r="CX5" s="2806"/>
      <c r="CY5" s="2806"/>
      <c r="CZ5" s="2806"/>
      <c r="DA5" s="2806"/>
      <c r="DB5" s="2806"/>
      <c r="DC5" s="2806"/>
      <c r="DD5" s="2806"/>
      <c r="DE5" s="2806"/>
      <c r="DF5" s="2806"/>
      <c r="DG5" s="2806"/>
      <c r="DH5" s="2806"/>
      <c r="DI5" s="2806"/>
      <c r="DJ5" s="2806"/>
      <c r="DK5" s="2806"/>
      <c r="DL5" s="2806"/>
      <c r="DM5" s="2806"/>
      <c r="DN5" s="2806"/>
      <c r="DO5" s="2806"/>
      <c r="DP5" s="2806"/>
      <c r="DQ5" s="2806"/>
      <c r="DR5" s="2806"/>
      <c r="DS5" s="2806"/>
      <c r="DT5" s="2806"/>
      <c r="DU5" s="2806"/>
      <c r="DV5" s="2806"/>
      <c r="DW5" s="2806"/>
      <c r="DX5" s="2806"/>
      <c r="DY5" s="2806"/>
      <c r="DZ5" s="2806"/>
      <c r="EA5" s="2806"/>
      <c r="EB5" s="2806"/>
      <c r="EC5" s="2806"/>
      <c r="ED5" s="2806"/>
      <c r="EE5" s="2806"/>
      <c r="EF5" s="2806"/>
      <c r="EG5" s="2806"/>
      <c r="EH5" s="2806"/>
      <c r="EI5" s="2806"/>
      <c r="EJ5" s="2806"/>
      <c r="EK5" s="2806"/>
      <c r="EL5" s="2806"/>
      <c r="EM5" s="2806"/>
      <c r="EN5" s="2806"/>
      <c r="EO5" s="2806"/>
      <c r="EP5" s="2806"/>
      <c r="EQ5" s="2806"/>
      <c r="ER5" s="2806"/>
      <c r="ES5" s="2806"/>
      <c r="ET5" s="2806"/>
      <c r="EU5" s="2806"/>
      <c r="EV5" s="2806"/>
      <c r="EW5" s="2806"/>
      <c r="EX5" s="2806"/>
      <c r="EY5" s="2806"/>
      <c r="EZ5" s="2806"/>
      <c r="FA5" s="2806"/>
      <c r="FB5" s="2806"/>
      <c r="FC5" s="2806"/>
      <c r="FD5" s="2806"/>
      <c r="FE5" s="2806"/>
      <c r="FF5" s="2806"/>
      <c r="FG5" s="2806"/>
      <c r="FH5" s="2806"/>
      <c r="FI5" s="2806"/>
      <c r="FJ5" s="2806"/>
      <c r="FK5" s="2806"/>
      <c r="FL5" s="2806"/>
      <c r="FM5" s="2806"/>
      <c r="FN5" s="2806"/>
      <c r="FO5" s="2806"/>
      <c r="FP5" s="2806"/>
      <c r="FQ5" s="2806"/>
      <c r="FR5" s="2806"/>
      <c r="FS5" s="2806"/>
      <c r="FT5" s="2806"/>
      <c r="FU5" s="2806"/>
      <c r="FV5" s="2806"/>
      <c r="FW5" s="2806"/>
      <c r="FX5" s="2806"/>
      <c r="FY5" s="2806"/>
      <c r="FZ5" s="2806"/>
      <c r="GA5" s="2806"/>
      <c r="GB5" s="2806"/>
      <c r="GC5" s="2806"/>
      <c r="GD5" s="2806"/>
      <c r="GE5" s="2806"/>
      <c r="GF5" s="2806"/>
      <c r="GG5" s="2806"/>
      <c r="GH5" s="2806"/>
      <c r="GI5" s="2806"/>
      <c r="GJ5" s="2806"/>
      <c r="GK5" s="2806"/>
      <c r="GL5" s="2806"/>
      <c r="GM5" s="2806"/>
      <c r="GN5" s="2806"/>
      <c r="GO5" s="2806"/>
      <c r="GP5" s="2806"/>
      <c r="GQ5" s="2806"/>
      <c r="GR5" s="2806"/>
      <c r="GS5" s="2806"/>
      <c r="GT5" s="2806"/>
      <c r="GU5" s="2806"/>
      <c r="GV5" s="2806"/>
      <c r="GW5" s="2806"/>
      <c r="GX5" s="2806"/>
      <c r="GY5" s="2806"/>
      <c r="GZ5" s="2806"/>
      <c r="HA5" s="2806"/>
      <c r="HB5" s="2806"/>
      <c r="HC5" s="2806"/>
      <c r="HD5" s="2806"/>
      <c r="HE5" s="2806"/>
      <c r="HF5" s="2806"/>
      <c r="HG5" s="2806"/>
      <c r="HH5" s="2806"/>
      <c r="HI5" s="2806"/>
      <c r="HJ5" s="2806"/>
      <c r="HK5" s="2806"/>
      <c r="HL5" s="2806"/>
      <c r="HM5" s="2806"/>
      <c r="HN5" s="2806"/>
      <c r="HO5" s="2806"/>
      <c r="HP5" s="2806"/>
      <c r="HQ5" s="2806"/>
      <c r="HR5" s="2806"/>
      <c r="HS5" s="2806"/>
      <c r="HT5" s="2806"/>
      <c r="HU5" s="2806"/>
      <c r="HV5" s="2806"/>
      <c r="HW5" s="2806"/>
      <c r="HX5" s="2806"/>
      <c r="HY5" s="2806"/>
      <c r="HZ5" s="2806"/>
      <c r="IA5" s="2806"/>
      <c r="IB5" s="2806"/>
      <c r="IC5" s="2806"/>
      <c r="ID5" s="2806"/>
      <c r="IE5" s="2806"/>
      <c r="IF5" s="2806"/>
      <c r="IG5" s="2806"/>
      <c r="IH5" s="2806"/>
      <c r="II5" s="2806"/>
      <c r="IJ5" s="2806"/>
      <c r="IK5" s="2806"/>
      <c r="IL5" s="2806"/>
      <c r="IM5" s="2806"/>
      <c r="IN5" s="2806"/>
      <c r="IO5" s="2806"/>
      <c r="IP5" s="2806"/>
      <c r="IQ5" s="2806"/>
      <c r="IR5" s="2806"/>
      <c r="IS5" s="2806"/>
      <c r="IT5" s="2806"/>
      <c r="IU5" s="2806"/>
      <c r="IV5" s="2806"/>
    </row>
    <row r="6" spans="1:257" s="2861" customFormat="1">
      <c r="A6" s="2806"/>
      <c r="G6" s="2813" t="s">
        <v>2723</v>
      </c>
      <c r="H6" s="2814">
        <v>3</v>
      </c>
      <c r="I6" s="2815">
        <f ca="1">INDIRECT("g"&amp;$H$1)</f>
        <v>4.75</v>
      </c>
      <c r="J6" s="2815">
        <f ca="1">INDIRECT("g"&amp;$H$1)</f>
        <v>4.75</v>
      </c>
      <c r="K6" s="2806"/>
      <c r="L6" s="2806"/>
      <c r="M6" s="2816">
        <v>3</v>
      </c>
      <c r="N6" s="2817">
        <f ca="1">INDIRECT("s"&amp;$N$1)</f>
        <v>2.75</v>
      </c>
      <c r="O6" s="2806"/>
      <c r="P6" s="2806"/>
      <c r="Q6" s="2806"/>
      <c r="R6" s="2806"/>
      <c r="S6" s="2806"/>
      <c r="T6" s="2806"/>
      <c r="U6" s="2806"/>
      <c r="V6" s="2806"/>
      <c r="W6" s="2806"/>
      <c r="X6" s="2806"/>
      <c r="Y6" s="2806"/>
      <c r="Z6" s="2806"/>
      <c r="AA6" s="2806"/>
      <c r="AB6" s="2806"/>
      <c r="AC6" s="2806"/>
      <c r="AD6" s="2806"/>
      <c r="AE6" s="2806"/>
      <c r="AF6" s="2806"/>
      <c r="AG6" s="2806"/>
      <c r="AH6" s="2806"/>
      <c r="AI6" s="2806"/>
      <c r="AJ6" s="2806"/>
      <c r="AK6" s="2806"/>
      <c r="AL6" s="2806"/>
      <c r="AM6" s="2806"/>
      <c r="AN6" s="2806"/>
      <c r="AO6" s="2806"/>
      <c r="AP6" s="2806"/>
      <c r="AQ6" s="2806"/>
      <c r="AR6" s="2806"/>
      <c r="AS6" s="2806"/>
      <c r="AT6" s="2806"/>
      <c r="AU6" s="2806"/>
      <c r="AV6" s="2806"/>
      <c r="AW6" s="2806"/>
      <c r="AX6" s="2806"/>
      <c r="AY6" s="2806"/>
      <c r="AZ6" s="2806"/>
      <c r="BA6" s="2806"/>
      <c r="BB6" s="2806"/>
      <c r="BC6" s="2806"/>
      <c r="BD6" s="2806"/>
      <c r="BE6" s="2806"/>
      <c r="BF6" s="2806"/>
      <c r="BG6" s="2806"/>
      <c r="BH6" s="2806"/>
      <c r="BI6" s="2806"/>
      <c r="BJ6" s="2806"/>
      <c r="BK6" s="2806"/>
      <c r="BL6" s="2806"/>
      <c r="BM6" s="2806"/>
      <c r="BN6" s="2806"/>
      <c r="BO6" s="2806"/>
      <c r="BP6" s="2806"/>
      <c r="BQ6" s="2806"/>
      <c r="BR6" s="2806"/>
      <c r="BS6" s="2806"/>
      <c r="BT6" s="2806"/>
      <c r="BU6" s="2806"/>
      <c r="BV6" s="2806"/>
      <c r="BW6" s="2806"/>
      <c r="BX6" s="2806"/>
      <c r="BY6" s="2806"/>
      <c r="BZ6" s="2806"/>
      <c r="CA6" s="2806"/>
      <c r="CB6" s="2806"/>
      <c r="CC6" s="2806"/>
      <c r="CD6" s="2806"/>
      <c r="CE6" s="2806"/>
      <c r="CF6" s="2806"/>
      <c r="CG6" s="2806"/>
      <c r="CH6" s="2806"/>
      <c r="CI6" s="2806"/>
      <c r="CJ6" s="2806"/>
      <c r="CK6" s="2806"/>
      <c r="CL6" s="2806"/>
      <c r="CM6" s="2806"/>
      <c r="CN6" s="2806"/>
      <c r="CO6" s="2806"/>
      <c r="CP6" s="2806"/>
      <c r="CQ6" s="2806"/>
      <c r="CR6" s="2806"/>
      <c r="CS6" s="2806"/>
      <c r="CT6" s="2806"/>
      <c r="CU6" s="2806"/>
      <c r="CV6" s="2806"/>
      <c r="CW6" s="2806"/>
      <c r="CX6" s="2806"/>
      <c r="CY6" s="2806"/>
      <c r="CZ6" s="2806"/>
      <c r="DA6" s="2806"/>
      <c r="DB6" s="2806"/>
      <c r="DC6" s="2806"/>
      <c r="DD6" s="2806"/>
      <c r="DE6" s="2806"/>
      <c r="DF6" s="2806"/>
      <c r="DG6" s="2806"/>
      <c r="DH6" s="2806"/>
      <c r="DI6" s="2806"/>
      <c r="DJ6" s="2806"/>
      <c r="DK6" s="2806"/>
      <c r="DL6" s="2806"/>
      <c r="DM6" s="2806"/>
      <c r="DN6" s="2806"/>
      <c r="DO6" s="2806"/>
      <c r="DP6" s="2806"/>
      <c r="DQ6" s="2806"/>
      <c r="DR6" s="2806"/>
      <c r="DS6" s="2806"/>
      <c r="DT6" s="2806"/>
      <c r="DU6" s="2806"/>
      <c r="DV6" s="2806"/>
      <c r="DW6" s="2806"/>
      <c r="DX6" s="2806"/>
      <c r="DY6" s="2806"/>
      <c r="DZ6" s="2806"/>
      <c r="EA6" s="2806"/>
      <c r="EB6" s="2806"/>
      <c r="EC6" s="2806"/>
      <c r="ED6" s="2806"/>
      <c r="EE6" s="2806"/>
      <c r="EF6" s="2806"/>
      <c r="EG6" s="2806"/>
      <c r="EH6" s="2806"/>
      <c r="EI6" s="2806"/>
      <c r="EJ6" s="2806"/>
      <c r="EK6" s="2806"/>
      <c r="EL6" s="2806"/>
      <c r="EM6" s="2806"/>
      <c r="EN6" s="2806"/>
      <c r="EO6" s="2806"/>
      <c r="EP6" s="2806"/>
      <c r="EQ6" s="2806"/>
      <c r="ER6" s="2806"/>
      <c r="ES6" s="2806"/>
      <c r="ET6" s="2806"/>
      <c r="EU6" s="2806"/>
      <c r="EV6" s="2806"/>
      <c r="EW6" s="2806"/>
      <c r="EX6" s="2806"/>
      <c r="EY6" s="2806"/>
      <c r="EZ6" s="2806"/>
      <c r="FA6" s="2806"/>
      <c r="FB6" s="2806"/>
      <c r="FC6" s="2806"/>
      <c r="FD6" s="2806"/>
      <c r="FE6" s="2806"/>
      <c r="FF6" s="2806"/>
      <c r="FG6" s="2806"/>
      <c r="FH6" s="2806"/>
      <c r="FI6" s="2806"/>
      <c r="FJ6" s="2806"/>
      <c r="FK6" s="2806"/>
      <c r="FL6" s="2806"/>
      <c r="FM6" s="2806"/>
      <c r="FN6" s="2806"/>
      <c r="FO6" s="2806"/>
      <c r="FP6" s="2806"/>
      <c r="FQ6" s="2806"/>
      <c r="FR6" s="2806"/>
      <c r="FS6" s="2806"/>
      <c r="FT6" s="2806"/>
      <c r="FU6" s="2806"/>
      <c r="FV6" s="2806"/>
      <c r="FW6" s="2806"/>
      <c r="FX6" s="2806"/>
      <c r="FY6" s="2806"/>
      <c r="FZ6" s="2806"/>
      <c r="GA6" s="2806"/>
      <c r="GB6" s="2806"/>
      <c r="GC6" s="2806"/>
      <c r="GD6" s="2806"/>
      <c r="GE6" s="2806"/>
      <c r="GF6" s="2806"/>
      <c r="GG6" s="2806"/>
      <c r="GH6" s="2806"/>
      <c r="GI6" s="2806"/>
      <c r="GJ6" s="2806"/>
      <c r="GK6" s="2806"/>
      <c r="GL6" s="2806"/>
      <c r="GM6" s="2806"/>
      <c r="GN6" s="2806"/>
      <c r="GO6" s="2806"/>
      <c r="GP6" s="2806"/>
      <c r="GQ6" s="2806"/>
      <c r="GR6" s="2806"/>
      <c r="GS6" s="2806"/>
      <c r="GT6" s="2806"/>
      <c r="GU6" s="2806"/>
      <c r="GV6" s="2806"/>
      <c r="GW6" s="2806"/>
      <c r="GX6" s="2806"/>
      <c r="GY6" s="2806"/>
      <c r="GZ6" s="2806"/>
      <c r="HA6" s="2806"/>
      <c r="HB6" s="2806"/>
      <c r="HC6" s="2806"/>
      <c r="HD6" s="2806"/>
      <c r="HE6" s="2806"/>
      <c r="HF6" s="2806"/>
      <c r="HG6" s="2806"/>
      <c r="HH6" s="2806"/>
      <c r="HI6" s="2806"/>
      <c r="HJ6" s="2806"/>
      <c r="HK6" s="2806"/>
      <c r="HL6" s="2806"/>
      <c r="HM6" s="2806"/>
      <c r="HN6" s="2806"/>
      <c r="HO6" s="2806"/>
      <c r="HP6" s="2806"/>
      <c r="HQ6" s="2806"/>
      <c r="HR6" s="2806"/>
      <c r="HS6" s="2806"/>
      <c r="HT6" s="2806"/>
      <c r="HU6" s="2806"/>
      <c r="HV6" s="2806"/>
      <c r="HW6" s="2806"/>
      <c r="HX6" s="2806"/>
      <c r="HY6" s="2806"/>
      <c r="HZ6" s="2806"/>
      <c r="IA6" s="2806"/>
      <c r="IB6" s="2806"/>
      <c r="IC6" s="2806"/>
      <c r="ID6" s="2806"/>
      <c r="IE6" s="2806"/>
      <c r="IF6" s="2806"/>
      <c r="IG6" s="2806"/>
      <c r="IH6" s="2806"/>
      <c r="II6" s="2806"/>
      <c r="IJ6" s="2806"/>
      <c r="IK6" s="2806"/>
      <c r="IL6" s="2806"/>
      <c r="IM6" s="2806"/>
      <c r="IN6" s="2806"/>
      <c r="IO6" s="2806"/>
      <c r="IP6" s="2806"/>
      <c r="IQ6" s="2806"/>
      <c r="IR6" s="2806"/>
      <c r="IS6" s="2806"/>
      <c r="IT6" s="2806"/>
      <c r="IU6" s="2806"/>
      <c r="IV6" s="2806"/>
    </row>
    <row r="7" spans="1:257" s="2861" customFormat="1" ht="14.25" thickBot="1">
      <c r="A7" s="2806"/>
      <c r="G7" s="2818" t="s">
        <v>2724</v>
      </c>
      <c r="H7" s="2819">
        <v>5</v>
      </c>
      <c r="I7" s="2820">
        <f ca="1">INDIRECT("h"&amp;$H$1)</f>
        <v>4.9000000000000004</v>
      </c>
      <c r="J7" s="2820">
        <f ca="1">INDIRECT("h"&amp;$H$1)</f>
        <v>4.9000000000000004</v>
      </c>
      <c r="K7" s="2806"/>
      <c r="L7" s="2806"/>
      <c r="M7" s="2821">
        <v>5</v>
      </c>
      <c r="N7" s="2822">
        <f ca="1">INDIRECT("t"&amp;$N$1)</f>
        <v>0</v>
      </c>
      <c r="O7" s="2806"/>
      <c r="P7" s="2806"/>
      <c r="Q7" s="2806"/>
      <c r="R7" s="2806"/>
      <c r="S7" s="2806"/>
      <c r="T7" s="2806"/>
      <c r="U7" s="2806"/>
      <c r="V7" s="2806"/>
      <c r="W7" s="2806"/>
      <c r="X7" s="2806"/>
      <c r="Y7" s="2806"/>
      <c r="Z7" s="2806"/>
      <c r="AA7" s="2806"/>
      <c r="AB7" s="2806"/>
      <c r="AC7" s="2806"/>
      <c r="AD7" s="2806"/>
      <c r="AE7" s="2806"/>
      <c r="AF7" s="2806"/>
      <c r="AG7" s="2806"/>
      <c r="AH7" s="2806"/>
      <c r="AI7" s="2806"/>
      <c r="AJ7" s="2806"/>
      <c r="AK7" s="2806"/>
      <c r="AL7" s="2806"/>
      <c r="AM7" s="2806"/>
      <c r="AN7" s="2806"/>
      <c r="AO7" s="2806"/>
      <c r="AP7" s="2806"/>
      <c r="AQ7" s="2806"/>
      <c r="AR7" s="2806"/>
      <c r="AS7" s="2806"/>
      <c r="AT7" s="2806"/>
      <c r="AU7" s="2806"/>
      <c r="AV7" s="2806"/>
      <c r="AW7" s="2806"/>
      <c r="AX7" s="2806"/>
      <c r="AY7" s="2806"/>
      <c r="AZ7" s="2806"/>
      <c r="BA7" s="2806"/>
      <c r="BB7" s="2806"/>
      <c r="BC7" s="2806"/>
      <c r="BD7" s="2806"/>
      <c r="BE7" s="2806"/>
      <c r="BF7" s="2806"/>
      <c r="BG7" s="2806"/>
      <c r="BH7" s="2806"/>
      <c r="BI7" s="2806"/>
      <c r="BJ7" s="2806"/>
      <c r="BK7" s="2806"/>
      <c r="BL7" s="2806"/>
      <c r="BM7" s="2806"/>
      <c r="BN7" s="2806"/>
      <c r="BO7" s="2806"/>
      <c r="BP7" s="2806"/>
      <c r="BQ7" s="2806"/>
      <c r="BR7" s="2806"/>
      <c r="BS7" s="2806"/>
      <c r="BT7" s="2806"/>
      <c r="BU7" s="2806"/>
      <c r="BV7" s="2806"/>
      <c r="BW7" s="2806"/>
      <c r="BX7" s="2806"/>
      <c r="BY7" s="2806"/>
      <c r="BZ7" s="2806"/>
      <c r="CA7" s="2806"/>
      <c r="CB7" s="2806"/>
      <c r="CC7" s="2806"/>
      <c r="CD7" s="2806"/>
      <c r="CE7" s="2806"/>
      <c r="CF7" s="2806"/>
      <c r="CG7" s="2806"/>
      <c r="CH7" s="2806"/>
      <c r="CI7" s="2806"/>
      <c r="CJ7" s="2806"/>
      <c r="CK7" s="2806"/>
      <c r="CL7" s="2806"/>
      <c r="CM7" s="2806"/>
      <c r="CN7" s="2806"/>
      <c r="CO7" s="2806"/>
      <c r="CP7" s="2806"/>
      <c r="CQ7" s="2806"/>
      <c r="CR7" s="2806"/>
      <c r="CS7" s="2806"/>
      <c r="CT7" s="2806"/>
      <c r="CU7" s="2806"/>
      <c r="CV7" s="2806"/>
      <c r="CW7" s="2806"/>
      <c r="CX7" s="2806"/>
      <c r="CY7" s="2806"/>
      <c r="CZ7" s="2806"/>
      <c r="DA7" s="2806"/>
      <c r="DB7" s="2806"/>
      <c r="DC7" s="2806"/>
      <c r="DD7" s="2806"/>
      <c r="DE7" s="2806"/>
      <c r="DF7" s="2806"/>
      <c r="DG7" s="2806"/>
      <c r="DH7" s="2806"/>
      <c r="DI7" s="2806"/>
      <c r="DJ7" s="2806"/>
      <c r="DK7" s="2806"/>
      <c r="DL7" s="2806"/>
      <c r="DM7" s="2806"/>
      <c r="DN7" s="2806"/>
      <c r="DO7" s="2806"/>
      <c r="DP7" s="2806"/>
      <c r="DQ7" s="2806"/>
      <c r="DR7" s="2806"/>
      <c r="DS7" s="2806"/>
      <c r="DT7" s="2806"/>
      <c r="DU7" s="2806"/>
      <c r="DV7" s="2806"/>
      <c r="DW7" s="2806"/>
      <c r="DX7" s="2806"/>
      <c r="DY7" s="2806"/>
      <c r="DZ7" s="2806"/>
      <c r="EA7" s="2806"/>
      <c r="EB7" s="2806"/>
      <c r="EC7" s="2806"/>
      <c r="ED7" s="2806"/>
      <c r="EE7" s="2806"/>
      <c r="EF7" s="2806"/>
      <c r="EG7" s="2806"/>
      <c r="EH7" s="2806"/>
      <c r="EI7" s="2806"/>
      <c r="EJ7" s="2806"/>
      <c r="EK7" s="2806"/>
      <c r="EL7" s="2806"/>
      <c r="EM7" s="2806"/>
      <c r="EN7" s="2806"/>
      <c r="EO7" s="2806"/>
      <c r="EP7" s="2806"/>
      <c r="EQ7" s="2806"/>
      <c r="ER7" s="2806"/>
      <c r="ES7" s="2806"/>
      <c r="ET7" s="2806"/>
      <c r="EU7" s="2806"/>
      <c r="EV7" s="2806"/>
      <c r="EW7" s="2806"/>
      <c r="EX7" s="2806"/>
      <c r="EY7" s="2806"/>
      <c r="EZ7" s="2806"/>
      <c r="FA7" s="2806"/>
      <c r="FB7" s="2806"/>
      <c r="FC7" s="2806"/>
      <c r="FD7" s="2806"/>
      <c r="FE7" s="2806"/>
      <c r="FF7" s="2806"/>
      <c r="FG7" s="2806"/>
      <c r="FH7" s="2806"/>
      <c r="FI7" s="2806"/>
      <c r="FJ7" s="2806"/>
      <c r="FK7" s="2806"/>
      <c r="FL7" s="2806"/>
      <c r="FM7" s="2806"/>
      <c r="FN7" s="2806"/>
      <c r="FO7" s="2806"/>
      <c r="FP7" s="2806"/>
      <c r="FQ7" s="2806"/>
      <c r="FR7" s="2806"/>
      <c r="FS7" s="2806"/>
      <c r="FT7" s="2806"/>
      <c r="FU7" s="2806"/>
      <c r="FV7" s="2806"/>
      <c r="FW7" s="2806"/>
      <c r="FX7" s="2806"/>
      <c r="FY7" s="2806"/>
      <c r="FZ7" s="2806"/>
      <c r="GA7" s="2806"/>
      <c r="GB7" s="2806"/>
      <c r="GC7" s="2806"/>
      <c r="GD7" s="2806"/>
      <c r="GE7" s="2806"/>
      <c r="GF7" s="2806"/>
      <c r="GG7" s="2806"/>
      <c r="GH7" s="2806"/>
      <c r="GI7" s="2806"/>
      <c r="GJ7" s="2806"/>
      <c r="GK7" s="2806"/>
      <c r="GL7" s="2806"/>
      <c r="GM7" s="2806"/>
      <c r="GN7" s="2806"/>
      <c r="GO7" s="2806"/>
      <c r="GP7" s="2806"/>
      <c r="GQ7" s="2806"/>
      <c r="GR7" s="2806"/>
      <c r="GS7" s="2806"/>
      <c r="GT7" s="2806"/>
      <c r="GU7" s="2806"/>
      <c r="GV7" s="2806"/>
      <c r="GW7" s="2806"/>
      <c r="GX7" s="2806"/>
      <c r="GY7" s="2806"/>
      <c r="GZ7" s="2806"/>
      <c r="HA7" s="2806"/>
      <c r="HB7" s="2806"/>
      <c r="HC7" s="2806"/>
      <c r="HD7" s="2806"/>
      <c r="HE7" s="2806"/>
      <c r="HF7" s="2806"/>
      <c r="HG7" s="2806"/>
      <c r="HH7" s="2806"/>
      <c r="HI7" s="2806"/>
      <c r="HJ7" s="2806"/>
      <c r="HK7" s="2806"/>
      <c r="HL7" s="2806"/>
      <c r="HM7" s="2806"/>
      <c r="HN7" s="2806"/>
      <c r="HO7" s="2806"/>
      <c r="HP7" s="2806"/>
      <c r="HQ7" s="2806"/>
      <c r="HR7" s="2806"/>
      <c r="HS7" s="2806"/>
      <c r="HT7" s="2806"/>
      <c r="HU7" s="2806"/>
      <c r="HV7" s="2806"/>
      <c r="HW7" s="2806"/>
      <c r="HX7" s="2806"/>
      <c r="HY7" s="2806"/>
      <c r="HZ7" s="2806"/>
      <c r="IA7" s="2806"/>
      <c r="IB7" s="2806"/>
      <c r="IC7" s="2806"/>
      <c r="ID7" s="2806"/>
      <c r="IE7" s="2806"/>
      <c r="IF7" s="2806"/>
      <c r="IG7" s="2806"/>
      <c r="IH7" s="2806"/>
      <c r="II7" s="2806"/>
      <c r="IJ7" s="2806"/>
      <c r="IK7" s="2806"/>
      <c r="IL7" s="2806"/>
      <c r="IM7" s="2806"/>
      <c r="IN7" s="2806"/>
      <c r="IO7" s="2806"/>
      <c r="IP7" s="2806"/>
      <c r="IQ7" s="2806"/>
      <c r="IR7" s="2806"/>
      <c r="IS7" s="2806"/>
      <c r="IT7" s="2806"/>
      <c r="IU7" s="2806"/>
      <c r="IV7" s="2806"/>
    </row>
    <row r="8" spans="1:257">
      <c r="A8" s="2823"/>
      <c r="B8" s="2824"/>
      <c r="C8" s="2825"/>
      <c r="D8" s="2806"/>
      <c r="E8" s="2806"/>
      <c r="F8" s="2806"/>
      <c r="G8" s="2806"/>
      <c r="H8" s="2806"/>
      <c r="I8" s="2806"/>
      <c r="J8" s="2806"/>
      <c r="L8" s="2806"/>
      <c r="M8" s="2806"/>
      <c r="N8" s="2806"/>
      <c r="O8" s="2806"/>
      <c r="P8" s="2806"/>
      <c r="Q8" s="2806"/>
      <c r="R8" s="2806"/>
      <c r="S8" s="2806"/>
      <c r="T8" s="2806"/>
      <c r="U8" s="2806"/>
      <c r="V8" s="2806"/>
      <c r="W8" s="2806"/>
      <c r="X8" s="2806"/>
      <c r="Y8" s="2806"/>
      <c r="Z8" s="2806"/>
    </row>
    <row r="9" spans="1:257" ht="20.25">
      <c r="A9" s="2826"/>
      <c r="B9" s="2827" t="s">
        <v>2725</v>
      </c>
      <c r="C9" s="2828"/>
      <c r="D9" s="2829"/>
      <c r="E9" s="2829"/>
      <c r="F9" s="2829"/>
      <c r="G9" s="2829"/>
      <c r="H9" s="2829"/>
      <c r="I9" s="2829"/>
      <c r="J9" s="2829"/>
      <c r="K9" s="2829"/>
      <c r="L9" s="2829"/>
      <c r="M9" s="2829"/>
      <c r="N9" s="2829"/>
      <c r="O9" s="2829"/>
      <c r="P9" s="2829"/>
      <c r="Q9" s="2829"/>
      <c r="R9" s="2829"/>
      <c r="S9" s="2829"/>
      <c r="T9" s="2829"/>
      <c r="U9" s="2829"/>
      <c r="V9" s="2829"/>
      <c r="W9" s="2829"/>
      <c r="X9" s="2829"/>
      <c r="Y9" s="2829"/>
      <c r="Z9" s="2829"/>
      <c r="AA9" s="2830"/>
      <c r="AB9" s="2830"/>
      <c r="AC9" s="2830"/>
      <c r="AD9" s="2830"/>
      <c r="AE9" s="2830"/>
      <c r="AF9" s="2830"/>
      <c r="AG9" s="2830"/>
      <c r="AH9" s="2830"/>
      <c r="AI9" s="2830"/>
      <c r="AJ9" s="2830"/>
      <c r="AK9" s="2830"/>
      <c r="AL9" s="2830"/>
      <c r="AM9" s="2830"/>
      <c r="AN9" s="2830"/>
      <c r="AO9" s="2830"/>
      <c r="AP9" s="2830"/>
      <c r="AQ9" s="2830"/>
      <c r="AR9" s="2830"/>
      <c r="AS9" s="2830"/>
      <c r="AT9" s="2830"/>
      <c r="AU9" s="2830"/>
      <c r="AV9" s="2830"/>
      <c r="AW9" s="2830"/>
      <c r="AX9" s="2830"/>
      <c r="AY9" s="2830"/>
      <c r="AZ9" s="2830"/>
      <c r="BA9" s="2830"/>
      <c r="BB9" s="2830"/>
      <c r="BC9" s="2830"/>
      <c r="BD9" s="2830"/>
      <c r="BE9" s="2830"/>
      <c r="BF9" s="2830"/>
      <c r="BG9" s="2830"/>
      <c r="BH9" s="2830"/>
      <c r="BI9" s="2830"/>
      <c r="BJ9" s="2830"/>
      <c r="BK9" s="2830"/>
      <c r="BL9" s="2830"/>
      <c r="BM9" s="2830"/>
      <c r="BN9" s="2830"/>
      <c r="BO9" s="2830"/>
      <c r="BP9" s="2830"/>
      <c r="BQ9" s="2830"/>
      <c r="BR9" s="2830"/>
      <c r="BS9" s="2830"/>
      <c r="BT9" s="2830"/>
      <c r="BU9" s="2830"/>
      <c r="BV9" s="2830"/>
      <c r="BW9" s="2830"/>
      <c r="BX9" s="2830"/>
      <c r="BY9" s="2830"/>
      <c r="BZ9" s="2830"/>
      <c r="CA9" s="2830"/>
      <c r="CB9" s="2830"/>
      <c r="CC9" s="2830"/>
      <c r="CD9" s="2830"/>
      <c r="CE9" s="2830"/>
      <c r="CF9" s="2830"/>
      <c r="CG9" s="2830"/>
      <c r="CH9" s="2830"/>
      <c r="CI9" s="2830"/>
      <c r="CJ9" s="2830"/>
      <c r="CK9" s="2830"/>
      <c r="CL9" s="2830"/>
      <c r="CM9" s="2830"/>
      <c r="CN9" s="2830"/>
      <c r="CO9" s="2830"/>
      <c r="CP9" s="2830"/>
      <c r="CQ9" s="2830"/>
      <c r="CR9" s="2830"/>
      <c r="CS9" s="2830"/>
      <c r="CT9" s="2830"/>
      <c r="CU9" s="2830"/>
      <c r="CV9" s="2830"/>
      <c r="CW9" s="2830"/>
      <c r="CX9" s="2830"/>
      <c r="CY9" s="2830"/>
      <c r="CZ9" s="2830"/>
      <c r="DA9" s="2830"/>
      <c r="DB9" s="2830"/>
      <c r="DC9" s="2830"/>
      <c r="DD9" s="2830"/>
      <c r="DE9" s="2830"/>
      <c r="DF9" s="2830"/>
      <c r="DG9" s="2830"/>
      <c r="DH9" s="2830"/>
      <c r="DI9" s="2830"/>
      <c r="DJ9" s="2830"/>
      <c r="DK9" s="2830"/>
      <c r="DL9" s="2830"/>
      <c r="DM9" s="2830"/>
      <c r="DN9" s="2830"/>
      <c r="DO9" s="2830"/>
      <c r="DP9" s="2830"/>
      <c r="DQ9" s="2830"/>
      <c r="DR9" s="2830"/>
      <c r="DS9" s="2830"/>
      <c r="DT9" s="2830"/>
      <c r="DU9" s="2830"/>
      <c r="DV9" s="2830"/>
      <c r="DW9" s="2830"/>
      <c r="DX9" s="2830"/>
      <c r="DY9" s="2830"/>
      <c r="DZ9" s="2830"/>
      <c r="EA9" s="2830"/>
      <c r="EB9" s="2830"/>
      <c r="EC9" s="2830"/>
      <c r="ED9" s="2830"/>
      <c r="EE9" s="2830"/>
      <c r="EF9" s="2830"/>
      <c r="EG9" s="2830"/>
      <c r="EH9" s="2830"/>
      <c r="EI9" s="2830"/>
      <c r="EJ9" s="2830"/>
      <c r="EK9" s="2830"/>
      <c r="EL9" s="2830"/>
      <c r="EM9" s="2830"/>
      <c r="EN9" s="2830"/>
      <c r="EO9" s="2830"/>
      <c r="EP9" s="2830"/>
      <c r="EQ9" s="2830"/>
      <c r="ER9" s="2830"/>
      <c r="ES9" s="2830"/>
      <c r="ET9" s="2830"/>
      <c r="EU9" s="2830"/>
      <c r="EV9" s="2830"/>
      <c r="EW9" s="2830"/>
      <c r="EX9" s="2830"/>
      <c r="EY9" s="2830"/>
      <c r="EZ9" s="2830"/>
      <c r="FA9" s="2830"/>
      <c r="FB9" s="2830"/>
      <c r="FC9" s="2830"/>
      <c r="FD9" s="2830"/>
      <c r="FE9" s="2830"/>
      <c r="FF9" s="2830"/>
      <c r="FG9" s="2830"/>
      <c r="FH9" s="2830"/>
      <c r="FI9" s="2830"/>
      <c r="FJ9" s="2830"/>
      <c r="FK9" s="2830"/>
      <c r="FL9" s="2830"/>
      <c r="FM9" s="2830"/>
      <c r="FN9" s="2830"/>
      <c r="FO9" s="2830"/>
      <c r="FP9" s="2830"/>
      <c r="FQ9" s="2830"/>
      <c r="FR9" s="2830"/>
      <c r="FS9" s="2830"/>
      <c r="FT9" s="2830"/>
      <c r="FU9" s="2830"/>
      <c r="FV9" s="2830"/>
      <c r="FW9" s="2830"/>
      <c r="FX9" s="2830"/>
      <c r="FY9" s="2830"/>
      <c r="FZ9" s="2830"/>
      <c r="GA9" s="2830"/>
      <c r="GB9" s="2830"/>
      <c r="GC9" s="2830"/>
      <c r="GD9" s="2830"/>
      <c r="GE9" s="2830"/>
      <c r="GF9" s="2830"/>
      <c r="GG9" s="2830"/>
      <c r="GH9" s="2830"/>
      <c r="GI9" s="2830"/>
      <c r="GJ9" s="2830"/>
      <c r="GK9" s="2830"/>
      <c r="GL9" s="2830"/>
      <c r="GM9" s="2830"/>
      <c r="GN9" s="2830"/>
      <c r="GO9" s="2830"/>
      <c r="GP9" s="2830"/>
      <c r="GQ9" s="2830"/>
      <c r="GR9" s="2830"/>
      <c r="GS9" s="2830"/>
      <c r="GT9" s="2830"/>
      <c r="GU9" s="2830"/>
      <c r="GV9" s="2830"/>
      <c r="GW9" s="2830"/>
      <c r="GX9" s="2830"/>
      <c r="GY9" s="2830"/>
      <c r="GZ9" s="2830"/>
      <c r="HA9" s="2830"/>
      <c r="HB9" s="2830"/>
      <c r="HC9" s="2830"/>
      <c r="HD9" s="2830"/>
      <c r="HE9" s="2830"/>
      <c r="HF9" s="2830"/>
      <c r="HG9" s="2830"/>
      <c r="HH9" s="2830"/>
      <c r="HI9" s="2830"/>
      <c r="HJ9" s="2830"/>
      <c r="HK9" s="2830"/>
      <c r="HL9" s="2830"/>
      <c r="HM9" s="2830"/>
      <c r="HN9" s="2830"/>
      <c r="HO9" s="2830"/>
      <c r="HP9" s="2830"/>
      <c r="HQ9" s="2830"/>
      <c r="HR9" s="2830"/>
      <c r="HS9" s="2830"/>
      <c r="HT9" s="2830"/>
      <c r="HU9" s="2830"/>
      <c r="HV9" s="2830"/>
      <c r="HW9" s="2830"/>
      <c r="HX9" s="2830"/>
      <c r="HY9" s="2830"/>
      <c r="HZ9" s="2830"/>
      <c r="IA9" s="2830"/>
      <c r="IB9" s="2830"/>
      <c r="IC9" s="2830"/>
      <c r="ID9" s="2830"/>
      <c r="IE9" s="2830"/>
      <c r="IF9" s="2830"/>
      <c r="IG9" s="2830"/>
      <c r="IH9" s="2830"/>
      <c r="II9" s="2830"/>
      <c r="IJ9" s="2830"/>
      <c r="IK9" s="2830"/>
      <c r="IL9" s="2830"/>
      <c r="IM9" s="2830"/>
      <c r="IN9" s="2830"/>
      <c r="IO9" s="2830"/>
      <c r="IP9" s="2830"/>
      <c r="IQ9" s="2830"/>
      <c r="IR9" s="2830"/>
      <c r="IS9" s="2830"/>
      <c r="IT9" s="2830"/>
      <c r="IU9" s="2830"/>
      <c r="IV9" s="2830"/>
      <c r="IW9" s="2831"/>
    </row>
    <row r="10" spans="1:257" ht="22.5">
      <c r="A10" s="2832"/>
      <c r="B10" s="2833" t="s">
        <v>2726</v>
      </c>
      <c r="C10" s="2832"/>
      <c r="D10" s="2832"/>
      <c r="E10" s="2832"/>
      <c r="F10" s="2832"/>
      <c r="G10" s="2832"/>
      <c r="H10" s="2832"/>
      <c r="I10" s="2806"/>
      <c r="J10" s="2806"/>
      <c r="K10" s="2832"/>
      <c r="L10" s="2833" t="s">
        <v>2727</v>
      </c>
      <c r="M10" s="2832"/>
      <c r="N10" s="2832"/>
      <c r="O10" s="2832"/>
      <c r="P10" s="2832"/>
      <c r="Q10" s="2832"/>
      <c r="R10" s="2832"/>
      <c r="S10" s="2832"/>
      <c r="T10" s="2832"/>
      <c r="U10" s="2832"/>
      <c r="V10" s="2832"/>
      <c r="W10" s="2832"/>
      <c r="X10" s="2832"/>
      <c r="Y10" s="2832"/>
      <c r="Z10" s="2832"/>
      <c r="AA10" s="2834"/>
      <c r="AB10" s="2834"/>
      <c r="AC10" s="2834"/>
      <c r="AD10" s="2834"/>
      <c r="AE10" s="2834"/>
      <c r="AF10" s="2834"/>
      <c r="AG10" s="2834"/>
      <c r="AH10" s="2834"/>
      <c r="AI10" s="2834"/>
      <c r="AJ10" s="2834"/>
      <c r="AK10" s="2834"/>
      <c r="AL10" s="2834"/>
      <c r="AM10" s="2834"/>
      <c r="AN10" s="2834"/>
      <c r="AO10" s="2834"/>
      <c r="AP10" s="2834"/>
      <c r="AQ10" s="2834"/>
      <c r="AR10" s="2834"/>
      <c r="AS10" s="2834"/>
      <c r="AT10" s="2834"/>
      <c r="AU10" s="2834"/>
      <c r="AV10" s="2834"/>
      <c r="AW10" s="2834"/>
      <c r="AX10" s="2834"/>
      <c r="AY10" s="2834"/>
      <c r="AZ10" s="2834"/>
      <c r="BA10" s="2834"/>
      <c r="BB10" s="2834"/>
      <c r="BC10" s="2834"/>
      <c r="BD10" s="2834"/>
      <c r="BE10" s="2834"/>
      <c r="BF10" s="2834"/>
      <c r="BG10" s="2834"/>
      <c r="BH10" s="2834"/>
      <c r="BI10" s="2834"/>
      <c r="BJ10" s="2834"/>
      <c r="BK10" s="2834"/>
      <c r="BL10" s="2834"/>
      <c r="BM10" s="2834"/>
      <c r="BN10" s="2834"/>
      <c r="BO10" s="2834"/>
      <c r="BP10" s="2834"/>
      <c r="BQ10" s="2834"/>
      <c r="BR10" s="2834"/>
      <c r="BS10" s="2834"/>
      <c r="BT10" s="2834"/>
      <c r="BU10" s="2834"/>
      <c r="BV10" s="2834"/>
      <c r="BW10" s="2834"/>
      <c r="BX10" s="2834"/>
      <c r="BY10" s="2834"/>
      <c r="BZ10" s="2834"/>
      <c r="CA10" s="2834"/>
      <c r="CB10" s="2834"/>
      <c r="CC10" s="2834"/>
      <c r="CD10" s="2834"/>
      <c r="CE10" s="2834"/>
      <c r="CF10" s="2834"/>
      <c r="CG10" s="2834"/>
      <c r="CH10" s="2834"/>
      <c r="CI10" s="2834"/>
      <c r="CJ10" s="2834"/>
      <c r="CK10" s="2834"/>
      <c r="CL10" s="2834"/>
      <c r="CM10" s="2834"/>
      <c r="CN10" s="2834"/>
      <c r="CO10" s="2834"/>
      <c r="CP10" s="2834"/>
      <c r="CQ10" s="2834"/>
      <c r="CR10" s="2834"/>
      <c r="CS10" s="2834"/>
      <c r="CT10" s="2834"/>
      <c r="CU10" s="2834"/>
      <c r="CV10" s="2834"/>
      <c r="CW10" s="2834"/>
      <c r="CX10" s="2834"/>
      <c r="CY10" s="2834"/>
      <c r="CZ10" s="2834"/>
      <c r="DA10" s="2834"/>
      <c r="DB10" s="2834"/>
      <c r="DC10" s="2834"/>
      <c r="DD10" s="2834"/>
      <c r="DE10" s="2834"/>
      <c r="DF10" s="2834"/>
      <c r="DG10" s="2834"/>
      <c r="DH10" s="2834"/>
      <c r="DI10" s="2834"/>
      <c r="DJ10" s="2834"/>
      <c r="DK10" s="2834"/>
      <c r="DL10" s="2834"/>
      <c r="DM10" s="2834"/>
      <c r="DN10" s="2834"/>
      <c r="DO10" s="2834"/>
      <c r="DP10" s="2834"/>
      <c r="DQ10" s="2834"/>
      <c r="DR10" s="2834"/>
      <c r="DS10" s="2834"/>
      <c r="DT10" s="2834"/>
      <c r="DU10" s="2834"/>
      <c r="DV10" s="2834"/>
      <c r="DW10" s="2834"/>
      <c r="DX10" s="2834"/>
      <c r="DY10" s="2834"/>
      <c r="DZ10" s="2834"/>
      <c r="EA10" s="2834"/>
      <c r="EB10" s="2834"/>
      <c r="EC10" s="2834"/>
      <c r="ED10" s="2834"/>
      <c r="EE10" s="2834"/>
      <c r="EF10" s="2834"/>
      <c r="EG10" s="2834"/>
      <c r="EH10" s="2834"/>
      <c r="EI10" s="2834"/>
      <c r="EJ10" s="2834"/>
      <c r="EK10" s="2834"/>
      <c r="EL10" s="2834"/>
      <c r="EM10" s="2834"/>
      <c r="EN10" s="2834"/>
      <c r="EO10" s="2834"/>
      <c r="EP10" s="2834"/>
      <c r="EQ10" s="2834"/>
      <c r="ER10" s="2834"/>
      <c r="ES10" s="2834"/>
      <c r="ET10" s="2834"/>
      <c r="EU10" s="2834"/>
      <c r="EV10" s="2834"/>
      <c r="EW10" s="2834"/>
      <c r="EX10" s="2834"/>
      <c r="EY10" s="2834"/>
      <c r="EZ10" s="2834"/>
      <c r="FA10" s="2834"/>
      <c r="FB10" s="2834"/>
      <c r="FC10" s="2834"/>
      <c r="FD10" s="2834"/>
      <c r="FE10" s="2834"/>
      <c r="FF10" s="2834"/>
      <c r="FG10" s="2834"/>
      <c r="FH10" s="2834"/>
      <c r="FI10" s="2834"/>
      <c r="FJ10" s="2834"/>
      <c r="FK10" s="2834"/>
      <c r="FL10" s="2834"/>
      <c r="FM10" s="2834"/>
      <c r="FN10" s="2834"/>
      <c r="FO10" s="2834"/>
      <c r="FP10" s="2834"/>
      <c r="FQ10" s="2834"/>
      <c r="FR10" s="2834"/>
      <c r="FS10" s="2834"/>
      <c r="FT10" s="2834"/>
      <c r="FU10" s="2834"/>
      <c r="FV10" s="2834"/>
      <c r="FW10" s="2834"/>
      <c r="FX10" s="2834"/>
      <c r="FY10" s="2834"/>
      <c r="FZ10" s="2834"/>
      <c r="GA10" s="2834"/>
      <c r="GB10" s="2834"/>
      <c r="GC10" s="2834"/>
      <c r="GD10" s="2834"/>
      <c r="GE10" s="2834"/>
      <c r="GF10" s="2834"/>
      <c r="GG10" s="2834"/>
      <c r="GH10" s="2834"/>
      <c r="GI10" s="2834"/>
      <c r="GJ10" s="2834"/>
      <c r="GK10" s="2834"/>
      <c r="GL10" s="2834"/>
      <c r="GM10" s="2834"/>
      <c r="GN10" s="2834"/>
      <c r="GO10" s="2834"/>
      <c r="GP10" s="2834"/>
      <c r="GQ10" s="2834"/>
      <c r="GR10" s="2834"/>
      <c r="GS10" s="2834"/>
      <c r="GT10" s="2834"/>
      <c r="GU10" s="2834"/>
      <c r="GV10" s="2834"/>
      <c r="GW10" s="2834"/>
      <c r="GX10" s="2834"/>
      <c r="GY10" s="2834"/>
      <c r="GZ10" s="2834"/>
      <c r="HA10" s="2834"/>
      <c r="HB10" s="2834"/>
      <c r="HC10" s="2834"/>
      <c r="HD10" s="2834"/>
      <c r="HE10" s="2834"/>
      <c r="HF10" s="2834"/>
      <c r="HG10" s="2834"/>
      <c r="HH10" s="2834"/>
      <c r="HI10" s="2834"/>
      <c r="HJ10" s="2834"/>
      <c r="HK10" s="2834"/>
      <c r="HL10" s="2834"/>
      <c r="HM10" s="2834"/>
      <c r="HN10" s="2834"/>
      <c r="HO10" s="2834"/>
      <c r="HP10" s="2834"/>
      <c r="HQ10" s="2834"/>
      <c r="HR10" s="2834"/>
      <c r="HS10" s="2834"/>
      <c r="HT10" s="2834"/>
      <c r="HU10" s="2834"/>
      <c r="HV10" s="2834"/>
      <c r="HW10" s="2834"/>
      <c r="HX10" s="2834"/>
      <c r="HY10" s="2834"/>
      <c r="HZ10" s="2834"/>
      <c r="IA10" s="2834"/>
      <c r="IB10" s="2834"/>
      <c r="IC10" s="2834"/>
      <c r="ID10" s="2834"/>
      <c r="IE10" s="2834"/>
      <c r="IF10" s="2834"/>
      <c r="IG10" s="2834"/>
      <c r="IH10" s="2834"/>
      <c r="II10" s="2834"/>
      <c r="IJ10" s="2834"/>
      <c r="IK10" s="2834"/>
      <c r="IL10" s="2834"/>
      <c r="IM10" s="2834"/>
      <c r="IN10" s="2834"/>
      <c r="IO10" s="2834"/>
      <c r="IP10" s="2834"/>
      <c r="IQ10" s="2834"/>
      <c r="IR10" s="2834"/>
      <c r="IS10" s="2834"/>
      <c r="IT10" s="2834"/>
      <c r="IU10" s="2834"/>
      <c r="IV10" s="2834"/>
    </row>
    <row r="11" spans="1:257">
      <c r="A11" s="2835"/>
      <c r="B11" s="2836" t="s">
        <v>2728</v>
      </c>
      <c r="C11" s="2837" t="s">
        <v>2729</v>
      </c>
      <c r="D11" s="2838" t="s">
        <v>2730</v>
      </c>
      <c r="E11" s="2839"/>
      <c r="F11" s="2838" t="s">
        <v>2731</v>
      </c>
      <c r="G11" s="2840"/>
      <c r="H11" s="2839"/>
      <c r="I11" s="2838" t="s">
        <v>2732</v>
      </c>
      <c r="J11" s="2839"/>
      <c r="K11" s="2835"/>
      <c r="L11" s="2836" t="s">
        <v>2728</v>
      </c>
      <c r="M11" s="2837" t="s">
        <v>2729</v>
      </c>
      <c r="N11" s="2836" t="s">
        <v>2733</v>
      </c>
      <c r="O11" s="2838" t="s">
        <v>2734</v>
      </c>
      <c r="P11" s="2840"/>
      <c r="Q11" s="2840"/>
      <c r="R11" s="2840"/>
      <c r="S11" s="2840"/>
      <c r="T11" s="2839"/>
      <c r="U11" s="2838" t="s">
        <v>2735</v>
      </c>
      <c r="V11" s="2840"/>
      <c r="W11" s="2839"/>
      <c r="X11" s="2836" t="s">
        <v>2736</v>
      </c>
      <c r="Y11" s="2836" t="s">
        <v>2737</v>
      </c>
      <c r="Z11" s="2836" t="s">
        <v>2738</v>
      </c>
      <c r="AA11" s="2841"/>
      <c r="AB11" s="2841"/>
      <c r="AC11" s="2841"/>
      <c r="AD11" s="2841"/>
      <c r="AE11" s="2841"/>
      <c r="AF11" s="2841"/>
      <c r="AG11" s="2841"/>
      <c r="AH11" s="2841"/>
      <c r="AI11" s="2841"/>
      <c r="AJ11" s="2841"/>
      <c r="AK11" s="2841"/>
      <c r="AL11" s="2841"/>
      <c r="AM11" s="2841"/>
      <c r="AN11" s="2841"/>
      <c r="AO11" s="2841"/>
      <c r="AP11" s="2841"/>
      <c r="AQ11" s="2841"/>
      <c r="AR11" s="2841"/>
      <c r="AS11" s="2841"/>
      <c r="AT11" s="2841"/>
      <c r="AU11" s="2841"/>
      <c r="AV11" s="2841"/>
      <c r="AW11" s="2841"/>
      <c r="AX11" s="2841"/>
      <c r="AY11" s="2841"/>
      <c r="AZ11" s="2841"/>
      <c r="BA11" s="2841"/>
      <c r="BB11" s="2841"/>
      <c r="BC11" s="2841"/>
      <c r="BD11" s="2841"/>
      <c r="BE11" s="2841"/>
      <c r="BF11" s="2841"/>
      <c r="BG11" s="2841"/>
      <c r="BH11" s="2841"/>
      <c r="BI11" s="2841"/>
      <c r="BJ11" s="2841"/>
      <c r="BK11" s="2841"/>
      <c r="BL11" s="2841"/>
      <c r="BM11" s="2841"/>
      <c r="BN11" s="2841"/>
      <c r="BO11" s="2841"/>
      <c r="BP11" s="2841"/>
      <c r="BQ11" s="2841"/>
      <c r="BR11" s="2841"/>
      <c r="BS11" s="2841"/>
      <c r="BT11" s="2841"/>
      <c r="BU11" s="2841"/>
      <c r="BV11" s="2841"/>
      <c r="BW11" s="2841"/>
      <c r="BX11" s="2841"/>
      <c r="BY11" s="2841"/>
      <c r="BZ11" s="2841"/>
      <c r="CA11" s="2841"/>
      <c r="CB11" s="2841"/>
      <c r="CC11" s="2841"/>
      <c r="CD11" s="2841"/>
      <c r="CE11" s="2841"/>
      <c r="CF11" s="2841"/>
      <c r="CG11" s="2841"/>
      <c r="CH11" s="2841"/>
      <c r="CI11" s="2841"/>
      <c r="CJ11" s="2841"/>
      <c r="CK11" s="2841"/>
      <c r="CL11" s="2841"/>
      <c r="CM11" s="2841"/>
      <c r="CN11" s="2841"/>
      <c r="CO11" s="2841"/>
      <c r="CP11" s="2841"/>
      <c r="CQ11" s="2841"/>
      <c r="CR11" s="2841"/>
      <c r="CS11" s="2841"/>
      <c r="CT11" s="2841"/>
      <c r="CU11" s="2841"/>
      <c r="CV11" s="2841"/>
      <c r="CW11" s="2841"/>
      <c r="CX11" s="2841"/>
      <c r="CY11" s="2841"/>
      <c r="CZ11" s="2841"/>
      <c r="DA11" s="2841"/>
      <c r="DB11" s="2841"/>
      <c r="DC11" s="2841"/>
      <c r="DD11" s="2841"/>
      <c r="DE11" s="2841"/>
      <c r="DF11" s="2841"/>
      <c r="DG11" s="2841"/>
      <c r="DH11" s="2841"/>
      <c r="DI11" s="2841"/>
      <c r="DJ11" s="2841"/>
      <c r="DK11" s="2841"/>
      <c r="DL11" s="2841"/>
      <c r="DM11" s="2841"/>
      <c r="DN11" s="2841"/>
      <c r="DO11" s="2841"/>
      <c r="DP11" s="2841"/>
      <c r="DQ11" s="2841"/>
      <c r="DR11" s="2841"/>
      <c r="DS11" s="2841"/>
      <c r="DT11" s="2841"/>
      <c r="DU11" s="2841"/>
      <c r="DV11" s="2841"/>
      <c r="DW11" s="2841"/>
      <c r="DX11" s="2841"/>
      <c r="DY11" s="2841"/>
      <c r="DZ11" s="2841"/>
      <c r="EA11" s="2841"/>
      <c r="EB11" s="2841"/>
      <c r="EC11" s="2841"/>
      <c r="ED11" s="2841"/>
      <c r="EE11" s="2841"/>
      <c r="EF11" s="2841"/>
      <c r="EG11" s="2841"/>
      <c r="EH11" s="2841"/>
      <c r="EI11" s="2841"/>
      <c r="EJ11" s="2841"/>
      <c r="EK11" s="2841"/>
      <c r="EL11" s="2841"/>
      <c r="EM11" s="2841"/>
      <c r="EN11" s="2841"/>
      <c r="EO11" s="2841"/>
      <c r="EP11" s="2841"/>
      <c r="EQ11" s="2841"/>
      <c r="ER11" s="2841"/>
      <c r="ES11" s="2841"/>
      <c r="ET11" s="2841"/>
      <c r="EU11" s="2841"/>
      <c r="EV11" s="2841"/>
      <c r="EW11" s="2841"/>
      <c r="EX11" s="2841"/>
      <c r="EY11" s="2841"/>
      <c r="EZ11" s="2841"/>
      <c r="FA11" s="2841"/>
      <c r="FB11" s="2841"/>
      <c r="FC11" s="2841"/>
      <c r="FD11" s="2841"/>
      <c r="FE11" s="2841"/>
      <c r="FF11" s="2841"/>
      <c r="FG11" s="2841"/>
      <c r="FH11" s="2841"/>
      <c r="FI11" s="2841"/>
      <c r="FJ11" s="2841"/>
      <c r="FK11" s="2841"/>
      <c r="FL11" s="2841"/>
      <c r="FM11" s="2841"/>
      <c r="FN11" s="2841"/>
      <c r="FO11" s="2841"/>
      <c r="FP11" s="2841"/>
      <c r="FQ11" s="2841"/>
      <c r="FR11" s="2841"/>
      <c r="FS11" s="2841"/>
      <c r="FT11" s="2841"/>
      <c r="FU11" s="2841"/>
      <c r="FV11" s="2841"/>
      <c r="FW11" s="2841"/>
      <c r="FX11" s="2841"/>
      <c r="FY11" s="2841"/>
      <c r="FZ11" s="2841"/>
      <c r="GA11" s="2841"/>
      <c r="GB11" s="2841"/>
      <c r="GC11" s="2841"/>
      <c r="GD11" s="2841"/>
      <c r="GE11" s="2841"/>
      <c r="GF11" s="2841"/>
      <c r="GG11" s="2841"/>
      <c r="GH11" s="2841"/>
      <c r="GI11" s="2841"/>
      <c r="GJ11" s="2841"/>
      <c r="GK11" s="2841"/>
      <c r="GL11" s="2841"/>
      <c r="GM11" s="2841"/>
      <c r="GN11" s="2841"/>
      <c r="GO11" s="2841"/>
      <c r="GP11" s="2841"/>
      <c r="GQ11" s="2841"/>
      <c r="GR11" s="2841"/>
      <c r="GS11" s="2841"/>
      <c r="GT11" s="2841"/>
      <c r="GU11" s="2841"/>
      <c r="GV11" s="2841"/>
      <c r="GW11" s="2841"/>
      <c r="GX11" s="2841"/>
      <c r="GY11" s="2841"/>
      <c r="GZ11" s="2841"/>
      <c r="HA11" s="2841"/>
      <c r="HB11" s="2841"/>
      <c r="HC11" s="2841"/>
      <c r="HD11" s="2841"/>
      <c r="HE11" s="2841"/>
      <c r="HF11" s="2841"/>
      <c r="HG11" s="2841"/>
      <c r="HH11" s="2841"/>
      <c r="HI11" s="2841"/>
      <c r="HJ11" s="2841"/>
      <c r="HK11" s="2841"/>
      <c r="HL11" s="2841"/>
      <c r="HM11" s="2841"/>
      <c r="HN11" s="2841"/>
      <c r="HO11" s="2841"/>
      <c r="HP11" s="2841"/>
      <c r="HQ11" s="2841"/>
      <c r="HR11" s="2841"/>
      <c r="HS11" s="2841"/>
      <c r="HT11" s="2841"/>
      <c r="HU11" s="2841"/>
      <c r="HV11" s="2841"/>
      <c r="HW11" s="2841"/>
      <c r="HX11" s="2841"/>
      <c r="HY11" s="2841"/>
      <c r="HZ11" s="2841"/>
      <c r="IA11" s="2841"/>
      <c r="IB11" s="2841"/>
      <c r="IC11" s="2841"/>
      <c r="ID11" s="2841"/>
      <c r="IE11" s="2841"/>
      <c r="IF11" s="2841"/>
      <c r="IG11" s="2841"/>
      <c r="IH11" s="2841"/>
      <c r="II11" s="2841"/>
      <c r="IJ11" s="2841"/>
      <c r="IK11" s="2841"/>
      <c r="IL11" s="2841"/>
      <c r="IM11" s="2841"/>
      <c r="IN11" s="2841"/>
      <c r="IO11" s="2841"/>
      <c r="IP11" s="2841"/>
      <c r="IQ11" s="2841"/>
      <c r="IR11" s="2841"/>
      <c r="IS11" s="2841"/>
      <c r="IT11" s="2841"/>
      <c r="IU11" s="2841"/>
      <c r="IV11" s="2841"/>
    </row>
    <row r="12" spans="1:257">
      <c r="A12" s="2842"/>
      <c r="B12" s="2843"/>
      <c r="C12" s="2844"/>
      <c r="D12" s="2845" t="s">
        <v>2739</v>
      </c>
      <c r="E12" s="2845" t="s">
        <v>2740</v>
      </c>
      <c r="F12" s="2845" t="s">
        <v>2741</v>
      </c>
      <c r="G12" s="2845" t="s">
        <v>2742</v>
      </c>
      <c r="H12" s="2845" t="s">
        <v>2724</v>
      </c>
      <c r="I12" s="2846" t="s">
        <v>2743</v>
      </c>
      <c r="J12" s="2846" t="s">
        <v>2743</v>
      </c>
      <c r="K12" s="2842"/>
      <c r="L12" s="2843"/>
      <c r="M12" s="2844"/>
      <c r="N12" s="2843"/>
      <c r="O12" s="2846" t="s">
        <v>2744</v>
      </c>
      <c r="P12" s="2846">
        <v>0.5</v>
      </c>
      <c r="Q12" s="2846">
        <v>1</v>
      </c>
      <c r="R12" s="2846">
        <v>2</v>
      </c>
      <c r="S12" s="2846">
        <v>3</v>
      </c>
      <c r="T12" s="2846">
        <v>5</v>
      </c>
      <c r="U12" s="2846">
        <v>1</v>
      </c>
      <c r="V12" s="2846">
        <v>3</v>
      </c>
      <c r="W12" s="2846">
        <v>5</v>
      </c>
      <c r="X12" s="2843"/>
      <c r="Y12" s="2843"/>
      <c r="Z12" s="2843"/>
      <c r="AA12" s="2847"/>
      <c r="AB12" s="2847"/>
      <c r="AC12" s="2847"/>
      <c r="AD12" s="2847"/>
      <c r="AE12" s="2847"/>
      <c r="AF12" s="2847"/>
      <c r="AG12" s="2847"/>
      <c r="AH12" s="2847"/>
      <c r="AI12" s="2847"/>
      <c r="AJ12" s="2847"/>
      <c r="AK12" s="2847"/>
      <c r="AL12" s="2847"/>
      <c r="AM12" s="2847"/>
      <c r="AN12" s="2847"/>
      <c r="AO12" s="2847"/>
      <c r="AP12" s="2847"/>
      <c r="AQ12" s="2847"/>
      <c r="AR12" s="2847"/>
      <c r="AS12" s="2847"/>
      <c r="AT12" s="2847"/>
      <c r="AU12" s="2847"/>
      <c r="AV12" s="2847"/>
      <c r="AW12" s="2847"/>
      <c r="AX12" s="2847"/>
      <c r="AY12" s="2847"/>
      <c r="AZ12" s="2847"/>
      <c r="BA12" s="2847"/>
      <c r="BB12" s="2847"/>
      <c r="BC12" s="2847"/>
      <c r="BD12" s="2847"/>
      <c r="BE12" s="2847"/>
      <c r="BF12" s="2847"/>
      <c r="BG12" s="2847"/>
      <c r="BH12" s="2847"/>
      <c r="BI12" s="2847"/>
      <c r="BJ12" s="2847"/>
      <c r="BK12" s="2847"/>
      <c r="BL12" s="2847"/>
      <c r="BM12" s="2847"/>
      <c r="BN12" s="2847"/>
      <c r="BO12" s="2847"/>
      <c r="BP12" s="2847"/>
      <c r="BQ12" s="2847"/>
      <c r="BR12" s="2847"/>
      <c r="BS12" s="2847"/>
      <c r="BT12" s="2847"/>
      <c r="BU12" s="2847"/>
      <c r="BV12" s="2847"/>
      <c r="BW12" s="2847"/>
      <c r="BX12" s="2847"/>
      <c r="BY12" s="2847"/>
      <c r="BZ12" s="2847"/>
      <c r="CA12" s="2847"/>
      <c r="CB12" s="2847"/>
      <c r="CC12" s="2847"/>
      <c r="CD12" s="2847"/>
      <c r="CE12" s="2847"/>
      <c r="CF12" s="2847"/>
      <c r="CG12" s="2847"/>
      <c r="CH12" s="2847"/>
      <c r="CI12" s="2847"/>
      <c r="CJ12" s="2847"/>
      <c r="CK12" s="2847"/>
      <c r="CL12" s="2847"/>
      <c r="CM12" s="2847"/>
      <c r="CN12" s="2847"/>
      <c r="CO12" s="2847"/>
      <c r="CP12" s="2847"/>
      <c r="CQ12" s="2847"/>
      <c r="CR12" s="2847"/>
      <c r="CS12" s="2847"/>
      <c r="CT12" s="2847"/>
      <c r="CU12" s="2847"/>
      <c r="CV12" s="2847"/>
      <c r="CW12" s="2847"/>
      <c r="CX12" s="2847"/>
      <c r="CY12" s="2847"/>
      <c r="CZ12" s="2847"/>
      <c r="DA12" s="2847"/>
      <c r="DB12" s="2847"/>
      <c r="DC12" s="2847"/>
      <c r="DD12" s="2847"/>
      <c r="DE12" s="2847"/>
      <c r="DF12" s="2847"/>
      <c r="DG12" s="2847"/>
      <c r="DH12" s="2847"/>
      <c r="DI12" s="2847"/>
      <c r="DJ12" s="2847"/>
      <c r="DK12" s="2847"/>
      <c r="DL12" s="2847"/>
      <c r="DM12" s="2847"/>
      <c r="DN12" s="2847"/>
      <c r="DO12" s="2847"/>
      <c r="DP12" s="2847"/>
      <c r="DQ12" s="2847"/>
      <c r="DR12" s="2847"/>
      <c r="DS12" s="2847"/>
      <c r="DT12" s="2847"/>
      <c r="DU12" s="2847"/>
      <c r="DV12" s="2847"/>
      <c r="DW12" s="2847"/>
      <c r="DX12" s="2847"/>
      <c r="DY12" s="2847"/>
      <c r="DZ12" s="2847"/>
      <c r="EA12" s="2847"/>
      <c r="EB12" s="2847"/>
      <c r="EC12" s="2847"/>
      <c r="ED12" s="2847"/>
      <c r="EE12" s="2847"/>
      <c r="EF12" s="2847"/>
      <c r="EG12" s="2847"/>
      <c r="EH12" s="2847"/>
      <c r="EI12" s="2847"/>
      <c r="EJ12" s="2847"/>
      <c r="EK12" s="2847"/>
      <c r="EL12" s="2847"/>
      <c r="EM12" s="2847"/>
      <c r="EN12" s="2847"/>
      <c r="EO12" s="2847"/>
      <c r="EP12" s="2847"/>
      <c r="EQ12" s="2847"/>
      <c r="ER12" s="2847"/>
      <c r="ES12" s="2847"/>
      <c r="ET12" s="2847"/>
      <c r="EU12" s="2847"/>
      <c r="EV12" s="2847"/>
      <c r="EW12" s="2847"/>
      <c r="EX12" s="2847"/>
      <c r="EY12" s="2847"/>
      <c r="EZ12" s="2847"/>
      <c r="FA12" s="2847"/>
      <c r="FB12" s="2847"/>
      <c r="FC12" s="2847"/>
      <c r="FD12" s="2847"/>
      <c r="FE12" s="2847"/>
      <c r="FF12" s="2847"/>
      <c r="FG12" s="2847"/>
      <c r="FH12" s="2847"/>
      <c r="FI12" s="2847"/>
      <c r="FJ12" s="2847"/>
      <c r="FK12" s="2847"/>
      <c r="FL12" s="2847"/>
      <c r="FM12" s="2847"/>
      <c r="FN12" s="2847"/>
      <c r="FO12" s="2847"/>
      <c r="FP12" s="2847"/>
      <c r="FQ12" s="2847"/>
      <c r="FR12" s="2847"/>
      <c r="FS12" s="2847"/>
      <c r="FT12" s="2847"/>
      <c r="FU12" s="2847"/>
      <c r="FV12" s="2847"/>
      <c r="FW12" s="2847"/>
      <c r="FX12" s="2847"/>
      <c r="FY12" s="2847"/>
      <c r="FZ12" s="2847"/>
      <c r="GA12" s="2847"/>
      <c r="GB12" s="2847"/>
      <c r="GC12" s="2847"/>
      <c r="GD12" s="2847"/>
      <c r="GE12" s="2847"/>
      <c r="GF12" s="2847"/>
      <c r="GG12" s="2847"/>
      <c r="GH12" s="2847"/>
      <c r="GI12" s="2847"/>
      <c r="GJ12" s="2847"/>
      <c r="GK12" s="2847"/>
      <c r="GL12" s="2847"/>
      <c r="GM12" s="2847"/>
      <c r="GN12" s="2847"/>
      <c r="GO12" s="2847"/>
      <c r="GP12" s="2847"/>
      <c r="GQ12" s="2847"/>
      <c r="GR12" s="2847"/>
      <c r="GS12" s="2847"/>
      <c r="GT12" s="2847"/>
      <c r="GU12" s="2847"/>
      <c r="GV12" s="2847"/>
      <c r="GW12" s="2847"/>
      <c r="GX12" s="2847"/>
      <c r="GY12" s="2847"/>
      <c r="GZ12" s="2847"/>
      <c r="HA12" s="2847"/>
      <c r="HB12" s="2847"/>
      <c r="HC12" s="2847"/>
      <c r="HD12" s="2847"/>
      <c r="HE12" s="2847"/>
      <c r="HF12" s="2847"/>
      <c r="HG12" s="2847"/>
      <c r="HH12" s="2847"/>
      <c r="HI12" s="2847"/>
      <c r="HJ12" s="2847"/>
      <c r="HK12" s="2847"/>
      <c r="HL12" s="2847"/>
      <c r="HM12" s="2847"/>
      <c r="HN12" s="2847"/>
      <c r="HO12" s="2847"/>
      <c r="HP12" s="2847"/>
      <c r="HQ12" s="2847"/>
      <c r="HR12" s="2847"/>
      <c r="HS12" s="2847"/>
      <c r="HT12" s="2847"/>
      <c r="HU12" s="2847"/>
      <c r="HV12" s="2847"/>
      <c r="HW12" s="2847"/>
      <c r="HX12" s="2847"/>
      <c r="HY12" s="2847"/>
      <c r="HZ12" s="2847"/>
      <c r="IA12" s="2847"/>
      <c r="IB12" s="2847"/>
      <c r="IC12" s="2847"/>
      <c r="ID12" s="2847"/>
      <c r="IE12" s="2847"/>
      <c r="IF12" s="2847"/>
      <c r="IG12" s="2847"/>
      <c r="IH12" s="2847"/>
      <c r="II12" s="2847"/>
      <c r="IJ12" s="2847"/>
      <c r="IK12" s="2847"/>
      <c r="IL12" s="2847"/>
      <c r="IM12" s="2847"/>
      <c r="IN12" s="2847"/>
      <c r="IO12" s="2847"/>
      <c r="IP12" s="2847"/>
      <c r="IQ12" s="2847"/>
      <c r="IR12" s="2847"/>
      <c r="IS12" s="2847"/>
      <c r="IT12" s="2847"/>
      <c r="IU12" s="2847"/>
      <c r="IV12" s="2847"/>
    </row>
    <row r="13" spans="1:257" ht="14.25">
      <c r="A13" s="2848"/>
      <c r="B13" s="2849" t="s">
        <v>2745</v>
      </c>
      <c r="C13" s="2850">
        <v>42301</v>
      </c>
      <c r="D13" s="2851">
        <v>4.3499999999999996</v>
      </c>
      <c r="E13" s="2851">
        <v>4.3499999999999996</v>
      </c>
      <c r="F13" s="2851">
        <v>4.75</v>
      </c>
      <c r="G13" s="2851">
        <v>4.75</v>
      </c>
      <c r="H13" s="2851">
        <v>4.9000000000000004</v>
      </c>
      <c r="I13" s="2851">
        <v>2.75</v>
      </c>
      <c r="J13" s="2851">
        <v>3.25</v>
      </c>
      <c r="K13" s="2848"/>
      <c r="L13" s="2849" t="s">
        <v>2745</v>
      </c>
      <c r="M13" s="2852">
        <v>42301</v>
      </c>
      <c r="N13" s="2851">
        <v>0.35</v>
      </c>
      <c r="O13" s="2851">
        <v>1.1000000000000001</v>
      </c>
      <c r="P13" s="2851">
        <v>1.3</v>
      </c>
      <c r="Q13" s="2851">
        <v>1.5</v>
      </c>
      <c r="R13" s="2851">
        <v>2.1</v>
      </c>
      <c r="S13" s="2851">
        <v>2.75</v>
      </c>
      <c r="T13" s="2851"/>
      <c r="U13" s="2851"/>
      <c r="V13" s="2851"/>
      <c r="W13" s="2851"/>
      <c r="X13" s="2851"/>
      <c r="Y13" s="2851"/>
      <c r="Z13" s="2851"/>
      <c r="AA13" s="2853"/>
      <c r="AB13" s="2853"/>
      <c r="AC13" s="2853"/>
      <c r="AD13" s="2853"/>
      <c r="AE13" s="2853"/>
      <c r="AF13" s="2853"/>
      <c r="AG13" s="2853"/>
      <c r="AH13" s="2853"/>
      <c r="AI13" s="2853"/>
      <c r="AJ13" s="2853"/>
      <c r="AK13" s="2853"/>
      <c r="AL13" s="2853"/>
      <c r="AM13" s="2853"/>
      <c r="AN13" s="2853"/>
      <c r="AO13" s="2853"/>
      <c r="AP13" s="2853"/>
      <c r="AQ13" s="2853"/>
      <c r="AR13" s="2853"/>
      <c r="AS13" s="2853"/>
      <c r="AT13" s="2853"/>
      <c r="AU13" s="2853"/>
      <c r="AV13" s="2853"/>
      <c r="AW13" s="2853"/>
      <c r="AX13" s="2853"/>
      <c r="AY13" s="2853"/>
      <c r="AZ13" s="2853"/>
      <c r="BA13" s="2853"/>
      <c r="BB13" s="2853"/>
      <c r="BC13" s="2853"/>
      <c r="BD13" s="2853"/>
      <c r="BE13" s="2853"/>
      <c r="BF13" s="2853"/>
      <c r="BG13" s="2853"/>
      <c r="BH13" s="2853"/>
      <c r="BI13" s="2853"/>
      <c r="BJ13" s="2853"/>
      <c r="BK13" s="2853"/>
      <c r="BL13" s="2853"/>
      <c r="BM13" s="2853"/>
      <c r="BN13" s="2853"/>
      <c r="BO13" s="2853"/>
      <c r="BP13" s="2853"/>
      <c r="BQ13" s="2853"/>
      <c r="BR13" s="2853"/>
      <c r="BS13" s="2853"/>
      <c r="BT13" s="2853"/>
      <c r="BU13" s="2853"/>
      <c r="BV13" s="2853"/>
      <c r="BW13" s="2853"/>
      <c r="BX13" s="2853"/>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3"/>
      <c r="CV13" s="2853"/>
      <c r="CW13" s="2853"/>
      <c r="CX13" s="2853"/>
      <c r="CY13" s="2853"/>
      <c r="CZ13" s="2853"/>
      <c r="DA13" s="2853"/>
      <c r="DB13" s="2853"/>
      <c r="DC13" s="2853"/>
      <c r="DD13" s="2853"/>
      <c r="DE13" s="2853"/>
      <c r="DF13" s="2853"/>
      <c r="DG13" s="2853"/>
      <c r="DH13" s="2853"/>
      <c r="DI13" s="2853"/>
      <c r="DJ13" s="2853"/>
      <c r="DK13" s="2853"/>
      <c r="DL13" s="2853"/>
      <c r="DM13" s="2853"/>
      <c r="DN13" s="2853"/>
      <c r="DO13" s="2853"/>
      <c r="DP13" s="2853"/>
      <c r="DQ13" s="2853"/>
      <c r="DR13" s="2853"/>
      <c r="DS13" s="2853"/>
      <c r="DT13" s="2853"/>
      <c r="DU13" s="2853"/>
      <c r="DV13" s="2853"/>
      <c r="DW13" s="2853"/>
      <c r="DX13" s="2853"/>
      <c r="DY13" s="2853"/>
      <c r="DZ13" s="2853"/>
      <c r="EA13" s="2853"/>
      <c r="EB13" s="2853"/>
      <c r="EC13" s="2853"/>
      <c r="ED13" s="2853"/>
      <c r="EE13" s="2853"/>
      <c r="EF13" s="2853"/>
      <c r="EG13" s="2853"/>
      <c r="EH13" s="2853"/>
      <c r="EI13" s="2853"/>
      <c r="EJ13" s="2853"/>
      <c r="EK13" s="2853"/>
      <c r="EL13" s="2853"/>
      <c r="EM13" s="2853"/>
      <c r="EN13" s="2853"/>
      <c r="EO13" s="2853"/>
      <c r="EP13" s="2853"/>
      <c r="EQ13" s="2853"/>
      <c r="ER13" s="2853"/>
      <c r="ES13" s="2853"/>
      <c r="ET13" s="2853"/>
      <c r="EU13" s="2853"/>
      <c r="EV13" s="2853"/>
      <c r="EW13" s="2853"/>
      <c r="EX13" s="2853"/>
      <c r="EY13" s="2853"/>
      <c r="EZ13" s="2853"/>
      <c r="FA13" s="2853"/>
      <c r="FB13" s="2853"/>
      <c r="FC13" s="2853"/>
      <c r="FD13" s="2853"/>
      <c r="FE13" s="2853"/>
      <c r="FF13" s="2853"/>
      <c r="FG13" s="2853"/>
      <c r="FH13" s="2853"/>
      <c r="FI13" s="2853"/>
      <c r="FJ13" s="2853"/>
      <c r="FK13" s="2853"/>
      <c r="FL13" s="2853"/>
      <c r="FM13" s="2853"/>
      <c r="FN13" s="2853"/>
      <c r="FO13" s="2853"/>
      <c r="FP13" s="2853"/>
      <c r="FQ13" s="2853"/>
      <c r="FR13" s="2853"/>
      <c r="FS13" s="2853"/>
      <c r="FT13" s="2853"/>
      <c r="FU13" s="2853"/>
      <c r="FV13" s="2853"/>
      <c r="FW13" s="2853"/>
      <c r="FX13" s="2853"/>
      <c r="FY13" s="2853"/>
      <c r="FZ13" s="2853"/>
      <c r="GA13" s="2853"/>
      <c r="GB13" s="2853"/>
      <c r="GC13" s="2853"/>
      <c r="GD13" s="2853"/>
      <c r="GE13" s="2853"/>
      <c r="GF13" s="2853"/>
      <c r="GG13" s="2853"/>
      <c r="GH13" s="2853"/>
      <c r="GI13" s="2853"/>
      <c r="GJ13" s="2853"/>
      <c r="GK13" s="2853"/>
      <c r="GL13" s="2853"/>
      <c r="GM13" s="2853"/>
      <c r="GN13" s="2853"/>
      <c r="GO13" s="2853"/>
      <c r="GP13" s="2853"/>
      <c r="GQ13" s="2853"/>
      <c r="GR13" s="2853"/>
      <c r="GS13" s="2853"/>
      <c r="GT13" s="2853"/>
      <c r="GU13" s="2853"/>
      <c r="GV13" s="2853"/>
      <c r="GW13" s="2853"/>
      <c r="GX13" s="2853"/>
      <c r="GY13" s="2853"/>
      <c r="GZ13" s="2853"/>
      <c r="HA13" s="2853"/>
      <c r="HB13" s="2853"/>
      <c r="HC13" s="2853"/>
      <c r="HD13" s="2853"/>
      <c r="HE13" s="2853"/>
      <c r="HF13" s="2853"/>
      <c r="HG13" s="2853"/>
      <c r="HH13" s="2853"/>
      <c r="HI13" s="2853"/>
      <c r="HJ13" s="2853"/>
      <c r="HK13" s="2853"/>
      <c r="HL13" s="2853"/>
      <c r="HM13" s="2853"/>
      <c r="HN13" s="2853"/>
      <c r="HO13" s="2853"/>
      <c r="HP13" s="2853"/>
      <c r="HQ13" s="2853"/>
      <c r="HR13" s="2853"/>
      <c r="HS13" s="2853"/>
      <c r="HT13" s="2853"/>
      <c r="HU13" s="2853"/>
      <c r="HV13" s="2853"/>
      <c r="HW13" s="2853"/>
      <c r="HX13" s="2853"/>
      <c r="HY13" s="2853"/>
      <c r="HZ13" s="2853"/>
      <c r="IA13" s="2853"/>
      <c r="IB13" s="2853"/>
      <c r="IC13" s="2853"/>
      <c r="ID13" s="2853"/>
      <c r="IE13" s="2853"/>
      <c r="IF13" s="2853"/>
      <c r="IG13" s="2853"/>
      <c r="IH13" s="2853"/>
      <c r="II13" s="2853"/>
      <c r="IJ13" s="2853"/>
      <c r="IK13" s="2853"/>
      <c r="IL13" s="2853"/>
      <c r="IM13" s="2853"/>
      <c r="IN13" s="2853"/>
      <c r="IO13" s="2853"/>
      <c r="IP13" s="2853"/>
      <c r="IQ13" s="2853"/>
      <c r="IR13" s="2853"/>
      <c r="IS13" s="2853"/>
      <c r="IT13" s="2853"/>
      <c r="IU13" s="2853"/>
      <c r="IV13" s="2853"/>
      <c r="IW13" s="2854"/>
    </row>
    <row r="14" spans="1:257">
      <c r="B14" s="2855"/>
      <c r="C14" s="2856">
        <v>42242</v>
      </c>
      <c r="D14" s="2855">
        <v>4.5999999999999996</v>
      </c>
      <c r="E14" s="2855">
        <v>4.5999999999999996</v>
      </c>
      <c r="F14" s="2855">
        <v>5</v>
      </c>
      <c r="G14" s="2855">
        <v>5</v>
      </c>
      <c r="H14" s="2855">
        <v>5.15</v>
      </c>
      <c r="I14" s="2855">
        <v>2.75</v>
      </c>
      <c r="J14" s="2855">
        <v>3.25</v>
      </c>
      <c r="L14" s="2855"/>
      <c r="M14" s="2856">
        <v>42242</v>
      </c>
      <c r="N14" s="2855">
        <v>0.35</v>
      </c>
      <c r="O14" s="2855">
        <v>1.35</v>
      </c>
      <c r="P14" s="2855">
        <v>1.55</v>
      </c>
      <c r="Q14" s="2855">
        <v>1.75</v>
      </c>
      <c r="R14" s="2855">
        <v>2.35</v>
      </c>
      <c r="S14" s="2855">
        <v>3</v>
      </c>
      <c r="T14" s="2855"/>
      <c r="U14" s="2855"/>
      <c r="V14" s="2855"/>
      <c r="W14" s="2855"/>
      <c r="X14" s="2855"/>
      <c r="Y14" s="2855"/>
      <c r="Z14" s="2855"/>
    </row>
    <row r="15" spans="1:257">
      <c r="B15" s="2855"/>
      <c r="C15" s="2856">
        <v>42183</v>
      </c>
      <c r="D15" s="2855">
        <v>4.8499999999999996</v>
      </c>
      <c r="E15" s="2855">
        <v>4.8499999999999996</v>
      </c>
      <c r="F15" s="2855">
        <v>5.25</v>
      </c>
      <c r="G15" s="2855">
        <v>5.25</v>
      </c>
      <c r="H15" s="2855">
        <v>5.4</v>
      </c>
      <c r="I15" s="2855">
        <v>3</v>
      </c>
      <c r="J15" s="2855">
        <v>3.5</v>
      </c>
      <c r="L15" s="2855"/>
      <c r="M15" s="2856">
        <v>42183</v>
      </c>
      <c r="N15" s="2855">
        <v>0.35</v>
      </c>
      <c r="O15" s="2855">
        <v>1.6</v>
      </c>
      <c r="P15" s="2855">
        <v>1.8</v>
      </c>
      <c r="Q15" s="2855">
        <v>2</v>
      </c>
      <c r="R15" s="2855">
        <v>2.6</v>
      </c>
      <c r="S15" s="2855">
        <v>3.25</v>
      </c>
      <c r="T15" s="2855"/>
      <c r="U15" s="2855"/>
      <c r="V15" s="2855"/>
      <c r="W15" s="2855"/>
      <c r="X15" s="2855"/>
      <c r="Y15" s="2855"/>
      <c r="Z15" s="2855"/>
    </row>
    <row r="16" spans="1:257">
      <c r="B16" s="2855"/>
      <c r="C16" s="2856">
        <v>42135</v>
      </c>
      <c r="D16" s="2855">
        <v>5.0999999999999996</v>
      </c>
      <c r="E16" s="2855">
        <v>5.0999999999999996</v>
      </c>
      <c r="F16" s="2855">
        <v>5.5</v>
      </c>
      <c r="G16" s="2855">
        <v>5.5</v>
      </c>
      <c r="H16" s="2855">
        <v>5.65</v>
      </c>
      <c r="I16" s="2855">
        <v>3.25</v>
      </c>
      <c r="J16" s="2855">
        <v>3.75</v>
      </c>
      <c r="L16" s="2855"/>
      <c r="M16" s="2856">
        <v>42135</v>
      </c>
      <c r="N16" s="2855">
        <v>0.35</v>
      </c>
      <c r="O16" s="2855">
        <v>1.85</v>
      </c>
      <c r="P16" s="2855">
        <v>2.0499999999999998</v>
      </c>
      <c r="Q16" s="2855">
        <v>2.25</v>
      </c>
      <c r="R16" s="2855">
        <v>2.85</v>
      </c>
      <c r="S16" s="2855">
        <v>3.5</v>
      </c>
      <c r="T16" s="2855"/>
      <c r="U16" s="2855"/>
      <c r="V16" s="2855"/>
      <c r="W16" s="2855"/>
      <c r="X16" s="2855"/>
      <c r="Y16" s="2855"/>
      <c r="Z16" s="2855"/>
    </row>
    <row r="17" spans="2:26">
      <c r="B17" s="2855"/>
      <c r="C17" s="2856">
        <v>42064</v>
      </c>
      <c r="D17" s="2855">
        <v>5.35</v>
      </c>
      <c r="E17" s="2855">
        <v>5.35</v>
      </c>
      <c r="F17" s="2855">
        <v>5.75</v>
      </c>
      <c r="G17" s="2855">
        <v>5.75</v>
      </c>
      <c r="H17" s="2855">
        <v>5.9</v>
      </c>
      <c r="I17" s="2855"/>
      <c r="J17" s="2855"/>
      <c r="L17" s="2855"/>
      <c r="M17" s="2856">
        <v>42064</v>
      </c>
      <c r="N17" s="2855">
        <v>0.35</v>
      </c>
      <c r="O17" s="2855">
        <v>2.1</v>
      </c>
      <c r="P17" s="2855">
        <v>2.2999999999999998</v>
      </c>
      <c r="Q17" s="2855">
        <v>2.5</v>
      </c>
      <c r="R17" s="2855">
        <v>3.1</v>
      </c>
      <c r="S17" s="2855">
        <v>3.75</v>
      </c>
      <c r="T17" s="2855">
        <v>4.5</v>
      </c>
      <c r="U17" s="2855">
        <v>2.35</v>
      </c>
      <c r="V17" s="2855">
        <v>2.5499999999999998</v>
      </c>
      <c r="W17" s="2855">
        <v>2.75</v>
      </c>
      <c r="X17" s="2855"/>
      <c r="Y17" s="2855">
        <v>0.8</v>
      </c>
      <c r="Z17" s="2855">
        <v>1.35</v>
      </c>
    </row>
    <row r="18" spans="2:26" ht="15">
      <c r="B18" s="2855"/>
      <c r="C18" s="2856">
        <v>41965</v>
      </c>
      <c r="D18" s="2855">
        <v>5.6</v>
      </c>
      <c r="E18" s="2855">
        <v>5.6</v>
      </c>
      <c r="F18" s="2855">
        <v>6</v>
      </c>
      <c r="G18" s="2855">
        <v>6</v>
      </c>
      <c r="H18" s="2855">
        <v>6.15</v>
      </c>
      <c r="I18" s="2855"/>
      <c r="J18" s="2855"/>
      <c r="L18" s="2855"/>
      <c r="M18" s="2856">
        <v>41965</v>
      </c>
      <c r="N18" s="2855">
        <v>0.35</v>
      </c>
      <c r="O18" s="2855">
        <v>2.35</v>
      </c>
      <c r="P18" s="2855">
        <v>2.5499999999999998</v>
      </c>
      <c r="Q18" s="2855">
        <v>2.75</v>
      </c>
      <c r="R18" s="2855">
        <v>3.35</v>
      </c>
      <c r="S18" s="2855">
        <v>4</v>
      </c>
      <c r="T18" s="2855">
        <v>4.75</v>
      </c>
      <c r="U18" s="2857">
        <v>2.35</v>
      </c>
      <c r="V18" s="2857">
        <v>2.5499999999999998</v>
      </c>
      <c r="W18" s="2857">
        <v>2.75</v>
      </c>
      <c r="X18" s="2855"/>
      <c r="Y18" s="2857">
        <v>0.8</v>
      </c>
      <c r="Z18" s="2857">
        <v>1.35</v>
      </c>
    </row>
    <row r="19" spans="2:26">
      <c r="B19" s="2855"/>
      <c r="C19" s="2856">
        <v>41096</v>
      </c>
      <c r="D19" s="2855">
        <v>5.6</v>
      </c>
      <c r="E19" s="2855">
        <v>6</v>
      </c>
      <c r="F19" s="2855">
        <v>6.15</v>
      </c>
      <c r="G19" s="2855">
        <v>6.4</v>
      </c>
      <c r="H19" s="2855">
        <v>6.55</v>
      </c>
      <c r="I19" s="2855">
        <v>4</v>
      </c>
      <c r="J19" s="2855">
        <v>4.5</v>
      </c>
      <c r="L19" s="2855"/>
      <c r="M19" s="2856">
        <v>41096</v>
      </c>
      <c r="N19" s="2855">
        <v>0.35</v>
      </c>
      <c r="O19" s="2855">
        <v>2.6</v>
      </c>
      <c r="P19" s="2855">
        <v>2.8</v>
      </c>
      <c r="Q19" s="2855">
        <v>3</v>
      </c>
      <c r="R19" s="2855">
        <v>3.75</v>
      </c>
      <c r="S19" s="2855">
        <v>4.25</v>
      </c>
      <c r="T19" s="2855">
        <v>4.75</v>
      </c>
      <c r="U19" s="2855">
        <v>2.85</v>
      </c>
      <c r="V19" s="2855">
        <v>2.9</v>
      </c>
      <c r="W19" s="2855">
        <v>3</v>
      </c>
      <c r="X19" s="2855">
        <v>1.1499999999999999</v>
      </c>
      <c r="Y19" s="2855">
        <v>0.8</v>
      </c>
      <c r="Z19" s="2855">
        <v>1.35</v>
      </c>
    </row>
    <row r="20" spans="2:26">
      <c r="B20" s="2855"/>
      <c r="C20" s="2856">
        <v>41068</v>
      </c>
      <c r="D20" s="2855">
        <v>5.85</v>
      </c>
      <c r="E20" s="2855">
        <v>6.31</v>
      </c>
      <c r="F20" s="2855">
        <v>6.4</v>
      </c>
      <c r="G20" s="2855">
        <v>6.65</v>
      </c>
      <c r="H20" s="2855">
        <v>6.8</v>
      </c>
      <c r="I20" s="2855">
        <v>4.2</v>
      </c>
      <c r="J20" s="2855">
        <v>4.7</v>
      </c>
      <c r="L20" s="2855"/>
      <c r="M20" s="2856">
        <v>41068</v>
      </c>
      <c r="N20" s="2855">
        <v>0.4</v>
      </c>
      <c r="O20" s="2855">
        <v>2.85</v>
      </c>
      <c r="P20" s="2855">
        <v>3.05</v>
      </c>
      <c r="Q20" s="2855">
        <v>3.25</v>
      </c>
      <c r="R20" s="2855">
        <v>4.0999999999999996</v>
      </c>
      <c r="S20" s="2855">
        <v>4.6500000000000004</v>
      </c>
      <c r="T20" s="2855">
        <v>5.0999999999999996</v>
      </c>
      <c r="U20" s="2855">
        <v>3.1</v>
      </c>
      <c r="V20" s="2855">
        <v>3.15</v>
      </c>
      <c r="W20" s="2855">
        <v>3.25</v>
      </c>
      <c r="X20" s="2855">
        <v>1.31</v>
      </c>
      <c r="Y20" s="2855">
        <v>0.94</v>
      </c>
      <c r="Z20" s="2855">
        <v>1.49</v>
      </c>
    </row>
    <row r="21" spans="2:26">
      <c r="B21" s="2855"/>
      <c r="C21" s="2856">
        <v>40731</v>
      </c>
      <c r="D21" s="2855">
        <v>6.1</v>
      </c>
      <c r="E21" s="2855">
        <v>6.56</v>
      </c>
      <c r="F21" s="2855">
        <v>6.65</v>
      </c>
      <c r="G21" s="2855">
        <v>6.9</v>
      </c>
      <c r="H21" s="2855">
        <v>7.05</v>
      </c>
      <c r="I21" s="2855">
        <v>4.45</v>
      </c>
      <c r="J21" s="2855">
        <v>4.9000000000000004</v>
      </c>
      <c r="L21" s="2855"/>
      <c r="M21" s="2856">
        <v>40731</v>
      </c>
      <c r="N21" s="2855">
        <v>0.5</v>
      </c>
      <c r="O21" s="2855">
        <v>3.1</v>
      </c>
      <c r="P21" s="2855">
        <v>3.3</v>
      </c>
      <c r="Q21" s="2855">
        <v>3.5</v>
      </c>
      <c r="R21" s="2855">
        <v>4.4000000000000004</v>
      </c>
      <c r="S21" s="2855">
        <v>5</v>
      </c>
      <c r="T21" s="2855">
        <v>5.5</v>
      </c>
      <c r="U21" s="2855">
        <v>3.1</v>
      </c>
      <c r="V21" s="2855">
        <v>3.3</v>
      </c>
      <c r="W21" s="2855">
        <v>3.5</v>
      </c>
      <c r="X21" s="2855">
        <v>1.31</v>
      </c>
      <c r="Y21" s="2855">
        <v>0.95</v>
      </c>
      <c r="Z21" s="2855">
        <v>1.49</v>
      </c>
    </row>
    <row r="22" spans="2:26">
      <c r="B22" s="2855"/>
      <c r="C22" s="2856">
        <v>40639</v>
      </c>
      <c r="D22" s="2855">
        <v>5.85</v>
      </c>
      <c r="E22" s="2855">
        <v>6.31</v>
      </c>
      <c r="F22" s="2855">
        <v>6.4</v>
      </c>
      <c r="G22" s="2855">
        <v>6.65</v>
      </c>
      <c r="H22" s="2855">
        <v>6.8</v>
      </c>
      <c r="I22" s="2855">
        <v>4.2</v>
      </c>
      <c r="J22" s="2855">
        <v>4.7</v>
      </c>
      <c r="L22" s="2855"/>
      <c r="M22" s="2856">
        <v>40639</v>
      </c>
      <c r="N22" s="2855">
        <v>0.5</v>
      </c>
      <c r="O22" s="2855">
        <v>2.85</v>
      </c>
      <c r="P22" s="2855">
        <v>3.05</v>
      </c>
      <c r="Q22" s="2855">
        <v>3.25</v>
      </c>
      <c r="R22" s="2855">
        <v>4.1500000000000004</v>
      </c>
      <c r="S22" s="2855">
        <v>4.75</v>
      </c>
      <c r="T22" s="2855">
        <v>5.25</v>
      </c>
      <c r="U22" s="2855">
        <v>2.85</v>
      </c>
      <c r="V22" s="2855">
        <v>3.05</v>
      </c>
      <c r="W22" s="2855">
        <v>3.25</v>
      </c>
      <c r="X22" s="2855">
        <v>1.31</v>
      </c>
      <c r="Y22" s="2855">
        <v>0.95</v>
      </c>
      <c r="Z22" s="2855">
        <v>1.49</v>
      </c>
    </row>
    <row r="23" spans="2:26">
      <c r="B23" s="2855"/>
      <c r="C23" s="2856">
        <v>40583</v>
      </c>
      <c r="D23" s="2855">
        <v>5.6</v>
      </c>
      <c r="E23" s="2855">
        <v>6.06</v>
      </c>
      <c r="F23" s="2855">
        <v>6.1</v>
      </c>
      <c r="G23" s="2855">
        <v>6.45</v>
      </c>
      <c r="H23" s="2855">
        <v>6.6</v>
      </c>
      <c r="I23" s="2855">
        <v>4</v>
      </c>
      <c r="J23" s="2855">
        <v>4.5</v>
      </c>
      <c r="L23" s="2855"/>
      <c r="M23" s="2856">
        <v>40583</v>
      </c>
      <c r="N23" s="2855">
        <v>0.4</v>
      </c>
      <c r="O23" s="2855">
        <v>2.6</v>
      </c>
      <c r="P23" s="2855">
        <v>2.8</v>
      </c>
      <c r="Q23" s="2855">
        <v>3</v>
      </c>
      <c r="R23" s="2855">
        <v>3.9</v>
      </c>
      <c r="S23" s="2855">
        <v>4.5</v>
      </c>
      <c r="T23" s="2855">
        <v>5</v>
      </c>
      <c r="U23" s="2855">
        <v>2.6</v>
      </c>
      <c r="V23" s="2855">
        <v>2.8</v>
      </c>
      <c r="W23" s="2855">
        <v>3</v>
      </c>
      <c r="X23" s="2855">
        <v>1.21</v>
      </c>
      <c r="Y23" s="2855">
        <v>0.85</v>
      </c>
      <c r="Z23" s="2855">
        <v>1.39</v>
      </c>
    </row>
    <row r="24" spans="2:26">
      <c r="B24" s="2855"/>
      <c r="C24" s="2856">
        <v>40538</v>
      </c>
      <c r="D24" s="2855">
        <v>5.35</v>
      </c>
      <c r="E24" s="2855">
        <v>5.81</v>
      </c>
      <c r="F24" s="2855">
        <v>5.85</v>
      </c>
      <c r="G24" s="2855">
        <v>6.22</v>
      </c>
      <c r="H24" s="2855">
        <v>6.4</v>
      </c>
      <c r="I24" s="2855">
        <v>3.75</v>
      </c>
      <c r="J24" s="2855">
        <v>4.3</v>
      </c>
      <c r="L24" s="2855"/>
      <c r="M24" s="2856">
        <v>40538</v>
      </c>
      <c r="N24" s="2855">
        <v>0.36</v>
      </c>
      <c r="O24" s="2855">
        <v>2.25</v>
      </c>
      <c r="P24" s="2855">
        <v>2.5</v>
      </c>
      <c r="Q24" s="2855">
        <v>2.75</v>
      </c>
      <c r="R24" s="2855">
        <v>3.55</v>
      </c>
      <c r="S24" s="2855">
        <v>4.1500000000000004</v>
      </c>
      <c r="T24" s="2855">
        <v>4.55</v>
      </c>
      <c r="U24" s="2855">
        <v>2.16</v>
      </c>
      <c r="V24" s="2855">
        <v>2.5</v>
      </c>
      <c r="W24" s="2855">
        <v>2.85</v>
      </c>
      <c r="X24" s="2855">
        <v>1.17</v>
      </c>
      <c r="Y24" s="2855">
        <v>0.81</v>
      </c>
      <c r="Z24" s="2855">
        <v>1.35</v>
      </c>
    </row>
    <row r="25" spans="2:26">
      <c r="B25" s="2855"/>
      <c r="C25" s="2856">
        <v>40471</v>
      </c>
      <c r="D25" s="2855">
        <v>5.0999999999999996</v>
      </c>
      <c r="E25" s="2855">
        <v>5.56</v>
      </c>
      <c r="F25" s="2855">
        <v>5.6</v>
      </c>
      <c r="G25" s="2855">
        <v>5.96</v>
      </c>
      <c r="H25" s="2855">
        <v>6.14</v>
      </c>
      <c r="I25" s="2855">
        <v>3.5</v>
      </c>
      <c r="J25" s="2855">
        <v>4.05</v>
      </c>
      <c r="L25" s="2855"/>
      <c r="M25" s="2856">
        <v>40471</v>
      </c>
      <c r="N25" s="2855">
        <v>0.36</v>
      </c>
      <c r="O25" s="2855">
        <v>1.91</v>
      </c>
      <c r="P25" s="2855">
        <v>2.2000000000000002</v>
      </c>
      <c r="Q25" s="2855">
        <v>2.5</v>
      </c>
      <c r="R25" s="2855">
        <v>3.25</v>
      </c>
      <c r="S25" s="2855">
        <v>3.85</v>
      </c>
      <c r="T25" s="2855">
        <v>4.2</v>
      </c>
      <c r="U25" s="2855">
        <v>1.91</v>
      </c>
      <c r="V25" s="2855">
        <v>2.2000000000000002</v>
      </c>
      <c r="W25" s="2855">
        <v>2.5</v>
      </c>
      <c r="X25" s="2855">
        <v>1.17</v>
      </c>
      <c r="Y25" s="2855">
        <v>0.81</v>
      </c>
      <c r="Z25" s="2855">
        <v>1.35</v>
      </c>
    </row>
    <row r="26" spans="2:26">
      <c r="B26" s="2855"/>
      <c r="C26" s="2856">
        <v>39805</v>
      </c>
      <c r="D26" s="2855">
        <v>4.8600000000000003</v>
      </c>
      <c r="E26" s="2855">
        <v>5.31</v>
      </c>
      <c r="F26" s="2855">
        <v>5.4</v>
      </c>
      <c r="G26" s="2855">
        <v>5.76</v>
      </c>
      <c r="H26" s="2855">
        <v>5.94</v>
      </c>
      <c r="I26" s="2855">
        <v>3.33</v>
      </c>
      <c r="J26" s="2855">
        <v>3.87</v>
      </c>
      <c r="L26" s="2855"/>
      <c r="M26" s="2856">
        <v>39805</v>
      </c>
      <c r="N26" s="2855">
        <v>0.36</v>
      </c>
      <c r="O26" s="2855">
        <v>1.71</v>
      </c>
      <c r="P26" s="2855">
        <v>1.98</v>
      </c>
      <c r="Q26" s="2855">
        <v>2.25</v>
      </c>
      <c r="R26" s="2855">
        <v>2.79</v>
      </c>
      <c r="S26" s="2855">
        <v>3.33</v>
      </c>
      <c r="T26" s="2855">
        <v>3.6</v>
      </c>
      <c r="U26" s="2855">
        <v>1.71</v>
      </c>
      <c r="V26" s="2855">
        <v>1.98</v>
      </c>
      <c r="W26" s="2855">
        <v>2.25</v>
      </c>
      <c r="X26" s="2855">
        <v>1.17</v>
      </c>
      <c r="Y26" s="2855">
        <v>0.81</v>
      </c>
      <c r="Z26" s="2855">
        <v>1.35</v>
      </c>
    </row>
    <row r="27" spans="2:26">
      <c r="B27" s="2855"/>
      <c r="C27" s="2856">
        <v>39779</v>
      </c>
      <c r="D27" s="2855">
        <v>5.04</v>
      </c>
      <c r="E27" s="2855">
        <v>5.58</v>
      </c>
      <c r="F27" s="2855">
        <v>5.67</v>
      </c>
      <c r="G27" s="2855">
        <v>5.94</v>
      </c>
      <c r="H27" s="2855">
        <v>6.12</v>
      </c>
      <c r="I27" s="2855">
        <v>3.51</v>
      </c>
      <c r="J27" s="2855">
        <v>4.05</v>
      </c>
      <c r="L27" s="2855"/>
      <c r="M27" s="2856">
        <v>39779</v>
      </c>
      <c r="N27" s="2855">
        <v>0.36</v>
      </c>
      <c r="O27" s="2855">
        <v>1.98</v>
      </c>
      <c r="P27" s="2855">
        <v>2.25</v>
      </c>
      <c r="Q27" s="2855">
        <v>2.52</v>
      </c>
      <c r="R27" s="2855">
        <v>3.06</v>
      </c>
      <c r="S27" s="2855">
        <v>3.6</v>
      </c>
      <c r="T27" s="2855">
        <v>3.87</v>
      </c>
      <c r="U27" s="2855">
        <v>1.98</v>
      </c>
      <c r="V27" s="2855">
        <v>2.25</v>
      </c>
      <c r="W27" s="2855">
        <v>2.52</v>
      </c>
      <c r="X27" s="2855">
        <v>1.17</v>
      </c>
      <c r="Y27" s="2855">
        <v>0.81</v>
      </c>
      <c r="Z27" s="2855">
        <v>1.35</v>
      </c>
    </row>
    <row r="28" spans="2:26">
      <c r="B28" s="2855"/>
      <c r="C28" s="2856">
        <v>39751</v>
      </c>
      <c r="D28" s="2855">
        <v>6.03</v>
      </c>
      <c r="E28" s="2855">
        <v>6.66</v>
      </c>
      <c r="F28" s="2855">
        <v>6.75</v>
      </c>
      <c r="G28" s="2855">
        <v>7.02</v>
      </c>
      <c r="H28" s="2855">
        <v>7.2</v>
      </c>
      <c r="I28" s="2855">
        <v>4.05</v>
      </c>
      <c r="J28" s="2855">
        <v>4.59</v>
      </c>
      <c r="L28" s="2855"/>
      <c r="M28" s="2856">
        <v>39751</v>
      </c>
      <c r="N28" s="2855">
        <v>0.72</v>
      </c>
      <c r="O28" s="2855">
        <v>2.88</v>
      </c>
      <c r="P28" s="2855">
        <v>3.24</v>
      </c>
      <c r="Q28" s="2855">
        <v>3.6</v>
      </c>
      <c r="R28" s="2855">
        <v>4.1399999999999997</v>
      </c>
      <c r="S28" s="2855">
        <v>4.7699999999999996</v>
      </c>
      <c r="T28" s="2855">
        <v>5.13</v>
      </c>
      <c r="U28" s="2855">
        <v>2.88</v>
      </c>
      <c r="V28" s="2855">
        <v>3.24</v>
      </c>
      <c r="W28" s="2855">
        <v>3.6</v>
      </c>
      <c r="X28" s="2855">
        <v>1.53</v>
      </c>
      <c r="Y28" s="2855">
        <v>1.17</v>
      </c>
      <c r="Z28" s="2855">
        <v>1.71</v>
      </c>
    </row>
    <row r="29" spans="2:26">
      <c r="B29" s="2855"/>
      <c r="C29" s="2858">
        <v>39748</v>
      </c>
      <c r="D29" s="2855">
        <v>6.12</v>
      </c>
      <c r="E29" s="2855">
        <v>6.93</v>
      </c>
      <c r="F29" s="2855">
        <v>7.02</v>
      </c>
      <c r="G29" s="2855">
        <v>7.29</v>
      </c>
      <c r="H29" s="2855">
        <v>7.47</v>
      </c>
      <c r="I29" s="2855">
        <v>4.05</v>
      </c>
      <c r="J29" s="2855">
        <v>4.59</v>
      </c>
      <c r="L29" s="2855"/>
      <c r="M29" s="2858">
        <v>39736</v>
      </c>
      <c r="N29" s="2855">
        <v>0.72</v>
      </c>
      <c r="O29" s="2855">
        <v>3.15</v>
      </c>
      <c r="P29" s="2855">
        <v>3.51</v>
      </c>
      <c r="Q29" s="2855">
        <v>3.87</v>
      </c>
      <c r="R29" s="2855">
        <v>4.41</v>
      </c>
      <c r="S29" s="2855">
        <v>5.13</v>
      </c>
      <c r="T29" s="2855">
        <v>5.58</v>
      </c>
      <c r="U29" s="2855">
        <v>3.15</v>
      </c>
      <c r="V29" s="2855">
        <v>3.51</v>
      </c>
      <c r="W29" s="2855">
        <v>3.87</v>
      </c>
      <c r="X29" s="2855">
        <v>1.53</v>
      </c>
      <c r="Y29" s="2855">
        <v>1.17</v>
      </c>
      <c r="Z29" s="2855">
        <v>1.71</v>
      </c>
    </row>
    <row r="30" spans="2:26">
      <c r="B30" s="2855"/>
      <c r="C30" s="2856">
        <v>39730</v>
      </c>
      <c r="D30" s="2855">
        <v>6.12</v>
      </c>
      <c r="E30" s="2855">
        <v>6.93</v>
      </c>
      <c r="F30" s="2855">
        <v>7.02</v>
      </c>
      <c r="G30" s="2855">
        <v>7.29</v>
      </c>
      <c r="H30" s="2855">
        <v>7.47</v>
      </c>
      <c r="I30" s="2855">
        <v>4.32</v>
      </c>
      <c r="J30" s="2855">
        <v>4.8600000000000003</v>
      </c>
      <c r="L30" s="2855"/>
      <c r="M30" s="2856">
        <v>39730</v>
      </c>
      <c r="N30" s="2855">
        <v>0.72</v>
      </c>
      <c r="O30" s="2855">
        <v>3.15</v>
      </c>
      <c r="P30" s="2855">
        <v>3.51</v>
      </c>
      <c r="Q30" s="2855">
        <v>3.87</v>
      </c>
      <c r="R30" s="2855">
        <v>4.41</v>
      </c>
      <c r="S30" s="2855">
        <v>5.13</v>
      </c>
      <c r="T30" s="2855">
        <v>5.58</v>
      </c>
      <c r="U30" s="2855">
        <v>3.15</v>
      </c>
      <c r="V30" s="2855">
        <v>3.51</v>
      </c>
      <c r="W30" s="2855">
        <v>3.87</v>
      </c>
      <c r="X30" s="2855">
        <v>1.53</v>
      </c>
      <c r="Y30" s="2855">
        <v>1.17</v>
      </c>
      <c r="Z30" s="2855">
        <v>1.71</v>
      </c>
    </row>
    <row r="31" spans="2:26">
      <c r="B31" s="2855"/>
      <c r="C31" s="2856">
        <v>39707</v>
      </c>
      <c r="D31" s="2855">
        <v>6.21</v>
      </c>
      <c r="E31" s="2855">
        <v>7.2</v>
      </c>
      <c r="F31" s="2855">
        <v>7.29</v>
      </c>
      <c r="G31" s="2855">
        <v>7.56</v>
      </c>
      <c r="H31" s="2855">
        <v>7.74</v>
      </c>
      <c r="I31" s="2855">
        <v>4.59</v>
      </c>
      <c r="J31" s="2855">
        <v>5.13</v>
      </c>
      <c r="L31" s="2855"/>
      <c r="M31" s="2856">
        <v>39437</v>
      </c>
      <c r="N31" s="2855">
        <v>0.72</v>
      </c>
      <c r="O31" s="2855">
        <v>3.33</v>
      </c>
      <c r="P31" s="2855">
        <v>3.78</v>
      </c>
      <c r="Q31" s="2855">
        <v>4.1399999999999997</v>
      </c>
      <c r="R31" s="2855">
        <v>4.68</v>
      </c>
      <c r="S31" s="2855">
        <v>5.4</v>
      </c>
      <c r="T31" s="2855">
        <v>5.85</v>
      </c>
      <c r="U31" s="2855">
        <v>3.33</v>
      </c>
      <c r="V31" s="2855">
        <v>3.78</v>
      </c>
      <c r="W31" s="2855">
        <v>4.1399999999999997</v>
      </c>
      <c r="X31" s="2855">
        <v>1.53</v>
      </c>
      <c r="Y31" s="2855">
        <v>1.17</v>
      </c>
      <c r="Z31" s="2855">
        <v>1.71</v>
      </c>
    </row>
    <row r="32" spans="2:26">
      <c r="B32" s="2855"/>
      <c r="C32" s="2856">
        <v>39437</v>
      </c>
      <c r="D32" s="2855">
        <v>6.57</v>
      </c>
      <c r="E32" s="2855">
        <v>7.47</v>
      </c>
      <c r="F32" s="2855">
        <v>7.56</v>
      </c>
      <c r="G32" s="2855">
        <v>7.74</v>
      </c>
      <c r="H32" s="2855">
        <v>7.83</v>
      </c>
      <c r="I32" s="2855">
        <v>4.7699999999999996</v>
      </c>
      <c r="J32" s="2855">
        <v>5.22</v>
      </c>
      <c r="L32" s="2855"/>
      <c r="M32" s="2856">
        <v>39340</v>
      </c>
      <c r="N32" s="2855">
        <v>0.81</v>
      </c>
      <c r="O32" s="2855">
        <v>2.88</v>
      </c>
      <c r="P32" s="2855">
        <v>3.42</v>
      </c>
      <c r="Q32" s="2855">
        <v>3.87</v>
      </c>
      <c r="R32" s="2855">
        <v>4.5</v>
      </c>
      <c r="S32" s="2855">
        <v>5.22</v>
      </c>
      <c r="T32" s="2855">
        <v>5.76</v>
      </c>
      <c r="U32" s="2855">
        <v>2.88</v>
      </c>
      <c r="V32" s="2855">
        <v>3.42</v>
      </c>
      <c r="W32" s="2855">
        <v>3.87</v>
      </c>
      <c r="X32" s="2855">
        <v>1.53</v>
      </c>
      <c r="Y32" s="2855">
        <v>1.17</v>
      </c>
      <c r="Z32" s="2855">
        <v>1.71</v>
      </c>
    </row>
    <row r="33" spans="2:26">
      <c r="B33" s="2855"/>
      <c r="C33" s="2856">
        <v>39340</v>
      </c>
      <c r="D33" s="2855">
        <v>6.48</v>
      </c>
      <c r="E33" s="2855">
        <v>7.29</v>
      </c>
      <c r="F33" s="2855">
        <v>7.47</v>
      </c>
      <c r="G33" s="2855">
        <v>7.65</v>
      </c>
      <c r="H33" s="2855">
        <v>7.83</v>
      </c>
      <c r="I33" s="2855">
        <v>4.7699999999999996</v>
      </c>
      <c r="J33" s="2855">
        <v>5.22</v>
      </c>
      <c r="L33" s="2855"/>
      <c r="M33" s="2856">
        <v>39316</v>
      </c>
      <c r="N33" s="2855">
        <v>0.81</v>
      </c>
      <c r="O33" s="2855">
        <v>2.61</v>
      </c>
      <c r="P33" s="2855">
        <v>3.15</v>
      </c>
      <c r="Q33" s="2855">
        <v>3.6</v>
      </c>
      <c r="R33" s="2855">
        <v>4.2300000000000004</v>
      </c>
      <c r="S33" s="2855">
        <v>4.95</v>
      </c>
      <c r="T33" s="2855">
        <v>5.49</v>
      </c>
      <c r="U33" s="2855">
        <v>2.61</v>
      </c>
      <c r="V33" s="2855">
        <v>3.15</v>
      </c>
      <c r="W33" s="2855">
        <v>3.6</v>
      </c>
      <c r="X33" s="2855">
        <v>1.53</v>
      </c>
      <c r="Y33" s="2855">
        <v>1.17</v>
      </c>
      <c r="Z33" s="2855">
        <v>1.71</v>
      </c>
    </row>
    <row r="34" spans="2:26">
      <c r="B34" s="2855"/>
      <c r="C34" s="2856">
        <v>39316</v>
      </c>
      <c r="D34" s="2855">
        <v>6.21</v>
      </c>
      <c r="E34" s="2855">
        <v>7.02</v>
      </c>
      <c r="F34" s="2855">
        <v>7.2</v>
      </c>
      <c r="G34" s="2855">
        <v>7.38</v>
      </c>
      <c r="H34" s="2855">
        <v>7.56</v>
      </c>
      <c r="I34" s="2855">
        <v>4.59</v>
      </c>
      <c r="J34" s="2855">
        <v>5.04</v>
      </c>
      <c r="L34" s="2855"/>
      <c r="M34" s="2856">
        <v>39284</v>
      </c>
      <c r="N34" s="2855">
        <v>0.81</v>
      </c>
      <c r="O34" s="2855">
        <v>2.34</v>
      </c>
      <c r="P34" s="2855">
        <v>2.88</v>
      </c>
      <c r="Q34" s="2855">
        <v>3.33</v>
      </c>
      <c r="R34" s="2855">
        <v>3.96</v>
      </c>
      <c r="S34" s="2855">
        <v>4.68</v>
      </c>
      <c r="T34" s="2855">
        <v>5.22</v>
      </c>
      <c r="U34" s="2855">
        <v>2.34</v>
      </c>
      <c r="V34" s="2855">
        <v>2.88</v>
      </c>
      <c r="W34" s="2855">
        <v>3.33</v>
      </c>
      <c r="X34" s="2855">
        <v>1.53</v>
      </c>
      <c r="Y34" s="2855">
        <v>1.17</v>
      </c>
      <c r="Z34" s="2855">
        <v>1.71</v>
      </c>
    </row>
    <row r="35" spans="2:26">
      <c r="B35" s="2855"/>
      <c r="C35" s="2856">
        <v>39284</v>
      </c>
      <c r="D35" s="2855">
        <v>6.03</v>
      </c>
      <c r="E35" s="2855">
        <v>6.84</v>
      </c>
      <c r="F35" s="2855">
        <v>7.02</v>
      </c>
      <c r="G35" s="2855">
        <v>7.2</v>
      </c>
      <c r="H35" s="2855">
        <v>7.38</v>
      </c>
      <c r="I35" s="2855">
        <v>4.5</v>
      </c>
      <c r="J35" s="2855">
        <v>4.95</v>
      </c>
      <c r="L35" s="2855"/>
      <c r="M35" s="2856">
        <v>39221</v>
      </c>
      <c r="N35" s="2855">
        <v>0.72</v>
      </c>
      <c r="O35" s="2855">
        <v>2.0699999999999998</v>
      </c>
      <c r="P35" s="2855">
        <v>2.61</v>
      </c>
      <c r="Q35" s="2855">
        <v>3.06</v>
      </c>
      <c r="R35" s="2855">
        <v>3.69</v>
      </c>
      <c r="S35" s="2855">
        <v>4.41</v>
      </c>
      <c r="T35" s="2855">
        <v>4.95</v>
      </c>
      <c r="U35" s="2855">
        <v>2.0699999999999998</v>
      </c>
      <c r="V35" s="2855">
        <v>2.61</v>
      </c>
      <c r="W35" s="2855">
        <v>3.06</v>
      </c>
      <c r="X35" s="2855">
        <v>1.44</v>
      </c>
      <c r="Y35" s="2855">
        <v>1.08</v>
      </c>
      <c r="Z35" s="2855">
        <v>1.62</v>
      </c>
    </row>
    <row r="36" spans="2:26">
      <c r="B36" s="2855"/>
      <c r="C36" s="2856">
        <v>39221</v>
      </c>
      <c r="D36" s="2855">
        <v>5.85</v>
      </c>
      <c r="E36" s="2855">
        <v>6.57</v>
      </c>
      <c r="F36" s="2855">
        <v>6.75</v>
      </c>
      <c r="G36" s="2855">
        <v>6.93</v>
      </c>
      <c r="H36" s="2855">
        <v>7.2</v>
      </c>
      <c r="I36" s="2855">
        <v>4.41</v>
      </c>
      <c r="J36" s="2855">
        <v>4.8600000000000003</v>
      </c>
      <c r="L36" s="2855"/>
      <c r="M36" s="2856">
        <v>39159</v>
      </c>
      <c r="N36" s="2855">
        <v>0.72</v>
      </c>
      <c r="O36" s="2855">
        <v>1.98</v>
      </c>
      <c r="P36" s="2855">
        <v>2.4300000000000002</v>
      </c>
      <c r="Q36" s="2855">
        <v>2.79</v>
      </c>
      <c r="R36" s="2855">
        <v>3.33</v>
      </c>
      <c r="S36" s="2855">
        <v>3.96</v>
      </c>
      <c r="T36" s="2855">
        <v>4.41</v>
      </c>
      <c r="U36" s="2855">
        <v>1.98</v>
      </c>
      <c r="V36" s="2855">
        <v>2.4300000000000002</v>
      </c>
      <c r="W36" s="2855">
        <v>2.79</v>
      </c>
      <c r="X36" s="2855">
        <v>1.44</v>
      </c>
      <c r="Y36" s="2855">
        <v>1.08</v>
      </c>
      <c r="Z36" s="2855">
        <v>1.62</v>
      </c>
    </row>
    <row r="37" spans="2:26">
      <c r="B37" s="2855"/>
      <c r="C37" s="2856">
        <v>39159</v>
      </c>
      <c r="D37" s="2855">
        <v>5.67</v>
      </c>
      <c r="E37" s="2855">
        <v>6.39</v>
      </c>
      <c r="F37" s="2855">
        <v>6.57</v>
      </c>
      <c r="G37" s="2855">
        <v>6.75</v>
      </c>
      <c r="H37" s="2855">
        <v>7.11</v>
      </c>
      <c r="I37" s="2855">
        <v>4.32</v>
      </c>
      <c r="J37" s="2855">
        <v>4.7699999999999996</v>
      </c>
      <c r="L37" s="2855"/>
      <c r="M37" s="2856">
        <v>38948</v>
      </c>
      <c r="N37" s="2855">
        <v>0.72</v>
      </c>
      <c r="O37" s="2855">
        <v>1.8</v>
      </c>
      <c r="P37" s="2855">
        <v>2.25</v>
      </c>
      <c r="Q37" s="2855">
        <v>2.52</v>
      </c>
      <c r="R37" s="2855">
        <v>3.06</v>
      </c>
      <c r="S37" s="2855">
        <v>3.69</v>
      </c>
      <c r="T37" s="2855">
        <v>4.1399999999999997</v>
      </c>
      <c r="U37" s="2855">
        <v>1.8</v>
      </c>
      <c r="V37" s="2855">
        <v>2.25</v>
      </c>
      <c r="W37" s="2855">
        <v>2.52</v>
      </c>
      <c r="X37" s="2855">
        <v>1.44</v>
      </c>
      <c r="Y37" s="2855">
        <v>1.08</v>
      </c>
      <c r="Z37" s="2855">
        <v>1.62</v>
      </c>
    </row>
    <row r="38" spans="2:26">
      <c r="B38" s="2855"/>
      <c r="C38" s="2856">
        <v>38948</v>
      </c>
      <c r="D38" s="2855">
        <v>5.58</v>
      </c>
      <c r="E38" s="2855">
        <v>6.12</v>
      </c>
      <c r="F38" s="2855">
        <v>6.3</v>
      </c>
      <c r="G38" s="2855">
        <v>6.48</v>
      </c>
      <c r="H38" s="2855">
        <v>6.84</v>
      </c>
      <c r="I38" s="2855">
        <v>4.1399999999999997</v>
      </c>
      <c r="J38" s="2855">
        <v>4.59</v>
      </c>
      <c r="L38" s="2855"/>
      <c r="M38" s="2856">
        <v>38289</v>
      </c>
      <c r="N38" s="2855">
        <v>0.72</v>
      </c>
      <c r="O38" s="2855">
        <v>1.71</v>
      </c>
      <c r="P38" s="2855">
        <v>2.0699999999999998</v>
      </c>
      <c r="Q38" s="2855">
        <v>2.25</v>
      </c>
      <c r="R38" s="2855">
        <v>2.7</v>
      </c>
      <c r="S38" s="2855">
        <v>3.24</v>
      </c>
      <c r="T38" s="2855">
        <v>3.6</v>
      </c>
      <c r="U38" s="2855">
        <v>1.71</v>
      </c>
      <c r="V38" s="2855">
        <v>2.0699999999999998</v>
      </c>
      <c r="W38" s="2855">
        <v>2.25</v>
      </c>
      <c r="X38" s="2855">
        <v>1.44</v>
      </c>
      <c r="Y38" s="2855">
        <v>1.08</v>
      </c>
      <c r="Z38" s="2855">
        <v>1.62</v>
      </c>
    </row>
    <row r="39" spans="2:26">
      <c r="B39" s="2855"/>
      <c r="C39" s="2856">
        <v>38835</v>
      </c>
      <c r="D39" s="2855">
        <v>5.4</v>
      </c>
      <c r="E39" s="2855">
        <v>5.85</v>
      </c>
      <c r="F39" s="2855">
        <v>6.03</v>
      </c>
      <c r="G39" s="2855">
        <v>6.12</v>
      </c>
      <c r="H39" s="2855">
        <v>6.39</v>
      </c>
      <c r="I39" s="2855">
        <v>4.1399999999999997</v>
      </c>
      <c r="J39" s="2855">
        <v>4.59</v>
      </c>
      <c r="L39" s="2855"/>
      <c r="M39" s="2856">
        <v>37308</v>
      </c>
      <c r="N39" s="2855">
        <v>0.72</v>
      </c>
      <c r="O39" s="2855">
        <v>1.71</v>
      </c>
      <c r="P39" s="2855">
        <v>1.89</v>
      </c>
      <c r="Q39" s="2855">
        <v>1.98</v>
      </c>
      <c r="R39" s="2855">
        <v>2.25</v>
      </c>
      <c r="S39" s="2855">
        <v>2.52</v>
      </c>
      <c r="T39" s="2855">
        <v>2.79</v>
      </c>
      <c r="U39" s="2855">
        <v>1.71</v>
      </c>
      <c r="V39" s="2855">
        <v>1.89</v>
      </c>
      <c r="W39" s="2855">
        <v>1.98</v>
      </c>
      <c r="X39" s="2855">
        <v>1.44</v>
      </c>
      <c r="Y39" s="2855">
        <v>1.08</v>
      </c>
      <c r="Z39" s="2855">
        <v>1.62</v>
      </c>
    </row>
    <row r="40" spans="2:26">
      <c r="B40" s="2855"/>
      <c r="C40" s="2856">
        <v>38428</v>
      </c>
      <c r="D40" s="2855">
        <v>5.22</v>
      </c>
      <c r="E40" s="2855">
        <v>5.58</v>
      </c>
      <c r="F40" s="2855">
        <v>5.76</v>
      </c>
      <c r="G40" s="2855">
        <v>5.85</v>
      </c>
      <c r="H40" s="2855">
        <v>6.12</v>
      </c>
      <c r="I40" s="2855">
        <v>3.96</v>
      </c>
      <c r="J40" s="2855">
        <v>4.41</v>
      </c>
      <c r="L40" s="2855"/>
      <c r="M40" s="2856">
        <v>36321</v>
      </c>
      <c r="N40" s="2855">
        <v>0.99</v>
      </c>
      <c r="O40" s="2855">
        <v>1.98</v>
      </c>
      <c r="P40" s="2855">
        <v>2.16</v>
      </c>
      <c r="Q40" s="2855">
        <v>2.25</v>
      </c>
      <c r="R40" s="2855">
        <v>2.4300000000000002</v>
      </c>
      <c r="S40" s="2855">
        <v>2.7</v>
      </c>
      <c r="T40" s="2855">
        <v>2.88</v>
      </c>
      <c r="U40" s="2855">
        <v>1.98</v>
      </c>
      <c r="V40" s="2855">
        <v>2.16</v>
      </c>
      <c r="W40" s="2855">
        <v>2.25</v>
      </c>
      <c r="X40" s="2855">
        <v>1.71</v>
      </c>
      <c r="Y40" s="2855">
        <v>1.35</v>
      </c>
      <c r="Z40" s="2855">
        <v>1.89</v>
      </c>
    </row>
    <row r="41" spans="2:26">
      <c r="B41" s="2855"/>
      <c r="C41" s="2856">
        <v>38289</v>
      </c>
      <c r="D41" s="2855">
        <v>5.22</v>
      </c>
      <c r="E41" s="2855">
        <v>5.58</v>
      </c>
      <c r="F41" s="2855">
        <v>5.76</v>
      </c>
      <c r="G41" s="2855">
        <v>5.85</v>
      </c>
      <c r="H41" s="2855">
        <v>6.12</v>
      </c>
      <c r="I41" s="2855">
        <v>3.78</v>
      </c>
      <c r="J41" s="2855">
        <v>4.2300000000000004</v>
      </c>
      <c r="L41" s="2855"/>
      <c r="M41" s="2856">
        <v>36136</v>
      </c>
      <c r="N41" s="2855">
        <v>1.44</v>
      </c>
      <c r="O41" s="2855">
        <v>2.79</v>
      </c>
      <c r="P41" s="2855">
        <v>3.33</v>
      </c>
      <c r="Q41" s="2855">
        <v>3.78</v>
      </c>
      <c r="R41" s="2855">
        <v>3.96</v>
      </c>
      <c r="S41" s="2855">
        <v>4.1399999999999997</v>
      </c>
      <c r="T41" s="2855">
        <v>4.5</v>
      </c>
      <c r="U41" s="2855">
        <v>3.33</v>
      </c>
      <c r="V41" s="2855">
        <v>3.78</v>
      </c>
      <c r="W41" s="2855">
        <v>4.1399999999999997</v>
      </c>
      <c r="X41" s="2855">
        <v>2.16</v>
      </c>
      <c r="Y41" s="2855">
        <v>1.8</v>
      </c>
      <c r="Z41" s="2855">
        <v>2.34</v>
      </c>
    </row>
    <row r="42" spans="2:26">
      <c r="B42" s="2855"/>
      <c r="C42" s="2856">
        <v>37308</v>
      </c>
      <c r="D42" s="2855">
        <v>5.04</v>
      </c>
      <c r="E42" s="2855">
        <v>5.31</v>
      </c>
      <c r="F42" s="2855">
        <v>5.49</v>
      </c>
      <c r="G42" s="2855">
        <v>5.58</v>
      </c>
      <c r="H42" s="2855">
        <v>5.76</v>
      </c>
      <c r="I42" s="2855">
        <v>3.6</v>
      </c>
      <c r="J42" s="2855">
        <v>4.05</v>
      </c>
      <c r="L42" s="2855"/>
      <c r="M42" s="2856">
        <v>35977</v>
      </c>
      <c r="N42" s="2855">
        <v>1.44</v>
      </c>
      <c r="O42" s="2855">
        <v>2.79</v>
      </c>
      <c r="P42" s="2855">
        <v>3.96</v>
      </c>
      <c r="Q42" s="2855">
        <v>4.7699999999999996</v>
      </c>
      <c r="R42" s="2855">
        <v>4.8600000000000003</v>
      </c>
      <c r="S42" s="2855">
        <v>4.95</v>
      </c>
      <c r="T42" s="2855">
        <v>5.22</v>
      </c>
      <c r="U42" s="2855">
        <v>3.96</v>
      </c>
      <c r="V42" s="2855">
        <v>4.7699999999999996</v>
      </c>
      <c r="W42" s="2855">
        <v>4.95</v>
      </c>
      <c r="X42" s="2855" t="s">
        <v>2746</v>
      </c>
      <c r="Y42" s="2855" t="s">
        <v>2746</v>
      </c>
      <c r="Z42" s="2855" t="s">
        <v>2746</v>
      </c>
    </row>
    <row r="43" spans="2:26">
      <c r="B43" s="2855"/>
      <c r="C43" s="2856">
        <v>36321</v>
      </c>
      <c r="D43" s="2855">
        <v>5.58</v>
      </c>
      <c r="E43" s="2855">
        <v>5.85</v>
      </c>
      <c r="F43" s="2855">
        <v>5.94</v>
      </c>
      <c r="G43" s="2855">
        <v>6.03</v>
      </c>
      <c r="H43" s="2855">
        <v>6.21</v>
      </c>
      <c r="I43" s="2855">
        <v>4.1399999999999997</v>
      </c>
      <c r="J43" s="2855">
        <v>4.59</v>
      </c>
      <c r="L43" s="2855"/>
      <c r="M43" s="2856">
        <v>35879</v>
      </c>
      <c r="N43" s="2855">
        <v>1.71</v>
      </c>
      <c r="O43" s="2855">
        <v>2.88</v>
      </c>
      <c r="P43" s="2855">
        <v>4.1399999999999997</v>
      </c>
      <c r="Q43" s="2855">
        <v>5.22</v>
      </c>
      <c r="R43" s="2855">
        <v>5.58</v>
      </c>
      <c r="S43" s="2855">
        <v>6.21</v>
      </c>
      <c r="T43" s="2855">
        <v>6.66</v>
      </c>
      <c r="U43" s="2855">
        <v>4.1399999999999997</v>
      </c>
      <c r="V43" s="2855">
        <v>5.22</v>
      </c>
      <c r="W43" s="2855">
        <v>6.21</v>
      </c>
      <c r="X43" s="2855" t="s">
        <v>2746</v>
      </c>
      <c r="Y43" s="2855" t="s">
        <v>2746</v>
      </c>
      <c r="Z43" s="2855" t="s">
        <v>2746</v>
      </c>
    </row>
    <row r="44" spans="2:26">
      <c r="B44" s="2855"/>
      <c r="C44" s="2856">
        <v>36136</v>
      </c>
      <c r="D44" s="2855">
        <v>6.12</v>
      </c>
      <c r="E44" s="2855">
        <v>6.39</v>
      </c>
      <c r="F44" s="2855">
        <v>6.66</v>
      </c>
      <c r="G44" s="2855">
        <v>7.2</v>
      </c>
      <c r="H44" s="2855">
        <v>7.56</v>
      </c>
      <c r="I44" s="2855">
        <v>0</v>
      </c>
      <c r="J44" s="2855">
        <v>0</v>
      </c>
      <c r="L44" s="2855"/>
      <c r="M44" s="2856">
        <v>35726</v>
      </c>
      <c r="N44" s="2855">
        <v>1.71</v>
      </c>
      <c r="O44" s="2855">
        <v>2.88</v>
      </c>
      <c r="P44" s="2855">
        <v>4.1399999999999997</v>
      </c>
      <c r="Q44" s="2855">
        <v>5.67</v>
      </c>
      <c r="R44" s="2855">
        <v>5.94</v>
      </c>
      <c r="S44" s="2855">
        <v>6.21</v>
      </c>
      <c r="T44" s="2855">
        <v>6.66</v>
      </c>
      <c r="U44" s="2855">
        <v>4.1399999999999997</v>
      </c>
      <c r="V44" s="2855">
        <v>5.67</v>
      </c>
      <c r="W44" s="2855">
        <v>6.21</v>
      </c>
      <c r="X44" s="2855" t="s">
        <v>2746</v>
      </c>
      <c r="Y44" s="2855" t="s">
        <v>2746</v>
      </c>
      <c r="Z44" s="2855" t="s">
        <v>2746</v>
      </c>
    </row>
    <row r="45" spans="2:26">
      <c r="B45" s="2855"/>
      <c r="C45" s="2856">
        <v>35977</v>
      </c>
      <c r="D45" s="2855">
        <v>6.57</v>
      </c>
      <c r="E45" s="2855">
        <v>6.93</v>
      </c>
      <c r="F45" s="2855">
        <v>7.11</v>
      </c>
      <c r="G45" s="2855">
        <v>7.65</v>
      </c>
      <c r="H45" s="2855">
        <v>8.01</v>
      </c>
      <c r="I45" s="2855">
        <v>0</v>
      </c>
      <c r="J45" s="2855">
        <v>0</v>
      </c>
      <c r="L45" s="2855"/>
      <c r="M45" s="2856">
        <v>35300</v>
      </c>
      <c r="N45" s="2855">
        <v>1.98</v>
      </c>
      <c r="O45" s="2855">
        <v>3.33</v>
      </c>
      <c r="P45" s="2855">
        <v>5.4</v>
      </c>
      <c r="Q45" s="2855">
        <v>7.47</v>
      </c>
      <c r="R45" s="2855">
        <v>7.92</v>
      </c>
      <c r="S45" s="2855">
        <v>8.2799999999999994</v>
      </c>
      <c r="T45" s="2855">
        <v>9</v>
      </c>
      <c r="U45" s="2855">
        <v>5.4</v>
      </c>
      <c r="V45" s="2855">
        <v>7.47</v>
      </c>
      <c r="W45" s="2855">
        <v>8.2799999999999994</v>
      </c>
      <c r="X45" s="2855" t="s">
        <v>2746</v>
      </c>
      <c r="Y45" s="2855" t="s">
        <v>2746</v>
      </c>
      <c r="Z45" s="2855" t="s">
        <v>2746</v>
      </c>
    </row>
    <row r="46" spans="2:26">
      <c r="B46" s="2855"/>
      <c r="C46" s="2856">
        <v>35879</v>
      </c>
      <c r="D46" s="2855">
        <v>7.02</v>
      </c>
      <c r="E46" s="2855">
        <v>7.92</v>
      </c>
      <c r="F46" s="2855">
        <v>9</v>
      </c>
      <c r="G46" s="2855">
        <v>9.7200000000000006</v>
      </c>
      <c r="H46" s="2855">
        <v>10.35</v>
      </c>
      <c r="I46" s="2855">
        <v>0</v>
      </c>
      <c r="J46" s="2855">
        <v>0</v>
      </c>
      <c r="L46" s="2855"/>
      <c r="M46" s="2856">
        <v>35186</v>
      </c>
      <c r="N46" s="2855">
        <v>2.97</v>
      </c>
      <c r="O46" s="2855">
        <v>4.8600000000000003</v>
      </c>
      <c r="P46" s="2855">
        <v>7.2</v>
      </c>
      <c r="Q46" s="2855">
        <v>9.18</v>
      </c>
      <c r="R46" s="2855">
        <v>9.9</v>
      </c>
      <c r="S46" s="2855">
        <v>10.8</v>
      </c>
      <c r="T46" s="2855">
        <v>12.06</v>
      </c>
      <c r="U46" s="2855">
        <v>7.2</v>
      </c>
      <c r="V46" s="2855">
        <v>9.18</v>
      </c>
      <c r="W46" s="2855">
        <v>10.8</v>
      </c>
      <c r="X46" s="2855" t="s">
        <v>2746</v>
      </c>
      <c r="Y46" s="2855" t="s">
        <v>2746</v>
      </c>
      <c r="Z46" s="2855" t="s">
        <v>2746</v>
      </c>
    </row>
    <row r="47" spans="2:26">
      <c r="B47" s="2855"/>
      <c r="C47" s="2856">
        <v>35726</v>
      </c>
      <c r="D47" s="2855">
        <v>7.65</v>
      </c>
      <c r="E47" s="2855">
        <v>8.64</v>
      </c>
      <c r="F47" s="2855">
        <v>9.36</v>
      </c>
      <c r="G47" s="2855">
        <v>9.9</v>
      </c>
      <c r="H47" s="2855">
        <v>10.53</v>
      </c>
      <c r="I47" s="2855">
        <v>0</v>
      </c>
      <c r="J47" s="2855">
        <v>0</v>
      </c>
      <c r="L47" s="2855"/>
      <c r="M47" s="2856">
        <v>34161</v>
      </c>
      <c r="N47" s="2855">
        <v>3.15</v>
      </c>
      <c r="O47" s="2855">
        <v>6.66</v>
      </c>
      <c r="P47" s="2855">
        <v>9</v>
      </c>
      <c r="Q47" s="2855">
        <v>10.98</v>
      </c>
      <c r="R47" s="2855">
        <v>11.7</v>
      </c>
      <c r="S47" s="2855">
        <v>12.24</v>
      </c>
      <c r="T47" s="2855">
        <v>13.86</v>
      </c>
      <c r="U47" s="2855">
        <v>9</v>
      </c>
      <c r="V47" s="2855">
        <v>10.98</v>
      </c>
      <c r="W47" s="2855">
        <v>12.24</v>
      </c>
      <c r="X47" s="2855" t="s">
        <v>2746</v>
      </c>
      <c r="Y47" s="2855" t="s">
        <v>2746</v>
      </c>
      <c r="Z47" s="2855" t="s">
        <v>2746</v>
      </c>
    </row>
    <row r="48" spans="2:26">
      <c r="B48" s="2855"/>
      <c r="C48" s="2856">
        <v>35300</v>
      </c>
      <c r="D48" s="2855">
        <v>9.18</v>
      </c>
      <c r="E48" s="2855">
        <v>10.08</v>
      </c>
      <c r="F48" s="2855">
        <v>10.98</v>
      </c>
      <c r="G48" s="2855">
        <v>11.7</v>
      </c>
      <c r="H48" s="2855">
        <v>12.42</v>
      </c>
      <c r="I48" s="2855">
        <v>0</v>
      </c>
      <c r="J48" s="2855">
        <v>0</v>
      </c>
      <c r="L48" s="2855"/>
      <c r="M48" s="2856">
        <v>34104</v>
      </c>
      <c r="N48" s="2855">
        <v>2.16</v>
      </c>
      <c r="O48" s="2855">
        <v>4.8600000000000003</v>
      </c>
      <c r="P48" s="2855">
        <v>7.2</v>
      </c>
      <c r="Q48" s="2855">
        <v>9.18</v>
      </c>
      <c r="R48" s="2855">
        <v>9.9</v>
      </c>
      <c r="S48" s="2855">
        <v>10.8</v>
      </c>
      <c r="T48" s="2855">
        <v>12.06</v>
      </c>
      <c r="U48" s="2855">
        <v>7.2</v>
      </c>
      <c r="V48" s="2855">
        <v>9.18</v>
      </c>
      <c r="W48" s="2855">
        <v>10.8</v>
      </c>
      <c r="X48" s="2855" t="s">
        <v>2746</v>
      </c>
      <c r="Y48" s="2855" t="s">
        <v>2746</v>
      </c>
      <c r="Z48" s="2855" t="s">
        <v>2746</v>
      </c>
    </row>
    <row r="49" spans="2:26">
      <c r="B49" s="2855"/>
      <c r="C49" s="2856">
        <v>35186</v>
      </c>
      <c r="D49" s="2855">
        <v>9.7200000000000006</v>
      </c>
      <c r="E49" s="2855">
        <v>10.98</v>
      </c>
      <c r="F49" s="2855">
        <v>13.14</v>
      </c>
      <c r="G49" s="2855">
        <v>14.94</v>
      </c>
      <c r="H49" s="2855">
        <v>15.12</v>
      </c>
      <c r="I49" s="2855">
        <v>0</v>
      </c>
      <c r="J49" s="2855">
        <v>0</v>
      </c>
      <c r="L49" s="2855"/>
      <c r="M49" s="2856">
        <v>33349</v>
      </c>
      <c r="N49" s="2855">
        <v>1.8</v>
      </c>
      <c r="O49" s="2855">
        <v>3.24</v>
      </c>
      <c r="P49" s="2855">
        <v>5.4</v>
      </c>
      <c r="Q49" s="2855">
        <v>7.56</v>
      </c>
      <c r="R49" s="2855">
        <v>7.92</v>
      </c>
      <c r="S49" s="2855">
        <v>8.2799999999999994</v>
      </c>
      <c r="T49" s="2855">
        <v>9</v>
      </c>
      <c r="U49" s="2855">
        <v>6.12</v>
      </c>
      <c r="V49" s="2855">
        <v>6.84</v>
      </c>
      <c r="W49" s="2855">
        <v>7.56</v>
      </c>
      <c r="X49" s="2855" t="s">
        <v>2746</v>
      </c>
      <c r="Y49" s="2855" t="s">
        <v>2746</v>
      </c>
      <c r="Z49" s="2855" t="s">
        <v>2746</v>
      </c>
    </row>
    <row r="50" spans="2:26">
      <c r="B50" s="2855"/>
      <c r="C50" s="2856">
        <v>34881</v>
      </c>
      <c r="D50" s="2855">
        <v>10.08</v>
      </c>
      <c r="E50" s="2855">
        <v>12.06</v>
      </c>
      <c r="F50" s="2855">
        <v>13.5</v>
      </c>
      <c r="G50" s="2855">
        <v>15.12</v>
      </c>
      <c r="H50" s="2855">
        <v>15.3</v>
      </c>
      <c r="I50" s="2855">
        <v>0</v>
      </c>
      <c r="J50" s="2855">
        <v>0</v>
      </c>
      <c r="L50" s="2855"/>
      <c r="M50" s="2856">
        <v>33106</v>
      </c>
      <c r="N50" s="2855">
        <v>2.16</v>
      </c>
      <c r="O50" s="2855">
        <v>4.32</v>
      </c>
      <c r="P50" s="2855">
        <v>6.48</v>
      </c>
      <c r="Q50" s="2855">
        <v>8.64</v>
      </c>
      <c r="R50" s="2855">
        <v>9.36</v>
      </c>
      <c r="S50" s="2855">
        <v>10.08</v>
      </c>
      <c r="T50" s="2855">
        <v>11.52</v>
      </c>
      <c r="U50" s="2855">
        <v>7.2</v>
      </c>
      <c r="V50" s="2855">
        <v>8.64</v>
      </c>
      <c r="W50" s="2855">
        <v>10.08</v>
      </c>
      <c r="X50" s="2855" t="s">
        <v>2746</v>
      </c>
      <c r="Y50" s="2855" t="s">
        <v>2746</v>
      </c>
      <c r="Z50" s="2855" t="s">
        <v>2746</v>
      </c>
    </row>
    <row r="51" spans="2:26">
      <c r="B51" s="2855"/>
      <c r="C51" s="2856">
        <v>34700</v>
      </c>
      <c r="D51" s="2855">
        <v>9</v>
      </c>
      <c r="E51" s="2855">
        <v>10.98</v>
      </c>
      <c r="F51" s="2855">
        <v>12.96</v>
      </c>
      <c r="G51" s="2855">
        <v>14.58</v>
      </c>
      <c r="H51" s="2855">
        <v>14.76</v>
      </c>
      <c r="I51" s="2855">
        <v>0</v>
      </c>
      <c r="J51" s="2855">
        <v>0</v>
      </c>
      <c r="L51" s="2855"/>
      <c r="M51" s="2856">
        <v>32978</v>
      </c>
      <c r="N51" s="2855">
        <v>2.88</v>
      </c>
      <c r="O51" s="2855">
        <v>6.3</v>
      </c>
      <c r="P51" s="2855">
        <v>7.74</v>
      </c>
      <c r="Q51" s="2855">
        <v>10.08</v>
      </c>
      <c r="R51" s="2855">
        <v>10.98</v>
      </c>
      <c r="S51" s="2855">
        <v>11.88</v>
      </c>
      <c r="T51" s="2855">
        <v>13.68</v>
      </c>
      <c r="U51" s="2855" t="s">
        <v>2746</v>
      </c>
      <c r="V51" s="2855" t="s">
        <v>2746</v>
      </c>
      <c r="W51" s="2855" t="s">
        <v>2746</v>
      </c>
      <c r="X51" s="2855" t="s">
        <v>2746</v>
      </c>
      <c r="Y51" s="2855" t="s">
        <v>2746</v>
      </c>
      <c r="Z51" s="2855" t="s">
        <v>2746</v>
      </c>
    </row>
    <row r="52" spans="2:26">
      <c r="B52" s="2855"/>
      <c r="C52" s="2856">
        <v>34161</v>
      </c>
      <c r="D52" s="2855">
        <v>9</v>
      </c>
      <c r="E52" s="2855">
        <v>10.98</v>
      </c>
      <c r="F52" s="2855">
        <v>12.24</v>
      </c>
      <c r="G52" s="2855">
        <v>13.86</v>
      </c>
      <c r="H52" s="2855">
        <v>14.04</v>
      </c>
      <c r="I52" s="2855">
        <v>0</v>
      </c>
      <c r="J52" s="2855">
        <v>0</v>
      </c>
      <c r="L52" s="2855"/>
      <c r="M52" s="2856"/>
      <c r="N52" s="2855"/>
      <c r="O52" s="2855"/>
      <c r="P52" s="2855"/>
      <c r="Q52" s="2855"/>
      <c r="R52" s="2855"/>
      <c r="S52" s="2855"/>
      <c r="T52" s="2855"/>
      <c r="U52" s="2855"/>
      <c r="V52" s="2855"/>
      <c r="W52" s="2855"/>
      <c r="X52" s="2855"/>
      <c r="Y52" s="2855"/>
      <c r="Z52" s="2855"/>
    </row>
    <row r="53" spans="2:26">
      <c r="B53" s="2855"/>
      <c r="C53" s="2856">
        <v>34104</v>
      </c>
      <c r="D53" s="2855">
        <v>8.82</v>
      </c>
      <c r="E53" s="2855">
        <v>9.36</v>
      </c>
      <c r="F53" s="2855">
        <v>10.8</v>
      </c>
      <c r="G53" s="2855">
        <v>12.06</v>
      </c>
      <c r="H53" s="2855">
        <v>12.24</v>
      </c>
      <c r="I53" s="2855">
        <v>0</v>
      </c>
      <c r="J53" s="2855">
        <v>0</v>
      </c>
      <c r="L53" s="2855"/>
      <c r="M53" s="2856"/>
      <c r="N53" s="2855"/>
      <c r="O53" s="2855"/>
      <c r="P53" s="2855"/>
      <c r="Q53" s="2855"/>
      <c r="R53" s="2855"/>
      <c r="S53" s="2855"/>
      <c r="T53" s="2855"/>
      <c r="U53" s="2855"/>
      <c r="V53" s="2855"/>
      <c r="W53" s="2855"/>
      <c r="X53" s="2855"/>
      <c r="Y53" s="2855"/>
      <c r="Z53" s="2855"/>
    </row>
    <row r="54" spans="2:26">
      <c r="B54" s="2855"/>
      <c r="C54" s="2856">
        <v>33349</v>
      </c>
      <c r="D54" s="2855">
        <v>8.1</v>
      </c>
      <c r="E54" s="2855">
        <v>8.64</v>
      </c>
      <c r="F54" s="2855">
        <v>9</v>
      </c>
      <c r="G54" s="2855">
        <v>9.5399999999999991</v>
      </c>
      <c r="H54" s="2855">
        <v>9.7200000000000006</v>
      </c>
      <c r="I54" s="2855">
        <v>0</v>
      </c>
      <c r="J54" s="2855">
        <v>0</v>
      </c>
      <c r="L54" s="2855"/>
      <c r="M54" s="2856"/>
      <c r="N54" s="2855"/>
      <c r="O54" s="2855"/>
      <c r="P54" s="2855"/>
      <c r="Q54" s="2855"/>
      <c r="R54" s="2855"/>
      <c r="S54" s="2855"/>
      <c r="T54" s="2855"/>
      <c r="U54" s="2855"/>
      <c r="V54" s="2855"/>
      <c r="W54" s="2855"/>
      <c r="X54" s="2855"/>
      <c r="Y54" s="2855"/>
      <c r="Z54" s="2855"/>
    </row>
    <row r="55" spans="2:26">
      <c r="B55" s="2855"/>
      <c r="C55" s="2856">
        <v>33318</v>
      </c>
      <c r="D55" s="2855">
        <v>9</v>
      </c>
      <c r="E55" s="2855">
        <v>10.08</v>
      </c>
      <c r="F55" s="2855">
        <v>10.8</v>
      </c>
      <c r="G55" s="2855">
        <v>11.52</v>
      </c>
      <c r="H55" s="2855">
        <v>11.88</v>
      </c>
      <c r="I55" s="2855" t="s">
        <v>2746</v>
      </c>
      <c r="J55" s="2855" t="s">
        <v>2746</v>
      </c>
      <c r="L55" s="2855"/>
      <c r="M55" s="2856"/>
      <c r="N55" s="2855"/>
      <c r="O55" s="2855"/>
      <c r="P55" s="2855"/>
      <c r="Q55" s="2855"/>
      <c r="R55" s="2855"/>
      <c r="S55" s="2855"/>
      <c r="T55" s="2855"/>
      <c r="U55" s="2855"/>
      <c r="V55" s="2855"/>
      <c r="W55" s="2855"/>
      <c r="X55" s="2855"/>
      <c r="Y55" s="2855"/>
      <c r="Z55" s="2855"/>
    </row>
    <row r="56" spans="2:26">
      <c r="B56" s="2855"/>
      <c r="C56" s="2856">
        <v>33106</v>
      </c>
      <c r="D56" s="2855">
        <v>8.64</v>
      </c>
      <c r="E56" s="2855">
        <v>9.36</v>
      </c>
      <c r="F56" s="2855">
        <v>10.08</v>
      </c>
      <c r="G56" s="2855">
        <v>10.8</v>
      </c>
      <c r="H56" s="2855">
        <v>11.16</v>
      </c>
      <c r="I56" s="2855">
        <v>0</v>
      </c>
      <c r="J56" s="2855">
        <v>0</v>
      </c>
      <c r="L56" s="2855"/>
      <c r="M56" s="2856"/>
      <c r="N56" s="2855"/>
      <c r="O56" s="2855"/>
      <c r="P56" s="2855"/>
      <c r="Q56" s="2855"/>
      <c r="R56" s="2855"/>
      <c r="S56" s="2855"/>
      <c r="T56" s="2855"/>
      <c r="U56" s="2855"/>
      <c r="V56" s="2855"/>
      <c r="W56" s="2855"/>
      <c r="X56" s="2855"/>
      <c r="Y56" s="2855"/>
      <c r="Z56" s="2855"/>
    </row>
    <row r="57" spans="2:26">
      <c r="B57" s="2855"/>
      <c r="C57" s="2856">
        <v>32540</v>
      </c>
      <c r="D57" s="2855">
        <v>11.34</v>
      </c>
      <c r="E57" s="2855">
        <v>11.34</v>
      </c>
      <c r="F57" s="2855">
        <v>12.78</v>
      </c>
      <c r="G57" s="2855">
        <v>14.4</v>
      </c>
      <c r="H57" s="2855">
        <v>19.260000000000002</v>
      </c>
      <c r="I57" s="2855">
        <v>0</v>
      </c>
      <c r="J57" s="2855">
        <v>0</v>
      </c>
      <c r="L57" s="2855"/>
      <c r="M57" s="2856"/>
      <c r="N57" s="2855"/>
      <c r="O57" s="2855"/>
      <c r="P57" s="2855"/>
      <c r="Q57" s="2855"/>
      <c r="R57" s="2855"/>
      <c r="S57" s="2855"/>
      <c r="T57" s="2855"/>
      <c r="U57" s="2855"/>
      <c r="V57" s="2855"/>
      <c r="W57" s="2855"/>
      <c r="X57" s="2855"/>
      <c r="Y57" s="2855"/>
      <c r="Z57" s="2855"/>
    </row>
    <row r="58" spans="2:26">
      <c r="B58" s="2855"/>
      <c r="C58" s="2856"/>
      <c r="D58" s="2855"/>
      <c r="E58" s="2855"/>
      <c r="F58" s="2855"/>
      <c r="G58" s="2855"/>
      <c r="H58" s="2855"/>
      <c r="I58" s="2855"/>
      <c r="J58" s="2855"/>
    </row>
    <row r="59" spans="2:26">
      <c r="B59" s="2859"/>
      <c r="C59" s="2860"/>
      <c r="D59" s="2859"/>
      <c r="E59" s="2859"/>
      <c r="F59" s="2859"/>
      <c r="G59" s="2859"/>
      <c r="H59" s="2859"/>
      <c r="I59" s="2859"/>
      <c r="J59" s="2859"/>
    </row>
    <row r="60" spans="2:26">
      <c r="B60" s="2859"/>
      <c r="C60" s="2860"/>
      <c r="D60" s="2859"/>
      <c r="E60" s="2859"/>
      <c r="F60" s="2859"/>
      <c r="G60" s="2859"/>
      <c r="H60" s="2859"/>
      <c r="I60" s="2859"/>
      <c r="J60" s="2859"/>
    </row>
    <row r="61" spans="2:26">
      <c r="B61" s="2859"/>
      <c r="C61" s="2860"/>
      <c r="D61" s="2859"/>
      <c r="E61" s="2859"/>
      <c r="F61" s="2859"/>
      <c r="G61" s="2859"/>
      <c r="H61" s="2859"/>
      <c r="I61" s="2859"/>
      <c r="J61" s="2859"/>
    </row>
    <row r="62" spans="2:26">
      <c r="B62" s="2806"/>
      <c r="C62" s="2806"/>
      <c r="D62" s="2806"/>
      <c r="E62" s="2806"/>
      <c r="F62" s="2806"/>
      <c r="G62" s="2806"/>
      <c r="H62" s="2806"/>
      <c r="I62" s="2806"/>
      <c r="J62" s="2806"/>
    </row>
    <row r="63" spans="2:26">
      <c r="B63" s="2806"/>
      <c r="C63" s="2806"/>
      <c r="D63" s="2806"/>
      <c r="E63" s="2806"/>
      <c r="F63" s="2806"/>
      <c r="G63" s="2806"/>
      <c r="H63" s="2806"/>
      <c r="I63" s="2806"/>
      <c r="J63" s="2806"/>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142</vt:i4>
      </vt:variant>
    </vt:vector>
  </HeadingPairs>
  <TitlesOfParts>
    <vt:vector size="18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土地案例</vt:lpstr>
      <vt:lpstr>剩余法-待开发</vt:lpstr>
      <vt:lpstr>不动产比较法-住宅</vt:lpstr>
      <vt:lpstr>不动产收益法</vt:lpstr>
      <vt:lpstr>不动产收益法 (地下车库)</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'不动产比较法-住宅'!Print_Area</vt:lpstr>
      <vt:lpstr>不动产收益法!Print_Area</vt:lpstr>
      <vt:lpstr>'不动产收益法 (地下车库)'!Print_Area</vt:lpstr>
      <vt:lpstr>估价对象房地状况!Print_Area</vt:lpstr>
      <vt:lpstr>结果表!Print_Area</vt:lpstr>
      <vt:lpstr>'剩余法-待开发'!Print_Area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2017-03-09T08:11:21Z</cp:lastPrinted>
  <dcterms:created xsi:type="dcterms:W3CDTF">2015-07-13T07:17:23Z</dcterms:created>
  <dcterms:modified xsi:type="dcterms:W3CDTF">2018-05-22T13:16:44Z</dcterms:modified>
</cp:coreProperties>
</file>